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Data Entry Sheet" sheetId="1" state="visible" r:id="rId2"/>
    <sheet name="Parameter Restrictions" sheetId="2" state="visible" r:id="rId3"/>
    <sheet name="Parameter Descriptions" sheetId="3" state="visible" r:id="rId4"/>
    <sheet name="DataGaps..Removed" sheetId="4" state="visible" r:id="rId5"/>
  </sheets>
  <definedNames>
    <definedName function="false" hidden="true" localSheetId="3" name="_xlnm._FilterDatabase" vbProcedure="false">'DataGaps..Removed'!$A$1:$Y$893</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<sst xmlns="http://schemas.openxmlformats.org/spreadsheetml/2006/main" count="5374" uniqueCount="384">
  <si>
    <t xml:space="preserve">Person</t>
  </si>
  <si>
    <t xml:space="preserve">Work Station</t>
  </si>
  <si>
    <t xml:space="preserve">QR Code</t>
  </si>
  <si>
    <t xml:space="preserve">Is the top box checked on the back of the row band?</t>
  </si>
  <si>
    <t xml:space="preserve">Is the bottom box on the back of the row band checked?</t>
  </si>
  <si>
    <t xml:space="preserve">Note Written on Row Band</t>
  </si>
  <si>
    <t xml:space="preserve">Loose kernel Count</t>
  </si>
  <si>
    <t xml:space="preserve">Loose kernel weight</t>
  </si>
  <si>
    <t xml:space="preserve">Primary Ear #</t>
  </si>
  <si>
    <t xml:space="preserve">General Remarks</t>
  </si>
  <si>
    <t xml:space="preserve">Ear Width</t>
  </si>
  <si>
    <t xml:space="preserve">Kernel Fill Length</t>
  </si>
  <si>
    <t xml:space="preserve">Kernel Row Number</t>
  </si>
  <si>
    <t xml:space="preserve">Kernels per Row</t>
  </si>
  <si>
    <t xml:space="preserve">Ear Weight</t>
  </si>
  <si>
    <t xml:space="preserve">Cob Width</t>
  </si>
  <si>
    <t xml:space="preserve">Cob Length</t>
  </si>
  <si>
    <t xml:space="preserve">Cob Weight</t>
  </si>
  <si>
    <t xml:space="preserve">100 Kernel weight</t>
  </si>
  <si>
    <t xml:space="preserve">Kernel Count</t>
  </si>
  <si>
    <t xml:space="preserve">Kernel Color QR</t>
  </si>
  <si>
    <t xml:space="preserve">Administrater Notes</t>
  </si>
  <si>
    <t xml:space="preserve">Person Measuring</t>
  </si>
  <si>
    <t xml:space="preserve">QR code TS</t>
  </si>
  <si>
    <t xml:space="preserve">Finished TS</t>
  </si>
  <si>
    <t xml:space="preserve">KL</t>
  </si>
  <si>
    <t xml:space="preserve">Station 2</t>
  </si>
  <si>
    <t xml:space="preserve">North Platte$Hybrid HIPS$150N$Dryland$Rep$2$Plot276Row21$Range2$@LH74 x PHM49</t>
  </si>
  <si>
    <t xml:space="preserve">No</t>
  </si>
  <si>
    <t xml:space="preserve">Yellow$</t>
  </si>
  <si>
    <t xml:space="preserve">North Platte$Hybrid HIPS$150N$Full$Rep$1$Plot84Row21$Range10$@PHN46 x PHB47</t>
  </si>
  <si>
    <t xml:space="preserve">North Platte$Hybrid HIPS$150N$Dryland$Rep$1$Plot146Row38$Range14$@PHP02 x W606S</t>
  </si>
  <si>
    <t xml:space="preserve">Dark-Orange$</t>
  </si>
  <si>
    <t xml:space="preserve">Aborted Kernels, Uneven rows</t>
  </si>
  <si>
    <t xml:space="preserve">North Platte$Hybrid HIPS$150N$Dryland$Rep$1$Plot145Row38$Range15$@PHK56 x PHJ89</t>
  </si>
  <si>
    <t xml:space="preserve">Uneven rows</t>
  </si>
  <si>
    <t xml:space="preserve">Damaged Kernels</t>
  </si>
  <si>
    <t xml:space="preserve">North Platte$Hybrid HIPS$150N$Dryland$Rep$1$Plot151Row39$Range15$@LH82 x W606S</t>
  </si>
  <si>
    <t xml:space="preserve">North Platte$Hybrid HIPS$150N$Dryland$Rep$1$Plot155Row39$Range11$@PHN46 x W606S</t>
  </si>
  <si>
    <t xml:space="preserve">North Platte$Hybrid HIPS$150N$Dryland$Rep$1$Plot147Row38$Range13$@PHP02 x LH145</t>
  </si>
  <si>
    <t xml:space="preserve">North Platte$Hybrid HIPS$150N$Dryland$Rep$1$Plot156Row39$Range10$@PHN46 x PHK56</t>
  </si>
  <si>
    <t xml:space="preserve">Pale-Yellow$</t>
  </si>
  <si>
    <t xml:space="preserve">North Platte$Hybrid HIPS$150N$Full$Rep$2$Plot345Row39$Range5$@PHK56 x 3IIH6</t>
  </si>
  <si>
    <t xml:space="preserve">JB</t>
  </si>
  <si>
    <t xml:space="preserve">Station 1</t>
  </si>
  <si>
    <t xml:space="preserve">North Platte$Hybrid HIPS$150N$Full$Rep$2$Plot342Row38$Range2$@PHP02 x W606S</t>
  </si>
  <si>
    <t xml:space="preserve">Aborted Kernels, Fungus</t>
  </si>
  <si>
    <t xml:space="preserve">Fungus</t>
  </si>
  <si>
    <t xml:space="preserve">North Platte$Hybrid HIPS$150N$Full$Rep$2$Plot344Row39$Range6$@LH195 x LH123HT</t>
  </si>
  <si>
    <t xml:space="preserve">Aborted Kernels</t>
  </si>
  <si>
    <t xml:space="preserve">Fungus, Uneven rows</t>
  </si>
  <si>
    <t xml:space="preserve">North Platte$Hybrid HIPS$150N$Full$Rep$2$Plot340Row38$Range4$@C.I. 540 x Os426</t>
  </si>
  <si>
    <t xml:space="preserve">North Platte$Hybrid HIPS$150N$Dryland$Rep$1$Plot150Row38$Range10$@Pioneer P0589 AMXT</t>
  </si>
  <si>
    <t xml:space="preserve">North Platte$Hybrid HIPS$150N$Full$Rep$2$Plot346Row39$Range4$@K64 x KYS</t>
  </si>
  <si>
    <t xml:space="preserve">85% lodged </t>
  </si>
  <si>
    <t xml:space="preserve">All White Kernels mixed with All Yellow Kernels$</t>
  </si>
  <si>
    <t xml:space="preserve">North Platte$Hybrid HIPS$150N$Dryland$Rep$1$Plot149Row38$Range11$@PHP02 x PHJ89</t>
  </si>
  <si>
    <t xml:space="preserve">Aborted Kernels, Damaged Kernels</t>
  </si>
  <si>
    <t xml:space="preserve">Yellow-Orange$</t>
  </si>
  <si>
    <t xml:space="preserve">North Platte$Hybrid HIPS$150N$Full$Rep$2$Plot347Row39$Range3$@PHK76 x 3IIH6</t>
  </si>
  <si>
    <t xml:space="preserve">North Platte$Hybrid HIPS$150N$Dryland$Rep$1$Plot152Row39$Range14$@PHK76 x LH145</t>
  </si>
  <si>
    <t xml:space="preserve">70% lodged</t>
  </si>
  <si>
    <t xml:space="preserve">North Platte$Hybrid HIPS$150N$Full$Rep$2$Plot337Row38$Range7$@B14A x Mo17</t>
  </si>
  <si>
    <t xml:space="preserve">North Platte$Hybrid HIPS$150N$Full$Rep$2$Plot339Row38$Range5$@PHP02 x PHK56</t>
  </si>
  <si>
    <t xml:space="preserve">North Platte$Hybrid HIPS$150N$Full$Rep$2$Plot348Row39$Range2$@PHB47 x LH185</t>
  </si>
  <si>
    <t xml:space="preserve">North Platte$Hybrid HIPS$150N$Dryland$Rep$1$Plot154Row39$Range12$@PHK76 x LH198</t>
  </si>
  <si>
    <t xml:space="preserve">North Platte$Hybrid HIPS$150N$Dryland$Rep$1$Plot91Row24$Range15$@Syngenta NK0659-3120-EZ1</t>
  </si>
  <si>
    <t xml:space="preserve">North Platte$Hybrid HIPS$150N$Dryland$Rep$1$Plot153Row39$Range13$@PHP02 x LH82</t>
  </si>
  <si>
    <t xml:space="preserve">North Platte$Hybrid HIPS$150N$Dryland$Rep$1$Plot93Row24$Range13$@2369 x PHP02</t>
  </si>
  <si>
    <t xml:space="preserve">North Platte$Hybrid HIPS$150N$Full$Rep$2$Plot341Row38$Range3$@PHK76 x W606S</t>
  </si>
  <si>
    <t xml:space="preserve">North Platte$Hybrid HIPS$150N$Dryland$Rep$1$Plot90Row23$Range10$@LH123HT x PHB47</t>
  </si>
  <si>
    <t xml:space="preserve">North Platte$Hybrid HIPS$150N$Dryland$Rep$1$Plot96Row24$Range10$@PHK56 x LH145</t>
  </si>
  <si>
    <t xml:space="preserve">North Platte$Hybrid HIPS$150N$Dryland$Rep$1$Plot95Row24$Range11$@PHK76 x 3IIH6</t>
  </si>
  <si>
    <t xml:space="preserve">Yes</t>
  </si>
  <si>
    <t xml:space="preserve">low strand, 5 plants, 2 cobs</t>
  </si>
  <si>
    <t xml:space="preserve">North Platte$Hybrid HIPS$150N$Dryland$Rep$2$Plot277Row23$Range7$@PHK56 x LH198</t>
  </si>
  <si>
    <t xml:space="preserve">North Platte$Hybrid HIPS$150N$Dryland$Rep$2$Plot285Row24$Range5$@LH198 x PHZ51</t>
  </si>
  <si>
    <t xml:space="preserve">North Platte$Hybrid HIPS$150N$Dryland$Rep$2$Plot279Row23$Range5$@Wyffels W1782</t>
  </si>
  <si>
    <t xml:space="preserve">North Platte$Hybrid HIPS$150N$Dryland$Rep$2$Plot282Row23$Range2$@LH82 x W606S</t>
  </si>
  <si>
    <t xml:space="preserve">North Platte$Hybrid HIPS$150N$Dryland$Rep$2$Plot288Row24$Range2$@PHK56 x LH185</t>
  </si>
  <si>
    <t xml:space="preserve">North Platte$Hybrid HIPS$150N$Dryland$Rep$1$Plot87Row23$Range13$@PHK76 x LH82</t>
  </si>
  <si>
    <t xml:space="preserve">low stand, 11 plants</t>
  </si>
  <si>
    <t xml:space="preserve">North Platte$Hybrid HIPS$150N$Dryland$Rep$2$Plot280Row23$Range4$@PHW52 x PHN82</t>
  </si>
  <si>
    <t xml:space="preserve">North Platte$Hybrid HIPS$150N$Dryland$Rep$1$Plot88Row23$Range12$@LH198 x PHB47</t>
  </si>
  <si>
    <t xml:space="preserve">North Platte$Hybrid HIPS$150N$Dryland$Rep$2$Plot278Row23$Range6$@B105 x 3IIH6</t>
  </si>
  <si>
    <t xml:space="preserve">North Platte$Hybrid HIPS$150N$Dryland$Rep$1$Plot92Row24$Range14$@PHK56 x W606S</t>
  </si>
  <si>
    <t xml:space="preserve">North Platte$Hybrid HIPS$150N$Dryland$Rep$1$Plot148Row38$Range12$@PHK56 x 3IIH6</t>
  </si>
  <si>
    <t xml:space="preserve">North Platte$Hybrid HIPS$150N$Full$Rep$2$Plot343Row39$Range7$@Os426 x 'Iowa I 205'</t>
  </si>
  <si>
    <t xml:space="preserve">North Platte$Hybrid HIPS$150N$Dryland$Rep$2$Plot281Row23$Range3$@PHK76 x W606S</t>
  </si>
  <si>
    <t xml:space="preserve">30% lodged</t>
  </si>
  <si>
    <t xml:space="preserve">North Platte$Hybrid HIPS$150N$Dryland$Rep$1$Plot85Row23$Range15$@LH185 x LH145</t>
  </si>
  <si>
    <t xml:space="preserve">North Platte$Hybrid HIPS$150N$Dryland$Rep$1$Plot94Row24$Range12$@PHP02 x PHK56</t>
  </si>
  <si>
    <t xml:space="preserve">North Platte$Hybrid HIPS$150N$Dryland$Rep$2$Plot283Row24$Range7$@PHB47 x PHK56</t>
  </si>
  <si>
    <t xml:space="preserve">North Platte$Hybrid HIPS$150N$Dryland$Rep$1$Plot86Row23$Range14$@PHJ40 x LH82</t>
  </si>
  <si>
    <t xml:space="preserve">North Platte$Hybrid HIPS$150N$Dryland$Rep$2$Plot284Row24$Range6$@Hoegemeyer 7089 AMXT</t>
  </si>
  <si>
    <t xml:space="preserve">North Platte$Hybrid HIPS$150N$Dryland$Rep$2$Plot287Row24$Range3$@PHP02 x LH198</t>
  </si>
  <si>
    <t xml:space="preserve">Scottsbluff$Hybrid HIPS$150N$full$Rep$2$Plot78Row10$Range20$@LH195 x PHZ51</t>
  </si>
  <si>
    <t xml:space="preserve">Yellow with Red Flecks$</t>
  </si>
  <si>
    <t xml:space="preserve">Scottsbluff$Hybrid HIPS$150N$full$Rep$2$Plot79Row10$Range21$@2369 x PHP02</t>
  </si>
  <si>
    <t xml:space="preserve">North Platte$Hybrid HIPS$150N$Dryland$Rep$2$Plot286Row24$Range4$@PHW52 x PHM49</t>
  </si>
  <si>
    <t xml:space="preserve">North Platte$Hybrid HIPS$150N$Dryland$Rep$1$Plot89Row23$Range11$@Hoegemeyer 7089 AMXT</t>
  </si>
  <si>
    <t xml:space="preserve">Scottsbluff$Hybrid HIPS$150N$full$Rep$2$Plot73Row10$Range15$@B73 x PHM49</t>
  </si>
  <si>
    <t xml:space="preserve">Scottsbluff$Hybrid HIPS$150N$full$Rep$2$Plot76Row10$Range18$@LH82 x PHJ89</t>
  </si>
  <si>
    <t xml:space="preserve">Aborted Kernels, Poor Seed set</t>
  </si>
  <si>
    <t xml:space="preserve">Damaged Kernels, Uneven rows</t>
  </si>
  <si>
    <t xml:space="preserve">Scottsbluff$Hybrid HIPS$150N$full$Rep$2$Plot74Row10$Range16$@Syngenta NK0760-3111</t>
  </si>
  <si>
    <t xml:space="preserve">Uneven rows, Poor Seed set</t>
  </si>
  <si>
    <t xml:space="preserve">Scottsbluff$Hybrid HIPS$150N$full$Rep$1$Plot70Row10$Range12$@PHK56 x PHJ89</t>
  </si>
  <si>
    <t xml:space="preserve">Scottsbluff$Hybrid HIPS$150N$full$Rep$2$Plot75Row10$Range17$@PHK56 x LH185</t>
  </si>
  <si>
    <t xml:space="preserve">Scottsbluff$Hybrid HIPS$150N$full$Rep$1$Plot72Row10$Range14$@LH123HT x PHB47</t>
  </si>
  <si>
    <t xml:space="preserve">Scottsbluff$Hybrid HIPS$150N$full$Rep$2$Plot86Row10$Range28$@PHP02 x PHB47</t>
  </si>
  <si>
    <t xml:space="preserve">Poor Seed set</t>
  </si>
  <si>
    <t xml:space="preserve">Scottsbluff$Hybrid HIPS$150N$full$Rep$1$Plot69Row10$Range11$@Hoegemeyer 7089 AMXT</t>
  </si>
  <si>
    <t xml:space="preserve">Scottsbluff$Hybrid HIPS$150N$full$Rep$1$Plot121Row12$Range5$@PHB47 x LH185</t>
  </si>
  <si>
    <t xml:space="preserve">Scottsbluff$Hybrid HIPS$150N$full$Rep$1$Plot126Row12$Range10$@Syngenta NK0659-3120-EZ1</t>
  </si>
  <si>
    <t xml:space="preserve">Scottsbluff$Hybrid HIPS$150N$full$Rep$2$Plot84Row10$Range26$@LH82 x W606S</t>
  </si>
  <si>
    <t xml:space="preserve">Scottsbluff$Hybrid HIPS$150N$full$Rep$2$Plot82Row10$Range24$@LH74 x PHM49</t>
  </si>
  <si>
    <t xml:space="preserve">Scottsbluff$Hybrid HIPS$150N$full$Rep$2$Plot77Row10$Range19$@B14A x Mo17</t>
  </si>
  <si>
    <t xml:space="preserve">No Row Band:  Plot in Row 10</t>
  </si>
  <si>
    <t xml:space="preserve">Scottsbluff$Hybrid HIPS$150N$full$Rep$2$Plot87Row10$Range29$@B37 x Mo17</t>
  </si>
  <si>
    <t xml:space="preserve">Fungus, Damaged Kernels</t>
  </si>
  <si>
    <t xml:space="preserve">small ear, poor seed set, fungus, aborted kernels</t>
  </si>
  <si>
    <t xml:space="preserve">NO KERNELS ON EAR</t>
  </si>
  <si>
    <t xml:space="preserve">Scottsbluff$Hybrid HIPS$150N$full$Rep$1$Plot117Row12$Range1$@LH195 x LH123HT</t>
  </si>
  <si>
    <t xml:space="preserve">Scottsbluff$Hybrid HIPS$150N$full$Rep$1$Plot127Row12$Range11$@PHK56 x W606S</t>
  </si>
  <si>
    <t xml:space="preserve">Scottsbluff$Hybrid HIPS$150N$full$Rep$1$Plot128Row12$Range12$@PHK76 x W606S</t>
  </si>
  <si>
    <t xml:space="preserve">Scottsbluff$Hybrid HIPS$150N$full$Rep$1$Plot122Row12$Range6$@solar panel</t>
  </si>
  <si>
    <t xml:space="preserve">Scottsbluff$Hybrid HIPS$150N$full$Rep$1$Plot124Row12$Range8$@B73 x PHN82</t>
  </si>
  <si>
    <t xml:space="preserve">Scottsbluff$Hybrid HIPS$150N$full$Rep$1$Plot119Row12$Range3$@solar panel</t>
  </si>
  <si>
    <t xml:space="preserve">Scottsbluff$Hybrid HIPS$150N$full$Rep$1$Plot123Row12$Range7$@PHP02 x PHB47</t>
  </si>
  <si>
    <t xml:space="preserve">Scottsbluff$Hybrid HIPS$150N$full$Rep$1$Plot120Row12$Range4$@LH82 x PHJ89</t>
  </si>
  <si>
    <t xml:space="preserve">Scottsbluff$Hybrid HIPS$150N$full$Rep$1$Plot130Row12$Range14$@PHK76 x LH198</t>
  </si>
  <si>
    <t xml:space="preserve">Scottsbluff$Hybrid HIPS$150N$full$Rep$1$Plot125Row12$Range9$@PHP02 x W606S</t>
  </si>
  <si>
    <t xml:space="preserve">Scottsbluff$Hybrid HIPS$150N$full$Rep$1$Plot118Row12$Range2$@2369 x 3IIH6</t>
  </si>
  <si>
    <t xml:space="preserve">Scottsbluff$Hybrid HIPS$150N$full$Rep$1$Plot7Row8$Range7$@PHT69 x 3IIH6</t>
  </si>
  <si>
    <t xml:space="preserve">Scottsbluff$Hybrid HIPS$150N$full$Rep$1$Plot8Row8$Range8$@B37 x OH43</t>
  </si>
  <si>
    <t xml:space="preserve">Scottsbluff$Hybrid HIPS$150N$full$Rep$1$Plot3Row8$Range3$@N209 x 3IIH6</t>
  </si>
  <si>
    <t xml:space="preserve">Scottsbluff$Hybrid HIPS$150N$full$Rep$1$Plot10Row8$Range10$@PHP02 x LH82</t>
  </si>
  <si>
    <t xml:space="preserve">Scottsbluff$Hybrid HIPS$150N$full$Rep$1$Plot1Row8$Range1$@LH123HT x 3IIH6</t>
  </si>
  <si>
    <t xml:space="preserve">Scottsbluff$Hybrid HIPS$150N$full$Rep$1$Plot13Row8$Range13$@PHP02 x PHK76</t>
  </si>
  <si>
    <t xml:space="preserve">Scottsbluff$Hybrid HIPS$150N$full$Rep$1$Plot2Row8$Range2$@PHW52 x PHN82</t>
  </si>
  <si>
    <t xml:space="preserve">Scottsbluff$Hybrid HIPS$150N$full$Rep$1$Plot6Row8$Range6$@LH74 x PHN82</t>
  </si>
  <si>
    <t xml:space="preserve">Scottsbluff$Hybrid HIPS$150N$full$Rep$1$Plot65Row10$Range7$@B105 x 3IIH6</t>
  </si>
  <si>
    <t xml:space="preserve">Scottsbluff$Hybrid HIPS$150N$full$Rep$1$Plot4Row8$Range4$@4N506 x 3IIH6</t>
  </si>
  <si>
    <t xml:space="preserve">Scottsbluff$Hybrid HIPS$150N$full$Rep$1$Plot64Row10$Range6$@LH195 x PHM49</t>
  </si>
  <si>
    <t xml:space="preserve">Scottsbluff$Hybrid HIPS$150N$full$Rep$1$Plot5Row8$Range5$@2369 x PHZ51</t>
  </si>
  <si>
    <t xml:space="preserve">Scottsbluff$Hybrid HIPS$150N$full$Rep$1$Plot59Row10$Range1$@LH145 x LH162</t>
  </si>
  <si>
    <t xml:space="preserve">Fungus, Poor Seed set</t>
  </si>
  <si>
    <t xml:space="preserve">Scottsbluff$Hybrid HIPS$150N$full$Rep$1$Plot62Row10$Range4$@B84 x 3IIH6</t>
  </si>
  <si>
    <t xml:space="preserve">Scottsbluff$Hybrid HIPS$150N$full$Rep$1$Plot66Row10$Range8$@2FACC x 3IIH6</t>
  </si>
  <si>
    <t xml:space="preserve">Scottsbluff$Hybrid HIPS$150N$full$Rep$1$Plot9Row8$Range9$@PHB47 x PHK56</t>
  </si>
  <si>
    <t xml:space="preserve">Scottsbluff$Hybrid HIPS$150N$full$Rep$1$Plot63Row10$Range5$@B73 x PHZ51</t>
  </si>
  <si>
    <t xml:space="preserve">Scottsbluff$Hybrid HIPS$150N$full$Rep$1$Plot61Row10$Range3$@2369 x LH123HT</t>
  </si>
  <si>
    <t xml:space="preserve">Scottsbluff$Hybrid HIPS$150N$full$Rep$1$Plot60Row10$Range2$@PHW52 x LH185</t>
  </si>
  <si>
    <t xml:space="preserve">Scottsbluff$Hybrid HIPS$150N$full$Rep$2$Plot170Row13$Range25$@PHW52 x PHM49</t>
  </si>
  <si>
    <t xml:space="preserve">Scottsbluff$Hybrid HIPS$150N$full$Rep$1$Plot187Row14$Range13$@Pioneer P0589 AMXT</t>
  </si>
  <si>
    <t xml:space="preserve">Scottsbluff$Hybrid HIPS$150N$full$Rep$1$Plot186Row14$Range12$@PHN46 x PHB47</t>
  </si>
  <si>
    <t xml:space="preserve">Scottsbluff$Hybrid HIPS$150N$full$Rep$2$Plot166Row13$Range21$@4N506 x 3IIH6</t>
  </si>
  <si>
    <t xml:space="preserve">AK</t>
  </si>
  <si>
    <t xml:space="preserve">Scottsbluff$Hybrid HIPS$150N$full$Rep$2$Plot192Row14$Range18$@PHK56 x PHJ89</t>
  </si>
  <si>
    <t xml:space="preserve">Scottsbluff$Hybrid HIPS$150N$full$Rep$2$Plot189Row14$Range15$@B84 x 3IIH6</t>
  </si>
  <si>
    <t xml:space="preserve">Scottsbluff$Hybrid HIPS$150N$full$Rep$1$Plot184Row14$Range10$@PHK76 x LH82</t>
  </si>
  <si>
    <t xml:space="preserve">Scottsbluff$Hybrid HIPS$150N$full$Rep$2$Plot164Row13$Range19$@PHP02 x LH198</t>
  </si>
  <si>
    <t xml:space="preserve">Scottsbluff$Hybrid HIPS$150N$full$Rep$2$Plot199Row14$Range25$@Pioneer P0589 AMXT</t>
  </si>
  <si>
    <t xml:space="preserve">Scottsbluff$Hybrid HIPS$150N$full$Rep$2$Plot160Row13$Range15$@B105 x 3IIH6</t>
  </si>
  <si>
    <t xml:space="preserve">Scottsbluff$Hybrid HIPS$150N$full$Rep$1$Plot183Row14$Range9$@PHJ40 x LH82</t>
  </si>
  <si>
    <t xml:space="preserve">Scottsbluff$Hybrid HIPS$150N$full$Rep$2$Plot173Row13$Range28$@PHZ51 x LH145</t>
  </si>
  <si>
    <t xml:space="preserve">Scottsbluff$Hybrid HIPS$150N$full$Rep$2$Plot195Row14$Range21$@LH74 x PHN82</t>
  </si>
  <si>
    <t xml:space="preserve">Scottsbluff$Hybrid HIPS$150N$full$Rep$2$Plot194Row14$Range20$@PHK56 x LH145</t>
  </si>
  <si>
    <t xml:space="preserve">Scottsbluff$Hybrid HIPS$150N$full$Rep$2$Plot203Row14$Range29$@Wyffels W1782</t>
  </si>
  <si>
    <t xml:space="preserve">Scottsbluff$Hybrid HIPS$150N$full$Rep$2$Plot165Row13$Range20$@PHN46 x PHK56</t>
  </si>
  <si>
    <t xml:space="preserve">Scottsbluff$Hybrid HIPS$150N$full$Rep$2$Plot201Row14$Range27$@LH123HT x PHB47</t>
  </si>
  <si>
    <t xml:space="preserve">Scottsbluff$Hybrid HIPS$150N$full$Rep$2$Plot162Row13$Range17$@LH195 x LH185</t>
  </si>
  <si>
    <t xml:space="preserve">Scottsbluff$Hybrid HIPS$150N$full$Rep$2$Plot171Row13$Range26$@B73 x PHZ51</t>
  </si>
  <si>
    <t xml:space="preserve">Scottsbluff$Hybrid HIPS$150N$full$Rep$2$Plot169Row13$Range24$@PHT69 x 3IIH6</t>
  </si>
  <si>
    <t xml:space="preserve">Scottsbluff$Hybrid HIPS$150N$full$Rep$2$Plot190Row14$Range16$@PHK56 x LH82</t>
  </si>
  <si>
    <t xml:space="preserve">Station 3</t>
  </si>
  <si>
    <t xml:space="preserve">Scottsbluff$Hybrid HIPS$150N$full$Rep$1$Plot88Row11$Range1$@LH195 x PHZ51</t>
  </si>
  <si>
    <t xml:space="preserve">Scottsbluff$Hybrid HIPS$150N$full$Rep$2$Plot167Row13$Range22$@PHP02 x LH145</t>
  </si>
  <si>
    <t xml:space="preserve">Scottsbluff$Hybrid HIPS$150N$full$Rep$2$Plot168Row13$Range23$@LH82 x PHB47</t>
  </si>
  <si>
    <t xml:space="preserve">SH</t>
  </si>
  <si>
    <t xml:space="preserve">Scottsbluff$Hybrid HIPS$150N$full$Rep$2$Plot172Row13$Range27$@PHK76 x W606S</t>
  </si>
  <si>
    <t xml:space="preserve">Scottsbluff$Hybrid HIPS$150N$full$Rep$2$Plot191Row14$Range17$@LH195 x PHM49</t>
  </si>
  <si>
    <t xml:space="preserve">Scottsbluff$Hybrid HIPS$150N$full$Rep$2$Plot198Row14$Range24$@PHB47 x 3IIH6</t>
  </si>
  <si>
    <t xml:space="preserve">Scottsbluff$Hybrid HIPS$150N$full$Rep$1$Plot89Row11$Range2$@PHB47 x PHJ89</t>
  </si>
  <si>
    <t xml:space="preserve">Scottsbluff$Hybrid HIPS$150N$full$Rep$1$Plot93Row11$Range6$@PHK56 x LH198</t>
  </si>
  <si>
    <t xml:space="preserve">Scottsbluff$Hybrid HIPS$150N$full$Rep$1$Plot95Row11$Range8$@LH195 x LH185</t>
  </si>
  <si>
    <t xml:space="preserve">Scottsbluff$Hybrid HIPS$150N$full$Rep$1$Plot94Row11$Range7$@LH198 x PHZ51</t>
  </si>
  <si>
    <t xml:space="preserve">Scottsbluff$Hybrid HIPS$150N$full$Rep$1$Plot35Row9$Range6$@B73 x PHM49</t>
  </si>
  <si>
    <t xml:space="preserve">Scottsbluff$Hybrid HIPS$150N$full$Rep$2$Plot174Row13$Range29$@Hoegemeyer 7089 AMXT</t>
  </si>
  <si>
    <t xml:space="preserve">Aborted Kernels, Uneven rows, Fungus</t>
  </si>
  <si>
    <t xml:space="preserve">Scottsbluff$Hybrid HIPS$150N$full$Rep$1$Plot90Row11$Range3$@PHZ51 x LH145</t>
  </si>
  <si>
    <t xml:space="preserve">Scottsbluff$Hybrid HIPS$150N$full$Rep$1$Plot92Row11$Range5$@PHB47 x 3IIH6</t>
  </si>
  <si>
    <t xml:space="preserve">Scottsbluff$Hybrid HIPS$150N$full$Rep$2$Plot21Row8$Range21$@B73 x 3IIH6</t>
  </si>
  <si>
    <t xml:space="preserve">NN</t>
  </si>
  <si>
    <t xml:space="preserve">Scottsbluff$Hybrid HIPS$150N$full$Rep$1$Plot39Row9$Range10$@2369 x PHP02</t>
  </si>
  <si>
    <t xml:space="preserve">Scottsbluff$Hybrid HIPS$150N$full$Rep$1$Plot41Row9$Range12$@PHK56 x LH185</t>
  </si>
  <si>
    <t xml:space="preserve">Mixed Yellow Kernels and Orange Kernels$</t>
  </si>
  <si>
    <t xml:space="preserve">Scottsbluff$Hybrid HIPS$150N$full$Rep$2$Plot23Row8$Range23$@2FACC x 3IIH6</t>
  </si>
  <si>
    <t xml:space="preserve">Scottsbluff$Hybrid HIPS$150N$full$Rep$1$Plot32Row9$Range3$@solar panel</t>
  </si>
  <si>
    <t xml:space="preserve">Scottsbluff$Hybrid HIPS$150N$full$Rep$1$Plot37Row9$Range8$@B73 x Mo17</t>
  </si>
  <si>
    <t xml:space="preserve">Scottsbluff$Hybrid HIPS$150N$full$Rep$2$Plot28Row8$Range28$@LH145 x LH162</t>
  </si>
  <si>
    <t xml:space="preserve">Scottsbluff$Hybrid HIPS$150N$full$Rep$1$Plot91Row11$Range4$@LH74 x PHM49</t>
  </si>
  <si>
    <t xml:space="preserve">Scottsbluff$Hybrid HIPS$150N$full$Rep$1$Plot14Row8$Range14$@PHP02 x LH145</t>
  </si>
  <si>
    <t xml:space="preserve">Scottsbluff$Hybrid HIPS$150N$full$Rep$2$Plot22Row8$Range22$@PHJ40 x LH82</t>
  </si>
  <si>
    <t xml:space="preserve">Scottsbluff$Hybrid HIPS$150N$full$Rep$2$Plot18Row8$Range18$@PHK56 x W606S</t>
  </si>
  <si>
    <t xml:space="preserve">Scottsbluff$Hybrid HIPS$150N$full$Rep$2$Plot16Row8$Range16$@PHK76 x LH145</t>
  </si>
  <si>
    <t xml:space="preserve">Scottsbluff$Hybrid HIPS$150N$full$Rep$2$Plot15Row8$Range15$@F42 x Mo17</t>
  </si>
  <si>
    <t xml:space="preserve">Scottsbluff$Hybrid HIPS$150N$full$Rep$2$Plot26Row8$Range26$@B73 x PHN82</t>
  </si>
  <si>
    <t xml:space="preserve">Scottsbluff$Hybrid HIPS$150N$full$Rep$1$Plot180Row14$Range6$@PHK56 x LH145</t>
  </si>
  <si>
    <t xml:space="preserve">Scottsbluff$Hybrid HIPS$150N$full$Rep$2$Plot24Row8$Range24$@PHK76 x LH198</t>
  </si>
  <si>
    <t xml:space="preserve">Scottsbluff$Hybrid HIPS$150N$full$Rep$1$Plot204Row15$Range1$@Syngenta NK0760-3111</t>
  </si>
  <si>
    <t xml:space="preserve">Scottsbluff$Hybrid HIPS$150N$full$Rep$1$Plot153Row13$Range8$@PHW52 x PHM49</t>
  </si>
  <si>
    <t xml:space="preserve">Scottsbluff$Hybrid HIPS$150N$full$Rep$1$Plot205Row15$Range2$@PHP02 x PHJ89</t>
  </si>
  <si>
    <t xml:space="preserve">Scottsbluff$Hybrid HIPS$150N$full$Rep$1$Plot148Row13$Range3$@F42 x OH43</t>
  </si>
  <si>
    <t xml:space="preserve">Scottsbluff$Hybrid HIPS$150N$full$Rep$2$Plot17Row8$Range17$@LH185 x LH145</t>
  </si>
  <si>
    <t xml:space="preserve">Scottsbluff$Hybrid HIPS$150N$full$Rep$1$Plot182Row14$Range8$@PHK76 x LH145</t>
  </si>
  <si>
    <t xml:space="preserve">Scottsbluff$Hybrid HIPS$150N$full$Rep$1$Plot175Row14$Range1$@Wyffels W1782</t>
  </si>
  <si>
    <t xml:space="preserve">Scottsbluff$Hybrid HIPS$150N$full$Rep$1$Plot149Row13$Range4$@LH82 x PHB47</t>
  </si>
  <si>
    <t xml:space="preserve">Scottsbluff$Hybrid HIPS$150N$full$Rep$1$Plot147Row13$Range2$@WF9 x H95</t>
  </si>
  <si>
    <t xml:space="preserve">Scottsbluff$Hybrid HIPS$150N$full$Rep$1$Plot207Row15$Range4$@PHP02 x LH198</t>
  </si>
  <si>
    <t xml:space="preserve">Scottsbluff$Hybrid HIPS$150N$full$Rep$1$Plot179Row14$Range5$@PHK56 x LH82</t>
  </si>
  <si>
    <t xml:space="preserve">Scottsbluff$Hybrid HIPS$150N$full$Rep$1$Plot151Row13$Range6$@LH195 x 3IIH6</t>
  </si>
  <si>
    <t xml:space="preserve">Scottsbluff$Hybrid HIPS$150N$full$Rep$1$Plot158Row13$Range13$@PHP02 x PHN46</t>
  </si>
  <si>
    <t xml:space="preserve">Scottsbluff$Hybrid HIPS$150N$full$Rep$1$Plot146Row13$Range1$@B73 x 3IIH6</t>
  </si>
  <si>
    <t xml:space="preserve">Scottsbluff$Hybrid HIPS$150N$full$Rep$1$Plot150Row13$Range5$@2369 x PHN82</t>
  </si>
  <si>
    <t xml:space="preserve">OK</t>
  </si>
  <si>
    <t xml:space="preserve">Scottsbluff$Hybrid HIPS$150N$full$Rep$1$Plot154Row13$Range9$@LH82 x W606S</t>
  </si>
  <si>
    <t xml:space="preserve">Scottsbluff$Hybrid HIPS$150N$full$Rep$1$Plot208Row15$Range5$@LH198 x PHB47</t>
  </si>
  <si>
    <t xml:space="preserve">Scottsbluff$Hybrid HIPS$150N$full$Rep$1$Plot159Row13$Range14$@PHN46 x W606S</t>
  </si>
  <si>
    <t xml:space="preserve">Scottsbluff$Hybrid HIPS$150N$full$Rep$1$Plot216Row15$Range13$@filler</t>
  </si>
  <si>
    <t xml:space="preserve">Scottsbluff$Hybrid HIPS$150N$full$Rep$1$Plot209Row15$Range6$@PHP02 x PHK56</t>
  </si>
  <si>
    <t xml:space="preserve">Scottsbluff$Hybrid HIPS$150N$full$Rep$2$Plot217Row15$Range14$@filler</t>
  </si>
  <si>
    <t xml:space="preserve">Scottsbluff$Hybrid HIPS$150N$full$Rep$2$Plot222Row15$Range19$@filler</t>
  </si>
  <si>
    <t xml:space="preserve">Scottsbluff$Hybrid HIPS$150N$full$Rep$1$Plot213Row15$Range10$@PHN46 x PHK56</t>
  </si>
  <si>
    <t xml:space="preserve">Scottsbluff$Hybrid HIPS$150N$full$Rep$2$Plot219Row15$Range16$@filler</t>
  </si>
  <si>
    <t xml:space="preserve">Scottsbluff$Hybrid HIPS$150N$full$Rep$1$Plot214Row15$Range11$@PHK56 x 3IIH6</t>
  </si>
  <si>
    <t xml:space="preserve">Scottsbluff$Hybrid HIPS$150N$full$Rep$2$Plot144Row12$Range28$@2369 x LH123HT</t>
  </si>
  <si>
    <t xml:space="preserve">Fungus, Damaged Kernels, Uneven Rows</t>
  </si>
  <si>
    <t xml:space="preserve">KS</t>
  </si>
  <si>
    <t xml:space="preserve">Scottsbluff$Hybrid HIPS$150N$full$Rep$2$Plot221Row15$Range18$@filler</t>
  </si>
  <si>
    <t xml:space="preserve">Scottsbluff$Hybrid HIPS$150N$full$Rep$2$Plot220Row15$Range17$@filler</t>
  </si>
  <si>
    <t xml:space="preserve">Scottsbluff$Hybrid HIPS$150N$full$Rep$2$Plot135Row12$Range19$@LH123HT x 3IIH6</t>
  </si>
  <si>
    <t xml:space="preserve">Scottsbluff$Hybrid HIPS$150N$full$Rep$1$Plot155Row13$Range10$@LH185 x LH82</t>
  </si>
  <si>
    <t xml:space="preserve">Scottsbluff$Hybrid HIPS$150N$full$Rep$1$Plot215Row15$Range12$@LH185 x LH145</t>
  </si>
  <si>
    <t xml:space="preserve">Scottsbluff$Hybrid HIPS$150N$full$Rep$2$Plot218Row15$Range15$@filler</t>
  </si>
  <si>
    <t xml:space="preserve">Aborted Kernels, Fungus &amp; uneven rows</t>
  </si>
  <si>
    <t xml:space="preserve">Scottsbluff$Hybrid HIPS$150N$full$Rep$2$Plot134Row12$Range18$@WF9 x H95</t>
  </si>
  <si>
    <t xml:space="preserve">Scottsbluff$Hybrid HIPS$150N$full$Rep$2$Plot142Row12$Range26$@PHP02 x PHJ89</t>
  </si>
  <si>
    <t xml:space="preserve">Scottsbluff$Hybrid HIPS$150N$full$Rep$2$Plot138Row12$Range22$@LH195 x 3IIH6</t>
  </si>
  <si>
    <t xml:space="preserve">Scottsbluff$Hybrid HIPS$150N$full$Rep$2$Plot137Row12$Range21$@PHP02 x LH185</t>
  </si>
  <si>
    <t xml:space="preserve">Scottsbluff$Hybrid HIPS$150N$full$Rep$1$Plot152Row13$Range7$@PHG39 x PHM49</t>
  </si>
  <si>
    <t xml:space="preserve">Scottsbluff$Hybrid HIPS$150N$full$Rep$2$Plot136Row12$Range20$@LH198 x PHZ51</t>
  </si>
  <si>
    <t xml:space="preserve">Scottsbluff$Hybrid HIPS$150N$full$Rep$2$Plot107Row11$Range20$@F42 x OH43</t>
  </si>
  <si>
    <t xml:space="preserve">Scottsbluff$Hybrid HIPS$150N$full$Rep$2$Plot114Row11$Range27$@PHP02 x PHN46</t>
  </si>
  <si>
    <t xml:space="preserve">Scottsbluff$Hybrid HIPS$150N$full$Rep$2$Plot145Row12$Range29$@PHK76 x 3IIH6</t>
  </si>
  <si>
    <t xml:space="preserve">Scottsbluff$Hybrid HIPS$150N$full$Rep$2$Plot106Row11$Range19$@PHB47 x PHK56</t>
  </si>
  <si>
    <t xml:space="preserve">Scottsbluff$Hybrid HIPS$150N$full$Rep$2$Plot50Row9$Range21$@PHN46 x W606S</t>
  </si>
  <si>
    <t xml:space="preserve">Scottsbluff$Hybrid HIPS$150N$full$Rep$2$Plot113Row11$Range26$@PHN46 x PHB47</t>
  </si>
  <si>
    <t xml:space="preserve">SG</t>
  </si>
  <si>
    <t xml:space="preserve">Scottsbluff$Hybrid HIPS$150N$full$Rep$1$Plot30Row9$Range1$@B37 x Mo17</t>
  </si>
  <si>
    <t xml:space="preserve">Scottsbluff$Hybrid HIPS$150N$full$Rep$2$Plot103Row11$Range16$@PHP02 x PHK76</t>
  </si>
  <si>
    <t xml:space="preserve">Scottsbluff$Hybrid HIPS$150N$full$Rep$2$Plot105Row11$Range18$@Syngenta NK0659-3120-EZ1</t>
  </si>
  <si>
    <t xml:space="preserve">Scottsbluff$Hybrid HIPS$150N$full$Rep$2$Plot161Row13$Range16$@PHW52 x PHN82</t>
  </si>
  <si>
    <t xml:space="preserve">Scottsbluff$Hybrid HIPS$150N$full$Rep$2$Plot139Row12$Range23$@PHK56 x LH198</t>
  </si>
  <si>
    <t xml:space="preserve">Scottsbluff$Hybrid HIPS$150N$full$Rep$2$Plot110Row11$Range23$@LH195 x LH123HT</t>
  </si>
  <si>
    <t xml:space="preserve">Scottsbluff$Hybrid HIPS$150N$full$Rep$2$Plot111Row11$Range24$@B37 x OH43</t>
  </si>
  <si>
    <t xml:space="preserve">Scottsbluff$Hybrid HIPS$150N$full$Rep$2$Plot141Row12$Range25$@2369 x PHN82</t>
  </si>
  <si>
    <t xml:space="preserve">Scottsbluff$Hybrid HIPS$150N$full$Rep$1$Plot42Row9$Range13$@PHP02 x PHG47</t>
  </si>
  <si>
    <t xml:space="preserve">Scottsbluff$Hybrid HIPS$150N$full$Rep$1$Plot33Row9$Range4$@F42 x Mo17</t>
  </si>
  <si>
    <t xml:space="preserve"> Scottsbluff$Hybrid HIPS$150N$full$Rep$2$Plot58Row9$Range29$@PHK56 x 3IIH6</t>
  </si>
  <si>
    <t xml:space="preserve">Scottsbluff$Hybrid HIPS$150N$full$Rep$2$Plot132Row12$Range16$@PHP02 x PHK56</t>
  </si>
  <si>
    <t xml:space="preserve">Scottsbluff$Hybrid HIPS$150N$full$Rep$1$Plot40Row9$Range11$@PHP02 x LH185</t>
  </si>
  <si>
    <t xml:space="preserve">Scottsbluff$Hybrid HIPS$150N$full$Rep$1$Plot31Row9$Range2$@B37 x H95</t>
  </si>
  <si>
    <t xml:space="preserve">sCOTTSBLUFF$hYBRID hips$150n$FULL$rEP$1$pLOT34rOW9$rANGE5$@phw52 X phz51</t>
  </si>
  <si>
    <t xml:space="preserve">sCOTTSBLUFF$hYBRID hips$150n$FULL$rEP$1$pLOT36rOW9$rANGE7$@SOLAR PANEL</t>
  </si>
  <si>
    <t xml:space="preserve">Scottsbluff$Hybrid HIPS$150N$full$Rep$1$Plot38Row9$Range9$@B14A x Mo17</t>
  </si>
  <si>
    <t xml:space="preserve">Scottsbluff$Hybrid HIPS$150N$full$Rep$2$Plot54Row9$Range25$@2369 x 3IIH6</t>
  </si>
  <si>
    <t xml:space="preserve">Scottsbluff$Hybrid HIPS$150N$full$Rep$2$Plot47Row9$Range18$@N209 x 3IIH6</t>
  </si>
  <si>
    <t xml:space="preserve">Scottsbluff$Hybrid HIPS$150N$full$Rep$1$Plot43Row9$Range14$@PHK76 x 3IIH6</t>
  </si>
  <si>
    <t xml:space="preserve">Scottsbluff$Hybrid HIPS$150N$full$Rep$2$Plot44Row9$Range15$@PHP02 x PHG47</t>
  </si>
  <si>
    <t xml:space="preserve">Scottsbluff$Hybrid HIPS$150N$full$Rep$2$Plot140Row12$Range24$@2369 x PHZ51</t>
  </si>
  <si>
    <t xml:space="preserve">Scottsbluff$Hybrid HIPS$150N$full$Rep$2$Plot53Row9$Range24$@LH198 x PHB47</t>
  </si>
  <si>
    <t xml:space="preserve">Scottsbluff$Hybrid HIPS$150N$full$Rep$2$Plot56Row9$Range27$@PHB47 x LH185</t>
  </si>
  <si>
    <t xml:space="preserve">Poor seed set, uneven rows</t>
  </si>
  <si>
    <t xml:space="preserve">Aborted Kernels, Fungus, Uneven rows</t>
  </si>
  <si>
    <t xml:space="preserve">Scottsbluff$Hybrid HIPS$150N$full$Rep$2$Plot46Row9$Range17$@PHW52 x LH185</t>
  </si>
  <si>
    <t xml:space="preserve">Scottsbluff$Hybrid HIPS$150N$full$Rep$2$Plot57Row9$Range28$@PHW52 x PHZ51</t>
  </si>
  <si>
    <t xml:space="preserve">Scottsbluff$Hybrid HIPS$150N$full$Rep$2$Plot49Row9$Range20$@PHP02 x LH82</t>
  </si>
  <si>
    <t xml:space="preserve">Scottsbluff$Hybrid HIPS$150N$full$Rep$2$Plot55Row9$Range26$@B37 x H95</t>
  </si>
  <si>
    <t xml:space="preserve">Scottsbluff$Hybrid HIPS$150N$full$Rep$2$Plot104Row11$Range17$@PHK76 x LH82</t>
  </si>
  <si>
    <t xml:space="preserve">Scottsbluff$Hybrid HIPS$150N$full$Rep$2$Plot115Row11$Range28$@PHP02 x W606S</t>
  </si>
  <si>
    <t xml:space="preserve">29..6</t>
  </si>
  <si>
    <t xml:space="preserve">Scottsbluff$Hybrid HIPS$150N$full$Rep$2$Plot109Row11$Range22$@PHG39 x PHM49</t>
  </si>
  <si>
    <t xml:space="preserve">Scottsbluff$Hybrid HIPS$150N$full$Rep$2$Plot51Row9$Range22$@B73 x Mo17</t>
  </si>
  <si>
    <t xml:space="preserve">Is the first box checked on the back of the row band?</t>
  </si>
  <si>
    <t xml:space="preserve">Notes written on Row Band</t>
  </si>
  <si>
    <t xml:space="preserve">JT</t>
  </si>
  <si>
    <t xml:space="preserve">Unsure</t>
  </si>
  <si>
    <t xml:space="preserve">Damaged Kernels, Poor Seed set</t>
  </si>
  <si>
    <t xml:space="preserve">Header</t>
  </si>
  <si>
    <t xml:space="preserve">Plant not completely dry at harvest?</t>
  </si>
  <si>
    <t xml:space="preserve">Description</t>
  </si>
  <si>
    <t xml:space="preserve">ID of person doing the measuring</t>
  </si>
  <si>
    <t xml:space="preserve">ID of the station the measurer is working at</t>
  </si>
  <si>
    <t xml:space="preserve">Information coded in the QR code for the plot being measured</t>
  </si>
  <si>
    <t xml:space="preserve">Whether or not the row band of the plot being measured indicates if the first checkbox was checked or not</t>
  </si>
  <si>
    <t xml:space="preserve">Number of kernels found in the mesh bag not connected to a cob</t>
  </si>
  <si>
    <t xml:space="preserve">Mass of loose kernels in grams</t>
  </si>
  <si>
    <t xml:space="preserve">Refers to specific ears being measured</t>
  </si>
  <si>
    <t xml:space="preserve">Any notes about the contents that the person measuring wants to add</t>
  </si>
  <si>
    <t xml:space="preserve">Width of the ear before shelling at its thickest point (in mm)</t>
  </si>
  <si>
    <t xml:space="preserve">The length of the ear that has consistent kernels present (in mm)</t>
  </si>
  <si>
    <t xml:space="preserve">Number of rows of kernels on the ear. Measurements should be made in approximately the middle of the ear</t>
  </si>
  <si>
    <t xml:space="preserve">Number of kernels along a row from the base of the ear to the top of the ear</t>
  </si>
  <si>
    <t xml:space="preserve">Mass in grams of the ear (kernels are still on the cob)</t>
  </si>
  <si>
    <t xml:space="preserve">Width of the cob AFTER shelling at its thickest point (in mm)</t>
  </si>
  <si>
    <t xml:space="preserve">The length of the cob from base to tip (in mm)</t>
  </si>
  <si>
    <t xml:space="preserve">Mass of the cob (in grams)</t>
  </si>
  <si>
    <t xml:space="preserve">Mass of 100 kernels from this ear (in grams)</t>
  </si>
  <si>
    <t xml:space="preserve">Total number of kernels on this ear</t>
  </si>
  <si>
    <t xml:space="preserve">Color of the kernels</t>
  </si>
  <si>
    <t xml:space="preserve">Expected Input Characteristics</t>
  </si>
  <si>
    <t xml:space="preserve">String, 2 or 3 letters</t>
  </si>
  <si>
    <t xml:space="preserve">String; "Station #"</t>
  </si>
  <si>
    <t xml:space="preserve">String</t>
  </si>
  <si>
    <t xml:space="preserve">3 - 148</t>
  </si>
  <si>
    <t xml:space="preserve">1 - 40</t>
  </si>
  <si>
    <t xml:space="preserve">Integer between 1 to 6</t>
  </si>
  <si>
    <t xml:space="preserve">Anything</t>
  </si>
  <si>
    <t xml:space="preserve">4 - 5</t>
  </si>
  <si>
    <t xml:space="preserve">12 - 18</t>
  </si>
  <si>
    <t xml:space="preserve">14 - 18</t>
  </si>
  <si>
    <t xml:space="preserve">26 - 41</t>
  </si>
  <si>
    <t xml:space="preserve">88 - 207</t>
  </si>
  <si>
    <t xml:space="preserve">2 - 3</t>
  </si>
  <si>
    <t xml:space="preserve">14 - 19</t>
  </si>
  <si>
    <t xml:space="preserve">13 - 27</t>
  </si>
  <si>
    <t xml:space="preserve">20 - 33</t>
  </si>
  <si>
    <t xml:space="preserve">334 - 618</t>
  </si>
  <si>
    <t xml:space="preserve">String with a specific character that indicates it came from a QR code</t>
  </si>
  <si>
    <t xml:space="preserve">Can it be standardized?</t>
  </si>
  <si>
    <t xml:space="preserve">Partially</t>
  </si>
  <si>
    <t xml:space="preserve">Restrictions</t>
  </si>
  <si>
    <t xml:space="preserve">No numbers; can't be blank</t>
  </si>
  <si>
    <t xml:space="preserve">Only can select betwen "Station #', where # is 1, 2, or 3</t>
  </si>
  <si>
    <t xml:space="preserve">Must contain $ signs</t>
  </si>
  <si>
    <t xml:space="preserve">Must be an integer; Expected between 3 and 148</t>
  </si>
  <si>
    <t xml:space="preserve">Expected between 1 and 40</t>
  </si>
  <si>
    <t xml:space="preserve">cannot be modified by anyone except techs</t>
  </si>
  <si>
    <t xml:space="preserve">No restrictions</t>
  </si>
  <si>
    <t xml:space="preserve">Minimum value should not be less than 4
Maximum value should not be greater than 5</t>
  </si>
  <si>
    <t xml:space="preserve">Minimum value should not be less than 12
Maximum value should not be greater than 18</t>
  </si>
  <si>
    <t xml:space="preserve">Minimum value should not be less than 14
Maximum value should not be greater than 18</t>
  </si>
  <si>
    <t xml:space="preserve">Minimum value should not be less than 26
Maximum value should not be greater than 41</t>
  </si>
  <si>
    <t xml:space="preserve">Minimum value should not be less than 88
Maximum value should not be greater than 207</t>
  </si>
  <si>
    <t xml:space="preserve">Minimum value should not be less than 2
Maximum value should not be greater than 3</t>
  </si>
  <si>
    <t xml:space="preserve">Minimum value should not be less than 14
Maximum value should not be greater than 19</t>
  </si>
  <si>
    <t xml:space="preserve">Minimum value should not be less than 13
Maximum value should not be greater than 27</t>
  </si>
  <si>
    <t xml:space="preserve">Minimum value should not be less than 20
Maximum value should not be greater than 33</t>
  </si>
  <si>
    <t xml:space="preserve">Minimum value should not be less than 334
Maximum value should not be greater than 618</t>
  </si>
  <si>
    <t xml:space="preserve">Only values encoded in the QR code associated with the standard colors are allowed. This includes an "Other" category should a novel color be encountered </t>
  </si>
  <si>
    <t xml:space="preserve">What to do if input violates restrtions</t>
  </si>
  <si>
    <t xml:space="preserve">Block input</t>
  </si>
  <si>
    <t xml:space="preserve">Highlight red</t>
  </si>
  <si>
    <t xml:space="preserve">If less than 3, highlight blue.
If greater than 148, highlight orange.</t>
  </si>
  <si>
    <t xml:space="preserve">If less than 1, highlight blue.
If greater than 40, highlight orange.</t>
  </si>
  <si>
    <t xml:space="preserve">N/A</t>
  </si>
  <si>
    <t xml:space="preserve">If less than 4, highlight blue.
If greater than 5, highlight orange.</t>
  </si>
  <si>
    <t xml:space="preserve">If less than 12, highlight blue.
If greater than 18, highlight orange.</t>
  </si>
  <si>
    <t xml:space="preserve">If less than 14, highlight blue.
If greater than 18, highlight orange.</t>
  </si>
  <si>
    <t xml:space="preserve">If less than 26, highlight blue.
If greater than 41, highlight orange.</t>
  </si>
  <si>
    <t xml:space="preserve">If less than 88, highlight blue.
If greater than 207, highlight orange.</t>
  </si>
  <si>
    <t xml:space="preserve">If less than 2, highlight blue.
If greater than 3, highlight orange.</t>
  </si>
  <si>
    <t xml:space="preserve">If less than 14, highlight blue.
If greater than 19, highlight orange.</t>
  </si>
  <si>
    <t xml:space="preserve">If less than 13, highlight blue.
If greater than 27, highlight orange.</t>
  </si>
  <si>
    <t xml:space="preserve">If less than 20, highlight blue.
If greater than 33, highlight orange.</t>
  </si>
  <si>
    <t xml:space="preserve">If less than 334, highlight blue.
If greater than 618, highlight orange.</t>
  </si>
  <si>
    <t xml:space="preserve">Block input.</t>
  </si>
  <si>
    <t xml:space="preserve">Notes</t>
  </si>
  <si>
    <t xml:space="preserve">Dropdown menu will list common examples that measurers will be encouraged to use</t>
  </si>
  <si>
    <t xml:space="preserve">**These measurements were using the old measuring boards (NOT calipers)</t>
  </si>
  <si>
    <t xml:space="preserve">Need to better define
**These measurements were using the old measuring boards (NOT calipers)</t>
  </si>
  <si>
    <t xml:space="preserve">Missing QR Code</t>
  </si>
</sst>
</file>

<file path=xl/styles.xml><?xml version="1.0" encoding="utf-8"?>
<styleSheet xmlns="http://schemas.openxmlformats.org/spreadsheetml/2006/main">
  <numFmts count="3">
    <numFmt numFmtId="164" formatCode="General"/>
    <numFmt numFmtId="165" formatCode="m/d/yyyy\ h:mm:ss"/>
    <numFmt numFmtId="166" formatCode="General"/>
  </numFmts>
  <fonts count="9">
    <font>
      <sz val="10"/>
      <color rgb="FF000000"/>
      <name val="Arial"/>
      <family val="0"/>
      <charset val="1"/>
    </font>
    <font>
      <sz val="10"/>
      <name val="Arial"/>
      <family val="0"/>
    </font>
    <font>
      <sz val="10"/>
      <name val="Arial"/>
      <family val="0"/>
    </font>
    <font>
      <sz val="10"/>
      <name val="Arial"/>
      <family val="0"/>
    </font>
    <font>
      <b val="true"/>
      <sz val="9"/>
      <color rgb="FF000000"/>
      <name val="Arial"/>
      <family val="0"/>
      <charset val="1"/>
    </font>
    <font>
      <sz val="11"/>
      <color rgb="FF000000"/>
      <name val="Arial"/>
      <family val="0"/>
      <charset val="1"/>
    </font>
    <font>
      <sz val="9"/>
      <color rgb="FF000000"/>
      <name val="Arial"/>
      <family val="0"/>
      <charset val="1"/>
    </font>
    <font>
      <b val="true"/>
      <sz val="11"/>
      <color rgb="FF000000"/>
      <name val="Arial"/>
      <family val="0"/>
      <charset val="1"/>
    </font>
    <font>
      <sz val="9"/>
      <color rgb="FF000000"/>
      <name val="&quot;Google Sans Mono&quot;"/>
      <family val="0"/>
      <charset val="1"/>
    </font>
  </fonts>
  <fills count="8">
    <fill>
      <patternFill patternType="none"/>
    </fill>
    <fill>
      <patternFill patternType="gray125"/>
    </fill>
    <fill>
      <patternFill patternType="solid">
        <fgColor rgb="FFF5E871"/>
        <bgColor rgb="FFFFCC99"/>
      </patternFill>
    </fill>
    <fill>
      <patternFill patternType="solid">
        <fgColor rgb="FF97DAF7"/>
        <bgColor rgb="FFB7E1CD"/>
      </patternFill>
    </fill>
    <fill>
      <patternFill patternType="solid">
        <fgColor rgb="FFFF00FF"/>
        <bgColor rgb="FFFF00FF"/>
      </patternFill>
    </fill>
    <fill>
      <patternFill patternType="solid">
        <fgColor rgb="FFEFEFEF"/>
        <bgColor rgb="FFFFFFFF"/>
      </patternFill>
    </fill>
    <fill>
      <patternFill patternType="solid">
        <fgColor rgb="FFFFFFFF"/>
        <bgColor rgb="FFEFEFEF"/>
      </patternFill>
    </fill>
    <fill>
      <patternFill patternType="solid">
        <fgColor rgb="FFE06666"/>
        <bgColor rgb="FFFF6600"/>
      </patternFill>
    </fill>
  </fills>
  <borders count="15">
    <border diagonalUp="false" diagonalDown="false">
      <left/>
      <right/>
      <top/>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thick"/>
      <right style="thin"/>
      <top style="thick"/>
      <bottom style="thick"/>
      <diagonal/>
    </border>
    <border diagonalUp="false" diagonalDown="false">
      <left style="thin"/>
      <right style="thin"/>
      <top style="thick"/>
      <bottom style="thick"/>
      <diagonal/>
    </border>
    <border diagonalUp="false" diagonalDown="false">
      <left style="thin"/>
      <right style="thin"/>
      <top style="thick"/>
      <bottom style="thin"/>
      <diagonal/>
    </border>
    <border diagonalUp="false" diagonalDown="false">
      <left style="thin"/>
      <right style="thick"/>
      <top style="thick"/>
      <bottom style="thin"/>
      <diagonal/>
    </border>
    <border diagonalUp="false" diagonalDown="false">
      <left style="thin"/>
      <right style="thin"/>
      <top style="thin"/>
      <bottom style="thin"/>
      <diagonal/>
    </border>
    <border diagonalUp="false" diagonalDown="false">
      <left style="thin"/>
      <right style="thick"/>
      <top style="thin"/>
      <bottom style="thin"/>
      <diagonal/>
    </border>
    <border diagonalUp="false" diagonalDown="false">
      <left style="thin"/>
      <right style="thin"/>
      <top style="thin"/>
      <bottom style="thick"/>
      <diagonal/>
    </border>
    <border diagonalUp="false" diagonalDown="false">
      <left style="thin"/>
      <right style="thick"/>
      <top style="thin"/>
      <bottom style="thick"/>
      <diagonal/>
    </border>
    <border diagonalUp="false" diagonalDown="false">
      <left/>
      <right style="thin"/>
      <top style="thin"/>
      <bottom style="thin"/>
      <diagonal/>
    </border>
    <border diagonalUp="false" diagonalDown="false">
      <left/>
      <right/>
      <top style="thin"/>
      <bottom/>
      <diagonal/>
    </border>
    <border diagonalUp="false" diagonalDown="false">
      <left/>
      <right/>
      <top/>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4" fillId="2" borderId="2" xfId="0" applyFont="true" applyBorder="true" applyAlignment="true" applyProtection="true">
      <alignment horizontal="center" vertical="center" textRotation="0" wrapText="true" indent="0" shrinkToFit="false"/>
      <protection locked="true" hidden="false"/>
    </xf>
    <xf numFmtId="164" fontId="4" fillId="3" borderId="2" xfId="0" applyFont="true" applyBorder="true" applyAlignment="true" applyProtection="true">
      <alignment horizontal="center" vertical="center" textRotation="0" wrapText="true" indent="0" shrinkToFit="false"/>
      <protection locked="true" hidden="false"/>
    </xf>
    <xf numFmtId="164" fontId="4" fillId="3" borderId="2" xfId="0" applyFont="true" applyBorder="true" applyAlignment="true" applyProtection="true">
      <alignment horizontal="left" vertical="center" textRotation="0" wrapText="true" indent="0" shrinkToFit="false"/>
      <protection locked="true" hidden="false"/>
    </xf>
    <xf numFmtId="164" fontId="4" fillId="4" borderId="0" xfId="0" applyFont="true" applyBorder="false" applyAlignment="true" applyProtection="true">
      <alignment horizontal="left" vertical="center" textRotation="0" wrapText="true" indent="0" shrinkToFit="false"/>
      <protection locked="true" hidden="false"/>
    </xf>
    <xf numFmtId="164" fontId="4" fillId="5" borderId="0" xfId="0" applyFont="true" applyBorder="false" applyAlignment="true" applyProtection="true">
      <alignment horizontal="left" vertical="center" textRotation="0" wrapText="true" indent="0" shrinkToFit="false"/>
      <protection locked="true" hidden="false"/>
    </xf>
    <xf numFmtId="165" fontId="4" fillId="5" borderId="0" xfId="0" applyFont="true" applyBorder="false" applyAlignment="true" applyProtection="true">
      <alignment horizontal="left" vertical="center" textRotation="0" wrapText="true" indent="0" shrinkToFit="false"/>
      <protection locked="true" hidden="false"/>
    </xf>
    <xf numFmtId="164" fontId="5" fillId="0" borderId="3" xfId="0" applyFont="true" applyBorder="true" applyAlignment="true" applyProtection="true">
      <alignment horizontal="center" vertical="center" textRotation="0" wrapText="false" indent="0" shrinkToFit="false"/>
      <protection locked="true" hidden="false"/>
    </xf>
    <xf numFmtId="164" fontId="5" fillId="0" borderId="4" xfId="0" applyFont="true" applyBorder="true" applyAlignment="true" applyProtection="true">
      <alignment horizontal="center" vertical="center" textRotation="0" wrapText="false" indent="0" shrinkToFit="false"/>
      <protection locked="true" hidden="false"/>
    </xf>
    <xf numFmtId="164" fontId="5" fillId="0" borderId="4" xfId="0" applyFont="true" applyBorder="true" applyAlignment="true" applyProtection="true">
      <alignment horizontal="left" vertical="top" textRotation="0" wrapText="true" indent="0" shrinkToFit="false"/>
      <protection locked="true" hidden="false"/>
    </xf>
    <xf numFmtId="164" fontId="5" fillId="0" borderId="5" xfId="0" applyFont="true" applyBorder="true" applyAlignment="true" applyProtection="true">
      <alignment horizontal="center" vertical="center" textRotation="0" wrapText="false" indent="0" shrinkToFit="false"/>
      <protection locked="true" hidden="false"/>
    </xf>
    <xf numFmtId="166" fontId="5" fillId="0" borderId="5" xfId="0" applyFont="true" applyBorder="true" applyAlignment="true" applyProtection="true">
      <alignment horizontal="center" vertical="center" textRotation="0" wrapText="false" indent="0" shrinkToFit="false"/>
      <protection locked="true" hidden="false"/>
    </xf>
    <xf numFmtId="164" fontId="5" fillId="0" borderId="6" xfId="0" applyFont="true" applyBorder="true" applyAlignment="true" applyProtection="true">
      <alignment horizontal="left" vertical="center" textRotation="0" wrapText="false" indent="0" shrinkToFit="false"/>
      <protection locked="true" hidden="false"/>
    </xf>
    <xf numFmtId="164" fontId="5" fillId="0" borderId="0" xfId="0" applyFont="true" applyBorder="false" applyAlignment="true" applyProtection="true">
      <alignment horizontal="left" vertical="center" textRotation="0" wrapText="false" indent="0" shrinkToFit="false"/>
      <protection locked="true" hidden="false"/>
    </xf>
    <xf numFmtId="166" fontId="5" fillId="0" borderId="0" xfId="0" applyFont="true" applyBorder="true" applyAlignment="true" applyProtection="true">
      <alignment horizontal="left" vertical="center" textRotation="0" wrapText="false" indent="0" shrinkToFit="false"/>
      <protection locked="true" hidden="false"/>
    </xf>
    <xf numFmtId="165" fontId="5" fillId="0" borderId="0" xfId="0" applyFont="true" applyBorder="true" applyAlignment="true" applyProtection="true">
      <alignment horizontal="left" vertical="center" textRotation="0" wrapText="false" indent="0" shrinkToFit="false"/>
      <protection locked="true" hidden="false"/>
    </xf>
    <xf numFmtId="164" fontId="5" fillId="5" borderId="7" xfId="0" applyFont="true" applyBorder="true" applyAlignment="true" applyProtection="true">
      <alignment horizontal="center" vertical="center" textRotation="0" wrapText="false" indent="0" shrinkToFit="false"/>
      <protection locked="true" hidden="false"/>
    </xf>
    <xf numFmtId="166" fontId="5" fillId="5" borderId="7" xfId="0" applyFont="true" applyBorder="true" applyAlignment="true" applyProtection="true">
      <alignment horizontal="center" vertical="center" textRotation="0" wrapText="false" indent="0" shrinkToFit="false"/>
      <protection locked="true" hidden="false"/>
    </xf>
    <xf numFmtId="164" fontId="5" fillId="5" borderId="8" xfId="0" applyFont="true" applyBorder="true" applyAlignment="true" applyProtection="true">
      <alignment horizontal="left" vertical="center" textRotation="0" wrapText="false" indent="0" shrinkToFit="false"/>
      <protection locked="true" hidden="false"/>
    </xf>
    <xf numFmtId="164" fontId="5" fillId="5" borderId="0" xfId="0" applyFont="true" applyBorder="false" applyAlignment="true" applyProtection="true">
      <alignment horizontal="left" vertical="center" textRotation="0" wrapText="false" indent="0" shrinkToFit="false"/>
      <protection locked="true" hidden="false"/>
    </xf>
    <xf numFmtId="164" fontId="5" fillId="0" borderId="7" xfId="0" applyFont="true" applyBorder="true" applyAlignment="true" applyProtection="true">
      <alignment horizontal="center" vertical="center" textRotation="0" wrapText="false" indent="0" shrinkToFit="false"/>
      <protection locked="true" hidden="false"/>
    </xf>
    <xf numFmtId="166" fontId="5" fillId="0" borderId="7" xfId="0" applyFont="true" applyBorder="true" applyAlignment="true" applyProtection="true">
      <alignment horizontal="center" vertical="center" textRotation="0" wrapText="false" indent="0" shrinkToFit="false"/>
      <protection locked="true" hidden="false"/>
    </xf>
    <xf numFmtId="164" fontId="5" fillId="0" borderId="8" xfId="0" applyFont="true" applyBorder="true" applyAlignment="true" applyProtection="true">
      <alignment horizontal="left" vertical="center" textRotation="0" wrapText="false" indent="0" shrinkToFit="false"/>
      <protection locked="true" hidden="false"/>
    </xf>
    <xf numFmtId="164" fontId="5" fillId="5" borderId="9" xfId="0" applyFont="true" applyBorder="true" applyAlignment="true" applyProtection="true">
      <alignment horizontal="center" vertical="center" textRotation="0" wrapText="false" indent="0" shrinkToFit="false"/>
      <protection locked="true" hidden="false"/>
    </xf>
    <xf numFmtId="166" fontId="5" fillId="5" borderId="9" xfId="0" applyFont="true" applyBorder="true" applyAlignment="true" applyProtection="true">
      <alignment horizontal="center" vertical="center" textRotation="0" wrapText="false" indent="0" shrinkToFit="false"/>
      <protection locked="true" hidden="false"/>
    </xf>
    <xf numFmtId="164" fontId="5" fillId="5" borderId="10" xfId="0" applyFont="true" applyBorder="true" applyAlignment="true" applyProtection="true">
      <alignment horizontal="left" vertical="center" textRotation="0" wrapText="false" indent="0" shrinkToFit="false"/>
      <protection locked="true" hidden="false"/>
    </xf>
    <xf numFmtId="164" fontId="5" fillId="5" borderId="0" xfId="0" applyFont="true" applyBorder="false" applyAlignment="true" applyProtection="true">
      <alignment horizontal="center" vertical="bottom" textRotation="0" wrapText="false" indent="0" shrinkToFit="false"/>
      <protection locked="true" hidden="false"/>
    </xf>
    <xf numFmtId="164" fontId="6" fillId="2" borderId="7" xfId="0" applyFont="true" applyBorder="true" applyAlignment="true" applyProtection="true">
      <alignment horizontal="center" vertical="bottom" textRotation="0" wrapText="true" indent="0" shrinkToFit="false"/>
      <protection locked="true" hidden="false"/>
    </xf>
    <xf numFmtId="164" fontId="6" fillId="2" borderId="11" xfId="0" applyFont="true" applyBorder="true" applyAlignment="true" applyProtection="true">
      <alignment horizontal="center" vertical="bottom" textRotation="0" wrapText="true" indent="0" shrinkToFit="false"/>
      <protection locked="true" hidden="false"/>
    </xf>
    <xf numFmtId="164" fontId="6" fillId="3" borderId="11" xfId="0" applyFont="true" applyBorder="true" applyAlignment="true" applyProtection="true">
      <alignment horizontal="center" vertical="bottom" textRotation="0" wrapText="true" indent="0" shrinkToFit="false"/>
      <protection locked="true" hidden="false"/>
    </xf>
    <xf numFmtId="164" fontId="5" fillId="0" borderId="12"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center" vertical="bottom" textRotation="0" wrapText="true" indent="0" shrinkToFit="false"/>
      <protection locked="true" hidden="false"/>
    </xf>
    <xf numFmtId="164" fontId="5" fillId="0" borderId="14" xfId="0" applyFont="true" applyBorder="true" applyAlignment="true" applyProtection="true">
      <alignment horizontal="general" vertical="bottom" textRotation="0" wrapText="true" indent="0" shrinkToFit="false"/>
      <protection locked="true" hidden="false"/>
    </xf>
    <xf numFmtId="164" fontId="8" fillId="6" borderId="0" xfId="0" applyFont="true" applyBorder="false" applyAlignment="true" applyProtection="true">
      <alignment horizontal="left" vertical="bottom" textRotation="0" wrapText="true" indent="0" shrinkToFit="false"/>
      <protection locked="true" hidden="false"/>
    </xf>
    <xf numFmtId="164" fontId="7" fillId="7"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bgColor rgb="FFB7E1CD"/>
        </patternFill>
      </fill>
    </dxf>
    <dxf>
      <fill>
        <patternFill>
          <bgColor rgb="FFFBBC04"/>
        </patternFill>
      </fill>
    </dxf>
    <dxf>
      <fill>
        <patternFill>
          <bgColor rgb="FFFFFFFF"/>
        </patternFill>
      </fill>
    </dxf>
    <dxf>
      <fill>
        <patternFill>
          <bgColor rgb="FFFBBC04"/>
        </patternFill>
      </fill>
    </dxf>
    <dxf>
      <font>
        <color rgb="FF000000"/>
      </font>
      <fill>
        <patternFill>
          <bgColor rgb="FFFBBC04"/>
        </patternFill>
      </fill>
    </dxf>
    <dxf>
      <fill>
        <patternFill patternType="solid">
          <fgColor rgb="FFF5E871"/>
        </patternFill>
      </fill>
    </dxf>
    <dxf>
      <fill>
        <patternFill patternType="solid">
          <fgColor rgb="00FFFFFF"/>
        </patternFill>
      </fill>
    </dxf>
    <dxf>
      <fill>
        <patternFill patternType="solid">
          <fgColor rgb="FF000000"/>
          <bgColor rgb="FFFFFFFF"/>
        </patternFill>
      </fill>
    </dxf>
    <dxf>
      <fill>
        <patternFill patternType="solid">
          <fgColor rgb="FFFBBC04"/>
        </patternFill>
      </fill>
    </dxf>
    <dxf>
      <fill>
        <patternFill patternType="solid">
          <fgColor rgb="FFEFEFEF"/>
        </patternFill>
      </fill>
    </dxf>
    <dxf>
      <fill>
        <patternFill patternType="solid">
          <fgColor rgb="FF97DAF7"/>
        </patternFill>
      </fill>
    </dxf>
    <dxf>
      <fill>
        <patternFill patternType="solid">
          <fgColor rgb="FFFF00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FEFEF"/>
      <rgbColor rgb="FFCCFFFF"/>
      <rgbColor rgb="FF660066"/>
      <rgbColor rgb="FFE06666"/>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5E871"/>
      <rgbColor rgb="FF97DAF7"/>
      <rgbColor rgb="FFFF99CC"/>
      <rgbColor rgb="FFCC99FF"/>
      <rgbColor rgb="FFFFCC99"/>
      <rgbColor rgb="FF3366FF"/>
      <rgbColor rgb="FF33CCCC"/>
      <rgbColor rgb="FF99CC00"/>
      <rgbColor rgb="FFFBBC04"/>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49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737" activePane="bottomLeft" state="frozen"/>
      <selection pane="topLeft" activeCell="A1" activeCellId="0" sqref="A1"/>
      <selection pane="bottomLeft" activeCell="A337" activeCellId="0" sqref="A337"/>
    </sheetView>
  </sheetViews>
  <sheetFormatPr defaultColWidth="12.6328125" defaultRowHeight="15.75" zeroHeight="false" outlineLevelRow="0" outlineLevelCol="0"/>
  <cols>
    <col collapsed="false" customWidth="true" hidden="false" outlineLevel="0" max="3" min="3" style="1" width="19.75"/>
    <col collapsed="false" customWidth="true" hidden="false" outlineLevel="0" max="25" min="24" style="1" width="15.38"/>
  </cols>
  <sheetData>
    <row r="1" customFormat="false" ht="15.75" hidden="false" customHeight="false" outlineLevel="0" collapsed="false">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4" t="s">
        <v>15</v>
      </c>
      <c r="Q1" s="4" t="s">
        <v>16</v>
      </c>
      <c r="R1" s="4" t="s">
        <v>17</v>
      </c>
      <c r="S1" s="4" t="s">
        <v>18</v>
      </c>
      <c r="T1" s="4" t="s">
        <v>19</v>
      </c>
      <c r="U1" s="5" t="s">
        <v>20</v>
      </c>
      <c r="V1" s="6" t="s">
        <v>21</v>
      </c>
      <c r="W1" s="7" t="s">
        <v>22</v>
      </c>
      <c r="X1" s="8" t="s">
        <v>23</v>
      </c>
      <c r="Y1" s="8" t="s">
        <v>24</v>
      </c>
    </row>
    <row r="2" customFormat="false" ht="15.75" hidden="false" customHeight="true" outlineLevel="0" collapsed="false">
      <c r="A2" s="9" t="s">
        <v>25</v>
      </c>
      <c r="B2" s="10" t="s">
        <v>26</v>
      </c>
      <c r="C2" s="11" t="s">
        <v>27</v>
      </c>
      <c r="D2" s="10" t="s">
        <v>28</v>
      </c>
      <c r="E2" s="10" t="s">
        <v>28</v>
      </c>
      <c r="F2" s="10"/>
      <c r="G2" s="10" t="n">
        <v>28</v>
      </c>
      <c r="H2" s="10" t="n">
        <v>3.8</v>
      </c>
      <c r="I2" s="12" t="n">
        <v>1</v>
      </c>
      <c r="J2" s="12"/>
      <c r="K2" s="13" t="n">
        <f aca="false">39.35</f>
        <v>39.35</v>
      </c>
      <c r="L2" s="13" t="n">
        <f aca="false">135.77</f>
        <v>135.77</v>
      </c>
      <c r="M2" s="12" t="n">
        <v>14</v>
      </c>
      <c r="N2" s="12" t="n">
        <v>36</v>
      </c>
      <c r="O2" s="12" t="n">
        <v>104.05</v>
      </c>
      <c r="P2" s="13" t="n">
        <f aca="false">23.46</f>
        <v>23.46</v>
      </c>
      <c r="Q2" s="13" t="n">
        <f aca="false">148.52</f>
        <v>148.52</v>
      </c>
      <c r="R2" s="12" t="n">
        <v>18.8</v>
      </c>
      <c r="S2" s="12" t="n">
        <v>19.2</v>
      </c>
      <c r="T2" s="12" t="n">
        <v>465</v>
      </c>
      <c r="U2" s="14" t="s">
        <v>29</v>
      </c>
      <c r="V2" s="15"/>
      <c r="W2" s="16" t="str">
        <f aca="false">A2</f>
        <v>KL</v>
      </c>
      <c r="X2" s="17" t="e">
        <f aca="false">ifs(C2="","",X2="",NOW(),TRUE(),X2)</f>
        <v>#VALUE!</v>
      </c>
      <c r="Y2" s="17" t="e">
        <f aca="false">ifs(COUNTA(K2:U5)&lt;44,"",Y2="",NOW(),TRUE(),Y2)</f>
        <v>#VALUE!</v>
      </c>
    </row>
    <row r="3" customFormat="false" ht="15.75" hidden="false" customHeight="false" outlineLevel="0" collapsed="false">
      <c r="A3" s="9"/>
      <c r="B3" s="10"/>
      <c r="C3" s="10"/>
      <c r="D3" s="10"/>
      <c r="E3" s="10"/>
      <c r="F3" s="10"/>
      <c r="G3" s="10"/>
      <c r="H3" s="10"/>
      <c r="I3" s="18" t="n">
        <v>2</v>
      </c>
      <c r="J3" s="18"/>
      <c r="K3" s="19" t="n">
        <f aca="false">37.51</f>
        <v>37.51</v>
      </c>
      <c r="L3" s="19" t="n">
        <f aca="false">133.81</f>
        <v>133.81</v>
      </c>
      <c r="M3" s="18" t="n">
        <v>12</v>
      </c>
      <c r="N3" s="18" t="n">
        <v>34</v>
      </c>
      <c r="O3" s="18" t="n">
        <v>104.15</v>
      </c>
      <c r="P3" s="19" t="n">
        <f aca="false">22.6</f>
        <v>22.6</v>
      </c>
      <c r="Q3" s="19" t="n">
        <f aca="false">152.87</f>
        <v>152.87</v>
      </c>
      <c r="R3" s="18" t="n">
        <v>15.45</v>
      </c>
      <c r="S3" s="18" t="n">
        <v>21.45</v>
      </c>
      <c r="T3" s="18" t="n">
        <v>427</v>
      </c>
      <c r="U3" s="20" t="s">
        <v>29</v>
      </c>
      <c r="V3" s="21"/>
      <c r="W3" s="16"/>
      <c r="X3" s="16"/>
      <c r="Y3" s="16"/>
    </row>
    <row r="4" customFormat="false" ht="15.75" hidden="false" customHeight="false" outlineLevel="0" collapsed="false">
      <c r="A4" s="9"/>
      <c r="B4" s="10"/>
      <c r="C4" s="10"/>
      <c r="D4" s="10"/>
      <c r="E4" s="10"/>
      <c r="F4" s="10"/>
      <c r="G4" s="10"/>
      <c r="H4" s="10"/>
      <c r="I4" s="22" t="n">
        <v>3</v>
      </c>
      <c r="J4" s="22"/>
      <c r="K4" s="23" t="n">
        <f aca="false">40.09</f>
        <v>40.09</v>
      </c>
      <c r="L4" s="23" t="n">
        <f aca="false">135.05</f>
        <v>135.05</v>
      </c>
      <c r="M4" s="22" t="n">
        <v>14</v>
      </c>
      <c r="N4" s="22" t="n">
        <v>34</v>
      </c>
      <c r="O4" s="22" t="n">
        <v>111.5</v>
      </c>
      <c r="P4" s="23" t="n">
        <f aca="false">25.29</f>
        <v>25.29</v>
      </c>
      <c r="Q4" s="23" t="n">
        <f aca="false">153.19</f>
        <v>153.19</v>
      </c>
      <c r="R4" s="22" t="n">
        <v>17.85</v>
      </c>
      <c r="S4" s="22" t="n">
        <v>22.9</v>
      </c>
      <c r="T4" s="22" t="n">
        <v>422</v>
      </c>
      <c r="U4" s="24" t="s">
        <v>29</v>
      </c>
      <c r="V4" s="15"/>
      <c r="W4" s="16"/>
      <c r="X4" s="16"/>
      <c r="Y4" s="16"/>
    </row>
    <row r="5" customFormat="false" ht="15.75" hidden="false" customHeight="false" outlineLevel="0" collapsed="false">
      <c r="A5" s="9"/>
      <c r="B5" s="10"/>
      <c r="C5" s="10"/>
      <c r="D5" s="10"/>
      <c r="E5" s="10"/>
      <c r="F5" s="10"/>
      <c r="G5" s="10"/>
      <c r="H5" s="10"/>
      <c r="I5" s="25" t="n">
        <v>4</v>
      </c>
      <c r="J5" s="25"/>
      <c r="K5" s="26" t="n">
        <f aca="false">37.29</f>
        <v>37.29</v>
      </c>
      <c r="L5" s="26" t="n">
        <f aca="false">113.85</f>
        <v>113.85</v>
      </c>
      <c r="M5" s="25" t="n">
        <v>14</v>
      </c>
      <c r="N5" s="25" t="n">
        <v>32</v>
      </c>
      <c r="O5" s="25" t="n">
        <v>64.4</v>
      </c>
      <c r="P5" s="26" t="n">
        <f aca="false">21.68</f>
        <v>21.68</v>
      </c>
      <c r="Q5" s="26" t="n">
        <f aca="false">124.91</f>
        <v>124.91</v>
      </c>
      <c r="R5" s="25" t="n">
        <v>10.75</v>
      </c>
      <c r="S5" s="25" t="n">
        <v>15.5</v>
      </c>
      <c r="T5" s="25" t="n">
        <v>345</v>
      </c>
      <c r="U5" s="27" t="s">
        <v>29</v>
      </c>
      <c r="V5" s="21"/>
      <c r="W5" s="16"/>
      <c r="X5" s="16"/>
      <c r="Y5" s="16"/>
    </row>
    <row r="6" customFormat="false" ht="15.75" hidden="false" customHeight="true" outlineLevel="0" collapsed="false">
      <c r="A6" s="9" t="s">
        <v>25</v>
      </c>
      <c r="B6" s="10" t="s">
        <v>26</v>
      </c>
      <c r="C6" s="11" t="s">
        <v>30</v>
      </c>
      <c r="D6" s="10" t="s">
        <v>28</v>
      </c>
      <c r="E6" s="10" t="s">
        <v>28</v>
      </c>
      <c r="F6" s="10"/>
      <c r="G6" s="10" t="n">
        <v>2</v>
      </c>
      <c r="H6" s="10" t="n">
        <v>0.45</v>
      </c>
      <c r="I6" s="12" t="n">
        <v>1</v>
      </c>
      <c r="J6" s="12"/>
      <c r="K6" s="13" t="n">
        <f aca="false">42.08</f>
        <v>42.08</v>
      </c>
      <c r="L6" s="13" t="n">
        <f aca="false">158.97</f>
        <v>158.97</v>
      </c>
      <c r="M6" s="12" t="n">
        <v>14</v>
      </c>
      <c r="N6" s="12" t="n">
        <v>34</v>
      </c>
      <c r="O6" s="12" t="n">
        <v>139.7</v>
      </c>
      <c r="P6" s="13" t="n">
        <f aca="false">25.79</f>
        <v>25.79</v>
      </c>
      <c r="Q6" s="13" t="n">
        <f aca="false">177.81</f>
        <v>177.81</v>
      </c>
      <c r="R6" s="12" t="n">
        <v>21.15</v>
      </c>
      <c r="S6" s="12" t="n">
        <v>23.9</v>
      </c>
      <c r="T6" s="12" t="n">
        <v>492</v>
      </c>
      <c r="U6" s="14" t="s">
        <v>29</v>
      </c>
      <c r="V6" s="15"/>
      <c r="W6" s="16" t="str">
        <f aca="false">A6</f>
        <v>KL</v>
      </c>
      <c r="X6" s="17" t="e">
        <f aca="false">ifs(C6="","",X6="",NOW(),TRUE(),X6)</f>
        <v>#VALUE!</v>
      </c>
      <c r="Y6" s="17" t="e">
        <f aca="false">ifs(COUNTA(K6:U9)&lt;44,"",Y6="",NOW(),TRUE(),Y6)</f>
        <v>#VALUE!</v>
      </c>
    </row>
    <row r="7" customFormat="false" ht="15.75" hidden="false" customHeight="false" outlineLevel="0" collapsed="false">
      <c r="A7" s="9"/>
      <c r="B7" s="10"/>
      <c r="C7" s="10"/>
      <c r="D7" s="10"/>
      <c r="E7" s="10"/>
      <c r="F7" s="10"/>
      <c r="G7" s="10"/>
      <c r="H7" s="10"/>
      <c r="I7" s="18" t="n">
        <v>2</v>
      </c>
      <c r="J7" s="18"/>
      <c r="K7" s="19" t="n">
        <f aca="false">41.22</f>
        <v>41.22</v>
      </c>
      <c r="L7" s="19" t="n">
        <f aca="false">146.13</f>
        <v>146.13</v>
      </c>
      <c r="M7" s="18" t="n">
        <v>14</v>
      </c>
      <c r="N7" s="18" t="n">
        <v>36</v>
      </c>
      <c r="O7" s="18" t="n">
        <v>119.35</v>
      </c>
      <c r="P7" s="19" t="n">
        <f aca="false">25.54</f>
        <v>25.54</v>
      </c>
      <c r="Q7" s="19" t="n">
        <f aca="false">174.59</f>
        <v>174.59</v>
      </c>
      <c r="R7" s="18" t="n">
        <v>18.9</v>
      </c>
      <c r="S7" s="18" t="n">
        <v>18.65</v>
      </c>
      <c r="T7" s="18" t="n">
        <v>516</v>
      </c>
      <c r="U7" s="20" t="s">
        <v>29</v>
      </c>
      <c r="V7" s="21"/>
      <c r="W7" s="16"/>
      <c r="X7" s="16"/>
      <c r="Y7" s="16"/>
    </row>
    <row r="8" customFormat="false" ht="15.75" hidden="false" customHeight="false" outlineLevel="0" collapsed="false">
      <c r="A8" s="9"/>
      <c r="B8" s="10"/>
      <c r="C8" s="10"/>
      <c r="D8" s="10"/>
      <c r="E8" s="10"/>
      <c r="F8" s="10"/>
      <c r="G8" s="10"/>
      <c r="H8" s="10"/>
      <c r="I8" s="22" t="n">
        <v>3</v>
      </c>
      <c r="J8" s="22"/>
      <c r="K8" s="23" t="n">
        <f aca="false">41.34</f>
        <v>41.34</v>
      </c>
      <c r="L8" s="23" t="n">
        <f aca="false">139.33</f>
        <v>139.33</v>
      </c>
      <c r="M8" s="22" t="n">
        <v>12</v>
      </c>
      <c r="N8" s="22" t="n">
        <v>36</v>
      </c>
      <c r="O8" s="22" t="n">
        <v>122.4</v>
      </c>
      <c r="P8" s="23" t="n">
        <f aca="false">24.48</f>
        <v>24.48</v>
      </c>
      <c r="Q8" s="23" t="n">
        <f aca="false">165.85</f>
        <v>165.85</v>
      </c>
      <c r="R8" s="22" t="n">
        <v>17</v>
      </c>
      <c r="S8" s="22" t="n">
        <v>24.75</v>
      </c>
      <c r="T8" s="22" t="n">
        <v>434</v>
      </c>
      <c r="U8" s="24" t="s">
        <v>29</v>
      </c>
      <c r="V8" s="15"/>
      <c r="W8" s="16"/>
      <c r="X8" s="16"/>
      <c r="Y8" s="16"/>
    </row>
    <row r="9" customFormat="false" ht="15.75" hidden="false" customHeight="false" outlineLevel="0" collapsed="false">
      <c r="A9" s="9"/>
      <c r="B9" s="10"/>
      <c r="C9" s="10"/>
      <c r="D9" s="10"/>
      <c r="E9" s="10"/>
      <c r="F9" s="10"/>
      <c r="G9" s="10"/>
      <c r="H9" s="10"/>
      <c r="I9" s="25" t="n">
        <v>4</v>
      </c>
      <c r="J9" s="25"/>
      <c r="K9" s="26" t="n">
        <f aca="false">41.69</f>
        <v>41.69</v>
      </c>
      <c r="L9" s="26" t="n">
        <f aca="false">132.4</f>
        <v>132.4</v>
      </c>
      <c r="M9" s="25" t="n">
        <v>14</v>
      </c>
      <c r="N9" s="25" t="n">
        <v>36</v>
      </c>
      <c r="O9" s="25" t="n">
        <v>135.95</v>
      </c>
      <c r="P9" s="26" t="n">
        <f aca="false">24.11</f>
        <v>24.11</v>
      </c>
      <c r="Q9" s="26" t="n">
        <f aca="false">162.39</f>
        <v>162.39</v>
      </c>
      <c r="R9" s="25" t="n">
        <v>18.05</v>
      </c>
      <c r="S9" s="25" t="n">
        <v>24.45</v>
      </c>
      <c r="T9" s="25" t="n">
        <v>495</v>
      </c>
      <c r="U9" s="27" t="s">
        <v>29</v>
      </c>
      <c r="V9" s="21"/>
      <c r="W9" s="16"/>
      <c r="X9" s="16"/>
      <c r="Y9" s="16"/>
    </row>
    <row r="10" customFormat="false" ht="15.75" hidden="false" customHeight="true" outlineLevel="0" collapsed="false">
      <c r="A10" s="9" t="s">
        <v>25</v>
      </c>
      <c r="B10" s="10" t="s">
        <v>26</v>
      </c>
      <c r="C10" s="11" t="s">
        <v>31</v>
      </c>
      <c r="D10" s="10" t="s">
        <v>28</v>
      </c>
      <c r="E10" s="10" t="s">
        <v>28</v>
      </c>
      <c r="F10" s="10"/>
      <c r="G10" s="10" t="n">
        <v>63</v>
      </c>
      <c r="H10" s="10" t="n">
        <v>13.35</v>
      </c>
      <c r="I10" s="12" t="n">
        <v>1</v>
      </c>
      <c r="J10" s="12"/>
      <c r="K10" s="13" t="n">
        <f aca="false">43.1</f>
        <v>43.1</v>
      </c>
      <c r="L10" s="13" t="n">
        <f aca="false">139.64</f>
        <v>139.64</v>
      </c>
      <c r="M10" s="12" t="n">
        <v>14</v>
      </c>
      <c r="N10" s="12" t="n">
        <v>32</v>
      </c>
      <c r="O10" s="12" t="n">
        <v>121.2</v>
      </c>
      <c r="P10" s="13" t="n">
        <f aca="false">27.84</f>
        <v>27.84</v>
      </c>
      <c r="Q10" s="13" t="n">
        <f aca="false">159.26</f>
        <v>159.26</v>
      </c>
      <c r="R10" s="12" t="n">
        <v>17.25</v>
      </c>
      <c r="S10" s="12" t="n">
        <v>23.8</v>
      </c>
      <c r="T10" s="12" t="n">
        <v>440</v>
      </c>
      <c r="U10" s="14" t="s">
        <v>32</v>
      </c>
      <c r="V10" s="15"/>
      <c r="W10" s="16" t="str">
        <f aca="false">A10</f>
        <v>KL</v>
      </c>
      <c r="X10" s="17" t="e">
        <f aca="false">ifs(C10="","",X10="",NOW(),TRUE(),X10)</f>
        <v>#VALUE!</v>
      </c>
      <c r="Y10" s="17" t="e">
        <f aca="false">ifs(COUNTA(K10:U13)&lt;44,"",Y10="",NOW(),TRUE(),Y10)</f>
        <v>#VALUE!</v>
      </c>
    </row>
    <row r="11" customFormat="false" ht="15.75" hidden="false" customHeight="false" outlineLevel="0" collapsed="false">
      <c r="A11" s="9"/>
      <c r="B11" s="10"/>
      <c r="C11" s="10"/>
      <c r="D11" s="10"/>
      <c r="E11" s="10"/>
      <c r="F11" s="10"/>
      <c r="G11" s="10"/>
      <c r="H11" s="10"/>
      <c r="I11" s="18" t="n">
        <v>2</v>
      </c>
      <c r="J11" s="18"/>
      <c r="K11" s="19" t="n">
        <f aca="false">42.84</f>
        <v>42.84</v>
      </c>
      <c r="L11" s="19" t="n">
        <f aca="false">144.03</f>
        <v>144.03</v>
      </c>
      <c r="M11" s="18" t="n">
        <v>16</v>
      </c>
      <c r="N11" s="18" t="n">
        <v>32</v>
      </c>
      <c r="O11" s="18" t="n">
        <v>123.75</v>
      </c>
      <c r="P11" s="19" t="n">
        <f aca="false">27.96</f>
        <v>27.96</v>
      </c>
      <c r="Q11" s="19" t="n">
        <f aca="false">158.87</f>
        <v>158.87</v>
      </c>
      <c r="R11" s="18" t="n">
        <v>15.9</v>
      </c>
      <c r="S11" s="18" t="n">
        <v>24.25</v>
      </c>
      <c r="T11" s="18" t="n">
        <v>450</v>
      </c>
      <c r="U11" s="20" t="s">
        <v>32</v>
      </c>
      <c r="V11" s="21"/>
      <c r="W11" s="16"/>
      <c r="X11" s="16"/>
      <c r="Y11" s="16"/>
    </row>
    <row r="12" customFormat="false" ht="15.75" hidden="false" customHeight="false" outlineLevel="0" collapsed="false">
      <c r="A12" s="9"/>
      <c r="B12" s="10"/>
      <c r="C12" s="10"/>
      <c r="D12" s="10"/>
      <c r="E12" s="10"/>
      <c r="F12" s="10"/>
      <c r="G12" s="10"/>
      <c r="H12" s="10"/>
      <c r="I12" s="22" t="n">
        <v>3</v>
      </c>
      <c r="J12" s="22"/>
      <c r="K12" s="23" t="n">
        <f aca="false">43.74</f>
        <v>43.74</v>
      </c>
      <c r="L12" s="23" t="n">
        <f aca="false">142.05</f>
        <v>142.05</v>
      </c>
      <c r="M12" s="22" t="n">
        <v>16</v>
      </c>
      <c r="N12" s="22" t="n">
        <v>32</v>
      </c>
      <c r="O12" s="22" t="n">
        <v>129.2</v>
      </c>
      <c r="P12" s="23" t="n">
        <f aca="false">29</f>
        <v>29</v>
      </c>
      <c r="Q12" s="23" t="n">
        <f aca="false">172.29</f>
        <v>172.29</v>
      </c>
      <c r="R12" s="22" t="n">
        <v>17.5</v>
      </c>
      <c r="S12" s="22" t="n">
        <v>23.7</v>
      </c>
      <c r="T12" s="22" t="n">
        <v>491</v>
      </c>
      <c r="U12" s="24" t="s">
        <v>32</v>
      </c>
      <c r="V12" s="15"/>
      <c r="W12" s="16"/>
      <c r="X12" s="16"/>
      <c r="Y12" s="16"/>
    </row>
    <row r="13" customFormat="false" ht="15.75" hidden="false" customHeight="false" outlineLevel="0" collapsed="false">
      <c r="A13" s="9"/>
      <c r="B13" s="10"/>
      <c r="C13" s="10"/>
      <c r="D13" s="10"/>
      <c r="E13" s="10"/>
      <c r="F13" s="10"/>
      <c r="G13" s="10"/>
      <c r="H13" s="10"/>
      <c r="I13" s="25" t="n">
        <v>4</v>
      </c>
      <c r="J13" s="25" t="s">
        <v>33</v>
      </c>
      <c r="K13" s="26" t="n">
        <f aca="false">43.21</f>
        <v>43.21</v>
      </c>
      <c r="L13" s="26" t="n">
        <f aca="false">121.84</f>
        <v>121.84</v>
      </c>
      <c r="M13" s="25" t="n">
        <v>18</v>
      </c>
      <c r="N13" s="25" t="n">
        <v>26</v>
      </c>
      <c r="O13" s="25" t="n">
        <v>96.2</v>
      </c>
      <c r="P13" s="26" t="n">
        <f aca="false">27.96</f>
        <v>27.96</v>
      </c>
      <c r="Q13" s="26" t="n">
        <f aca="false">139.86</f>
        <v>139.86</v>
      </c>
      <c r="R13" s="25" t="n">
        <v>11.1</v>
      </c>
      <c r="S13" s="25" t="n">
        <v>20.5</v>
      </c>
      <c r="T13" s="25" t="n">
        <v>412</v>
      </c>
      <c r="U13" s="27" t="s">
        <v>32</v>
      </c>
      <c r="V13" s="21"/>
      <c r="W13" s="16"/>
      <c r="X13" s="16"/>
      <c r="Y13" s="16"/>
    </row>
    <row r="14" customFormat="false" ht="15.75" hidden="false" customHeight="true" outlineLevel="0" collapsed="false">
      <c r="A14" s="9" t="s">
        <v>25</v>
      </c>
      <c r="B14" s="10" t="s">
        <v>26</v>
      </c>
      <c r="C14" s="11" t="s">
        <v>34</v>
      </c>
      <c r="D14" s="10" t="s">
        <v>28</v>
      </c>
      <c r="E14" s="10" t="s">
        <v>28</v>
      </c>
      <c r="F14" s="10"/>
      <c r="G14" s="10" t="n">
        <v>11</v>
      </c>
      <c r="H14" s="10" t="n">
        <v>2.4</v>
      </c>
      <c r="I14" s="12" t="n">
        <v>1</v>
      </c>
      <c r="J14" s="12"/>
      <c r="K14" s="13" t="n">
        <f aca="false">41.77</f>
        <v>41.77</v>
      </c>
      <c r="L14" s="13" t="n">
        <f aca="false">149.96</f>
        <v>149.96</v>
      </c>
      <c r="M14" s="12" t="n">
        <v>14</v>
      </c>
      <c r="N14" s="12" t="n">
        <v>28</v>
      </c>
      <c r="O14" s="12" t="n">
        <v>154.05</v>
      </c>
      <c r="P14" s="13" t="n">
        <f aca="false">24.25</f>
        <v>24.25</v>
      </c>
      <c r="Q14" s="13" t="n">
        <f aca="false">154.07</f>
        <v>154.07</v>
      </c>
      <c r="R14" s="12" t="n">
        <v>17.35</v>
      </c>
      <c r="S14" s="12" t="n">
        <v>26.1</v>
      </c>
      <c r="T14" s="12" t="n">
        <v>536</v>
      </c>
      <c r="U14" s="14" t="s">
        <v>29</v>
      </c>
      <c r="V14" s="15"/>
      <c r="W14" s="16" t="str">
        <f aca="false">A14</f>
        <v>KL</v>
      </c>
      <c r="X14" s="17" t="e">
        <f aca="false">ifs(C14="","",X14="",NOW(),TRUE(),X14)</f>
        <v>#VALUE!</v>
      </c>
      <c r="Y14" s="17" t="e">
        <f aca="false">ifs(COUNTA(K14:U17)&lt;44,"",Y14="",NOW(),TRUE(),Y14)</f>
        <v>#VALUE!</v>
      </c>
    </row>
    <row r="15" customFormat="false" ht="15.75" hidden="false" customHeight="false" outlineLevel="0" collapsed="false">
      <c r="A15" s="9"/>
      <c r="B15" s="10"/>
      <c r="C15" s="10"/>
      <c r="D15" s="10"/>
      <c r="E15" s="10"/>
      <c r="F15" s="10"/>
      <c r="G15" s="10"/>
      <c r="H15" s="10"/>
      <c r="I15" s="18" t="n">
        <v>2</v>
      </c>
      <c r="J15" s="18"/>
      <c r="K15" s="19" t="n">
        <f aca="false">43.18</f>
        <v>43.18</v>
      </c>
      <c r="L15" s="19" t="n">
        <f aca="false">123.15</f>
        <v>123.15</v>
      </c>
      <c r="M15" s="18" t="n">
        <v>16</v>
      </c>
      <c r="N15" s="18" t="n">
        <v>30</v>
      </c>
      <c r="O15" s="18" t="n">
        <v>126.75</v>
      </c>
      <c r="P15" s="19" t="n">
        <f aca="false">23.39</f>
        <v>23.39</v>
      </c>
      <c r="Q15" s="19" t="n">
        <f aca="false">119.87</f>
        <v>119.87</v>
      </c>
      <c r="R15" s="18" t="n">
        <v>13.95</v>
      </c>
      <c r="S15" s="18" t="n">
        <v>25.8</v>
      </c>
      <c r="T15" s="18" t="n">
        <v>460</v>
      </c>
      <c r="U15" s="20" t="s">
        <v>29</v>
      </c>
      <c r="V15" s="21"/>
      <c r="W15" s="16"/>
      <c r="X15" s="16"/>
      <c r="Y15" s="16"/>
    </row>
    <row r="16" customFormat="false" ht="15.75" hidden="false" customHeight="false" outlineLevel="0" collapsed="false">
      <c r="A16" s="9"/>
      <c r="B16" s="10"/>
      <c r="C16" s="10"/>
      <c r="D16" s="10"/>
      <c r="E16" s="10"/>
      <c r="F16" s="10"/>
      <c r="G16" s="10"/>
      <c r="H16" s="10"/>
      <c r="I16" s="22" t="n">
        <v>3</v>
      </c>
      <c r="J16" s="22" t="s">
        <v>35</v>
      </c>
      <c r="K16" s="23" t="n">
        <f aca="false">38.58</f>
        <v>38.58</v>
      </c>
      <c r="L16" s="23" t="n">
        <f aca="false">115.89</f>
        <v>115.89</v>
      </c>
      <c r="M16" s="22" t="n">
        <v>14</v>
      </c>
      <c r="N16" s="22" t="n">
        <v>30</v>
      </c>
      <c r="O16" s="22" t="n">
        <v>97.45</v>
      </c>
      <c r="P16" s="23" t="n">
        <f aca="false">21.18</f>
        <v>21.18</v>
      </c>
      <c r="Q16" s="23" t="n">
        <f aca="false">123.47</f>
        <v>123.47</v>
      </c>
      <c r="R16" s="22" t="n">
        <v>10.6</v>
      </c>
      <c r="S16" s="22" t="n">
        <v>21.8</v>
      </c>
      <c r="T16" s="22" t="n">
        <v>421</v>
      </c>
      <c r="U16" s="24" t="s">
        <v>29</v>
      </c>
      <c r="V16" s="15"/>
      <c r="W16" s="16"/>
      <c r="X16" s="16"/>
      <c r="Y16" s="16"/>
    </row>
    <row r="17" customFormat="false" ht="15.75" hidden="false" customHeight="false" outlineLevel="0" collapsed="false">
      <c r="A17" s="9"/>
      <c r="B17" s="10"/>
      <c r="C17" s="10"/>
      <c r="D17" s="10"/>
      <c r="E17" s="10"/>
      <c r="F17" s="10"/>
      <c r="G17" s="10"/>
      <c r="H17" s="10"/>
      <c r="I17" s="25" t="n">
        <v>4</v>
      </c>
      <c r="J17" s="25" t="s">
        <v>36</v>
      </c>
      <c r="K17" s="26" t="n">
        <f aca="false">40.2</f>
        <v>40.2</v>
      </c>
      <c r="L17" s="26" t="n">
        <f aca="false">108.53</f>
        <v>108.53</v>
      </c>
      <c r="M17" s="25" t="n">
        <v>16</v>
      </c>
      <c r="N17" s="25" t="n">
        <v>28</v>
      </c>
      <c r="O17" s="25" t="n">
        <v>94.15</v>
      </c>
      <c r="P17" s="26" t="n">
        <f aca="false">22.23</f>
        <v>22.23</v>
      </c>
      <c r="Q17" s="26" t="n">
        <f aca="false">114.03</f>
        <v>114.03</v>
      </c>
      <c r="R17" s="25" t="n">
        <v>10.85</v>
      </c>
      <c r="S17" s="25" t="n">
        <v>21.05</v>
      </c>
      <c r="T17" s="25" t="n">
        <v>416</v>
      </c>
      <c r="U17" s="27" t="s">
        <v>29</v>
      </c>
      <c r="V17" s="21"/>
      <c r="W17" s="16"/>
      <c r="X17" s="16"/>
      <c r="Y17" s="16"/>
    </row>
    <row r="18" customFormat="false" ht="15.75" hidden="false" customHeight="true" outlineLevel="0" collapsed="false">
      <c r="A18" s="9" t="s">
        <v>25</v>
      </c>
      <c r="B18" s="10" t="s">
        <v>26</v>
      </c>
      <c r="C18" s="11" t="s">
        <v>37</v>
      </c>
      <c r="D18" s="10" t="s">
        <v>28</v>
      </c>
      <c r="E18" s="10" t="s">
        <v>28</v>
      </c>
      <c r="F18" s="10"/>
      <c r="G18" s="10" t="n">
        <v>45</v>
      </c>
      <c r="H18" s="10" t="n">
        <v>6.85</v>
      </c>
      <c r="I18" s="12" t="n">
        <v>1</v>
      </c>
      <c r="J18" s="12"/>
      <c r="K18" s="13" t="n">
        <f aca="false">41.23</f>
        <v>41.23</v>
      </c>
      <c r="L18" s="13" t="n">
        <f aca="false">157.72</f>
        <v>157.72</v>
      </c>
      <c r="M18" s="12" t="n">
        <v>16</v>
      </c>
      <c r="N18" s="12" t="n">
        <v>38</v>
      </c>
      <c r="O18" s="12" t="n">
        <v>132.75</v>
      </c>
      <c r="P18" s="13" t="n">
        <f aca="false">27.21</f>
        <v>27.21</v>
      </c>
      <c r="Q18" s="13" t="n">
        <f aca="false">177.93</f>
        <v>177.93</v>
      </c>
      <c r="R18" s="12" t="n">
        <v>19.6</v>
      </c>
      <c r="S18" s="12" t="n">
        <v>17.1</v>
      </c>
      <c r="T18" s="12" t="n">
        <v>642</v>
      </c>
      <c r="U18" s="14" t="s">
        <v>32</v>
      </c>
      <c r="V18" s="15"/>
      <c r="W18" s="16" t="str">
        <f aca="false">A18</f>
        <v>KL</v>
      </c>
      <c r="X18" s="17" t="e">
        <f aca="false">ifs(C18="","",X18="",NOW(),TRUE(),X18)</f>
        <v>#VALUE!</v>
      </c>
      <c r="Y18" s="17" t="e">
        <f aca="false">ifs(COUNTA(K18:U21)&lt;44,"",Y18="",NOW(),TRUE(),Y18)</f>
        <v>#VALUE!</v>
      </c>
    </row>
    <row r="19" customFormat="false" ht="15.75" hidden="false" customHeight="false" outlineLevel="0" collapsed="false">
      <c r="A19" s="9"/>
      <c r="B19" s="10"/>
      <c r="C19" s="10"/>
      <c r="D19" s="10"/>
      <c r="E19" s="10"/>
      <c r="F19" s="10"/>
      <c r="G19" s="10"/>
      <c r="H19" s="10"/>
      <c r="I19" s="18" t="n">
        <v>2</v>
      </c>
      <c r="J19" s="18"/>
      <c r="K19" s="19" t="n">
        <f aca="false">41.06</f>
        <v>41.06</v>
      </c>
      <c r="L19" s="19" t="n">
        <f aca="false">152.35</f>
        <v>152.35</v>
      </c>
      <c r="M19" s="18" t="n">
        <v>18</v>
      </c>
      <c r="N19" s="18" t="n">
        <v>34</v>
      </c>
      <c r="O19" s="18" t="n">
        <v>106.1</v>
      </c>
      <c r="P19" s="19" t="n">
        <f aca="false">27.26</f>
        <v>27.26</v>
      </c>
      <c r="Q19" s="19" t="n">
        <f aca="false">163.45</f>
        <v>163.45</v>
      </c>
      <c r="R19" s="18" t="n">
        <v>14.45</v>
      </c>
      <c r="S19" s="18" t="n">
        <v>15.1</v>
      </c>
      <c r="T19" s="18" t="n">
        <v>600</v>
      </c>
      <c r="U19" s="20" t="s">
        <v>32</v>
      </c>
      <c r="V19" s="21"/>
      <c r="W19" s="16"/>
      <c r="X19" s="16"/>
      <c r="Y19" s="16"/>
    </row>
    <row r="20" customFormat="false" ht="15.75" hidden="false" customHeight="false" outlineLevel="0" collapsed="false">
      <c r="A20" s="9"/>
      <c r="B20" s="10"/>
      <c r="C20" s="10"/>
      <c r="D20" s="10"/>
      <c r="E20" s="10"/>
      <c r="F20" s="10"/>
      <c r="G20" s="10"/>
      <c r="H20" s="10"/>
      <c r="I20" s="22" t="n">
        <v>3</v>
      </c>
      <c r="J20" s="22"/>
      <c r="K20" s="23" t="n">
        <f aca="false">41.1</f>
        <v>41.1</v>
      </c>
      <c r="L20" s="23" t="n">
        <f aca="false">133.32</f>
        <v>133.32</v>
      </c>
      <c r="M20" s="22" t="n">
        <v>18</v>
      </c>
      <c r="N20" s="22" t="n">
        <v>32</v>
      </c>
      <c r="O20" s="22" t="n">
        <v>98.45</v>
      </c>
      <c r="P20" s="23" t="n">
        <f aca="false">27.45</f>
        <v>27.45</v>
      </c>
      <c r="Q20" s="23" t="n">
        <f aca="false">151.56</f>
        <v>151.56</v>
      </c>
      <c r="R20" s="22" t="n">
        <v>14.4</v>
      </c>
      <c r="S20" s="22" t="n">
        <v>14.7</v>
      </c>
      <c r="T20" s="22" t="n">
        <v>570</v>
      </c>
      <c r="U20" s="24" t="s">
        <v>32</v>
      </c>
      <c r="V20" s="15"/>
      <c r="W20" s="16"/>
      <c r="X20" s="16"/>
      <c r="Y20" s="16"/>
    </row>
    <row r="21" customFormat="false" ht="15.75" hidden="false" customHeight="false" outlineLevel="0" collapsed="false">
      <c r="A21" s="9"/>
      <c r="B21" s="10"/>
      <c r="C21" s="10"/>
      <c r="D21" s="10"/>
      <c r="E21" s="10"/>
      <c r="F21" s="10"/>
      <c r="G21" s="10"/>
      <c r="H21" s="10"/>
      <c r="I21" s="25" t="n">
        <v>4</v>
      </c>
      <c r="J21" s="25"/>
      <c r="K21" s="26" t="n">
        <f aca="false">40.59</f>
        <v>40.59</v>
      </c>
      <c r="L21" s="26" t="n">
        <f aca="false">132.97</f>
        <v>132.97</v>
      </c>
      <c r="M21" s="25" t="n">
        <v>16</v>
      </c>
      <c r="N21" s="25" t="n">
        <v>32</v>
      </c>
      <c r="O21" s="25" t="n">
        <v>99.25</v>
      </c>
      <c r="P21" s="26" t="n">
        <f aca="false">24.29</f>
        <v>24.29</v>
      </c>
      <c r="Q21" s="26" t="n">
        <f aca="false">146.67</f>
        <v>146.67</v>
      </c>
      <c r="R21" s="25" t="n">
        <v>14.05</v>
      </c>
      <c r="S21" s="25" t="n">
        <v>17.5</v>
      </c>
      <c r="T21" s="25" t="n">
        <v>413</v>
      </c>
      <c r="U21" s="27" t="s">
        <v>32</v>
      </c>
      <c r="V21" s="21"/>
      <c r="W21" s="16"/>
      <c r="X21" s="16"/>
      <c r="Y21" s="16"/>
    </row>
    <row r="22" customFormat="false" ht="15.75" hidden="false" customHeight="true" outlineLevel="0" collapsed="false">
      <c r="A22" s="9" t="s">
        <v>25</v>
      </c>
      <c r="B22" s="10" t="s">
        <v>26</v>
      </c>
      <c r="C22" s="11" t="s">
        <v>38</v>
      </c>
      <c r="D22" s="10" t="s">
        <v>28</v>
      </c>
      <c r="E22" s="10" t="s">
        <v>28</v>
      </c>
      <c r="F22" s="10"/>
      <c r="G22" s="10" t="n">
        <v>21</v>
      </c>
      <c r="H22" s="10" t="n">
        <v>4.55</v>
      </c>
      <c r="I22" s="12" t="n">
        <v>1</v>
      </c>
      <c r="J22" s="12"/>
      <c r="K22" s="13" t="n">
        <f aca="false">46.12</f>
        <v>46.12</v>
      </c>
      <c r="L22" s="13" t="n">
        <f aca="false">152.19</f>
        <v>152.19</v>
      </c>
      <c r="M22" s="12" t="n">
        <v>16</v>
      </c>
      <c r="N22" s="12" t="n">
        <v>38</v>
      </c>
      <c r="O22" s="12" t="n">
        <v>153.45</v>
      </c>
      <c r="P22" s="13" t="n">
        <f aca="false">30.05</f>
        <v>30.05</v>
      </c>
      <c r="Q22" s="13" t="n">
        <f aca="false">175.77</f>
        <v>175.77</v>
      </c>
      <c r="R22" s="12" t="n">
        <v>25.75</v>
      </c>
      <c r="S22" s="12" t="n">
        <v>22.05</v>
      </c>
      <c r="T22" s="12" t="n">
        <v>477</v>
      </c>
      <c r="U22" s="14" t="s">
        <v>29</v>
      </c>
      <c r="V22" s="15"/>
      <c r="W22" s="16" t="str">
        <f aca="false">A22</f>
        <v>KL</v>
      </c>
      <c r="X22" s="17" t="e">
        <f aca="false">ifs(C22="","",X22="",NOW(),TRUE(),X22)</f>
        <v>#VALUE!</v>
      </c>
      <c r="Y22" s="17" t="e">
        <f aca="false">ifs(COUNTA(K22:U25)&lt;44,"",Y22="",NOW(),TRUE(),Y22)</f>
        <v>#VALUE!</v>
      </c>
    </row>
    <row r="23" customFormat="false" ht="15.75" hidden="false" customHeight="false" outlineLevel="0" collapsed="false">
      <c r="A23" s="9"/>
      <c r="B23" s="10"/>
      <c r="C23" s="10"/>
      <c r="D23" s="10"/>
      <c r="E23" s="10"/>
      <c r="F23" s="10"/>
      <c r="G23" s="10"/>
      <c r="H23" s="10"/>
      <c r="I23" s="18" t="n">
        <v>2</v>
      </c>
      <c r="J23" s="18"/>
      <c r="K23" s="19" t="n">
        <f aca="false">45.62</f>
        <v>45.62</v>
      </c>
      <c r="L23" s="19" t="n">
        <f aca="false">147.15</f>
        <v>147.15</v>
      </c>
      <c r="M23" s="18" t="n">
        <v>18</v>
      </c>
      <c r="N23" s="18" t="n">
        <v>36</v>
      </c>
      <c r="O23" s="18" t="n">
        <v>135.9</v>
      </c>
      <c r="P23" s="19" t="n">
        <f aca="false">29.55</f>
        <v>29.55</v>
      </c>
      <c r="Q23" s="19" t="n">
        <f aca="false">169.92</f>
        <v>169.92</v>
      </c>
      <c r="R23" s="18" t="n">
        <v>22.6</v>
      </c>
      <c r="S23" s="18" t="n">
        <v>18.85</v>
      </c>
      <c r="T23" s="18" t="n">
        <v>467</v>
      </c>
      <c r="U23" s="20" t="s">
        <v>29</v>
      </c>
      <c r="V23" s="21"/>
      <c r="W23" s="16"/>
      <c r="X23" s="16"/>
      <c r="Y23" s="16"/>
    </row>
    <row r="24" customFormat="false" ht="15.75" hidden="false" customHeight="false" outlineLevel="0" collapsed="false">
      <c r="A24" s="9"/>
      <c r="B24" s="10"/>
      <c r="C24" s="10"/>
      <c r="D24" s="10"/>
      <c r="E24" s="10"/>
      <c r="F24" s="10"/>
      <c r="G24" s="10"/>
      <c r="H24" s="10"/>
      <c r="I24" s="22" t="n">
        <v>3</v>
      </c>
      <c r="J24" s="22"/>
      <c r="K24" s="23" t="n">
        <f aca="false">43.39</f>
        <v>43.39</v>
      </c>
      <c r="L24" s="23" t="n">
        <f aca="false">138.7</f>
        <v>138.7</v>
      </c>
      <c r="M24" s="22" t="n">
        <v>14</v>
      </c>
      <c r="N24" s="22" t="n">
        <v>36</v>
      </c>
      <c r="O24" s="22" t="n">
        <v>125.7</v>
      </c>
      <c r="P24" s="23" t="n">
        <f aca="false">28.94</f>
        <v>28.94</v>
      </c>
      <c r="Q24" s="23" t="n">
        <f aca="false">167.87</f>
        <v>167.87</v>
      </c>
      <c r="R24" s="22" t="n">
        <v>21.35</v>
      </c>
      <c r="S24" s="22" t="n">
        <v>21.6</v>
      </c>
      <c r="T24" s="22" t="n">
        <v>486</v>
      </c>
      <c r="U24" s="24" t="s">
        <v>29</v>
      </c>
      <c r="V24" s="15"/>
      <c r="W24" s="16"/>
      <c r="X24" s="16"/>
      <c r="Y24" s="16"/>
    </row>
    <row r="25" customFormat="false" ht="15.75" hidden="false" customHeight="false" outlineLevel="0" collapsed="false">
      <c r="A25" s="9"/>
      <c r="B25" s="10"/>
      <c r="C25" s="10"/>
      <c r="D25" s="10"/>
      <c r="E25" s="10"/>
      <c r="F25" s="10"/>
      <c r="G25" s="10"/>
      <c r="H25" s="10"/>
      <c r="I25" s="25" t="n">
        <v>4</v>
      </c>
      <c r="J25" s="25"/>
      <c r="K25" s="26" t="n">
        <f aca="false">44.07</f>
        <v>44.07</v>
      </c>
      <c r="L25" s="26" t="n">
        <f aca="false">141.13</f>
        <v>141.13</v>
      </c>
      <c r="M25" s="25" t="n">
        <v>16</v>
      </c>
      <c r="N25" s="25" t="n">
        <v>34</v>
      </c>
      <c r="O25" s="25" t="n">
        <v>121.2</v>
      </c>
      <c r="P25" s="26" t="n">
        <f aca="false">29.56</f>
        <v>29.56</v>
      </c>
      <c r="Q25" s="26" t="n">
        <f aca="false">172.94</f>
        <v>172.94</v>
      </c>
      <c r="R25" s="25" t="n">
        <v>22.85</v>
      </c>
      <c r="S25" s="25" t="n">
        <v>18.45</v>
      </c>
      <c r="T25" s="25" t="n">
        <v>530</v>
      </c>
      <c r="U25" s="27" t="s">
        <v>29</v>
      </c>
      <c r="V25" s="21"/>
      <c r="W25" s="16"/>
      <c r="X25" s="16"/>
      <c r="Y25" s="16"/>
    </row>
    <row r="26" customFormat="false" ht="15.75" hidden="false" customHeight="true" outlineLevel="0" collapsed="false">
      <c r="A26" s="9" t="s">
        <v>25</v>
      </c>
      <c r="B26" s="10" t="s">
        <v>26</v>
      </c>
      <c r="C26" s="11" t="s">
        <v>39</v>
      </c>
      <c r="D26" s="10" t="s">
        <v>28</v>
      </c>
      <c r="E26" s="10" t="s">
        <v>28</v>
      </c>
      <c r="F26" s="10"/>
      <c r="G26" s="10" t="n">
        <v>0</v>
      </c>
      <c r="H26" s="10"/>
      <c r="I26" s="12" t="n">
        <v>1</v>
      </c>
      <c r="J26" s="12" t="s">
        <v>36</v>
      </c>
      <c r="K26" s="13" t="n">
        <f aca="false">40.77</f>
        <v>40.77</v>
      </c>
      <c r="L26" s="13" t="n">
        <f aca="false">139.44</f>
        <v>139.44</v>
      </c>
      <c r="M26" s="12" t="n">
        <v>18</v>
      </c>
      <c r="N26" s="12" t="n">
        <v>34</v>
      </c>
      <c r="O26" s="12" t="n">
        <v>126.45</v>
      </c>
      <c r="P26" s="13" t="n">
        <f aca="false">26.3</f>
        <v>26.3</v>
      </c>
      <c r="Q26" s="13" t="n">
        <f aca="false">157.94</f>
        <v>157.94</v>
      </c>
      <c r="R26" s="12" t="n">
        <v>16.05</v>
      </c>
      <c r="S26" s="12" t="n">
        <v>20.2</v>
      </c>
      <c r="T26" s="12" t="n">
        <v>559</v>
      </c>
      <c r="U26" s="14" t="s">
        <v>29</v>
      </c>
      <c r="V26" s="15"/>
      <c r="W26" s="16" t="str">
        <f aca="false">A26</f>
        <v>KL</v>
      </c>
      <c r="X26" s="17" t="e">
        <f aca="false">ifs(C26="","",X26="",NOW(),TRUE(),X26)</f>
        <v>#VALUE!</v>
      </c>
      <c r="Y26" s="17" t="e">
        <f aca="false">ifs(COUNTA(K26:U29)&lt;44,"",Y26="",NOW(),TRUE(),Y26)</f>
        <v>#VALUE!</v>
      </c>
    </row>
    <row r="27" customFormat="false" ht="15.75" hidden="false" customHeight="false" outlineLevel="0" collapsed="false">
      <c r="A27" s="9"/>
      <c r="B27" s="10"/>
      <c r="C27" s="10"/>
      <c r="D27" s="10"/>
      <c r="E27" s="10"/>
      <c r="F27" s="10"/>
      <c r="G27" s="10"/>
      <c r="H27" s="10"/>
      <c r="I27" s="18" t="n">
        <v>2</v>
      </c>
      <c r="J27" s="18"/>
      <c r="K27" s="19" t="n">
        <f aca="false">38.08</f>
        <v>38.08</v>
      </c>
      <c r="L27" s="19" t="n">
        <f aca="false">131.28</f>
        <v>131.28</v>
      </c>
      <c r="M27" s="18" t="n">
        <v>14</v>
      </c>
      <c r="N27" s="18" t="n">
        <v>32</v>
      </c>
      <c r="O27" s="18" t="n">
        <v>108.7</v>
      </c>
      <c r="P27" s="19" t="n">
        <f aca="false">24</f>
        <v>24</v>
      </c>
      <c r="Q27" s="19" t="n">
        <f aca="false">163.86</f>
        <v>163.86</v>
      </c>
      <c r="R27" s="18" t="n">
        <v>16.85</v>
      </c>
      <c r="S27" s="18" t="n">
        <v>21.45</v>
      </c>
      <c r="T27" s="18" t="n">
        <v>429</v>
      </c>
      <c r="U27" s="20" t="s">
        <v>29</v>
      </c>
      <c r="V27" s="21"/>
      <c r="W27" s="16"/>
      <c r="X27" s="16"/>
      <c r="Y27" s="16"/>
    </row>
    <row r="28" customFormat="false" ht="15.75" hidden="false" customHeight="false" outlineLevel="0" collapsed="false">
      <c r="A28" s="9"/>
      <c r="B28" s="10"/>
      <c r="C28" s="10"/>
      <c r="D28" s="10"/>
      <c r="E28" s="10"/>
      <c r="F28" s="10"/>
      <c r="G28" s="10"/>
      <c r="H28" s="10"/>
      <c r="I28" s="22" t="n">
        <v>3</v>
      </c>
      <c r="J28" s="22"/>
      <c r="K28" s="23" t="n">
        <f aca="false">37.53</f>
        <v>37.53</v>
      </c>
      <c r="L28" s="23" t="n">
        <f aca="false">134.61</f>
        <v>134.61</v>
      </c>
      <c r="M28" s="22" t="n">
        <v>14</v>
      </c>
      <c r="N28" s="22" t="n">
        <v>32</v>
      </c>
      <c r="O28" s="22" t="n">
        <v>106.4</v>
      </c>
      <c r="P28" s="23" t="n">
        <f aca="false">23.86</f>
        <v>23.86</v>
      </c>
      <c r="Q28" s="23" t="n">
        <f aca="false">151.34</f>
        <v>151.34</v>
      </c>
      <c r="R28" s="22" t="n">
        <v>14.75</v>
      </c>
      <c r="S28" s="22" t="n">
        <v>22.55</v>
      </c>
      <c r="T28" s="22" t="n">
        <v>416</v>
      </c>
      <c r="U28" s="24" t="s">
        <v>29</v>
      </c>
      <c r="V28" s="15"/>
      <c r="W28" s="16"/>
      <c r="X28" s="16"/>
      <c r="Y28" s="16"/>
    </row>
    <row r="29" customFormat="false" ht="15.75" hidden="false" customHeight="false" outlineLevel="0" collapsed="false">
      <c r="A29" s="9"/>
      <c r="B29" s="10"/>
      <c r="C29" s="10"/>
      <c r="D29" s="10"/>
      <c r="E29" s="10"/>
      <c r="F29" s="10"/>
      <c r="G29" s="10"/>
      <c r="H29" s="10"/>
      <c r="I29" s="25" t="n">
        <v>4</v>
      </c>
      <c r="J29" s="25"/>
      <c r="K29" s="26" t="n">
        <f aca="false">40.95</f>
        <v>40.95</v>
      </c>
      <c r="L29" s="26" t="n">
        <f aca="false">123.74</f>
        <v>123.74</v>
      </c>
      <c r="M29" s="25" t="n">
        <v>16</v>
      </c>
      <c r="N29" s="25" t="n">
        <v>28</v>
      </c>
      <c r="O29" s="25" t="n">
        <v>94.5</v>
      </c>
      <c r="P29" s="26" t="n">
        <f aca="false">26.65</f>
        <v>26.65</v>
      </c>
      <c r="Q29" s="26" t="n">
        <f aca="false">143.47</f>
        <v>143.47</v>
      </c>
      <c r="R29" s="25" t="n">
        <v>14.45</v>
      </c>
      <c r="S29" s="25" t="n">
        <v>17.75</v>
      </c>
      <c r="T29" s="25" t="n">
        <v>449</v>
      </c>
      <c r="U29" s="27" t="s">
        <v>29</v>
      </c>
      <c r="V29" s="21"/>
      <c r="W29" s="16"/>
      <c r="X29" s="16"/>
      <c r="Y29" s="16"/>
    </row>
    <row r="30" customFormat="false" ht="15.75" hidden="false" customHeight="true" outlineLevel="0" collapsed="false">
      <c r="A30" s="9" t="s">
        <v>25</v>
      </c>
      <c r="B30" s="10" t="s">
        <v>26</v>
      </c>
      <c r="C30" s="11" t="s">
        <v>40</v>
      </c>
      <c r="D30" s="10" t="s">
        <v>28</v>
      </c>
      <c r="E30" s="10" t="s">
        <v>28</v>
      </c>
      <c r="F30" s="10"/>
      <c r="G30" s="10" t="n">
        <v>14</v>
      </c>
      <c r="H30" s="10" t="n">
        <v>3.1</v>
      </c>
      <c r="I30" s="12" t="n">
        <v>1</v>
      </c>
      <c r="J30" s="12"/>
      <c r="K30" s="13" t="n">
        <f aca="false">45.66</f>
        <v>45.66</v>
      </c>
      <c r="L30" s="13" t="n">
        <f aca="false">151.3</f>
        <v>151.3</v>
      </c>
      <c r="M30" s="12" t="n">
        <v>16</v>
      </c>
      <c r="N30" s="12" t="n">
        <v>38</v>
      </c>
      <c r="O30" s="12" t="n">
        <v>152.45</v>
      </c>
      <c r="P30" s="13" t="n">
        <f aca="false">27.72</f>
        <v>27.72</v>
      </c>
      <c r="Q30" s="13" t="n">
        <f aca="false">176.51</f>
        <v>176.51</v>
      </c>
      <c r="R30" s="12" t="n">
        <v>22</v>
      </c>
      <c r="S30" s="12" t="n">
        <v>22.4</v>
      </c>
      <c r="T30" s="12" t="n">
        <v>621</v>
      </c>
      <c r="U30" s="14" t="s">
        <v>41</v>
      </c>
      <c r="V30" s="15"/>
      <c r="W30" s="16" t="str">
        <f aca="false">A30</f>
        <v>KL</v>
      </c>
      <c r="X30" s="17" t="e">
        <f aca="false">ifs(C30="","",X30="",NOW(),TRUE(),X30)</f>
        <v>#VALUE!</v>
      </c>
      <c r="Y30" s="17" t="e">
        <f aca="false">ifs(COUNTA(K30:U33)&lt;44,"",Y30="",NOW(),TRUE(),Y30)</f>
        <v>#VALUE!</v>
      </c>
    </row>
    <row r="31" customFormat="false" ht="15.75" hidden="false" customHeight="false" outlineLevel="0" collapsed="false">
      <c r="A31" s="9"/>
      <c r="B31" s="10"/>
      <c r="C31" s="10"/>
      <c r="D31" s="10"/>
      <c r="E31" s="10"/>
      <c r="F31" s="10"/>
      <c r="G31" s="10"/>
      <c r="H31" s="10"/>
      <c r="I31" s="18" t="n">
        <v>2</v>
      </c>
      <c r="J31" s="18"/>
      <c r="K31" s="19" t="n">
        <f aca="false">43.08</f>
        <v>43.08</v>
      </c>
      <c r="L31" s="19" t="n">
        <f aca="false">145.09</f>
        <v>145.09</v>
      </c>
      <c r="M31" s="18" t="n">
        <v>14</v>
      </c>
      <c r="N31" s="18" t="n">
        <v>38</v>
      </c>
      <c r="O31" s="18" t="n">
        <v>123.05</v>
      </c>
      <c r="P31" s="19" t="n">
        <f aca="false">25.3</f>
        <v>25.3</v>
      </c>
      <c r="Q31" s="19" t="n">
        <f aca="false">157.98</f>
        <v>157.98</v>
      </c>
      <c r="R31" s="18" t="n">
        <v>18.7</v>
      </c>
      <c r="S31" s="18" t="n">
        <v>19.55</v>
      </c>
      <c r="T31" s="18" t="n">
        <v>537</v>
      </c>
      <c r="U31" s="20" t="s">
        <v>41</v>
      </c>
      <c r="V31" s="21"/>
      <c r="W31" s="16"/>
      <c r="X31" s="16"/>
      <c r="Y31" s="16"/>
    </row>
    <row r="32" customFormat="false" ht="15.75" hidden="false" customHeight="false" outlineLevel="0" collapsed="false">
      <c r="A32" s="9"/>
      <c r="B32" s="10"/>
      <c r="C32" s="10"/>
      <c r="D32" s="10"/>
      <c r="E32" s="10"/>
      <c r="F32" s="10"/>
      <c r="G32" s="10"/>
      <c r="H32" s="10"/>
      <c r="I32" s="22" t="n">
        <v>3</v>
      </c>
      <c r="J32" s="22"/>
      <c r="K32" s="23" t="n">
        <f aca="false">43.58</f>
        <v>43.58</v>
      </c>
      <c r="L32" s="23" t="n">
        <f aca="false">135.9</f>
        <v>135.9</v>
      </c>
      <c r="M32" s="22" t="n">
        <v>16</v>
      </c>
      <c r="N32" s="22" t="n">
        <v>36</v>
      </c>
      <c r="O32" s="22" t="n">
        <v>127.35</v>
      </c>
      <c r="P32" s="23" t="n">
        <f aca="false">25.92</f>
        <v>25.92</v>
      </c>
      <c r="Q32" s="23" t="n">
        <f aca="false">153.05</f>
        <v>153.05</v>
      </c>
      <c r="R32" s="22" t="n">
        <v>17.25</v>
      </c>
      <c r="S32" s="22" t="n">
        <v>20.4</v>
      </c>
      <c r="T32" s="22" t="n">
        <v>537</v>
      </c>
      <c r="U32" s="24" t="s">
        <v>41</v>
      </c>
      <c r="V32" s="15"/>
      <c r="W32" s="16"/>
      <c r="X32" s="16"/>
      <c r="Y32" s="16"/>
    </row>
    <row r="33" customFormat="false" ht="15.75" hidden="false" customHeight="false" outlineLevel="0" collapsed="false">
      <c r="A33" s="9"/>
      <c r="B33" s="10"/>
      <c r="C33" s="10"/>
      <c r="D33" s="10"/>
      <c r="E33" s="10"/>
      <c r="F33" s="10"/>
      <c r="G33" s="10"/>
      <c r="H33" s="10"/>
      <c r="I33" s="25" t="n">
        <v>4</v>
      </c>
      <c r="J33" s="25"/>
      <c r="K33" s="26" t="n">
        <f aca="false">42.26</f>
        <v>42.26</v>
      </c>
      <c r="L33" s="26" t="n">
        <f aca="false">143.33</f>
        <v>143.33</v>
      </c>
      <c r="M33" s="25" t="n">
        <v>14</v>
      </c>
      <c r="N33" s="25" t="n">
        <v>40</v>
      </c>
      <c r="O33" s="25" t="n">
        <v>127.95</v>
      </c>
      <c r="P33" s="26" t="n">
        <f aca="false">24.47</f>
        <v>24.47</v>
      </c>
      <c r="Q33" s="26" t="n">
        <f aca="false">149.2</f>
        <v>149.2</v>
      </c>
      <c r="R33" s="25" t="n">
        <v>16.9</v>
      </c>
      <c r="S33" s="25" t="n">
        <v>21.8</v>
      </c>
      <c r="T33" s="25" t="n">
        <v>540</v>
      </c>
      <c r="U33" s="27" t="s">
        <v>41</v>
      </c>
      <c r="V33" s="21"/>
      <c r="W33" s="16"/>
      <c r="X33" s="16"/>
      <c r="Y33" s="16"/>
    </row>
    <row r="34" customFormat="false" ht="15.75" hidden="false" customHeight="true" outlineLevel="0" collapsed="false">
      <c r="A34" s="9" t="s">
        <v>25</v>
      </c>
      <c r="B34" s="10" t="s">
        <v>26</v>
      </c>
      <c r="C34" s="11" t="s">
        <v>42</v>
      </c>
      <c r="D34" s="10" t="s">
        <v>28</v>
      </c>
      <c r="E34" s="10" t="s">
        <v>28</v>
      </c>
      <c r="F34" s="10"/>
      <c r="G34" s="10" t="n">
        <v>19</v>
      </c>
      <c r="H34" s="10" t="n">
        <v>5.4</v>
      </c>
      <c r="I34" s="12" t="n">
        <v>1</v>
      </c>
      <c r="J34" s="12"/>
      <c r="K34" s="13" t="n">
        <f aca="false">44.57</f>
        <v>44.57</v>
      </c>
      <c r="L34" s="13" t="n">
        <f aca="false">165.17</f>
        <v>165.17</v>
      </c>
      <c r="M34" s="12" t="n">
        <v>16</v>
      </c>
      <c r="N34" s="12" t="n">
        <v>38</v>
      </c>
      <c r="O34" s="12" t="n">
        <v>156.1</v>
      </c>
      <c r="P34" s="13" t="n">
        <f aca="false">25.83</f>
        <v>25.83</v>
      </c>
      <c r="Q34" s="13" t="n">
        <f aca="false">170.5</f>
        <v>170.5</v>
      </c>
      <c r="R34" s="12" t="n">
        <v>20.9</v>
      </c>
      <c r="S34" s="12" t="n">
        <v>24</v>
      </c>
      <c r="T34" s="12" t="n">
        <v>574</v>
      </c>
      <c r="U34" s="14" t="s">
        <v>29</v>
      </c>
      <c r="V34" s="15"/>
      <c r="W34" s="16" t="str">
        <f aca="false">A34</f>
        <v>KL</v>
      </c>
      <c r="X34" s="17" t="e">
        <f aca="false">ifs(C34="","",X34="",NOW(),TRUE(),X34)</f>
        <v>#VALUE!</v>
      </c>
      <c r="Y34" s="17" t="e">
        <f aca="false">ifs(COUNTA(K34:U37)&lt;44,"",Y34="",NOW(),TRUE(),Y34)</f>
        <v>#VALUE!</v>
      </c>
    </row>
    <row r="35" customFormat="false" ht="15.75" hidden="false" customHeight="false" outlineLevel="0" collapsed="false">
      <c r="A35" s="9"/>
      <c r="B35" s="10"/>
      <c r="C35" s="10"/>
      <c r="D35" s="10"/>
      <c r="E35" s="10"/>
      <c r="F35" s="10"/>
      <c r="G35" s="10"/>
      <c r="H35" s="10"/>
      <c r="I35" s="18" t="n">
        <v>2</v>
      </c>
      <c r="J35" s="18"/>
      <c r="K35" s="19" t="n">
        <f aca="false">47.38</f>
        <v>47.38</v>
      </c>
      <c r="L35" s="19" t="n">
        <f aca="false">139.2</f>
        <v>139.2</v>
      </c>
      <c r="M35" s="18" t="n">
        <v>18</v>
      </c>
      <c r="N35" s="18" t="n">
        <v>30</v>
      </c>
      <c r="O35" s="18" t="n">
        <v>169.05</v>
      </c>
      <c r="P35" s="19" t="n">
        <f aca="false">26.98</f>
        <v>26.98</v>
      </c>
      <c r="Q35" s="19" t="n">
        <f aca="false">148.93</f>
        <v>148.93</v>
      </c>
      <c r="R35" s="18" t="n">
        <v>21.2</v>
      </c>
      <c r="S35" s="18" t="n">
        <v>28.3</v>
      </c>
      <c r="T35" s="18" t="n">
        <v>535</v>
      </c>
      <c r="U35" s="20" t="s">
        <v>29</v>
      </c>
      <c r="V35" s="21"/>
      <c r="W35" s="16"/>
      <c r="X35" s="16"/>
      <c r="Y35" s="16"/>
    </row>
    <row r="36" customFormat="false" ht="15.75" hidden="false" customHeight="false" outlineLevel="0" collapsed="false">
      <c r="A36" s="9"/>
      <c r="B36" s="10"/>
      <c r="C36" s="10"/>
      <c r="D36" s="10"/>
      <c r="E36" s="10"/>
      <c r="F36" s="10"/>
      <c r="G36" s="10"/>
      <c r="H36" s="10"/>
      <c r="I36" s="22" t="n">
        <v>3</v>
      </c>
      <c r="J36" s="22"/>
      <c r="K36" s="23" t="n">
        <f aca="false">43.2</f>
        <v>43.2</v>
      </c>
      <c r="L36" s="23" t="n">
        <f aca="false">150.04</f>
        <v>150.04</v>
      </c>
      <c r="M36" s="22" t="n">
        <v>14</v>
      </c>
      <c r="N36" s="22" t="n">
        <v>36</v>
      </c>
      <c r="O36" s="22" t="n">
        <v>155.6</v>
      </c>
      <c r="P36" s="23" t="n">
        <f aca="false">24.16</f>
        <v>24.16</v>
      </c>
      <c r="Q36" s="23" t="n">
        <f aca="false">156.63</f>
        <v>156.63</v>
      </c>
      <c r="R36" s="22" t="n">
        <v>20.25</v>
      </c>
      <c r="S36" s="22" t="n">
        <v>29.8</v>
      </c>
      <c r="T36" s="22" t="n">
        <v>473</v>
      </c>
      <c r="U36" s="24" t="s">
        <v>29</v>
      </c>
      <c r="V36" s="15"/>
      <c r="W36" s="16"/>
      <c r="X36" s="16"/>
      <c r="Y36" s="16"/>
    </row>
    <row r="37" customFormat="false" ht="15.75" hidden="false" customHeight="false" outlineLevel="0" collapsed="false">
      <c r="A37" s="9"/>
      <c r="B37" s="10"/>
      <c r="C37" s="10"/>
      <c r="D37" s="10"/>
      <c r="E37" s="10"/>
      <c r="F37" s="10"/>
      <c r="G37" s="10"/>
      <c r="H37" s="10"/>
      <c r="I37" s="25" t="n">
        <v>4</v>
      </c>
      <c r="J37" s="25"/>
      <c r="K37" s="26" t="n">
        <f aca="false">41.75</f>
        <v>41.75</v>
      </c>
      <c r="L37" s="26" t="n">
        <f aca="false">154.5</f>
        <v>154.5</v>
      </c>
      <c r="M37" s="25" t="n">
        <v>16</v>
      </c>
      <c r="N37" s="25" t="n">
        <v>34</v>
      </c>
      <c r="O37" s="25" t="n">
        <v>153.6</v>
      </c>
      <c r="P37" s="26" t="n">
        <f aca="false">24.35</f>
        <v>24.35</v>
      </c>
      <c r="Q37" s="26" t="n">
        <f aca="false">162.37</f>
        <v>162.37</v>
      </c>
      <c r="R37" s="25" t="n">
        <v>18.2</v>
      </c>
      <c r="S37" s="25" t="n">
        <v>26.95</v>
      </c>
      <c r="T37" s="25" t="n">
        <v>515</v>
      </c>
      <c r="U37" s="27" t="s">
        <v>29</v>
      </c>
      <c r="V37" s="21"/>
      <c r="W37" s="16"/>
      <c r="X37" s="16"/>
      <c r="Y37" s="16"/>
    </row>
    <row r="38" customFormat="false" ht="15.75" hidden="false" customHeight="true" outlineLevel="0" collapsed="false">
      <c r="A38" s="9" t="s">
        <v>43</v>
      </c>
      <c r="B38" s="10" t="s">
        <v>44</v>
      </c>
      <c r="C38" s="11" t="s">
        <v>45</v>
      </c>
      <c r="D38" s="10" t="s">
        <v>28</v>
      </c>
      <c r="E38" s="10" t="s">
        <v>28</v>
      </c>
      <c r="F38" s="10"/>
      <c r="G38" s="10" t="n">
        <v>111</v>
      </c>
      <c r="H38" s="10" t="n">
        <v>25.7</v>
      </c>
      <c r="I38" s="12" t="n">
        <v>1</v>
      </c>
      <c r="J38" s="12" t="s">
        <v>46</v>
      </c>
      <c r="K38" s="13" t="n">
        <f aca="false">43.82</f>
        <v>43.82</v>
      </c>
      <c r="L38" s="13" t="n">
        <f aca="false">124.92</f>
        <v>124.92</v>
      </c>
      <c r="M38" s="12" t="n">
        <v>16</v>
      </c>
      <c r="N38" s="12" t="n">
        <v>28</v>
      </c>
      <c r="O38" s="12" t="n">
        <v>111.4</v>
      </c>
      <c r="P38" s="13" t="n">
        <f aca="false">28.93</f>
        <v>28.93</v>
      </c>
      <c r="Q38" s="13" t="n">
        <f aca="false">143.44</f>
        <v>143.44</v>
      </c>
      <c r="R38" s="12" t="n">
        <v>14.4</v>
      </c>
      <c r="S38" s="12" t="n">
        <v>20.6</v>
      </c>
      <c r="T38" s="12" t="n">
        <v>466</v>
      </c>
      <c r="U38" s="14" t="s">
        <v>32</v>
      </c>
      <c r="V38" s="15"/>
      <c r="W38" s="16" t="str">
        <f aca="false">A38</f>
        <v>JB</v>
      </c>
      <c r="X38" s="17" t="e">
        <f aca="false">ifs(C38="","",X38="",NOW(),TRUE(),X38)</f>
        <v>#VALUE!</v>
      </c>
      <c r="Y38" s="17" t="e">
        <f aca="false">ifs(COUNTA(K38:U41)&lt;44,"",Y38="",NOW(),TRUE(),Y38)</f>
        <v>#VALUE!</v>
      </c>
    </row>
    <row r="39" customFormat="false" ht="15.75" hidden="false" customHeight="false" outlineLevel="0" collapsed="false">
      <c r="A39" s="9"/>
      <c r="B39" s="10"/>
      <c r="C39" s="10"/>
      <c r="D39" s="10"/>
      <c r="E39" s="10"/>
      <c r="F39" s="10"/>
      <c r="G39" s="10"/>
      <c r="H39" s="10"/>
      <c r="I39" s="18" t="n">
        <v>2</v>
      </c>
      <c r="J39" s="18" t="s">
        <v>47</v>
      </c>
      <c r="K39" s="19" t="n">
        <f aca="false">45.29</f>
        <v>45.29</v>
      </c>
      <c r="L39" s="19" t="n">
        <f aca="false">131.85</f>
        <v>131.85</v>
      </c>
      <c r="M39" s="18" t="n">
        <v>18</v>
      </c>
      <c r="N39" s="18" t="n">
        <v>32</v>
      </c>
      <c r="O39" s="18" t="n">
        <v>130.1</v>
      </c>
      <c r="P39" s="19" t="n">
        <f aca="false">31.25</f>
        <v>31.25</v>
      </c>
      <c r="Q39" s="19" t="n">
        <f aca="false">146.24</f>
        <v>146.24</v>
      </c>
      <c r="R39" s="18" t="n">
        <v>16.6</v>
      </c>
      <c r="S39" s="18" t="n">
        <v>21.6</v>
      </c>
      <c r="T39" s="18" t="n">
        <v>504</v>
      </c>
      <c r="U39" s="20" t="s">
        <v>32</v>
      </c>
      <c r="V39" s="21"/>
      <c r="W39" s="16"/>
      <c r="X39" s="16"/>
      <c r="Y39" s="16"/>
    </row>
    <row r="40" customFormat="false" ht="15.75" hidden="false" customHeight="false" outlineLevel="0" collapsed="false">
      <c r="A40" s="9"/>
      <c r="B40" s="10"/>
      <c r="C40" s="10"/>
      <c r="D40" s="10"/>
      <c r="E40" s="10"/>
      <c r="F40" s="10"/>
      <c r="G40" s="10"/>
      <c r="H40" s="10"/>
      <c r="I40" s="22" t="n">
        <v>3</v>
      </c>
      <c r="J40" s="22" t="s">
        <v>46</v>
      </c>
      <c r="K40" s="23" t="n">
        <f aca="false">42.8</f>
        <v>42.8</v>
      </c>
      <c r="L40" s="23" t="n">
        <f aca="false">152.28</f>
        <v>152.28</v>
      </c>
      <c r="M40" s="22" t="n">
        <v>14</v>
      </c>
      <c r="N40" s="22" t="n">
        <v>34</v>
      </c>
      <c r="O40" s="22" t="n">
        <v>115.7</v>
      </c>
      <c r="P40" s="23" t="n">
        <f aca="false">28.14</f>
        <v>28.14</v>
      </c>
      <c r="Q40" s="23" t="n">
        <f aca="false">164.59</f>
        <v>164.59</v>
      </c>
      <c r="R40" s="22" t="n">
        <v>16.2</v>
      </c>
      <c r="S40" s="22" t="n">
        <v>24</v>
      </c>
      <c r="T40" s="22" t="n">
        <v>426</v>
      </c>
      <c r="U40" s="24" t="s">
        <v>32</v>
      </c>
      <c r="V40" s="15"/>
      <c r="W40" s="16"/>
      <c r="X40" s="16"/>
      <c r="Y40" s="16"/>
    </row>
    <row r="41" customFormat="false" ht="15.75" hidden="false" customHeight="false" outlineLevel="0" collapsed="false">
      <c r="A41" s="9"/>
      <c r="B41" s="10"/>
      <c r="C41" s="10"/>
      <c r="D41" s="10"/>
      <c r="E41" s="10"/>
      <c r="F41" s="10"/>
      <c r="G41" s="10"/>
      <c r="H41" s="10"/>
      <c r="I41" s="25" t="n">
        <v>4</v>
      </c>
      <c r="J41" s="25" t="s">
        <v>46</v>
      </c>
      <c r="K41" s="26" t="n">
        <f aca="false">41.88</f>
        <v>41.88</v>
      </c>
      <c r="L41" s="26" t="n">
        <f aca="false">131.72</f>
        <v>131.72</v>
      </c>
      <c r="M41" s="25" t="n">
        <v>14</v>
      </c>
      <c r="N41" s="25" t="n">
        <v>30</v>
      </c>
      <c r="O41" s="25" t="n">
        <v>89.6</v>
      </c>
      <c r="P41" s="26" t="n">
        <f aca="false">28.74</f>
        <v>28.74</v>
      </c>
      <c r="Q41" s="26" t="n">
        <f aca="false">140.56</f>
        <v>140.56</v>
      </c>
      <c r="R41" s="25" t="n">
        <v>15.5</v>
      </c>
      <c r="S41" s="25" t="n">
        <v>23.6</v>
      </c>
      <c r="T41" s="25" t="n">
        <v>313</v>
      </c>
      <c r="U41" s="27" t="s">
        <v>32</v>
      </c>
      <c r="V41" s="21"/>
      <c r="W41" s="16"/>
      <c r="X41" s="16"/>
      <c r="Y41" s="16"/>
    </row>
    <row r="42" customFormat="false" ht="15.75" hidden="false" customHeight="true" outlineLevel="0" collapsed="false">
      <c r="A42" s="9" t="s">
        <v>43</v>
      </c>
      <c r="B42" s="10" t="s">
        <v>44</v>
      </c>
      <c r="C42" s="11" t="s">
        <v>48</v>
      </c>
      <c r="D42" s="10" t="s">
        <v>28</v>
      </c>
      <c r="E42" s="10" t="s">
        <v>28</v>
      </c>
      <c r="F42" s="10"/>
      <c r="G42" s="10" t="n">
        <v>40</v>
      </c>
      <c r="H42" s="10" t="n">
        <v>9.8</v>
      </c>
      <c r="I42" s="12" t="n">
        <v>1</v>
      </c>
      <c r="J42" s="12" t="s">
        <v>49</v>
      </c>
      <c r="K42" s="13" t="n">
        <f aca="false">45.05</f>
        <v>45.05</v>
      </c>
      <c r="L42" s="13" t="n">
        <f aca="false">148.61</f>
        <v>148.61</v>
      </c>
      <c r="M42" s="12" t="n">
        <v>16</v>
      </c>
      <c r="N42" s="12" t="n">
        <v>34</v>
      </c>
      <c r="O42" s="12" t="n">
        <v>167.7</v>
      </c>
      <c r="P42" s="13" t="n">
        <f aca="false">27.26</f>
        <v>27.26</v>
      </c>
      <c r="Q42" s="13" t="n">
        <f aca="false">160.46</f>
        <v>160.46</v>
      </c>
      <c r="R42" s="12" t="n">
        <v>24.6</v>
      </c>
      <c r="S42" s="12" t="n">
        <v>21.4</v>
      </c>
      <c r="T42" s="12" t="n">
        <v>604</v>
      </c>
      <c r="U42" s="14" t="s">
        <v>29</v>
      </c>
      <c r="V42" s="15"/>
      <c r="W42" s="16" t="str">
        <f aca="false">A42</f>
        <v>JB</v>
      </c>
      <c r="X42" s="17" t="e">
        <f aca="false">ifs(C42="","",X42="",NOW(),TRUE(),X42)</f>
        <v>#VALUE!</v>
      </c>
      <c r="Y42" s="17" t="e">
        <f aca="false">ifs(COUNTA(K42:U45)&lt;44,"",Y42="",NOW(),TRUE(),Y42)</f>
        <v>#VALUE!</v>
      </c>
    </row>
    <row r="43" customFormat="false" ht="15.75" hidden="false" customHeight="false" outlineLevel="0" collapsed="false">
      <c r="A43" s="9"/>
      <c r="B43" s="10"/>
      <c r="C43" s="10"/>
      <c r="D43" s="10"/>
      <c r="E43" s="10"/>
      <c r="F43" s="10"/>
      <c r="G43" s="10"/>
      <c r="H43" s="10"/>
      <c r="I43" s="18" t="n">
        <v>2</v>
      </c>
      <c r="J43" s="18" t="s">
        <v>46</v>
      </c>
      <c r="K43" s="19" t="n">
        <f aca="false">43.45</f>
        <v>43.45</v>
      </c>
      <c r="L43" s="19" t="n">
        <f aca="false">138.09</f>
        <v>138.09</v>
      </c>
      <c r="M43" s="18" t="n">
        <v>16</v>
      </c>
      <c r="N43" s="18" t="n">
        <v>34</v>
      </c>
      <c r="O43" s="18" t="n">
        <v>139.9</v>
      </c>
      <c r="P43" s="19" t="n">
        <f aca="false">28.24</f>
        <v>28.24</v>
      </c>
      <c r="Q43" s="19" t="n">
        <f aca="false">153.19</f>
        <v>153.19</v>
      </c>
      <c r="R43" s="18" t="n">
        <v>20.2</v>
      </c>
      <c r="S43" s="18" t="n">
        <v>22</v>
      </c>
      <c r="T43" s="18" t="n">
        <v>541</v>
      </c>
      <c r="U43" s="20" t="s">
        <v>29</v>
      </c>
      <c r="V43" s="21"/>
      <c r="W43" s="16"/>
      <c r="X43" s="16"/>
      <c r="Y43" s="16"/>
    </row>
    <row r="44" customFormat="false" ht="15.75" hidden="false" customHeight="false" outlineLevel="0" collapsed="false">
      <c r="A44" s="9"/>
      <c r="B44" s="10"/>
      <c r="C44" s="10"/>
      <c r="D44" s="10"/>
      <c r="E44" s="10"/>
      <c r="F44" s="10"/>
      <c r="G44" s="10"/>
      <c r="H44" s="10"/>
      <c r="I44" s="22" t="n">
        <v>3</v>
      </c>
      <c r="J44" s="22" t="s">
        <v>50</v>
      </c>
      <c r="K44" s="23" t="n">
        <f aca="false">41.8</f>
        <v>41.8</v>
      </c>
      <c r="L44" s="23" t="n">
        <f aca="false">123.42</f>
        <v>123.42</v>
      </c>
      <c r="M44" s="22" t="n">
        <v>16</v>
      </c>
      <c r="N44" s="22" t="n">
        <v>24</v>
      </c>
      <c r="O44" s="22" t="n">
        <v>118.7</v>
      </c>
      <c r="P44" s="23" t="n">
        <f aca="false">27.42</f>
        <v>27.42</v>
      </c>
      <c r="Q44" s="23" t="n">
        <f aca="false">146.87</f>
        <v>146.87</v>
      </c>
      <c r="R44" s="22" t="n">
        <v>21.2</v>
      </c>
      <c r="S44" s="22" t="n">
        <v>23.8</v>
      </c>
      <c r="T44" s="22" t="n">
        <v>361</v>
      </c>
      <c r="U44" s="24" t="s">
        <v>29</v>
      </c>
      <c r="V44" s="15"/>
      <c r="W44" s="16"/>
      <c r="X44" s="16"/>
      <c r="Y44" s="16"/>
    </row>
    <row r="45" customFormat="false" ht="15.75" hidden="false" customHeight="false" outlineLevel="0" collapsed="false">
      <c r="A45" s="9"/>
      <c r="B45" s="10"/>
      <c r="C45" s="10"/>
      <c r="D45" s="10"/>
      <c r="E45" s="10"/>
      <c r="F45" s="10"/>
      <c r="G45" s="10"/>
      <c r="H45" s="10"/>
      <c r="I45" s="25" t="n">
        <v>4</v>
      </c>
      <c r="J45" s="25" t="s">
        <v>33</v>
      </c>
      <c r="K45" s="26" t="n">
        <f aca="false">42.87</f>
        <v>42.87</v>
      </c>
      <c r="L45" s="26" t="n">
        <f aca="false">148.57</f>
        <v>148.57</v>
      </c>
      <c r="M45" s="25" t="n">
        <v>16</v>
      </c>
      <c r="N45" s="25" t="n">
        <v>38</v>
      </c>
      <c r="O45" s="25" t="n">
        <v>138.9</v>
      </c>
      <c r="P45" s="26" t="n">
        <f aca="false">27.57</f>
        <v>27.57</v>
      </c>
      <c r="Q45" s="26" t="n">
        <f aca="false">154.2</f>
        <v>154.2</v>
      </c>
      <c r="R45" s="25" t="n">
        <v>22.2</v>
      </c>
      <c r="S45" s="25" t="n">
        <v>24</v>
      </c>
      <c r="T45" s="25" t="n">
        <v>428</v>
      </c>
      <c r="U45" s="27" t="s">
        <v>29</v>
      </c>
      <c r="V45" s="21"/>
      <c r="W45" s="16"/>
      <c r="X45" s="16"/>
      <c r="Y45" s="16"/>
    </row>
    <row r="46" customFormat="false" ht="15.75" hidden="false" customHeight="true" outlineLevel="0" collapsed="false">
      <c r="A46" s="9" t="s">
        <v>43</v>
      </c>
      <c r="B46" s="10" t="s">
        <v>44</v>
      </c>
      <c r="C46" s="11" t="s">
        <v>51</v>
      </c>
      <c r="D46" s="10" t="s">
        <v>28</v>
      </c>
      <c r="E46" s="10" t="s">
        <v>28</v>
      </c>
      <c r="F46" s="10"/>
      <c r="G46" s="10" t="n">
        <v>12</v>
      </c>
      <c r="H46" s="10" t="n">
        <v>2</v>
      </c>
      <c r="I46" s="12" t="n">
        <v>1</v>
      </c>
      <c r="J46" s="12" t="s">
        <v>47</v>
      </c>
      <c r="K46" s="13" t="n">
        <f aca="false">36.68</f>
        <v>36.68</v>
      </c>
      <c r="L46" s="13" t="n">
        <f aca="false">121.27</f>
        <v>121.27</v>
      </c>
      <c r="M46" s="12" t="n">
        <v>18</v>
      </c>
      <c r="N46" s="12" t="n">
        <v>28</v>
      </c>
      <c r="O46" s="12" t="n">
        <v>89.1</v>
      </c>
      <c r="P46" s="13" t="n">
        <f aca="false">24.42</f>
        <v>24.42</v>
      </c>
      <c r="Q46" s="13" t="n">
        <f aca="false">122.3</f>
        <v>122.3</v>
      </c>
      <c r="R46" s="12" t="n">
        <v>12.7</v>
      </c>
      <c r="S46" s="12" t="n">
        <v>13.7</v>
      </c>
      <c r="T46" s="12" t="n">
        <v>503</v>
      </c>
      <c r="U46" s="14" t="s">
        <v>29</v>
      </c>
      <c r="V46" s="15"/>
      <c r="W46" s="16" t="str">
        <f aca="false">A46</f>
        <v>JB</v>
      </c>
      <c r="X46" s="17" t="e">
        <f aca="false">ifs(C46="","",X46="",NOW(),TRUE(),X46)</f>
        <v>#VALUE!</v>
      </c>
      <c r="Y46" s="17" t="e">
        <f aca="false">ifs(COUNTA(K46:U49)&lt;44,"",Y46="",NOW(),TRUE(),Y46)</f>
        <v>#VALUE!</v>
      </c>
    </row>
    <row r="47" customFormat="false" ht="15.75" hidden="false" customHeight="false" outlineLevel="0" collapsed="false">
      <c r="A47" s="9"/>
      <c r="B47" s="10"/>
      <c r="C47" s="10"/>
      <c r="D47" s="10"/>
      <c r="E47" s="10"/>
      <c r="F47" s="10"/>
      <c r="G47" s="10"/>
      <c r="H47" s="10"/>
      <c r="I47" s="18" t="n">
        <v>2</v>
      </c>
      <c r="J47" s="18" t="s">
        <v>35</v>
      </c>
      <c r="K47" s="19" t="n">
        <f aca="false">41.12</f>
        <v>41.12</v>
      </c>
      <c r="L47" s="19" t="n">
        <f aca="false">130.95</f>
        <v>130.95</v>
      </c>
      <c r="M47" s="18" t="n">
        <v>20</v>
      </c>
      <c r="N47" s="18" t="n">
        <v>36</v>
      </c>
      <c r="O47" s="18" t="n">
        <v>107.9</v>
      </c>
      <c r="P47" s="19" t="n">
        <f aca="false">25.55</f>
        <v>25.55</v>
      </c>
      <c r="Q47" s="19" t="n">
        <f aca="false">138.63</f>
        <v>138.63</v>
      </c>
      <c r="R47" s="18" t="n">
        <v>17.9</v>
      </c>
      <c r="S47" s="18" t="n">
        <v>13.8</v>
      </c>
      <c r="T47" s="18" t="n">
        <v>610</v>
      </c>
      <c r="U47" s="20" t="s">
        <v>29</v>
      </c>
      <c r="V47" s="21"/>
      <c r="W47" s="16"/>
      <c r="X47" s="16"/>
      <c r="Y47" s="16"/>
    </row>
    <row r="48" customFormat="false" ht="15.75" hidden="false" customHeight="false" outlineLevel="0" collapsed="false">
      <c r="A48" s="9"/>
      <c r="B48" s="10"/>
      <c r="C48" s="10"/>
      <c r="D48" s="10"/>
      <c r="E48" s="10"/>
      <c r="F48" s="10"/>
      <c r="G48" s="10"/>
      <c r="H48" s="10"/>
      <c r="I48" s="22" t="n">
        <v>3</v>
      </c>
      <c r="J48" s="22" t="s">
        <v>50</v>
      </c>
      <c r="K48" s="23" t="n">
        <f aca="false">37.5</f>
        <v>37.5</v>
      </c>
      <c r="L48" s="23" t="n">
        <f aca="false">130.03</f>
        <v>130.03</v>
      </c>
      <c r="M48" s="22" t="n">
        <v>16</v>
      </c>
      <c r="N48" s="22" t="n">
        <v>34</v>
      </c>
      <c r="O48" s="22" t="n">
        <v>92.5</v>
      </c>
      <c r="P48" s="23" t="n">
        <f aca="false">23.48</f>
        <v>23.48</v>
      </c>
      <c r="Q48" s="23" t="n">
        <f aca="false">137.83</f>
        <v>137.83</v>
      </c>
      <c r="R48" s="22" t="n">
        <v>15.5</v>
      </c>
      <c r="S48" s="22" t="n">
        <v>16.3</v>
      </c>
      <c r="T48" s="22" t="n">
        <v>472</v>
      </c>
      <c r="U48" s="24" t="s">
        <v>29</v>
      </c>
      <c r="V48" s="15"/>
      <c r="W48" s="16"/>
      <c r="X48" s="16"/>
      <c r="Y48" s="16"/>
    </row>
    <row r="49" customFormat="false" ht="15.75" hidden="false" customHeight="false" outlineLevel="0" collapsed="false">
      <c r="A49" s="9"/>
      <c r="B49" s="10"/>
      <c r="C49" s="10"/>
      <c r="D49" s="10"/>
      <c r="E49" s="10"/>
      <c r="F49" s="10"/>
      <c r="G49" s="10"/>
      <c r="H49" s="10"/>
      <c r="I49" s="25" t="n">
        <v>4</v>
      </c>
      <c r="J49" s="25" t="s">
        <v>35</v>
      </c>
      <c r="K49" s="26" t="n">
        <f aca="false">37.91</f>
        <v>37.91</v>
      </c>
      <c r="L49" s="26" t="n">
        <f aca="false">135.62</f>
        <v>135.62</v>
      </c>
      <c r="M49" s="25" t="n">
        <v>16</v>
      </c>
      <c r="N49" s="25" t="n">
        <v>34</v>
      </c>
      <c r="O49" s="25" t="n">
        <v>99.7</v>
      </c>
      <c r="P49" s="26" t="n">
        <f aca="false">25.26</f>
        <v>25.26</v>
      </c>
      <c r="Q49" s="26" t="n">
        <f aca="false">133.42</f>
        <v>133.42</v>
      </c>
      <c r="R49" s="25" t="n">
        <v>16.6</v>
      </c>
      <c r="S49" s="25" t="n">
        <v>14.1</v>
      </c>
      <c r="T49" s="25" t="n">
        <v>572</v>
      </c>
      <c r="U49" s="27" t="s">
        <v>29</v>
      </c>
      <c r="V49" s="21"/>
      <c r="W49" s="16"/>
      <c r="X49" s="16"/>
      <c r="Y49" s="16"/>
    </row>
    <row r="50" customFormat="false" ht="15.75" hidden="false" customHeight="true" outlineLevel="0" collapsed="false">
      <c r="A50" s="9" t="s">
        <v>43</v>
      </c>
      <c r="B50" s="10" t="s">
        <v>44</v>
      </c>
      <c r="C50" s="11" t="s">
        <v>52</v>
      </c>
      <c r="D50" s="10" t="s">
        <v>28</v>
      </c>
      <c r="E50" s="10" t="s">
        <v>28</v>
      </c>
      <c r="F50" s="10"/>
      <c r="G50" s="10" t="n">
        <v>2</v>
      </c>
      <c r="H50" s="10" t="n">
        <v>0.2</v>
      </c>
      <c r="I50" s="12" t="n">
        <v>1</v>
      </c>
      <c r="J50" s="12" t="s">
        <v>49</v>
      </c>
      <c r="K50" s="13" t="n">
        <f aca="false">41.18</f>
        <v>41.18</v>
      </c>
      <c r="L50" s="13" t="n">
        <f aca="false">142.44</f>
        <v>142.44</v>
      </c>
      <c r="M50" s="12" t="n">
        <v>16</v>
      </c>
      <c r="N50" s="12" t="n">
        <v>36</v>
      </c>
      <c r="O50" s="12" t="n">
        <v>122.8</v>
      </c>
      <c r="P50" s="13" t="n">
        <f aca="false">27.35</f>
        <v>27.35</v>
      </c>
      <c r="Q50" s="13" t="n">
        <f aca="false">162.15</f>
        <v>162.15</v>
      </c>
      <c r="R50" s="12" t="n">
        <v>18</v>
      </c>
      <c r="S50" s="12" t="n">
        <v>18.8</v>
      </c>
      <c r="T50" s="12" t="n">
        <v>568</v>
      </c>
      <c r="U50" s="14" t="s">
        <v>29</v>
      </c>
      <c r="V50" s="15"/>
      <c r="W50" s="16" t="str">
        <f aca="false">A50</f>
        <v>JB</v>
      </c>
      <c r="X50" s="17" t="e">
        <f aca="false">ifs(C50="","",X50="",NOW(),TRUE(),X50)</f>
        <v>#VALUE!</v>
      </c>
      <c r="Y50" s="17" t="e">
        <f aca="false">ifs(COUNTA(K50:U53)&lt;44,"",Y50="",NOW(),TRUE(),Y50)</f>
        <v>#VALUE!</v>
      </c>
    </row>
    <row r="51" customFormat="false" ht="15.75" hidden="false" customHeight="false" outlineLevel="0" collapsed="false">
      <c r="A51" s="9"/>
      <c r="B51" s="10"/>
      <c r="C51" s="10"/>
      <c r="D51" s="10"/>
      <c r="E51" s="10"/>
      <c r="F51" s="10"/>
      <c r="G51" s="10"/>
      <c r="H51" s="10"/>
      <c r="I51" s="18" t="n">
        <v>2</v>
      </c>
      <c r="J51" s="18" t="s">
        <v>49</v>
      </c>
      <c r="K51" s="19" t="n">
        <f aca="false">41.7</f>
        <v>41.7</v>
      </c>
      <c r="L51" s="19" t="n">
        <f aca="false">130.05</f>
        <v>130.05</v>
      </c>
      <c r="M51" s="18" t="n">
        <v>16</v>
      </c>
      <c r="N51" s="18" t="n">
        <v>34</v>
      </c>
      <c r="O51" s="18" t="n">
        <v>116.9</v>
      </c>
      <c r="P51" s="19" t="n">
        <f aca="false">25.99</f>
        <v>25.99</v>
      </c>
      <c r="Q51" s="19" t="n">
        <f aca="false">152.19</f>
        <v>152.19</v>
      </c>
      <c r="R51" s="18" t="n">
        <v>18.3</v>
      </c>
      <c r="S51" s="18" t="n">
        <v>17.1</v>
      </c>
      <c r="T51" s="18" t="n">
        <v>551</v>
      </c>
      <c r="U51" s="20" t="s">
        <v>29</v>
      </c>
      <c r="V51" s="21"/>
      <c r="W51" s="16"/>
      <c r="X51" s="16"/>
      <c r="Y51" s="16"/>
    </row>
    <row r="52" customFormat="false" ht="15.75" hidden="false" customHeight="false" outlineLevel="0" collapsed="false">
      <c r="A52" s="9"/>
      <c r="B52" s="10"/>
      <c r="C52" s="10"/>
      <c r="D52" s="10"/>
      <c r="E52" s="10"/>
      <c r="F52" s="10"/>
      <c r="G52" s="10"/>
      <c r="H52" s="10"/>
      <c r="I52" s="22" t="n">
        <v>3</v>
      </c>
      <c r="J52" s="22" t="s">
        <v>49</v>
      </c>
      <c r="K52" s="23" t="n">
        <f aca="false">43.56</f>
        <v>43.56</v>
      </c>
      <c r="L52" s="23" t="n">
        <f aca="false">152.25</f>
        <v>152.25</v>
      </c>
      <c r="M52" s="22" t="n">
        <v>16</v>
      </c>
      <c r="N52" s="22" t="n">
        <v>38</v>
      </c>
      <c r="O52" s="22" t="n">
        <v>152.3</v>
      </c>
      <c r="P52" s="23" t="n">
        <f aca="false">27.95</f>
        <v>27.95</v>
      </c>
      <c r="Q52" s="23" t="n">
        <f aca="false">164.55</f>
        <v>164.55</v>
      </c>
      <c r="R52" s="22" t="n">
        <v>22</v>
      </c>
      <c r="S52" s="22" t="n">
        <v>21.8</v>
      </c>
      <c r="T52" s="22" t="n">
        <v>588</v>
      </c>
      <c r="U52" s="24" t="s">
        <v>29</v>
      </c>
      <c r="V52" s="15"/>
      <c r="W52" s="16"/>
      <c r="X52" s="16"/>
      <c r="Y52" s="16"/>
    </row>
    <row r="53" customFormat="false" ht="15.75" hidden="false" customHeight="false" outlineLevel="0" collapsed="false">
      <c r="A53" s="9"/>
      <c r="B53" s="10"/>
      <c r="C53" s="10"/>
      <c r="D53" s="10"/>
      <c r="E53" s="10"/>
      <c r="F53" s="10"/>
      <c r="G53" s="10"/>
      <c r="H53" s="10"/>
      <c r="I53" s="25" t="n">
        <v>4</v>
      </c>
      <c r="J53" s="25" t="s">
        <v>49</v>
      </c>
      <c r="K53" s="26" t="n">
        <f aca="false">41.62</f>
        <v>41.62</v>
      </c>
      <c r="L53" s="26" t="n">
        <f aca="false">156.28</f>
        <v>156.28</v>
      </c>
      <c r="M53" s="25" t="n">
        <v>14</v>
      </c>
      <c r="N53" s="25" t="n">
        <v>42</v>
      </c>
      <c r="O53" s="25" t="n">
        <v>151.9</v>
      </c>
      <c r="P53" s="26" t="n">
        <f aca="false">24.88</f>
        <v>24.88</v>
      </c>
      <c r="Q53" s="26" t="n">
        <f aca="false">170.15</f>
        <v>170.15</v>
      </c>
      <c r="R53" s="25" t="n">
        <v>20.7</v>
      </c>
      <c r="S53" s="25" t="n">
        <v>21.8</v>
      </c>
      <c r="T53" s="25" t="n">
        <v>613</v>
      </c>
      <c r="U53" s="27" t="s">
        <v>29</v>
      </c>
      <c r="V53" s="21"/>
      <c r="W53" s="16"/>
      <c r="X53" s="16"/>
      <c r="Y53" s="16"/>
    </row>
    <row r="54" customFormat="false" ht="15.75" hidden="false" customHeight="true" outlineLevel="0" collapsed="false">
      <c r="A54" s="9" t="s">
        <v>43</v>
      </c>
      <c r="B54" s="10" t="s">
        <v>44</v>
      </c>
      <c r="C54" s="11" t="s">
        <v>53</v>
      </c>
      <c r="D54" s="10" t="s">
        <v>28</v>
      </c>
      <c r="E54" s="10" t="s">
        <v>28</v>
      </c>
      <c r="F54" s="10" t="s">
        <v>54</v>
      </c>
      <c r="G54" s="10" t="n">
        <v>23</v>
      </c>
      <c r="H54" s="10" t="n">
        <v>4.6</v>
      </c>
      <c r="I54" s="12" t="n">
        <v>1</v>
      </c>
      <c r="J54" s="12" t="s">
        <v>46</v>
      </c>
      <c r="K54" s="13" t="n">
        <f aca="false">43.19</f>
        <v>43.19</v>
      </c>
      <c r="L54" s="13" t="n">
        <f aca="false">115.88</f>
        <v>115.88</v>
      </c>
      <c r="M54" s="12" t="n">
        <v>16</v>
      </c>
      <c r="N54" s="12" t="n">
        <v>32</v>
      </c>
      <c r="O54" s="12" t="n">
        <v>86.9</v>
      </c>
      <c r="P54" s="13" t="n">
        <f aca="false">32.26</f>
        <v>32.26</v>
      </c>
      <c r="Q54" s="13" t="n">
        <f aca="false">135.11</f>
        <v>135.11</v>
      </c>
      <c r="R54" s="12" t="n">
        <v>17.9</v>
      </c>
      <c r="S54" s="12" t="n">
        <v>12.8</v>
      </c>
      <c r="T54" s="12" t="n">
        <v>495</v>
      </c>
      <c r="U54" s="14" t="s">
        <v>55</v>
      </c>
      <c r="V54" s="15"/>
      <c r="W54" s="16" t="str">
        <f aca="false">A54</f>
        <v>JB</v>
      </c>
      <c r="X54" s="17" t="e">
        <f aca="false">ifs(C54="","",X54="",NOW(),TRUE(),X54)</f>
        <v>#VALUE!</v>
      </c>
      <c r="Y54" s="17" t="e">
        <f aca="false">ifs(COUNTA(K54:U57)&lt;44,"",Y54="",NOW(),TRUE(),Y54)</f>
        <v>#VALUE!</v>
      </c>
    </row>
    <row r="55" customFormat="false" ht="15.75" hidden="false" customHeight="false" outlineLevel="0" collapsed="false">
      <c r="A55" s="9"/>
      <c r="B55" s="10"/>
      <c r="C55" s="10"/>
      <c r="D55" s="10"/>
      <c r="E55" s="10"/>
      <c r="F55" s="10"/>
      <c r="G55" s="10"/>
      <c r="H55" s="10"/>
      <c r="I55" s="18" t="n">
        <v>2</v>
      </c>
      <c r="J55" s="18" t="s">
        <v>50</v>
      </c>
      <c r="K55" s="19" t="n">
        <f aca="false">39.05</f>
        <v>39.05</v>
      </c>
      <c r="L55" s="19" t="n">
        <f aca="false">120.12</f>
        <v>120.12</v>
      </c>
      <c r="M55" s="18" t="n">
        <v>14</v>
      </c>
      <c r="N55" s="18" t="n">
        <v>32</v>
      </c>
      <c r="O55" s="18" t="n">
        <v>88.9</v>
      </c>
      <c r="P55" s="19" t="n">
        <f aca="false">28.61</f>
        <v>28.61</v>
      </c>
      <c r="Q55" s="19" t="n">
        <f aca="false">133.84</f>
        <v>133.84</v>
      </c>
      <c r="R55" s="18" t="n">
        <v>17.6</v>
      </c>
      <c r="S55" s="18" t="n">
        <v>15.8</v>
      </c>
      <c r="T55" s="18" t="n">
        <v>443</v>
      </c>
      <c r="U55" s="20" t="s">
        <v>55</v>
      </c>
      <c r="V55" s="21"/>
      <c r="W55" s="16"/>
      <c r="X55" s="16"/>
      <c r="Y55" s="16"/>
    </row>
    <row r="56" customFormat="false" ht="15.75" hidden="false" customHeight="false" outlineLevel="0" collapsed="false">
      <c r="A56" s="9"/>
      <c r="B56" s="10"/>
      <c r="C56" s="10"/>
      <c r="D56" s="10"/>
      <c r="E56" s="10"/>
      <c r="F56" s="10"/>
      <c r="G56" s="10"/>
      <c r="H56" s="10"/>
      <c r="I56" s="22" t="n">
        <v>3</v>
      </c>
      <c r="J56" s="22" t="s">
        <v>46</v>
      </c>
      <c r="K56" s="23" t="n">
        <f aca="false">44.63</f>
        <v>44.63</v>
      </c>
      <c r="L56" s="23" t="n">
        <f aca="false">146.42</f>
        <v>146.42</v>
      </c>
      <c r="M56" s="22" t="n">
        <v>16</v>
      </c>
      <c r="N56" s="22" t="n">
        <v>42</v>
      </c>
      <c r="O56" s="22" t="n">
        <v>158.8</v>
      </c>
      <c r="P56" s="23" t="n">
        <f aca="false">30.35</f>
        <v>30.35</v>
      </c>
      <c r="Q56" s="23" t="n">
        <f aca="false">167.5</f>
        <v>167.5</v>
      </c>
      <c r="R56" s="22" t="n">
        <v>24.8</v>
      </c>
      <c r="S56" s="22" t="n">
        <v>22.2</v>
      </c>
      <c r="T56" s="22" t="n">
        <v>638</v>
      </c>
      <c r="U56" s="24" t="s">
        <v>55</v>
      </c>
      <c r="V56" s="15"/>
      <c r="W56" s="16"/>
      <c r="X56" s="16"/>
      <c r="Y56" s="16"/>
    </row>
    <row r="57" customFormat="false" ht="15.75" hidden="false" customHeight="false" outlineLevel="0" collapsed="false">
      <c r="A57" s="9"/>
      <c r="B57" s="10"/>
      <c r="C57" s="10"/>
      <c r="D57" s="10"/>
      <c r="E57" s="10"/>
      <c r="F57" s="10"/>
      <c r="G57" s="10"/>
      <c r="H57" s="10"/>
      <c r="I57" s="25" t="n">
        <v>4</v>
      </c>
      <c r="J57" s="25" t="s">
        <v>35</v>
      </c>
      <c r="K57" s="26" t="n">
        <f aca="false">47.85</f>
        <v>47.85</v>
      </c>
      <c r="L57" s="26" t="n">
        <f aca="false">152.87</f>
        <v>152.87</v>
      </c>
      <c r="M57" s="25" t="n">
        <v>12</v>
      </c>
      <c r="N57" s="25" t="n">
        <v>40</v>
      </c>
      <c r="O57" s="25" t="n">
        <v>169.9</v>
      </c>
      <c r="P57" s="26" t="n">
        <f aca="false">28.59</f>
        <v>28.59</v>
      </c>
      <c r="Q57" s="26" t="n">
        <f aca="false">172.79</f>
        <v>172.79</v>
      </c>
      <c r="R57" s="25" t="n">
        <v>24.4</v>
      </c>
      <c r="S57" s="25" t="n">
        <v>26.9</v>
      </c>
      <c r="T57" s="25" t="n">
        <v>531</v>
      </c>
      <c r="U57" s="27" t="s">
        <v>55</v>
      </c>
      <c r="V57" s="21"/>
      <c r="W57" s="16"/>
      <c r="X57" s="16"/>
      <c r="Y57" s="16"/>
    </row>
    <row r="58" customFormat="false" ht="15.75" hidden="false" customHeight="true" outlineLevel="0" collapsed="false">
      <c r="A58" s="9" t="s">
        <v>43</v>
      </c>
      <c r="B58" s="10" t="s">
        <v>44</v>
      </c>
      <c r="C58" s="11" t="s">
        <v>56</v>
      </c>
      <c r="D58" s="10" t="s">
        <v>28</v>
      </c>
      <c r="E58" s="10" t="s">
        <v>28</v>
      </c>
      <c r="F58" s="10"/>
      <c r="G58" s="10" t="n">
        <v>25</v>
      </c>
      <c r="H58" s="10" t="n">
        <v>4.7</v>
      </c>
      <c r="I58" s="12" t="n">
        <v>1</v>
      </c>
      <c r="J58" s="12" t="s">
        <v>57</v>
      </c>
      <c r="K58" s="13" t="n">
        <f aca="false">41.01</f>
        <v>41.01</v>
      </c>
      <c r="L58" s="13" t="n">
        <f aca="false">129.43</f>
        <v>129.43</v>
      </c>
      <c r="M58" s="12" t="n">
        <v>14</v>
      </c>
      <c r="N58" s="12" t="n">
        <v>32</v>
      </c>
      <c r="O58" s="12" t="n">
        <v>86.6</v>
      </c>
      <c r="P58" s="13" t="n">
        <f aca="false">26.13</f>
        <v>26.13</v>
      </c>
      <c r="Q58" s="13" t="n">
        <f aca="false">140.16</f>
        <v>140.16</v>
      </c>
      <c r="R58" s="12" t="n">
        <v>10.4</v>
      </c>
      <c r="S58" s="12" t="n">
        <v>14.9</v>
      </c>
      <c r="T58" s="12" t="n">
        <v>418</v>
      </c>
      <c r="U58" s="14" t="s">
        <v>58</v>
      </c>
      <c r="V58" s="15"/>
      <c r="W58" s="16" t="str">
        <f aca="false">A58</f>
        <v>JB</v>
      </c>
      <c r="X58" s="17" t="e">
        <f aca="false">ifs(C58="","",X58="",NOW(),TRUE(),X58)</f>
        <v>#VALUE!</v>
      </c>
      <c r="Y58" s="17" t="e">
        <f aca="false">ifs(COUNTA(K58:U61)&lt;44,"",Y58="",NOW(),TRUE(),Y58)</f>
        <v>#VALUE!</v>
      </c>
    </row>
    <row r="59" customFormat="false" ht="15.75" hidden="false" customHeight="false" outlineLevel="0" collapsed="false">
      <c r="A59" s="9"/>
      <c r="B59" s="10"/>
      <c r="C59" s="10"/>
      <c r="D59" s="10"/>
      <c r="E59" s="10"/>
      <c r="F59" s="10"/>
      <c r="G59" s="10"/>
      <c r="H59" s="10"/>
      <c r="I59" s="18" t="n">
        <v>2</v>
      </c>
      <c r="J59" s="18" t="s">
        <v>35</v>
      </c>
      <c r="K59" s="19" t="n">
        <f aca="false">41.82</f>
        <v>41.82</v>
      </c>
      <c r="L59" s="19" t="n">
        <f aca="false">147.04</f>
        <v>147.04</v>
      </c>
      <c r="M59" s="18" t="n">
        <v>12</v>
      </c>
      <c r="N59" s="18" t="n">
        <v>36</v>
      </c>
      <c r="O59" s="18" t="n">
        <v>138.4</v>
      </c>
      <c r="P59" s="19" t="n">
        <f aca="false">24.48</f>
        <v>24.48</v>
      </c>
      <c r="Q59" s="19" t="n">
        <f aca="false">155.5</f>
        <v>155.5</v>
      </c>
      <c r="R59" s="18" t="n">
        <v>15.3</v>
      </c>
      <c r="S59" s="18" t="n">
        <v>23.7</v>
      </c>
      <c r="T59" s="18" t="n">
        <v>493</v>
      </c>
      <c r="U59" s="20" t="s">
        <v>58</v>
      </c>
      <c r="V59" s="21"/>
      <c r="W59" s="16"/>
      <c r="X59" s="16"/>
      <c r="Y59" s="16"/>
    </row>
    <row r="60" customFormat="false" ht="15.75" hidden="false" customHeight="false" outlineLevel="0" collapsed="false">
      <c r="A60" s="9"/>
      <c r="B60" s="10"/>
      <c r="C60" s="10"/>
      <c r="D60" s="10"/>
      <c r="E60" s="10"/>
      <c r="F60" s="10"/>
      <c r="G60" s="10"/>
      <c r="H60" s="10"/>
      <c r="I60" s="22" t="n">
        <v>3</v>
      </c>
      <c r="J60" s="22" t="s">
        <v>35</v>
      </c>
      <c r="K60" s="23" t="n">
        <f aca="false">40.93</f>
        <v>40.93</v>
      </c>
      <c r="L60" s="23" t="n">
        <f aca="false">157.99</f>
        <v>157.99</v>
      </c>
      <c r="M60" s="22" t="n">
        <v>12</v>
      </c>
      <c r="N60" s="22" t="n">
        <v>36</v>
      </c>
      <c r="O60" s="22" t="n">
        <v>136</v>
      </c>
      <c r="P60" s="23" t="n">
        <f aca="false">24.02</f>
        <v>24.02</v>
      </c>
      <c r="Q60" s="23" t="n">
        <f aca="false">159.03</f>
        <v>159.03</v>
      </c>
      <c r="R60" s="22" t="n">
        <v>16</v>
      </c>
      <c r="S60" s="22" t="n">
        <v>22.6</v>
      </c>
      <c r="T60" s="22" t="n">
        <v>512</v>
      </c>
      <c r="U60" s="24" t="s">
        <v>58</v>
      </c>
      <c r="V60" s="15"/>
      <c r="W60" s="16"/>
      <c r="X60" s="16"/>
      <c r="Y60" s="16"/>
    </row>
    <row r="61" customFormat="false" ht="15.75" hidden="false" customHeight="false" outlineLevel="0" collapsed="false">
      <c r="A61" s="9"/>
      <c r="B61" s="10"/>
      <c r="C61" s="10"/>
      <c r="D61" s="10"/>
      <c r="E61" s="10"/>
      <c r="F61" s="10"/>
      <c r="G61" s="10"/>
      <c r="H61" s="10"/>
      <c r="I61" s="25" t="n">
        <v>4</v>
      </c>
      <c r="J61" s="25" t="s">
        <v>49</v>
      </c>
      <c r="K61" s="26" t="n">
        <f aca="false">44.35</f>
        <v>44.35</v>
      </c>
      <c r="L61" s="26" t="n">
        <f aca="false">131.24</f>
        <v>131.24</v>
      </c>
      <c r="M61" s="25" t="n">
        <v>16</v>
      </c>
      <c r="N61" s="25" t="n">
        <v>34</v>
      </c>
      <c r="O61" s="25" t="n">
        <v>125.7</v>
      </c>
      <c r="P61" s="26" t="n">
        <f aca="false">24.54</f>
        <v>24.54</v>
      </c>
      <c r="Q61" s="26" t="n">
        <f aca="false">145.9</f>
        <v>145.9</v>
      </c>
      <c r="R61" s="25" t="n">
        <v>14</v>
      </c>
      <c r="S61" s="25" t="n">
        <v>19.8</v>
      </c>
      <c r="T61" s="25" t="n">
        <v>560</v>
      </c>
      <c r="U61" s="27" t="s">
        <v>58</v>
      </c>
      <c r="V61" s="21"/>
      <c r="W61" s="16"/>
      <c r="X61" s="16"/>
      <c r="Y61" s="16"/>
    </row>
    <row r="62" customFormat="false" ht="15.75" hidden="false" customHeight="true" outlineLevel="0" collapsed="false">
      <c r="A62" s="9" t="s">
        <v>43</v>
      </c>
      <c r="B62" s="10" t="s">
        <v>44</v>
      </c>
      <c r="C62" s="11" t="s">
        <v>59</v>
      </c>
      <c r="D62" s="10" t="s">
        <v>28</v>
      </c>
      <c r="E62" s="10" t="s">
        <v>28</v>
      </c>
      <c r="F62" s="10"/>
      <c r="G62" s="10" t="n">
        <v>22</v>
      </c>
      <c r="H62" s="10" t="n">
        <v>4.5</v>
      </c>
      <c r="I62" s="12" t="n">
        <v>1</v>
      </c>
      <c r="J62" s="12" t="s">
        <v>49</v>
      </c>
      <c r="K62" s="13" t="n">
        <f aca="false">39.49</f>
        <v>39.49</v>
      </c>
      <c r="L62" s="13" t="n">
        <f aca="false">131.34</f>
        <v>131.34</v>
      </c>
      <c r="M62" s="12" t="n">
        <v>14</v>
      </c>
      <c r="N62" s="12" t="n">
        <v>28</v>
      </c>
      <c r="O62" s="12" t="n">
        <v>109.7</v>
      </c>
      <c r="P62" s="13" t="n">
        <f aca="false">24.8</f>
        <v>24.8</v>
      </c>
      <c r="Q62" s="13" t="n">
        <f aca="false">149.53</f>
        <v>149.53</v>
      </c>
      <c r="R62" s="12" t="n">
        <v>14.5</v>
      </c>
      <c r="S62" s="12" t="n">
        <v>21.9</v>
      </c>
      <c r="T62" s="12" t="n">
        <v>580</v>
      </c>
      <c r="U62" s="14" t="s">
        <v>29</v>
      </c>
      <c r="V62" s="15"/>
      <c r="W62" s="16" t="str">
        <f aca="false">A62</f>
        <v>JB</v>
      </c>
      <c r="X62" s="17" t="e">
        <f aca="false">ifs(C62="","",X62="",NOW(),TRUE(),X62)</f>
        <v>#VALUE!</v>
      </c>
      <c r="Y62" s="17" t="e">
        <f aca="false">ifs(COUNTA(K62:U65)&lt;44,"",Y62="",NOW(),TRUE(),Y62)</f>
        <v>#VALUE!</v>
      </c>
    </row>
    <row r="63" customFormat="false" ht="15.75" hidden="false" customHeight="false" outlineLevel="0" collapsed="false">
      <c r="A63" s="9"/>
      <c r="B63" s="10"/>
      <c r="C63" s="10"/>
      <c r="D63" s="10"/>
      <c r="E63" s="10"/>
      <c r="F63" s="10"/>
      <c r="G63" s="10"/>
      <c r="H63" s="10"/>
      <c r="I63" s="18" t="n">
        <v>2</v>
      </c>
      <c r="J63" s="18" t="s">
        <v>46</v>
      </c>
      <c r="K63" s="19" t="n">
        <f aca="false">38.4</f>
        <v>38.4</v>
      </c>
      <c r="L63" s="19" t="n">
        <f aca="false">123.5</f>
        <v>123.5</v>
      </c>
      <c r="M63" s="18" t="n">
        <v>14</v>
      </c>
      <c r="N63" s="18" t="n">
        <v>30</v>
      </c>
      <c r="O63" s="18" t="n">
        <v>100.3</v>
      </c>
      <c r="P63" s="19" t="n">
        <f aca="false">22.21</f>
        <v>22.21</v>
      </c>
      <c r="Q63" s="19" t="n">
        <f aca="false">134.91</f>
        <v>134.91</v>
      </c>
      <c r="R63" s="18" t="n">
        <v>11.2</v>
      </c>
      <c r="S63" s="18" t="n">
        <v>21</v>
      </c>
      <c r="T63" s="18" t="n">
        <v>424</v>
      </c>
      <c r="U63" s="20" t="s">
        <v>29</v>
      </c>
      <c r="V63" s="21"/>
      <c r="W63" s="16"/>
      <c r="X63" s="16"/>
      <c r="Y63" s="16"/>
    </row>
    <row r="64" customFormat="false" ht="15.75" hidden="false" customHeight="false" outlineLevel="0" collapsed="false">
      <c r="A64" s="9"/>
      <c r="B64" s="10"/>
      <c r="C64" s="10"/>
      <c r="D64" s="10"/>
      <c r="E64" s="10"/>
      <c r="F64" s="10"/>
      <c r="G64" s="10"/>
      <c r="H64" s="10"/>
      <c r="I64" s="22" t="n">
        <v>3</v>
      </c>
      <c r="J64" s="22" t="s">
        <v>49</v>
      </c>
      <c r="K64" s="23" t="n">
        <f aca="false">37.19</f>
        <v>37.19</v>
      </c>
      <c r="L64" s="23" t="n">
        <f aca="false">136.16</f>
        <v>136.16</v>
      </c>
      <c r="M64" s="22" t="n">
        <v>12</v>
      </c>
      <c r="N64" s="22" t="n">
        <v>32</v>
      </c>
      <c r="O64" s="22" t="n">
        <v>96.6</v>
      </c>
      <c r="P64" s="23" t="n">
        <f aca="false">24.4</f>
        <v>24.4</v>
      </c>
      <c r="Q64" s="23" t="n">
        <f aca="false">136.29</f>
        <v>136.29</v>
      </c>
      <c r="R64" s="22" t="n">
        <v>11.8</v>
      </c>
      <c r="S64" s="22" t="n">
        <v>21.9</v>
      </c>
      <c r="T64" s="22" t="n">
        <v>369</v>
      </c>
      <c r="U64" s="24" t="s">
        <v>29</v>
      </c>
      <c r="V64" s="15"/>
      <c r="W64" s="16"/>
      <c r="X64" s="16"/>
      <c r="Y64" s="16"/>
    </row>
    <row r="65" customFormat="false" ht="15.75" hidden="false" customHeight="false" outlineLevel="0" collapsed="false">
      <c r="A65" s="9"/>
      <c r="B65" s="10"/>
      <c r="C65" s="10"/>
      <c r="D65" s="10"/>
      <c r="E65" s="10"/>
      <c r="F65" s="10"/>
      <c r="G65" s="10"/>
      <c r="H65" s="10"/>
      <c r="I65" s="25" t="n">
        <v>4</v>
      </c>
      <c r="J65" s="25" t="s">
        <v>49</v>
      </c>
      <c r="K65" s="26" t="n">
        <f aca="false">38.85</f>
        <v>38.85</v>
      </c>
      <c r="L65" s="26" t="n">
        <f aca="false">126.84</f>
        <v>126.84</v>
      </c>
      <c r="M65" s="25" t="n">
        <v>16</v>
      </c>
      <c r="N65" s="25" t="n">
        <v>26</v>
      </c>
      <c r="O65" s="25" t="n">
        <v>97</v>
      </c>
      <c r="P65" s="26" t="n">
        <f aca="false">26.54</f>
        <v>26.54</v>
      </c>
      <c r="Q65" s="26" t="n">
        <f aca="false">151.24</f>
        <v>151.24</v>
      </c>
      <c r="R65" s="25" t="n">
        <v>12.6</v>
      </c>
      <c r="S65" s="25" t="n">
        <v>19.9</v>
      </c>
      <c r="T65" s="25" t="n">
        <v>414</v>
      </c>
      <c r="U65" s="27" t="s">
        <v>29</v>
      </c>
      <c r="V65" s="21"/>
      <c r="W65" s="16"/>
      <c r="X65" s="16"/>
      <c r="Y65" s="16"/>
    </row>
    <row r="66" customFormat="false" ht="15.75" hidden="false" customHeight="true" outlineLevel="0" collapsed="false">
      <c r="A66" s="9" t="s">
        <v>43</v>
      </c>
      <c r="B66" s="10" t="s">
        <v>44</v>
      </c>
      <c r="C66" s="11" t="s">
        <v>60</v>
      </c>
      <c r="D66" s="10" t="s">
        <v>28</v>
      </c>
      <c r="E66" s="10" t="s">
        <v>28</v>
      </c>
      <c r="F66" s="10" t="s">
        <v>61</v>
      </c>
      <c r="G66" s="10" t="n">
        <v>7</v>
      </c>
      <c r="H66" s="10" t="n">
        <v>1.4</v>
      </c>
      <c r="I66" s="12" t="n">
        <v>1</v>
      </c>
      <c r="J66" s="12" t="s">
        <v>46</v>
      </c>
      <c r="K66" s="13" t="n">
        <f aca="false">36.58</f>
        <v>36.58</v>
      </c>
      <c r="L66" s="13" t="n">
        <f aca="false">126.78</f>
        <v>126.78</v>
      </c>
      <c r="M66" s="12" t="n">
        <v>14</v>
      </c>
      <c r="N66" s="12" t="n">
        <v>32</v>
      </c>
      <c r="O66" s="12" t="n">
        <v>87.2</v>
      </c>
      <c r="P66" s="13" t="n">
        <f aca="false">27.15</f>
        <v>27.15</v>
      </c>
      <c r="Q66" s="13" t="n">
        <f aca="false">128.07</f>
        <v>128.07</v>
      </c>
      <c r="R66" s="12" t="n">
        <v>15.9</v>
      </c>
      <c r="S66" s="12" t="n">
        <v>17.6</v>
      </c>
      <c r="T66" s="12" t="n">
        <v>408</v>
      </c>
      <c r="U66" s="14" t="s">
        <v>58</v>
      </c>
      <c r="V66" s="15"/>
      <c r="W66" s="16" t="str">
        <f aca="false">A66</f>
        <v>JB</v>
      </c>
      <c r="X66" s="17" t="e">
        <f aca="false">ifs(C66="","",X66="",NOW(),TRUE(),X66)</f>
        <v>#VALUE!</v>
      </c>
      <c r="Y66" s="17" t="e">
        <f aca="false">ifs(COUNTA(K66:U69)&lt;44,"",Y66="",NOW(),TRUE(),Y66)</f>
        <v>#VALUE!</v>
      </c>
    </row>
    <row r="67" customFormat="false" ht="15.75" hidden="false" customHeight="false" outlineLevel="0" collapsed="false">
      <c r="A67" s="9"/>
      <c r="B67" s="10"/>
      <c r="C67" s="10"/>
      <c r="D67" s="10"/>
      <c r="E67" s="10"/>
      <c r="F67" s="10"/>
      <c r="G67" s="10"/>
      <c r="H67" s="10"/>
      <c r="I67" s="18" t="n">
        <v>2</v>
      </c>
      <c r="J67" s="18" t="s">
        <v>49</v>
      </c>
      <c r="K67" s="19" t="n">
        <f aca="false">38.82</f>
        <v>38.82</v>
      </c>
      <c r="L67" s="19" t="n">
        <f aca="false">138.95</f>
        <v>138.95</v>
      </c>
      <c r="M67" s="18" t="n">
        <v>14</v>
      </c>
      <c r="N67" s="18" t="n">
        <v>36</v>
      </c>
      <c r="O67" s="18" t="n">
        <v>111.4</v>
      </c>
      <c r="P67" s="19" t="n">
        <f aca="false">25.45</f>
        <v>25.45</v>
      </c>
      <c r="Q67" s="19" t="n">
        <f aca="false">147.63</f>
        <v>147.63</v>
      </c>
      <c r="R67" s="18" t="n">
        <v>18.3</v>
      </c>
      <c r="S67" s="18" t="n">
        <v>18.9</v>
      </c>
      <c r="T67" s="18" t="n">
        <v>499</v>
      </c>
      <c r="U67" s="20" t="s">
        <v>58</v>
      </c>
      <c r="V67" s="21"/>
      <c r="W67" s="16"/>
      <c r="X67" s="16"/>
      <c r="Y67" s="16"/>
    </row>
    <row r="68" customFormat="false" ht="15.75" hidden="false" customHeight="false" outlineLevel="0" collapsed="false">
      <c r="A68" s="9"/>
      <c r="B68" s="10"/>
      <c r="C68" s="10"/>
      <c r="D68" s="10"/>
      <c r="E68" s="10"/>
      <c r="F68" s="10"/>
      <c r="G68" s="10"/>
      <c r="H68" s="10"/>
      <c r="I68" s="22" t="n">
        <v>3</v>
      </c>
      <c r="J68" s="22" t="s">
        <v>47</v>
      </c>
      <c r="K68" s="23" t="n">
        <f aca="false">40.23</f>
        <v>40.23</v>
      </c>
      <c r="L68" s="23" t="n">
        <f aca="false">145.77</f>
        <v>145.77</v>
      </c>
      <c r="M68" s="22" t="n">
        <v>14</v>
      </c>
      <c r="N68" s="22" t="n">
        <v>36</v>
      </c>
      <c r="O68" s="22" t="n">
        <v>131.8</v>
      </c>
      <c r="P68" s="23" t="n">
        <f aca="false">26.98</f>
        <v>26.98</v>
      </c>
      <c r="Q68" s="23" t="n">
        <f aca="false">153.92</f>
        <v>153.92</v>
      </c>
      <c r="R68" s="22" t="n">
        <v>21.6</v>
      </c>
      <c r="S68" s="22" t="n">
        <v>21.6</v>
      </c>
      <c r="T68" s="22" t="n">
        <v>526</v>
      </c>
      <c r="U68" s="24" t="s">
        <v>58</v>
      </c>
      <c r="V68" s="15"/>
      <c r="W68" s="16"/>
      <c r="X68" s="16"/>
      <c r="Y68" s="16"/>
    </row>
    <row r="69" customFormat="false" ht="15.75" hidden="false" customHeight="false" outlineLevel="0" collapsed="false">
      <c r="A69" s="9"/>
      <c r="B69" s="10"/>
      <c r="C69" s="10"/>
      <c r="D69" s="10"/>
      <c r="E69" s="10"/>
      <c r="F69" s="10"/>
      <c r="G69" s="10"/>
      <c r="H69" s="10"/>
      <c r="I69" s="25" t="n">
        <v>4</v>
      </c>
      <c r="J69" s="25" t="s">
        <v>35</v>
      </c>
      <c r="K69" s="26" t="n">
        <f aca="false">40.43</f>
        <v>40.43</v>
      </c>
      <c r="L69" s="26" t="n">
        <f aca="false">157.6</f>
        <v>157.6</v>
      </c>
      <c r="M69" s="25" t="n">
        <v>14</v>
      </c>
      <c r="N69" s="25" t="n">
        <v>36</v>
      </c>
      <c r="O69" s="25" t="n">
        <v>131.2</v>
      </c>
      <c r="P69" s="26" t="n">
        <f aca="false">26.78</f>
        <v>26.78</v>
      </c>
      <c r="Q69" s="26" t="n">
        <f aca="false">156.77</f>
        <v>156.77</v>
      </c>
      <c r="R69" s="25" t="n">
        <v>22.8</v>
      </c>
      <c r="S69" s="25" t="n">
        <v>20.5</v>
      </c>
      <c r="T69" s="25" t="n">
        <v>531</v>
      </c>
      <c r="U69" s="27" t="s">
        <v>58</v>
      </c>
      <c r="V69" s="21"/>
      <c r="W69" s="16"/>
      <c r="X69" s="16"/>
      <c r="Y69" s="16"/>
    </row>
    <row r="70" customFormat="false" ht="15.75" hidden="false" customHeight="true" outlineLevel="0" collapsed="false">
      <c r="A70" s="9" t="s">
        <v>43</v>
      </c>
      <c r="B70" s="10" t="s">
        <v>44</v>
      </c>
      <c r="C70" s="11" t="s">
        <v>62</v>
      </c>
      <c r="D70" s="10" t="s">
        <v>28</v>
      </c>
      <c r="E70" s="10" t="s">
        <v>28</v>
      </c>
      <c r="F70" s="10"/>
      <c r="G70" s="10" t="n">
        <v>21</v>
      </c>
      <c r="H70" s="10" t="n">
        <v>4</v>
      </c>
      <c r="I70" s="12" t="n">
        <v>1</v>
      </c>
      <c r="J70" s="12" t="s">
        <v>35</v>
      </c>
      <c r="K70" s="13" t="n">
        <f aca="false">41.92</f>
        <v>41.92</v>
      </c>
      <c r="L70" s="13" t="n">
        <f aca="false">145.11</f>
        <v>145.11</v>
      </c>
      <c r="M70" s="12" t="n">
        <v>14</v>
      </c>
      <c r="N70" s="12" t="n">
        <v>38</v>
      </c>
      <c r="O70" s="12" t="n">
        <v>122.8</v>
      </c>
      <c r="P70" s="13" t="n">
        <f aca="false">25.93</f>
        <v>25.93</v>
      </c>
      <c r="Q70" s="13" t="n">
        <f aca="false">143.69</f>
        <v>143.69</v>
      </c>
      <c r="R70" s="12" t="n">
        <v>17.6</v>
      </c>
      <c r="S70" s="12" t="n">
        <v>22.6</v>
      </c>
      <c r="T70" s="12" t="n">
        <v>451</v>
      </c>
      <c r="U70" s="14" t="s">
        <v>29</v>
      </c>
      <c r="V70" s="15"/>
      <c r="W70" s="16" t="str">
        <f aca="false">A70</f>
        <v>JB</v>
      </c>
      <c r="X70" s="17" t="e">
        <f aca="false">ifs(C70="","",X70="",NOW(),TRUE(),X70)</f>
        <v>#VALUE!</v>
      </c>
      <c r="Y70" s="17" t="e">
        <f aca="false">ifs(COUNTA(K70:U73)&lt;44,"",Y70="",NOW(),TRUE(),Y70)</f>
        <v>#VALUE!</v>
      </c>
    </row>
    <row r="71" customFormat="false" ht="15.75" hidden="false" customHeight="false" outlineLevel="0" collapsed="false">
      <c r="A71" s="9"/>
      <c r="B71" s="10"/>
      <c r="C71" s="10"/>
      <c r="D71" s="10"/>
      <c r="E71" s="10"/>
      <c r="F71" s="10"/>
      <c r="G71" s="10"/>
      <c r="H71" s="10"/>
      <c r="I71" s="18" t="n">
        <v>2</v>
      </c>
      <c r="J71" s="18" t="s">
        <v>47</v>
      </c>
      <c r="K71" s="19" t="n">
        <f aca="false">41.46</f>
        <v>41.46</v>
      </c>
      <c r="L71" s="19" t="n">
        <f aca="false">150.13</f>
        <v>150.13</v>
      </c>
      <c r="M71" s="18" t="n">
        <v>16</v>
      </c>
      <c r="N71" s="18" t="n">
        <v>38</v>
      </c>
      <c r="O71" s="18" t="n">
        <v>128.9</v>
      </c>
      <c r="P71" s="19" t="n">
        <f aca="false">26.76</f>
        <v>26.76</v>
      </c>
      <c r="Q71" s="19" t="n">
        <f aca="false">160.03</f>
        <v>160.03</v>
      </c>
      <c r="R71" s="18" t="n">
        <v>19</v>
      </c>
      <c r="S71" s="18" t="n">
        <v>16.6</v>
      </c>
      <c r="T71" s="18" t="n">
        <v>641</v>
      </c>
      <c r="U71" s="20" t="s">
        <v>29</v>
      </c>
      <c r="V71" s="21"/>
      <c r="W71" s="16"/>
      <c r="X71" s="16"/>
      <c r="Y71" s="16"/>
    </row>
    <row r="72" customFormat="false" ht="15.75" hidden="false" customHeight="false" outlineLevel="0" collapsed="false">
      <c r="A72" s="9"/>
      <c r="B72" s="10"/>
      <c r="C72" s="10"/>
      <c r="D72" s="10"/>
      <c r="E72" s="10"/>
      <c r="F72" s="10"/>
      <c r="G72" s="10"/>
      <c r="H72" s="10"/>
      <c r="I72" s="22" t="n">
        <v>3</v>
      </c>
      <c r="J72" s="22" t="s">
        <v>33</v>
      </c>
      <c r="K72" s="23" t="n">
        <f aca="false">42.43</f>
        <v>42.43</v>
      </c>
      <c r="L72" s="23" t="n">
        <f aca="false">161.21</f>
        <v>161.21</v>
      </c>
      <c r="M72" s="22" t="n">
        <v>14</v>
      </c>
      <c r="N72" s="22" t="n">
        <v>40</v>
      </c>
      <c r="O72" s="22" t="n">
        <v>151.7</v>
      </c>
      <c r="P72" s="23" t="n">
        <f aca="false">26.19</f>
        <v>26.19</v>
      </c>
      <c r="Q72" s="23" t="n">
        <f aca="false">165.89</f>
        <v>165.89</v>
      </c>
      <c r="R72" s="22" t="n">
        <v>20.7</v>
      </c>
      <c r="S72" s="22" t="n">
        <v>20.6</v>
      </c>
      <c r="T72" s="22" t="n">
        <v>574</v>
      </c>
      <c r="U72" s="24" t="s">
        <v>29</v>
      </c>
      <c r="V72" s="15"/>
      <c r="W72" s="16"/>
      <c r="X72" s="16"/>
      <c r="Y72" s="16"/>
    </row>
    <row r="73" customFormat="false" ht="15.75" hidden="false" customHeight="false" outlineLevel="0" collapsed="false">
      <c r="A73" s="9"/>
      <c r="B73" s="10"/>
      <c r="C73" s="10"/>
      <c r="D73" s="10"/>
      <c r="E73" s="10"/>
      <c r="F73" s="10"/>
      <c r="G73" s="10"/>
      <c r="H73" s="10"/>
      <c r="I73" s="25" t="n">
        <v>4</v>
      </c>
      <c r="J73" s="25" t="s">
        <v>47</v>
      </c>
      <c r="K73" s="26" t="n">
        <f aca="false">40.89</f>
        <v>40.89</v>
      </c>
      <c r="L73" s="26" t="n">
        <f aca="false">168.18</f>
        <v>168.18</v>
      </c>
      <c r="M73" s="25" t="n">
        <v>14</v>
      </c>
      <c r="N73" s="25" t="n">
        <v>42</v>
      </c>
      <c r="O73" s="25" t="n">
        <v>136.6</v>
      </c>
      <c r="P73" s="26" t="n">
        <f aca="false">26.66</f>
        <v>26.66</v>
      </c>
      <c r="Q73" s="26" t="n">
        <f aca="false">181.3</f>
        <v>181.3</v>
      </c>
      <c r="R73" s="25" t="n">
        <v>24</v>
      </c>
      <c r="S73" s="25" t="n">
        <v>20.3</v>
      </c>
      <c r="T73" s="25" t="n">
        <v>541</v>
      </c>
      <c r="U73" s="27" t="s">
        <v>29</v>
      </c>
      <c r="V73" s="21"/>
      <c r="W73" s="16"/>
      <c r="X73" s="16"/>
      <c r="Y73" s="16"/>
    </row>
    <row r="74" customFormat="false" ht="15.75" hidden="false" customHeight="true" outlineLevel="0" collapsed="false">
      <c r="A74" s="9" t="s">
        <v>43</v>
      </c>
      <c r="B74" s="10" t="s">
        <v>44</v>
      </c>
      <c r="C74" s="11" t="s">
        <v>63</v>
      </c>
      <c r="D74" s="10" t="s">
        <v>28</v>
      </c>
      <c r="E74" s="10" t="s">
        <v>28</v>
      </c>
      <c r="F74" s="10"/>
      <c r="G74" s="10" t="n">
        <v>70</v>
      </c>
      <c r="H74" s="10" t="n">
        <v>13.3</v>
      </c>
      <c r="I74" s="12" t="n">
        <v>1</v>
      </c>
      <c r="J74" s="12" t="s">
        <v>49</v>
      </c>
      <c r="K74" s="13" t="n">
        <f aca="false">47.67</f>
        <v>47.67</v>
      </c>
      <c r="L74" s="13" t="n">
        <f aca="false">117.93</f>
        <v>117.93</v>
      </c>
      <c r="M74" s="12" t="n">
        <v>18</v>
      </c>
      <c r="N74" s="12" t="n">
        <v>28</v>
      </c>
      <c r="O74" s="12" t="n">
        <v>134.9</v>
      </c>
      <c r="P74" s="13" t="n">
        <f aca="false">28.15</f>
        <v>28.15</v>
      </c>
      <c r="Q74" s="13" t="n">
        <f aca="false">119.17</f>
        <v>119.17</v>
      </c>
      <c r="R74" s="12" t="n">
        <v>16.2</v>
      </c>
      <c r="S74" s="12" t="n">
        <v>23.5</v>
      </c>
      <c r="T74" s="12" t="n">
        <v>490</v>
      </c>
      <c r="U74" s="14" t="s">
        <v>29</v>
      </c>
      <c r="V74" s="15"/>
      <c r="W74" s="16" t="str">
        <f aca="false">A74</f>
        <v>JB</v>
      </c>
      <c r="X74" s="17" t="e">
        <f aca="false">ifs(C74="","",X74="",NOW(),TRUE(),X74)</f>
        <v>#VALUE!</v>
      </c>
      <c r="Y74" s="17" t="e">
        <f aca="false">ifs(COUNTA(K74:U77)&lt;44,"",Y74="",NOW(),TRUE(),Y74)</f>
        <v>#VALUE!</v>
      </c>
    </row>
    <row r="75" customFormat="false" ht="15.75" hidden="false" customHeight="false" outlineLevel="0" collapsed="false">
      <c r="A75" s="9"/>
      <c r="B75" s="10"/>
      <c r="C75" s="10"/>
      <c r="D75" s="10"/>
      <c r="E75" s="10"/>
      <c r="F75" s="10"/>
      <c r="G75" s="10"/>
      <c r="H75" s="10"/>
      <c r="I75" s="18" t="n">
        <v>2</v>
      </c>
      <c r="J75" s="18" t="s">
        <v>47</v>
      </c>
      <c r="K75" s="19" t="n">
        <f aca="false">45.08</f>
        <v>45.08</v>
      </c>
      <c r="L75" s="19" t="n">
        <f aca="false">141.43</f>
        <v>141.43</v>
      </c>
      <c r="M75" s="18" t="n">
        <v>16</v>
      </c>
      <c r="N75" s="18" t="n">
        <v>32</v>
      </c>
      <c r="O75" s="18" t="n">
        <v>141.5</v>
      </c>
      <c r="P75" s="19" t="n">
        <f aca="false">28.18</f>
        <v>28.18</v>
      </c>
      <c r="Q75" s="19" t="n">
        <f aca="false">151.66</f>
        <v>151.66</v>
      </c>
      <c r="R75" s="18" t="n">
        <v>16.2</v>
      </c>
      <c r="S75" s="18" t="n">
        <v>24.6</v>
      </c>
      <c r="T75" s="18" t="n">
        <v>498</v>
      </c>
      <c r="U75" s="20" t="s">
        <v>29</v>
      </c>
      <c r="V75" s="21"/>
      <c r="W75" s="16"/>
      <c r="X75" s="16"/>
      <c r="Y75" s="16"/>
    </row>
    <row r="76" customFormat="false" ht="15.75" hidden="false" customHeight="false" outlineLevel="0" collapsed="false">
      <c r="A76" s="9"/>
      <c r="B76" s="10"/>
      <c r="C76" s="10"/>
      <c r="D76" s="10"/>
      <c r="E76" s="10"/>
      <c r="F76" s="10"/>
      <c r="G76" s="10"/>
      <c r="H76" s="10"/>
      <c r="I76" s="22" t="n">
        <v>3</v>
      </c>
      <c r="J76" s="22" t="s">
        <v>47</v>
      </c>
      <c r="K76" s="23" t="n">
        <f aca="false">44.19</f>
        <v>44.19</v>
      </c>
      <c r="L76" s="23" t="n">
        <f aca="false">137.56</f>
        <v>137.56</v>
      </c>
      <c r="M76" s="22" t="n">
        <v>16</v>
      </c>
      <c r="N76" s="22" t="n">
        <v>32</v>
      </c>
      <c r="O76" s="22" t="n">
        <v>138</v>
      </c>
      <c r="P76" s="23" t="n">
        <f aca="false">31.19</f>
        <v>31.19</v>
      </c>
      <c r="Q76" s="23" t="n">
        <f aca="false">152.34</f>
        <v>152.34</v>
      </c>
      <c r="R76" s="22" t="n">
        <v>16.3</v>
      </c>
      <c r="S76" s="22" t="n">
        <v>23.3</v>
      </c>
      <c r="T76" s="22" t="n">
        <v>505</v>
      </c>
      <c r="U76" s="24" t="s">
        <v>29</v>
      </c>
      <c r="V76" s="15"/>
      <c r="W76" s="16"/>
      <c r="X76" s="16"/>
      <c r="Y76" s="16"/>
    </row>
    <row r="77" customFormat="false" ht="15.75" hidden="false" customHeight="false" outlineLevel="0" collapsed="false">
      <c r="A77" s="9"/>
      <c r="B77" s="10"/>
      <c r="C77" s="10"/>
      <c r="D77" s="10"/>
      <c r="E77" s="10"/>
      <c r="F77" s="10"/>
      <c r="G77" s="10"/>
      <c r="H77" s="10"/>
      <c r="I77" s="25" t="n">
        <v>4</v>
      </c>
      <c r="J77" s="25" t="s">
        <v>49</v>
      </c>
      <c r="K77" s="26" t="n">
        <f aca="false">47.18</f>
        <v>47.18</v>
      </c>
      <c r="L77" s="26" t="n">
        <f aca="false">134.77</f>
        <v>134.77</v>
      </c>
      <c r="M77" s="25" t="n">
        <v>18</v>
      </c>
      <c r="N77" s="25" t="n">
        <v>32</v>
      </c>
      <c r="O77" s="25" t="n">
        <v>147.3</v>
      </c>
      <c r="P77" s="26" t="n">
        <f aca="false">28.86</f>
        <v>28.86</v>
      </c>
      <c r="Q77" s="26" t="n">
        <f aca="false">139.19</f>
        <v>139.19</v>
      </c>
      <c r="R77" s="25" t="n">
        <v>17.6</v>
      </c>
      <c r="S77" s="25" t="n">
        <v>27.1</v>
      </c>
      <c r="T77" s="25" t="n">
        <v>677</v>
      </c>
      <c r="U77" s="27" t="s">
        <v>29</v>
      </c>
      <c r="V77" s="21"/>
      <c r="W77" s="16"/>
      <c r="X77" s="16"/>
      <c r="Y77" s="16"/>
    </row>
    <row r="78" customFormat="false" ht="15.75" hidden="false" customHeight="true" outlineLevel="0" collapsed="false">
      <c r="A78" s="9" t="s">
        <v>43</v>
      </c>
      <c r="B78" s="10" t="s">
        <v>44</v>
      </c>
      <c r="C78" s="11" t="s">
        <v>64</v>
      </c>
      <c r="D78" s="10" t="s">
        <v>28</v>
      </c>
      <c r="E78" s="10" t="s">
        <v>28</v>
      </c>
      <c r="F78" s="10"/>
      <c r="G78" s="10" t="n">
        <v>12</v>
      </c>
      <c r="H78" s="10" t="n">
        <v>3</v>
      </c>
      <c r="I78" s="12" t="n">
        <v>1</v>
      </c>
      <c r="J78" s="12" t="s">
        <v>49</v>
      </c>
      <c r="K78" s="13" t="n">
        <f aca="false">40.58</f>
        <v>40.58</v>
      </c>
      <c r="L78" s="13" t="n">
        <f aca="false">124.6</f>
        <v>124.6</v>
      </c>
      <c r="M78" s="12" t="n">
        <v>12</v>
      </c>
      <c r="N78" s="12" t="n">
        <v>32</v>
      </c>
      <c r="O78" s="12" t="n">
        <v>111.4</v>
      </c>
      <c r="P78" s="13" t="n">
        <f aca="false">24.67</f>
        <v>24.67</v>
      </c>
      <c r="Q78" s="13" t="n">
        <f aca="false">130.29</f>
        <v>130.29</v>
      </c>
      <c r="R78" s="12" t="n">
        <v>12.9</v>
      </c>
      <c r="S78" s="12" t="n">
        <v>23.9</v>
      </c>
      <c r="T78" s="12" t="n">
        <v>396</v>
      </c>
      <c r="U78" s="14" t="s">
        <v>29</v>
      </c>
      <c r="V78" s="15"/>
      <c r="W78" s="16" t="str">
        <f aca="false">A78</f>
        <v>JB</v>
      </c>
      <c r="X78" s="17" t="e">
        <f aca="false">ifs(C78="","",X78="",NOW(),TRUE(),X78)</f>
        <v>#VALUE!</v>
      </c>
      <c r="Y78" s="17" t="e">
        <f aca="false">ifs(COUNTA(K78:U81)&lt;44,"",Y78="",NOW(),TRUE(),Y78)</f>
        <v>#VALUE!</v>
      </c>
    </row>
    <row r="79" customFormat="false" ht="15.75" hidden="false" customHeight="false" outlineLevel="0" collapsed="false">
      <c r="A79" s="9"/>
      <c r="B79" s="10"/>
      <c r="C79" s="10"/>
      <c r="D79" s="10"/>
      <c r="E79" s="10"/>
      <c r="F79" s="10"/>
      <c r="G79" s="10"/>
      <c r="H79" s="10"/>
      <c r="I79" s="18" t="n">
        <v>2</v>
      </c>
      <c r="J79" s="18" t="s">
        <v>49</v>
      </c>
      <c r="K79" s="19" t="n">
        <f aca="false">42.06</f>
        <v>42.06</v>
      </c>
      <c r="L79" s="19" t="n">
        <f aca="false">157.36</f>
        <v>157.36</v>
      </c>
      <c r="M79" s="18" t="n">
        <v>12</v>
      </c>
      <c r="N79" s="18" t="n">
        <v>40</v>
      </c>
      <c r="O79" s="18" t="n">
        <v>138.9</v>
      </c>
      <c r="P79" s="19" t="n">
        <f aca="false">24.81</f>
        <v>24.81</v>
      </c>
      <c r="Q79" s="19" t="n">
        <f aca="false">170.15</f>
        <v>170.15</v>
      </c>
      <c r="R79" s="18" t="n">
        <v>17.1</v>
      </c>
      <c r="S79" s="18" t="n">
        <v>21.4</v>
      </c>
      <c r="T79" s="18" t="n">
        <v>764</v>
      </c>
      <c r="U79" s="20" t="s">
        <v>29</v>
      </c>
      <c r="V79" s="21"/>
      <c r="W79" s="16"/>
      <c r="X79" s="16"/>
      <c r="Y79" s="16"/>
    </row>
    <row r="80" customFormat="false" ht="15.75" hidden="false" customHeight="false" outlineLevel="0" collapsed="false">
      <c r="A80" s="9"/>
      <c r="B80" s="10"/>
      <c r="C80" s="10"/>
      <c r="D80" s="10"/>
      <c r="E80" s="10"/>
      <c r="F80" s="10"/>
      <c r="G80" s="10"/>
      <c r="H80" s="10"/>
      <c r="I80" s="22" t="n">
        <v>3</v>
      </c>
      <c r="J80" s="22" t="s">
        <v>49</v>
      </c>
      <c r="K80" s="23" t="n">
        <f aca="false">42.39</f>
        <v>42.39</v>
      </c>
      <c r="L80" s="23" t="n">
        <f aca="false">146.78</f>
        <v>146.78</v>
      </c>
      <c r="M80" s="22" t="n">
        <v>12</v>
      </c>
      <c r="N80" s="22" t="n">
        <v>40</v>
      </c>
      <c r="O80" s="22" t="n">
        <v>146.7</v>
      </c>
      <c r="P80" s="23" t="n">
        <f aca="false">24.28</f>
        <v>24.28</v>
      </c>
      <c r="Q80" s="23" t="n">
        <f aca="false">170.69</f>
        <v>170.69</v>
      </c>
      <c r="R80" s="22" t="n">
        <v>18.6</v>
      </c>
      <c r="S80" s="22" t="n">
        <v>21.6</v>
      </c>
      <c r="T80" s="22" t="n">
        <v>640</v>
      </c>
      <c r="U80" s="24" t="s">
        <v>29</v>
      </c>
      <c r="V80" s="15"/>
      <c r="W80" s="16"/>
      <c r="X80" s="16"/>
      <c r="Y80" s="16"/>
    </row>
    <row r="81" customFormat="false" ht="15.75" hidden="false" customHeight="false" outlineLevel="0" collapsed="false">
      <c r="A81" s="9"/>
      <c r="B81" s="10"/>
      <c r="C81" s="10"/>
      <c r="D81" s="10"/>
      <c r="E81" s="10"/>
      <c r="F81" s="10"/>
      <c r="G81" s="10"/>
      <c r="H81" s="10"/>
      <c r="I81" s="25" t="n">
        <v>4</v>
      </c>
      <c r="J81" s="25" t="s">
        <v>33</v>
      </c>
      <c r="K81" s="26" t="n">
        <f aca="false">43.24</f>
        <v>43.24</v>
      </c>
      <c r="L81" s="26" t="n">
        <f aca="false">157.79</f>
        <v>157.79</v>
      </c>
      <c r="M81" s="25" t="n">
        <v>14</v>
      </c>
      <c r="N81" s="25" t="n">
        <v>42</v>
      </c>
      <c r="O81" s="25" t="n">
        <v>154.3</v>
      </c>
      <c r="P81" s="26" t="n">
        <f aca="false">24.8</f>
        <v>24.8</v>
      </c>
      <c r="Q81" s="26" t="n">
        <f aca="false">173.97</f>
        <v>173.97</v>
      </c>
      <c r="R81" s="25" t="n">
        <v>19.8</v>
      </c>
      <c r="S81" s="25" t="n">
        <v>14.7</v>
      </c>
      <c r="T81" s="25" t="n">
        <v>813</v>
      </c>
      <c r="U81" s="27" t="s">
        <v>29</v>
      </c>
      <c r="V81" s="21"/>
      <c r="W81" s="16"/>
      <c r="X81" s="16"/>
      <c r="Y81" s="16"/>
    </row>
    <row r="82" customFormat="false" ht="15.75" hidden="false" customHeight="true" outlineLevel="0" collapsed="false">
      <c r="A82" s="9" t="s">
        <v>43</v>
      </c>
      <c r="B82" s="10" t="s">
        <v>44</v>
      </c>
      <c r="C82" s="11" t="s">
        <v>65</v>
      </c>
      <c r="D82" s="10" t="s">
        <v>28</v>
      </c>
      <c r="E82" s="10" t="s">
        <v>28</v>
      </c>
      <c r="F82" s="10"/>
      <c r="G82" s="10" t="n">
        <v>41</v>
      </c>
      <c r="H82" s="10" t="n">
        <v>10</v>
      </c>
      <c r="I82" s="12" t="n">
        <v>1</v>
      </c>
      <c r="J82" s="12" t="s">
        <v>35</v>
      </c>
      <c r="K82" s="13" t="n">
        <f aca="false">37.96</f>
        <v>37.96</v>
      </c>
      <c r="L82" s="13" t="n">
        <f aca="false">110.78</f>
        <v>110.78</v>
      </c>
      <c r="M82" s="12" t="n">
        <v>12</v>
      </c>
      <c r="N82" s="12" t="n">
        <v>30</v>
      </c>
      <c r="O82" s="12" t="n">
        <v>90.8</v>
      </c>
      <c r="P82" s="13" t="n">
        <f aca="false">24.25</f>
        <v>24.25</v>
      </c>
      <c r="Q82" s="13" t="n">
        <f aca="false">118.5</f>
        <v>118.5</v>
      </c>
      <c r="R82" s="12" t="n">
        <v>12.7</v>
      </c>
      <c r="S82" s="12" t="n">
        <v>23.2</v>
      </c>
      <c r="T82" s="12" t="n">
        <v>336</v>
      </c>
      <c r="U82" s="14" t="s">
        <v>58</v>
      </c>
      <c r="V82" s="15"/>
      <c r="W82" s="16" t="str">
        <f aca="false">A82</f>
        <v>JB</v>
      </c>
      <c r="X82" s="17" t="e">
        <f aca="false">ifs(C82="","",X82="",NOW(),TRUE(),X82)</f>
        <v>#VALUE!</v>
      </c>
      <c r="Y82" s="17" t="e">
        <f aca="false">ifs(COUNTA(K82:U85)&lt;44,"",Y82="",NOW(),TRUE(),Y82)</f>
        <v>#VALUE!</v>
      </c>
    </row>
    <row r="83" customFormat="false" ht="15.75" hidden="false" customHeight="false" outlineLevel="0" collapsed="false">
      <c r="A83" s="9"/>
      <c r="B83" s="10"/>
      <c r="C83" s="10"/>
      <c r="D83" s="10"/>
      <c r="E83" s="10"/>
      <c r="F83" s="10"/>
      <c r="G83" s="10"/>
      <c r="H83" s="10"/>
      <c r="I83" s="18" t="n">
        <v>2</v>
      </c>
      <c r="J83" s="18" t="s">
        <v>49</v>
      </c>
      <c r="K83" s="19" t="n">
        <f aca="false">39.93</f>
        <v>39.93</v>
      </c>
      <c r="L83" s="19" t="n">
        <f aca="false">113.1</f>
        <v>113.1</v>
      </c>
      <c r="M83" s="18" t="n">
        <v>14</v>
      </c>
      <c r="N83" s="18" t="n">
        <v>30</v>
      </c>
      <c r="O83" s="18" t="n">
        <v>99.6</v>
      </c>
      <c r="P83" s="19" t="n">
        <f aca="false">24.85</f>
        <v>24.85</v>
      </c>
      <c r="Q83" s="19" t="n">
        <f aca="false">125.6</f>
        <v>125.6</v>
      </c>
      <c r="R83" s="18" t="n">
        <v>13.6</v>
      </c>
      <c r="S83" s="18" t="n">
        <v>21.2</v>
      </c>
      <c r="T83" s="18" t="n">
        <v>405</v>
      </c>
      <c r="U83" s="20" t="s">
        <v>58</v>
      </c>
      <c r="V83" s="21"/>
      <c r="W83" s="16"/>
      <c r="X83" s="16"/>
      <c r="Y83" s="16"/>
    </row>
    <row r="84" customFormat="false" ht="15.75" hidden="false" customHeight="false" outlineLevel="0" collapsed="false">
      <c r="A84" s="9"/>
      <c r="B84" s="10"/>
      <c r="C84" s="10"/>
      <c r="D84" s="10"/>
      <c r="E84" s="10"/>
      <c r="F84" s="10"/>
      <c r="G84" s="10"/>
      <c r="H84" s="10"/>
      <c r="I84" s="22" t="n">
        <v>3</v>
      </c>
      <c r="J84" s="22" t="s">
        <v>49</v>
      </c>
      <c r="K84" s="23" t="n">
        <f aca="false">40.49</f>
        <v>40.49</v>
      </c>
      <c r="L84" s="23" t="n">
        <f aca="false">106.74</f>
        <v>106.74</v>
      </c>
      <c r="M84" s="22" t="n">
        <v>14</v>
      </c>
      <c r="N84" s="22" t="n">
        <v>29</v>
      </c>
      <c r="O84" s="22" t="n">
        <v>91.1</v>
      </c>
      <c r="P84" s="23" t="n">
        <f aca="false">25</f>
        <v>25</v>
      </c>
      <c r="Q84" s="23" t="n">
        <f aca="false">118.58</f>
        <v>118.58</v>
      </c>
      <c r="R84" s="22" t="n">
        <v>13.3</v>
      </c>
      <c r="S84" s="22" t="n">
        <v>20.4</v>
      </c>
      <c r="T84" s="22" t="n">
        <v>384</v>
      </c>
      <c r="U84" s="24" t="s">
        <v>58</v>
      </c>
      <c r="V84" s="15"/>
      <c r="W84" s="16"/>
      <c r="X84" s="16"/>
      <c r="Y84" s="16"/>
    </row>
    <row r="85" customFormat="false" ht="15.75" hidden="false" customHeight="false" outlineLevel="0" collapsed="false">
      <c r="A85" s="9"/>
      <c r="B85" s="10"/>
      <c r="C85" s="10"/>
      <c r="D85" s="10"/>
      <c r="E85" s="10"/>
      <c r="F85" s="10"/>
      <c r="G85" s="10"/>
      <c r="H85" s="10"/>
      <c r="I85" s="25" t="n">
        <v>4</v>
      </c>
      <c r="J85" s="25" t="s">
        <v>49</v>
      </c>
      <c r="K85" s="26" t="n">
        <f aca="false">41.92</f>
        <v>41.92</v>
      </c>
      <c r="L85" s="26" t="n">
        <f aca="false">123.82</f>
        <v>123.82</v>
      </c>
      <c r="M85" s="25" t="n">
        <v>14</v>
      </c>
      <c r="N85" s="25" t="n">
        <v>32</v>
      </c>
      <c r="O85" s="25" t="n">
        <v>114.7</v>
      </c>
      <c r="P85" s="26" t="n">
        <f aca="false">25.56</f>
        <v>25.56</v>
      </c>
      <c r="Q85" s="26" t="n">
        <f aca="false">129.75</f>
        <v>129.75</v>
      </c>
      <c r="R85" s="25" t="n">
        <v>17</v>
      </c>
      <c r="S85" s="25" t="n">
        <v>22.2</v>
      </c>
      <c r="T85" s="25" t="n">
        <v>437</v>
      </c>
      <c r="U85" s="27" t="s">
        <v>58</v>
      </c>
      <c r="V85" s="21"/>
      <c r="W85" s="16"/>
      <c r="X85" s="16"/>
      <c r="Y85" s="16"/>
    </row>
    <row r="86" customFormat="false" ht="15.75" hidden="false" customHeight="true" outlineLevel="0" collapsed="false">
      <c r="A86" s="9" t="s">
        <v>43</v>
      </c>
      <c r="B86" s="10" t="s">
        <v>44</v>
      </c>
      <c r="C86" s="11" t="s">
        <v>66</v>
      </c>
      <c r="D86" s="10" t="s">
        <v>28</v>
      </c>
      <c r="E86" s="10" t="s">
        <v>28</v>
      </c>
      <c r="F86" s="10"/>
      <c r="G86" s="10" t="n">
        <v>30</v>
      </c>
      <c r="H86" s="10" t="n">
        <v>6.1</v>
      </c>
      <c r="I86" s="12" t="n">
        <v>1</v>
      </c>
      <c r="J86" s="12" t="s">
        <v>49</v>
      </c>
      <c r="K86" s="13" t="n">
        <f aca="false">41.02</f>
        <v>41.02</v>
      </c>
      <c r="L86" s="13" t="n">
        <f aca="false">137.42</f>
        <v>137.42</v>
      </c>
      <c r="M86" s="12" t="n">
        <v>16</v>
      </c>
      <c r="N86" s="12" t="n">
        <v>36</v>
      </c>
      <c r="O86" s="12" t="n">
        <v>110.7</v>
      </c>
      <c r="P86" s="13" t="n">
        <f aca="false">25.29</f>
        <v>25.29</v>
      </c>
      <c r="Q86" s="13" t="n">
        <f aca="false">141.84</f>
        <v>141.84</v>
      </c>
      <c r="R86" s="12" t="n">
        <v>17.6</v>
      </c>
      <c r="S86" s="12" t="n">
        <v>17.4</v>
      </c>
      <c r="T86" s="12" t="n">
        <v>539</v>
      </c>
      <c r="U86" s="14" t="s">
        <v>29</v>
      </c>
      <c r="V86" s="15"/>
      <c r="W86" s="16" t="str">
        <f aca="false">A86</f>
        <v>JB</v>
      </c>
      <c r="X86" s="17" t="e">
        <f aca="false">ifs(C86="","",X86="",NOW(),TRUE(),X86)</f>
        <v>#VALUE!</v>
      </c>
      <c r="Y86" s="17" t="e">
        <f aca="false">ifs(COUNTA(K86:U89)&lt;44,"",Y86="",NOW(),TRUE(),Y86)</f>
        <v>#VALUE!</v>
      </c>
    </row>
    <row r="87" customFormat="false" ht="15.75" hidden="false" customHeight="false" outlineLevel="0" collapsed="false">
      <c r="A87" s="9"/>
      <c r="B87" s="10"/>
      <c r="C87" s="10"/>
      <c r="D87" s="10"/>
      <c r="E87" s="10"/>
      <c r="F87" s="10"/>
      <c r="G87" s="10"/>
      <c r="H87" s="10"/>
      <c r="I87" s="18" t="n">
        <v>2</v>
      </c>
      <c r="J87" s="18" t="s">
        <v>46</v>
      </c>
      <c r="K87" s="19" t="n">
        <f aca="false">37.22</f>
        <v>37.22</v>
      </c>
      <c r="L87" s="19" t="n">
        <f aca="false">140.41</f>
        <v>140.41</v>
      </c>
      <c r="M87" s="18" t="n">
        <v>12</v>
      </c>
      <c r="N87" s="18" t="n">
        <v>38</v>
      </c>
      <c r="O87" s="18" t="n">
        <v>101.9</v>
      </c>
      <c r="P87" s="19" t="n">
        <f aca="false">24.53</f>
        <v>24.53</v>
      </c>
      <c r="Q87" s="19" t="n">
        <f aca="false">151.78</f>
        <v>151.78</v>
      </c>
      <c r="R87" s="18" t="n">
        <v>17.5</v>
      </c>
      <c r="S87" s="18" t="n">
        <v>19.4</v>
      </c>
      <c r="T87" s="18" t="n">
        <v>439</v>
      </c>
      <c r="U87" s="20" t="s">
        <v>29</v>
      </c>
      <c r="V87" s="21"/>
      <c r="W87" s="16"/>
      <c r="X87" s="16"/>
      <c r="Y87" s="16"/>
    </row>
    <row r="88" customFormat="false" ht="15.75" hidden="false" customHeight="false" outlineLevel="0" collapsed="false">
      <c r="A88" s="9"/>
      <c r="B88" s="10"/>
      <c r="C88" s="10"/>
      <c r="D88" s="10"/>
      <c r="E88" s="10"/>
      <c r="F88" s="10"/>
      <c r="G88" s="10"/>
      <c r="H88" s="10"/>
      <c r="I88" s="22" t="n">
        <v>3</v>
      </c>
      <c r="J88" s="22" t="s">
        <v>35</v>
      </c>
      <c r="K88" s="23" t="n">
        <f aca="false">41.48</f>
        <v>41.48</v>
      </c>
      <c r="L88" s="23" t="n">
        <f aca="false">172.29</f>
        <v>172.29</v>
      </c>
      <c r="M88" s="22" t="n">
        <v>14</v>
      </c>
      <c r="N88" s="22" t="n">
        <v>44</v>
      </c>
      <c r="O88" s="22" t="n">
        <v>157.9</v>
      </c>
      <c r="P88" s="23" t="n">
        <f aca="false">23.55</f>
        <v>23.55</v>
      </c>
      <c r="Q88" s="23" t="n">
        <f aca="false">176.64</f>
        <v>176.64</v>
      </c>
      <c r="R88" s="22" t="n">
        <v>22.5</v>
      </c>
      <c r="S88" s="22" t="n">
        <v>21.3</v>
      </c>
      <c r="T88" s="22" t="n">
        <v>624</v>
      </c>
      <c r="U88" s="24" t="s">
        <v>29</v>
      </c>
      <c r="V88" s="15"/>
      <c r="W88" s="16"/>
      <c r="X88" s="16"/>
      <c r="Y88" s="16"/>
    </row>
    <row r="89" customFormat="false" ht="15.75" hidden="false" customHeight="false" outlineLevel="0" collapsed="false">
      <c r="A89" s="9"/>
      <c r="B89" s="10"/>
      <c r="C89" s="10"/>
      <c r="D89" s="10"/>
      <c r="E89" s="10"/>
      <c r="F89" s="10"/>
      <c r="G89" s="10"/>
      <c r="H89" s="10"/>
      <c r="I89" s="25" t="n">
        <v>4</v>
      </c>
      <c r="J89" s="25" t="s">
        <v>35</v>
      </c>
      <c r="K89" s="26" t="n">
        <f aca="false">41.05</f>
        <v>41.05</v>
      </c>
      <c r="L89" s="26" t="n">
        <f aca="false">171.08</f>
        <v>171.08</v>
      </c>
      <c r="M89" s="25" t="n">
        <v>16</v>
      </c>
      <c r="N89" s="25" t="n">
        <v>44</v>
      </c>
      <c r="O89" s="25" t="n">
        <v>153.6</v>
      </c>
      <c r="P89" s="26" t="n">
        <f aca="false">24.74</f>
        <v>24.74</v>
      </c>
      <c r="Q89" s="26" t="n">
        <f aca="false">174.66</f>
        <v>174.66</v>
      </c>
      <c r="R89" s="25" t="n">
        <v>23.6</v>
      </c>
      <c r="S89" s="25" t="n">
        <v>19.2</v>
      </c>
      <c r="T89" s="25" t="n">
        <v>665</v>
      </c>
      <c r="U89" s="27" t="s">
        <v>29</v>
      </c>
      <c r="V89" s="21"/>
      <c r="W89" s="16"/>
      <c r="X89" s="16"/>
      <c r="Y89" s="16"/>
    </row>
    <row r="90" customFormat="false" ht="15.75" hidden="false" customHeight="true" outlineLevel="0" collapsed="false">
      <c r="A90" s="9" t="s">
        <v>43</v>
      </c>
      <c r="B90" s="10" t="s">
        <v>44</v>
      </c>
      <c r="C90" s="11" t="s">
        <v>67</v>
      </c>
      <c r="D90" s="10" t="s">
        <v>28</v>
      </c>
      <c r="E90" s="10" t="s">
        <v>28</v>
      </c>
      <c r="F90" s="10"/>
      <c r="G90" s="10" t="n">
        <v>15</v>
      </c>
      <c r="H90" s="10" t="n">
        <v>2.5</v>
      </c>
      <c r="I90" s="12" t="n">
        <v>1</v>
      </c>
      <c r="J90" s="12" t="s">
        <v>49</v>
      </c>
      <c r="K90" s="13" t="n">
        <f aca="false">42.83</f>
        <v>42.83</v>
      </c>
      <c r="L90" s="13" t="n">
        <f aca="false">117.47</f>
        <v>117.47</v>
      </c>
      <c r="M90" s="12" t="n">
        <v>20</v>
      </c>
      <c r="N90" s="12" t="n">
        <v>28</v>
      </c>
      <c r="O90" s="12" t="n">
        <v>100.6</v>
      </c>
      <c r="P90" s="13" t="n">
        <f aca="false">26.61</f>
        <v>26.61</v>
      </c>
      <c r="Q90" s="13" t="n">
        <f aca="false">129.63</f>
        <v>129.63</v>
      </c>
      <c r="R90" s="12" t="n">
        <v>11</v>
      </c>
      <c r="S90" s="12" t="n">
        <v>15.5</v>
      </c>
      <c r="T90" s="12" t="n">
        <v>576</v>
      </c>
      <c r="U90" s="14" t="s">
        <v>29</v>
      </c>
      <c r="V90" s="15"/>
      <c r="W90" s="16" t="str">
        <f aca="false">A90</f>
        <v>JB</v>
      </c>
      <c r="X90" s="17" t="e">
        <f aca="false">ifs(C90="","",X90="",NOW(),TRUE(),X90)</f>
        <v>#VALUE!</v>
      </c>
      <c r="Y90" s="17" t="e">
        <f aca="false">ifs(COUNTA(K90:U93)&lt;44,"",Y90="",NOW(),TRUE(),Y90)</f>
        <v>#VALUE!</v>
      </c>
    </row>
    <row r="91" customFormat="false" ht="15.75" hidden="false" customHeight="false" outlineLevel="0" collapsed="false">
      <c r="A91" s="9"/>
      <c r="B91" s="10"/>
      <c r="C91" s="10"/>
      <c r="D91" s="10"/>
      <c r="E91" s="10"/>
      <c r="F91" s="10"/>
      <c r="G91" s="10"/>
      <c r="H91" s="10"/>
      <c r="I91" s="18" t="n">
        <v>2</v>
      </c>
      <c r="J91" s="18" t="s">
        <v>49</v>
      </c>
      <c r="K91" s="19" t="n">
        <f aca="false">43.78</f>
        <v>43.78</v>
      </c>
      <c r="L91" s="19" t="n">
        <f aca="false">109.47</f>
        <v>109.47</v>
      </c>
      <c r="M91" s="18" t="n">
        <v>20</v>
      </c>
      <c r="N91" s="18" t="n">
        <v>28</v>
      </c>
      <c r="O91" s="18" t="n">
        <v>111.1</v>
      </c>
      <c r="P91" s="19" t="n">
        <f aca="false">27.15</f>
        <v>27.15</v>
      </c>
      <c r="Q91" s="19" t="n">
        <f aca="false">139.77</f>
        <v>139.77</v>
      </c>
      <c r="R91" s="18" t="n">
        <v>12.6</v>
      </c>
      <c r="S91" s="18" t="n">
        <v>15.8</v>
      </c>
      <c r="T91" s="18" t="n">
        <v>817</v>
      </c>
      <c r="U91" s="20" t="s">
        <v>29</v>
      </c>
      <c r="V91" s="21"/>
      <c r="W91" s="16"/>
      <c r="X91" s="16"/>
      <c r="Y91" s="16"/>
    </row>
    <row r="92" customFormat="false" ht="15.75" hidden="false" customHeight="false" outlineLevel="0" collapsed="false">
      <c r="A92" s="9"/>
      <c r="B92" s="10"/>
      <c r="C92" s="10"/>
      <c r="D92" s="10"/>
      <c r="E92" s="10"/>
      <c r="F92" s="10"/>
      <c r="G92" s="10"/>
      <c r="H92" s="10"/>
      <c r="I92" s="22" t="n">
        <v>3</v>
      </c>
      <c r="J92" s="22" t="s">
        <v>49</v>
      </c>
      <c r="K92" s="23" t="n">
        <f aca="false">44.68</f>
        <v>44.68</v>
      </c>
      <c r="L92" s="23" t="n">
        <f aca="false">161.72</f>
        <v>161.72</v>
      </c>
      <c r="M92" s="22" t="n">
        <v>18</v>
      </c>
      <c r="N92" s="22" t="n">
        <v>40</v>
      </c>
      <c r="O92" s="22" t="n">
        <v>154.3</v>
      </c>
      <c r="P92" s="23" t="n">
        <f aca="false">28.1</f>
        <v>28.1</v>
      </c>
      <c r="Q92" s="23" t="n">
        <f aca="false">166.29</f>
        <v>166.29</v>
      </c>
      <c r="R92" s="22" t="n">
        <v>16.6</v>
      </c>
      <c r="S92" s="22" t="n">
        <v>21.1</v>
      </c>
      <c r="T92" s="22" t="n">
        <v>665</v>
      </c>
      <c r="U92" s="24" t="s">
        <v>29</v>
      </c>
      <c r="V92" s="15"/>
      <c r="W92" s="16"/>
      <c r="X92" s="16"/>
      <c r="Y92" s="16"/>
    </row>
    <row r="93" customFormat="false" ht="15.75" hidden="false" customHeight="false" outlineLevel="0" collapsed="false">
      <c r="A93" s="9"/>
      <c r="B93" s="10"/>
      <c r="C93" s="10"/>
      <c r="D93" s="10"/>
      <c r="E93" s="10"/>
      <c r="F93" s="10"/>
      <c r="G93" s="10"/>
      <c r="H93" s="10"/>
      <c r="I93" s="25" t="n">
        <v>4</v>
      </c>
      <c r="J93" s="25" t="s">
        <v>46</v>
      </c>
      <c r="K93" s="26" t="n">
        <f aca="false">41.56</f>
        <v>41.56</v>
      </c>
      <c r="L93" s="26" t="n">
        <f aca="false">120.23</f>
        <v>120.23</v>
      </c>
      <c r="M93" s="25" t="n">
        <v>16</v>
      </c>
      <c r="N93" s="25" t="n">
        <v>30</v>
      </c>
      <c r="O93" s="25" t="n">
        <v>111.3</v>
      </c>
      <c r="P93" s="26" t="n">
        <f aca="false">27.31</f>
        <v>27.31</v>
      </c>
      <c r="Q93" s="26" t="n">
        <f aca="false">138.79</f>
        <v>138.79</v>
      </c>
      <c r="R93" s="25" t="n">
        <v>13</v>
      </c>
      <c r="S93" s="25" t="n">
        <v>19.6</v>
      </c>
      <c r="T93" s="25" t="n">
        <v>493</v>
      </c>
      <c r="U93" s="27" t="s">
        <v>29</v>
      </c>
      <c r="V93" s="21"/>
      <c r="W93" s="16"/>
      <c r="X93" s="16"/>
      <c r="Y93" s="16"/>
    </row>
    <row r="94" customFormat="false" ht="15.75" hidden="false" customHeight="true" outlineLevel="0" collapsed="false">
      <c r="A94" s="9" t="s">
        <v>43</v>
      </c>
      <c r="B94" s="10" t="s">
        <v>44</v>
      </c>
      <c r="C94" s="11" t="s">
        <v>68</v>
      </c>
      <c r="D94" s="10" t="s">
        <v>28</v>
      </c>
      <c r="E94" s="10" t="s">
        <v>28</v>
      </c>
      <c r="F94" s="10"/>
      <c r="G94" s="10" t="n">
        <v>19</v>
      </c>
      <c r="H94" s="10" t="n">
        <v>3.9</v>
      </c>
      <c r="I94" s="12" t="n">
        <v>1</v>
      </c>
      <c r="J94" s="12" t="s">
        <v>49</v>
      </c>
      <c r="K94" s="13" t="n">
        <f aca="false">44.44</f>
        <v>44.44</v>
      </c>
      <c r="L94" s="13" t="n">
        <f aca="false">129.61</f>
        <v>129.61</v>
      </c>
      <c r="M94" s="12" t="n">
        <v>18</v>
      </c>
      <c r="N94" s="12" t="n">
        <v>32</v>
      </c>
      <c r="O94" s="12" t="n">
        <v>121.1</v>
      </c>
      <c r="P94" s="13" t="n">
        <f aca="false">28.28</f>
        <v>28.28</v>
      </c>
      <c r="Q94" s="13" t="n">
        <f aca="false">144.43</f>
        <v>144.43</v>
      </c>
      <c r="R94" s="12" t="n">
        <v>15.7</v>
      </c>
      <c r="S94" s="12" t="n">
        <v>21.3</v>
      </c>
      <c r="T94" s="12" t="n">
        <v>501</v>
      </c>
      <c r="U94" s="14" t="s">
        <v>29</v>
      </c>
      <c r="V94" s="15"/>
      <c r="W94" s="16" t="str">
        <f aca="false">A94</f>
        <v>JB</v>
      </c>
      <c r="X94" s="17" t="e">
        <f aca="false">ifs(C94="","",X94="",NOW(),TRUE(),X94)</f>
        <v>#VALUE!</v>
      </c>
      <c r="Y94" s="17" t="e">
        <f aca="false">ifs(COUNTA(K94:U97)&lt;44,"",Y94="",NOW(),TRUE(),Y94)</f>
        <v>#VALUE!</v>
      </c>
    </row>
    <row r="95" customFormat="false" ht="15.75" hidden="false" customHeight="false" outlineLevel="0" collapsed="false">
      <c r="A95" s="9"/>
      <c r="B95" s="10"/>
      <c r="C95" s="10"/>
      <c r="D95" s="10"/>
      <c r="E95" s="10"/>
      <c r="F95" s="10"/>
      <c r="G95" s="10"/>
      <c r="H95" s="10"/>
      <c r="I95" s="18" t="n">
        <v>2</v>
      </c>
      <c r="J95" s="18" t="s">
        <v>49</v>
      </c>
      <c r="K95" s="19" t="n">
        <f aca="false">41.52</f>
        <v>41.52</v>
      </c>
      <c r="L95" s="19" t="n">
        <f aca="false">134.03</f>
        <v>134.03</v>
      </c>
      <c r="M95" s="18" t="n">
        <v>16</v>
      </c>
      <c r="N95" s="18" t="n">
        <v>30</v>
      </c>
      <c r="O95" s="18" t="n">
        <v>119.5</v>
      </c>
      <c r="P95" s="19" t="n">
        <f aca="false">26.63</f>
        <v>26.63</v>
      </c>
      <c r="Q95" s="19" t="n">
        <f aca="false">157.96</f>
        <v>157.96</v>
      </c>
      <c r="R95" s="18" t="n">
        <v>14.4</v>
      </c>
      <c r="S95" s="18" t="n">
        <v>21.7</v>
      </c>
      <c r="T95" s="18" t="n">
        <v>476</v>
      </c>
      <c r="U95" s="20" t="s">
        <v>29</v>
      </c>
      <c r="V95" s="21"/>
      <c r="W95" s="16"/>
      <c r="X95" s="16"/>
      <c r="Y95" s="16"/>
    </row>
    <row r="96" customFormat="false" ht="15.75" hidden="false" customHeight="false" outlineLevel="0" collapsed="false">
      <c r="A96" s="9"/>
      <c r="B96" s="10"/>
      <c r="C96" s="10"/>
      <c r="D96" s="10"/>
      <c r="E96" s="10"/>
      <c r="F96" s="10"/>
      <c r="G96" s="10"/>
      <c r="H96" s="10"/>
      <c r="I96" s="22" t="n">
        <v>3</v>
      </c>
      <c r="J96" s="22" t="s">
        <v>49</v>
      </c>
      <c r="K96" s="23" t="n">
        <f aca="false">43.32</f>
        <v>43.32</v>
      </c>
      <c r="L96" s="23" t="n">
        <f aca="false">152.45</f>
        <v>152.45</v>
      </c>
      <c r="M96" s="22" t="n">
        <v>14</v>
      </c>
      <c r="N96" s="22" t="n">
        <v>30</v>
      </c>
      <c r="O96" s="22" t="n">
        <v>136.8</v>
      </c>
      <c r="P96" s="23" t="n">
        <f aca="false">26.13</f>
        <v>26.13</v>
      </c>
      <c r="Q96" s="23" t="n">
        <f aca="false">163.38</f>
        <v>163.38</v>
      </c>
      <c r="R96" s="22" t="n">
        <v>16.5</v>
      </c>
      <c r="S96" s="22" t="n">
        <v>24.9</v>
      </c>
      <c r="T96" s="22" t="n">
        <v>486</v>
      </c>
      <c r="U96" s="24" t="s">
        <v>29</v>
      </c>
      <c r="V96" s="15"/>
      <c r="W96" s="16"/>
      <c r="X96" s="16"/>
      <c r="Y96" s="16"/>
    </row>
    <row r="97" customFormat="false" ht="15.75" hidden="false" customHeight="false" outlineLevel="0" collapsed="false">
      <c r="A97" s="9"/>
      <c r="B97" s="10"/>
      <c r="C97" s="10"/>
      <c r="D97" s="10"/>
      <c r="E97" s="10"/>
      <c r="F97" s="10"/>
      <c r="G97" s="10"/>
      <c r="H97" s="10"/>
      <c r="I97" s="25" t="n">
        <v>4</v>
      </c>
      <c r="J97" s="25" t="s">
        <v>49</v>
      </c>
      <c r="K97" s="26" t="n">
        <f aca="false">45.45</f>
        <v>45.45</v>
      </c>
      <c r="L97" s="26" t="n">
        <f aca="false">144.24</f>
        <v>144.24</v>
      </c>
      <c r="M97" s="25" t="n">
        <v>16</v>
      </c>
      <c r="N97" s="25" t="n">
        <v>34</v>
      </c>
      <c r="O97" s="25" t="n">
        <v>137.8</v>
      </c>
      <c r="P97" s="26" t="n">
        <f aca="false">28.36</f>
        <v>28.36</v>
      </c>
      <c r="Q97" s="26" t="n">
        <f aca="false">145.04</f>
        <v>145.04</v>
      </c>
      <c r="R97" s="25" t="n">
        <v>15.7</v>
      </c>
      <c r="S97" s="25" t="n">
        <v>24.6</v>
      </c>
      <c r="T97" s="25" t="n">
        <v>507</v>
      </c>
      <c r="U97" s="27" t="s">
        <v>29</v>
      </c>
      <c r="V97" s="21"/>
      <c r="W97" s="16"/>
      <c r="X97" s="16"/>
      <c r="Y97" s="16"/>
    </row>
    <row r="98" customFormat="false" ht="15.75" hidden="false" customHeight="true" outlineLevel="0" collapsed="false">
      <c r="A98" s="9" t="s">
        <v>43</v>
      </c>
      <c r="B98" s="10" t="s">
        <v>44</v>
      </c>
      <c r="C98" s="11" t="s">
        <v>69</v>
      </c>
      <c r="D98" s="10" t="s">
        <v>28</v>
      </c>
      <c r="E98" s="10" t="s">
        <v>28</v>
      </c>
      <c r="F98" s="10"/>
      <c r="G98" s="10" t="n">
        <v>32</v>
      </c>
      <c r="H98" s="10" t="n">
        <v>5.3</v>
      </c>
      <c r="I98" s="12" t="n">
        <v>1</v>
      </c>
      <c r="J98" s="12" t="s">
        <v>49</v>
      </c>
      <c r="K98" s="13" t="n">
        <f aca="false">36.04</f>
        <v>36.04</v>
      </c>
      <c r="L98" s="13" t="n">
        <f aca="false">119.61</f>
        <v>119.61</v>
      </c>
      <c r="M98" s="12" t="n">
        <v>14</v>
      </c>
      <c r="N98" s="12" t="n">
        <v>28</v>
      </c>
      <c r="O98" s="12" t="n">
        <v>68.6</v>
      </c>
      <c r="P98" s="13" t="n">
        <f aca="false">25.34</f>
        <v>25.34</v>
      </c>
      <c r="Q98" s="13" t="n">
        <f aca="false">125.55</f>
        <v>125.55</v>
      </c>
      <c r="R98" s="12" t="n">
        <v>9.2</v>
      </c>
      <c r="S98" s="12" t="n">
        <v>17.8</v>
      </c>
      <c r="T98" s="12" t="n">
        <v>347</v>
      </c>
      <c r="U98" s="14" t="s">
        <v>32</v>
      </c>
      <c r="V98" s="15"/>
      <c r="W98" s="16" t="str">
        <f aca="false">A98</f>
        <v>JB</v>
      </c>
      <c r="X98" s="17" t="e">
        <f aca="false">ifs(C98="","",X98="",NOW(),TRUE(),X98)</f>
        <v>#VALUE!</v>
      </c>
      <c r="Y98" s="17" t="e">
        <f aca="false">ifs(COUNTA(K98:U101)&lt;44,"",Y98="",NOW(),TRUE(),Y98)</f>
        <v>#VALUE!</v>
      </c>
    </row>
    <row r="99" customFormat="false" ht="15.75" hidden="false" customHeight="false" outlineLevel="0" collapsed="false">
      <c r="A99" s="9"/>
      <c r="B99" s="10"/>
      <c r="C99" s="10"/>
      <c r="D99" s="10"/>
      <c r="E99" s="10"/>
      <c r="F99" s="10"/>
      <c r="G99" s="10"/>
      <c r="H99" s="10"/>
      <c r="I99" s="18" t="n">
        <v>2</v>
      </c>
      <c r="J99" s="18" t="s">
        <v>49</v>
      </c>
      <c r="K99" s="19" t="n">
        <f aca="false">38.07</f>
        <v>38.07</v>
      </c>
      <c r="L99" s="19" t="n">
        <f aca="false">119.71</f>
        <v>119.71</v>
      </c>
      <c r="M99" s="18" t="n">
        <v>14</v>
      </c>
      <c r="N99" s="18" t="n">
        <v>30</v>
      </c>
      <c r="O99" s="18" t="n">
        <v>86.3</v>
      </c>
      <c r="P99" s="19" t="n">
        <f aca="false">27.08</f>
        <v>27.08</v>
      </c>
      <c r="Q99" s="19" t="n">
        <f aca="false">135.47</f>
        <v>135.47</v>
      </c>
      <c r="R99" s="18" t="n">
        <v>12.2</v>
      </c>
      <c r="S99" s="18" t="n">
        <v>18</v>
      </c>
      <c r="T99" s="18" t="n">
        <v>404</v>
      </c>
      <c r="U99" s="20" t="s">
        <v>32</v>
      </c>
      <c r="V99" s="21"/>
      <c r="W99" s="16"/>
      <c r="X99" s="16"/>
      <c r="Y99" s="16"/>
    </row>
    <row r="100" customFormat="false" ht="15.75" hidden="false" customHeight="false" outlineLevel="0" collapsed="false">
      <c r="A100" s="9"/>
      <c r="B100" s="10"/>
      <c r="C100" s="10"/>
      <c r="D100" s="10"/>
      <c r="E100" s="10"/>
      <c r="F100" s="10"/>
      <c r="G100" s="10"/>
      <c r="H100" s="10"/>
      <c r="I100" s="22" t="n">
        <v>3</v>
      </c>
      <c r="J100" s="22" t="s">
        <v>47</v>
      </c>
      <c r="K100" s="23" t="n">
        <f aca="false">38.97</f>
        <v>38.97</v>
      </c>
      <c r="L100" s="23" t="n">
        <f aca="false">109.24</f>
        <v>109.24</v>
      </c>
      <c r="M100" s="22" t="n">
        <v>14</v>
      </c>
      <c r="N100" s="22" t="n">
        <v>26</v>
      </c>
      <c r="O100" s="22" t="n">
        <v>85.9</v>
      </c>
      <c r="P100" s="23" t="n">
        <f aca="false">26.9</f>
        <v>26.9</v>
      </c>
      <c r="Q100" s="23" t="n">
        <f aca="false">109.64</f>
        <v>109.64</v>
      </c>
      <c r="R100" s="22" t="n">
        <v>12.3</v>
      </c>
      <c r="S100" s="22" t="n">
        <v>22.1</v>
      </c>
      <c r="T100" s="22" t="n">
        <v>336</v>
      </c>
      <c r="U100" s="24" t="s">
        <v>32</v>
      </c>
      <c r="V100" s="15"/>
      <c r="W100" s="16"/>
      <c r="X100" s="16"/>
      <c r="Y100" s="16"/>
    </row>
    <row r="101" customFormat="false" ht="15.75" hidden="false" customHeight="false" outlineLevel="0" collapsed="false">
      <c r="A101" s="9"/>
      <c r="B101" s="10"/>
      <c r="C101" s="10"/>
      <c r="D101" s="10"/>
      <c r="E101" s="10"/>
      <c r="F101" s="10"/>
      <c r="G101" s="10"/>
      <c r="H101" s="10"/>
      <c r="I101" s="25" t="n">
        <v>4</v>
      </c>
      <c r="J101" s="25" t="s">
        <v>35</v>
      </c>
      <c r="K101" s="26" t="n">
        <f aca="false">35.93</f>
        <v>35.93</v>
      </c>
      <c r="L101" s="26" t="n">
        <f aca="false">139.9</f>
        <v>139.9</v>
      </c>
      <c r="M101" s="25" t="n">
        <v>16</v>
      </c>
      <c r="N101" s="25" t="n">
        <v>30</v>
      </c>
      <c r="O101" s="25" t="n">
        <v>86.7</v>
      </c>
      <c r="P101" s="26" t="n">
        <f aca="false">25.31</f>
        <v>25.31</v>
      </c>
      <c r="Q101" s="26" t="n">
        <f aca="false">147.79</f>
        <v>147.79</v>
      </c>
      <c r="R101" s="25" t="n">
        <v>13.5</v>
      </c>
      <c r="S101" s="25" t="n">
        <v>16.9</v>
      </c>
      <c r="T101" s="25" t="n">
        <v>436</v>
      </c>
      <c r="U101" s="27" t="s">
        <v>32</v>
      </c>
      <c r="V101" s="21"/>
      <c r="W101" s="16"/>
      <c r="X101" s="16"/>
      <c r="Y101" s="16"/>
    </row>
    <row r="102" customFormat="false" ht="15.75" hidden="false" customHeight="true" outlineLevel="0" collapsed="false">
      <c r="A102" s="9" t="s">
        <v>43</v>
      </c>
      <c r="B102" s="10" t="s">
        <v>44</v>
      </c>
      <c r="C102" s="11" t="s">
        <v>70</v>
      </c>
      <c r="D102" s="10" t="s">
        <v>28</v>
      </c>
      <c r="E102" s="10" t="s">
        <v>28</v>
      </c>
      <c r="F102" s="10"/>
      <c r="G102" s="10" t="n">
        <v>4</v>
      </c>
      <c r="H102" s="10" t="n">
        <v>0.6</v>
      </c>
      <c r="I102" s="12" t="n">
        <v>1</v>
      </c>
      <c r="J102" s="12" t="s">
        <v>33</v>
      </c>
      <c r="K102" s="13" t="n">
        <f aca="false">40.36</f>
        <v>40.36</v>
      </c>
      <c r="L102" s="13" t="n">
        <f aca="false">128.93</f>
        <v>128.93</v>
      </c>
      <c r="M102" s="12" t="n">
        <v>14</v>
      </c>
      <c r="N102" s="12" t="n">
        <v>36</v>
      </c>
      <c r="O102" s="12" t="n">
        <v>110.1</v>
      </c>
      <c r="P102" s="13" t="n">
        <f aca="false">26.2</f>
        <v>26.2</v>
      </c>
      <c r="Q102" s="13" t="n">
        <f aca="false">141.91</f>
        <v>141.91</v>
      </c>
      <c r="R102" s="12" t="n">
        <v>20.9</v>
      </c>
      <c r="S102" s="12" t="n">
        <v>19</v>
      </c>
      <c r="T102" s="12" t="n">
        <v>486</v>
      </c>
      <c r="U102" s="14" t="s">
        <v>29</v>
      </c>
      <c r="V102" s="15"/>
      <c r="W102" s="16" t="str">
        <f aca="false">A102</f>
        <v>JB</v>
      </c>
      <c r="X102" s="17" t="e">
        <f aca="false">ifs(C102="","",X102="",NOW(),TRUE(),X102)</f>
        <v>#VALUE!</v>
      </c>
      <c r="Y102" s="17" t="e">
        <f aca="false">ifs(COUNTA(K102:U105)&lt;44,"",Y102="",NOW(),TRUE(),Y102)</f>
        <v>#VALUE!</v>
      </c>
    </row>
    <row r="103" customFormat="false" ht="15.75" hidden="false" customHeight="false" outlineLevel="0" collapsed="false">
      <c r="A103" s="9"/>
      <c r="B103" s="10"/>
      <c r="C103" s="10"/>
      <c r="D103" s="10"/>
      <c r="E103" s="10"/>
      <c r="F103" s="10"/>
      <c r="G103" s="10"/>
      <c r="H103" s="10"/>
      <c r="I103" s="18" t="n">
        <v>2</v>
      </c>
      <c r="J103" s="18" t="s">
        <v>46</v>
      </c>
      <c r="K103" s="19" t="n">
        <f aca="false">38.73</f>
        <v>38.73</v>
      </c>
      <c r="L103" s="19" t="n">
        <f aca="false">122.85</f>
        <v>122.85</v>
      </c>
      <c r="M103" s="18" t="n">
        <v>12</v>
      </c>
      <c r="N103" s="18" t="n">
        <v>36</v>
      </c>
      <c r="O103" s="18" t="n">
        <v>98.3</v>
      </c>
      <c r="P103" s="19" t="n">
        <f aca="false">26.03</f>
        <v>26.03</v>
      </c>
      <c r="Q103" s="19" t="n">
        <f aca="false">149.63</f>
        <v>149.63</v>
      </c>
      <c r="R103" s="18" t="n">
        <v>19.4</v>
      </c>
      <c r="S103" s="18" t="n">
        <v>19.1</v>
      </c>
      <c r="T103" s="18" t="n">
        <v>413</v>
      </c>
      <c r="U103" s="20" t="s">
        <v>29</v>
      </c>
      <c r="V103" s="21"/>
      <c r="W103" s="16"/>
      <c r="X103" s="16"/>
      <c r="Y103" s="16"/>
    </row>
    <row r="104" customFormat="false" ht="15.75" hidden="false" customHeight="false" outlineLevel="0" collapsed="false">
      <c r="A104" s="9"/>
      <c r="B104" s="10"/>
      <c r="C104" s="10"/>
      <c r="D104" s="10"/>
      <c r="E104" s="10"/>
      <c r="F104" s="10"/>
      <c r="G104" s="10"/>
      <c r="H104" s="10"/>
      <c r="I104" s="22" t="n">
        <v>3</v>
      </c>
      <c r="J104" s="22" t="s">
        <v>46</v>
      </c>
      <c r="K104" s="23" t="n">
        <f aca="false">39.41</f>
        <v>39.41</v>
      </c>
      <c r="L104" s="23" t="n">
        <f aca="false">122.81</f>
        <v>122.81</v>
      </c>
      <c r="M104" s="22" t="n">
        <v>14</v>
      </c>
      <c r="N104" s="22" t="n">
        <v>34</v>
      </c>
      <c r="O104" s="22" t="n">
        <v>84.3</v>
      </c>
      <c r="P104" s="23" t="n">
        <f aca="false">24.65</f>
        <v>24.65</v>
      </c>
      <c r="Q104" s="23" t="n">
        <f aca="false">133.66</f>
        <v>133.66</v>
      </c>
      <c r="R104" s="22" t="n">
        <v>16</v>
      </c>
      <c r="S104" s="22" t="n">
        <v>17.9</v>
      </c>
      <c r="T104" s="22" t="n">
        <v>376</v>
      </c>
      <c r="U104" s="24" t="s">
        <v>29</v>
      </c>
      <c r="V104" s="15"/>
      <c r="W104" s="16"/>
      <c r="X104" s="16"/>
      <c r="Y104" s="16"/>
    </row>
    <row r="105" customFormat="false" ht="15.75" hidden="false" customHeight="false" outlineLevel="0" collapsed="false">
      <c r="A105" s="9"/>
      <c r="B105" s="10"/>
      <c r="C105" s="10"/>
      <c r="D105" s="10"/>
      <c r="E105" s="10"/>
      <c r="F105" s="10"/>
      <c r="G105" s="10"/>
      <c r="H105" s="10"/>
      <c r="I105" s="25" t="n">
        <v>4</v>
      </c>
      <c r="J105" s="25" t="s">
        <v>49</v>
      </c>
      <c r="K105" s="26" t="n">
        <f aca="false">37.72</f>
        <v>37.72</v>
      </c>
      <c r="L105" s="26" t="n">
        <f aca="false">102.61</f>
        <v>102.61</v>
      </c>
      <c r="M105" s="25" t="n">
        <v>14</v>
      </c>
      <c r="N105" s="25" t="n">
        <v>32</v>
      </c>
      <c r="O105" s="25" t="n">
        <v>71.8</v>
      </c>
      <c r="P105" s="26" t="n">
        <f aca="false">28.8</f>
        <v>28.8</v>
      </c>
      <c r="Q105" s="26" t="n">
        <f aca="false">117.28</f>
        <v>117.28</v>
      </c>
      <c r="R105" s="25" t="n">
        <v>17.2</v>
      </c>
      <c r="S105" s="25" t="n">
        <v>15.7</v>
      </c>
      <c r="T105" s="25" t="n">
        <v>347</v>
      </c>
      <c r="U105" s="27" t="s">
        <v>29</v>
      </c>
      <c r="V105" s="21"/>
      <c r="W105" s="16"/>
      <c r="X105" s="16"/>
      <c r="Y105" s="16"/>
    </row>
    <row r="106" customFormat="false" ht="15.75" hidden="false" customHeight="true" outlineLevel="0" collapsed="false">
      <c r="A106" s="9" t="s">
        <v>43</v>
      </c>
      <c r="B106" s="10" t="s">
        <v>44</v>
      </c>
      <c r="C106" s="11" t="s">
        <v>71</v>
      </c>
      <c r="D106" s="10" t="s">
        <v>28</v>
      </c>
      <c r="E106" s="10" t="s">
        <v>28</v>
      </c>
      <c r="F106" s="10"/>
      <c r="G106" s="10" t="n">
        <v>20</v>
      </c>
      <c r="H106" s="10" t="n">
        <v>3</v>
      </c>
      <c r="I106" s="12" t="n">
        <v>1</v>
      </c>
      <c r="J106" s="12" t="s">
        <v>35</v>
      </c>
      <c r="K106" s="13" t="n">
        <f aca="false">44.86</f>
        <v>44.86</v>
      </c>
      <c r="L106" s="13" t="n">
        <f aca="false">137.87</f>
        <v>137.87</v>
      </c>
      <c r="M106" s="12" t="n">
        <v>18</v>
      </c>
      <c r="N106" s="12" t="n">
        <v>34</v>
      </c>
      <c r="O106" s="12" t="n">
        <v>125.3</v>
      </c>
      <c r="P106" s="13" t="n">
        <f aca="false">28.34</f>
        <v>28.34</v>
      </c>
      <c r="Q106" s="13" t="n">
        <f aca="false">134.94</f>
        <v>134.94</v>
      </c>
      <c r="R106" s="12" t="n">
        <v>14.1</v>
      </c>
      <c r="S106" s="12" t="n">
        <v>20.8</v>
      </c>
      <c r="T106" s="12" t="n">
        <v>544</v>
      </c>
      <c r="U106" s="14" t="s">
        <v>29</v>
      </c>
      <c r="V106" s="15"/>
      <c r="W106" s="16" t="str">
        <f aca="false">A106</f>
        <v>JB</v>
      </c>
      <c r="X106" s="17" t="e">
        <f aca="false">ifs(C106="","",X106="",NOW(),TRUE(),X106)</f>
        <v>#VALUE!</v>
      </c>
      <c r="Y106" s="17" t="e">
        <f aca="false">ifs(COUNTA(K106:U109)&lt;44,"",Y106="",NOW(),TRUE(),Y106)</f>
        <v>#VALUE!</v>
      </c>
    </row>
    <row r="107" customFormat="false" ht="15.75" hidden="false" customHeight="false" outlineLevel="0" collapsed="false">
      <c r="A107" s="9"/>
      <c r="B107" s="10"/>
      <c r="C107" s="10"/>
      <c r="D107" s="10"/>
      <c r="E107" s="10"/>
      <c r="F107" s="10"/>
      <c r="G107" s="10"/>
      <c r="H107" s="10"/>
      <c r="I107" s="18" t="n">
        <v>2</v>
      </c>
      <c r="J107" s="18" t="s">
        <v>49</v>
      </c>
      <c r="K107" s="19" t="n">
        <f aca="false">45.7</f>
        <v>45.7</v>
      </c>
      <c r="L107" s="19" t="n">
        <f aca="false">137.79</f>
        <v>137.79</v>
      </c>
      <c r="M107" s="18" t="n">
        <v>16</v>
      </c>
      <c r="N107" s="18" t="n">
        <v>36</v>
      </c>
      <c r="O107" s="18" t="n">
        <v>131</v>
      </c>
      <c r="P107" s="19" t="n">
        <f aca="false">28.11</f>
        <v>28.11</v>
      </c>
      <c r="Q107" s="19" t="n">
        <f aca="false">140.12</f>
        <v>140.12</v>
      </c>
      <c r="R107" s="18" t="n">
        <v>16.1</v>
      </c>
      <c r="S107" s="18" t="n">
        <v>21.3</v>
      </c>
      <c r="T107" s="18" t="n">
        <v>546</v>
      </c>
      <c r="U107" s="20" t="s">
        <v>29</v>
      </c>
      <c r="V107" s="21"/>
      <c r="W107" s="16"/>
      <c r="X107" s="16"/>
      <c r="Y107" s="16"/>
    </row>
    <row r="108" customFormat="false" ht="15.75" hidden="false" customHeight="false" outlineLevel="0" collapsed="false">
      <c r="A108" s="9"/>
      <c r="B108" s="10"/>
      <c r="C108" s="10"/>
      <c r="D108" s="10"/>
      <c r="E108" s="10"/>
      <c r="F108" s="10"/>
      <c r="G108" s="10"/>
      <c r="H108" s="10"/>
      <c r="I108" s="22" t="n">
        <v>3</v>
      </c>
      <c r="J108" s="22" t="s">
        <v>49</v>
      </c>
      <c r="K108" s="23" t="n">
        <f aca="false">46.6</f>
        <v>46.6</v>
      </c>
      <c r="L108" s="23" t="n">
        <f aca="false">123.75</f>
        <v>123.75</v>
      </c>
      <c r="M108" s="22" t="n">
        <v>22</v>
      </c>
      <c r="N108" s="22" t="n">
        <v>32</v>
      </c>
      <c r="O108" s="22" t="n">
        <v>124</v>
      </c>
      <c r="P108" s="23" t="n">
        <f aca="false">29.14</f>
        <v>29.14</v>
      </c>
      <c r="Q108" s="23" t="n">
        <f aca="false">124.72</f>
        <v>124.72</v>
      </c>
      <c r="R108" s="22" t="n">
        <v>14.5</v>
      </c>
      <c r="S108" s="22" t="n">
        <v>17.7</v>
      </c>
      <c r="T108" s="22" t="n">
        <v>634</v>
      </c>
      <c r="U108" s="24" t="s">
        <v>29</v>
      </c>
      <c r="V108" s="15"/>
      <c r="W108" s="16"/>
      <c r="X108" s="16"/>
      <c r="Y108" s="16"/>
    </row>
    <row r="109" customFormat="false" ht="15.75" hidden="false" customHeight="false" outlineLevel="0" collapsed="false">
      <c r="A109" s="9"/>
      <c r="B109" s="10"/>
      <c r="C109" s="10"/>
      <c r="D109" s="10"/>
      <c r="E109" s="10"/>
      <c r="F109" s="10"/>
      <c r="G109" s="10"/>
      <c r="H109" s="10"/>
      <c r="I109" s="25" t="n">
        <v>4</v>
      </c>
      <c r="J109" s="25" t="s">
        <v>33</v>
      </c>
      <c r="K109" s="26" t="n">
        <f aca="false">45.38</f>
        <v>45.38</v>
      </c>
      <c r="L109" s="26" t="n">
        <f aca="false">147.34</f>
        <v>147.34</v>
      </c>
      <c r="M109" s="25" t="n">
        <v>14</v>
      </c>
      <c r="N109" s="25" t="n">
        <v>36</v>
      </c>
      <c r="O109" s="25" t="n">
        <v>137.2</v>
      </c>
      <c r="P109" s="26" t="n">
        <f aca="false">27.78</f>
        <v>27.78</v>
      </c>
      <c r="Q109" s="26" t="n">
        <f aca="false">149.08</f>
        <v>149.08</v>
      </c>
      <c r="R109" s="25" t="n">
        <v>17.9</v>
      </c>
      <c r="S109" s="25" t="n">
        <v>23.3</v>
      </c>
      <c r="T109" s="25" t="n">
        <v>518</v>
      </c>
      <c r="U109" s="27" t="s">
        <v>29</v>
      </c>
      <c r="V109" s="21"/>
      <c r="W109" s="16"/>
      <c r="X109" s="16"/>
      <c r="Y109" s="16"/>
    </row>
    <row r="110" customFormat="false" ht="15.75" hidden="false" customHeight="true" outlineLevel="0" collapsed="false">
      <c r="A110" s="9" t="s">
        <v>43</v>
      </c>
      <c r="B110" s="10" t="s">
        <v>44</v>
      </c>
      <c r="C110" s="11" t="s">
        <v>72</v>
      </c>
      <c r="D110" s="10" t="s">
        <v>28</v>
      </c>
      <c r="E110" s="10" t="s">
        <v>73</v>
      </c>
      <c r="F110" s="10" t="s">
        <v>74</v>
      </c>
      <c r="G110" s="10" t="n">
        <v>7</v>
      </c>
      <c r="H110" s="10" t="n">
        <v>1.5</v>
      </c>
      <c r="I110" s="12" t="n">
        <v>1</v>
      </c>
      <c r="J110" s="12" t="s">
        <v>49</v>
      </c>
      <c r="K110" s="13" t="n">
        <f aca="false">45.3</f>
        <v>45.3</v>
      </c>
      <c r="L110" s="13" t="n">
        <f aca="false">175.36</f>
        <v>175.36</v>
      </c>
      <c r="M110" s="12" t="n">
        <v>16</v>
      </c>
      <c r="N110" s="12" t="n">
        <v>42</v>
      </c>
      <c r="O110" s="12" t="n">
        <v>182.8</v>
      </c>
      <c r="P110" s="13" t="n">
        <f aca="false">29.13</f>
        <v>29.13</v>
      </c>
      <c r="Q110" s="13" t="n">
        <f aca="false">187.03</f>
        <v>187.03</v>
      </c>
      <c r="R110" s="12" t="n">
        <v>27.1</v>
      </c>
      <c r="S110" s="12" t="n">
        <v>24.3</v>
      </c>
      <c r="T110" s="12" t="n">
        <v>632</v>
      </c>
      <c r="U110" s="14" t="s">
        <v>32</v>
      </c>
      <c r="V110" s="15"/>
      <c r="W110" s="16" t="str">
        <f aca="false">A110</f>
        <v>JB</v>
      </c>
      <c r="X110" s="17" t="e">
        <f aca="false">ifs(C110="","",X110="",NOW(),TRUE(),X110)</f>
        <v>#VALUE!</v>
      </c>
      <c r="Y110" s="17" t="e">
        <f aca="false">ifs(COUNTA(K110:U113)&lt;44,"",Y110="",NOW(),TRUE(),Y110)</f>
        <v>#VALUE!</v>
      </c>
    </row>
    <row r="111" customFormat="false" ht="15.75" hidden="false" customHeight="false" outlineLevel="0" collapsed="false">
      <c r="A111" s="9"/>
      <c r="B111" s="10"/>
      <c r="C111" s="10"/>
      <c r="D111" s="10"/>
      <c r="E111" s="10"/>
      <c r="F111" s="10"/>
      <c r="G111" s="10"/>
      <c r="H111" s="10"/>
      <c r="I111" s="18" t="n">
        <v>2</v>
      </c>
      <c r="J111" s="18" t="s">
        <v>35</v>
      </c>
      <c r="K111" s="19" t="n">
        <f aca="false">46.45</f>
        <v>46.45</v>
      </c>
      <c r="L111" s="19" t="n">
        <f aca="false">162.59</f>
        <v>162.59</v>
      </c>
      <c r="M111" s="18" t="n">
        <v>18</v>
      </c>
      <c r="N111" s="18" t="n">
        <v>38</v>
      </c>
      <c r="O111" s="18" t="n">
        <v>127.6</v>
      </c>
      <c r="P111" s="19" t="n">
        <f aca="false">31.7</f>
        <v>31.7</v>
      </c>
      <c r="Q111" s="19" t="n">
        <f aca="false">172.37</f>
        <v>172.37</v>
      </c>
      <c r="R111" s="18" t="n">
        <v>29.8</v>
      </c>
      <c r="S111" s="18" t="n">
        <v>18.1</v>
      </c>
      <c r="T111" s="18" t="n">
        <v>554</v>
      </c>
      <c r="U111" s="20" t="s">
        <v>32</v>
      </c>
      <c r="V111" s="21"/>
      <c r="W111" s="16"/>
      <c r="X111" s="16"/>
      <c r="Y111" s="16"/>
    </row>
    <row r="112" customFormat="false" ht="15.75" hidden="false" customHeight="false" outlineLevel="0" collapsed="false">
      <c r="A112" s="9"/>
      <c r="B112" s="10"/>
      <c r="C112" s="10"/>
      <c r="D112" s="10"/>
      <c r="E112" s="10"/>
      <c r="F112" s="10"/>
      <c r="G112" s="10"/>
      <c r="H112" s="10"/>
      <c r="I112" s="22" t="n">
        <v>3</v>
      </c>
      <c r="J112" s="22"/>
      <c r="K112" s="23"/>
      <c r="L112" s="23"/>
      <c r="M112" s="22"/>
      <c r="N112" s="22"/>
      <c r="O112" s="22"/>
      <c r="P112" s="23"/>
      <c r="Q112" s="23"/>
      <c r="R112" s="22"/>
      <c r="S112" s="22"/>
      <c r="T112" s="22"/>
      <c r="U112" s="24"/>
      <c r="V112" s="15"/>
      <c r="W112" s="16"/>
      <c r="X112" s="16"/>
      <c r="Y112" s="16"/>
    </row>
    <row r="113" customFormat="false" ht="15.75" hidden="false" customHeight="false" outlineLevel="0" collapsed="false">
      <c r="A113" s="9"/>
      <c r="B113" s="10"/>
      <c r="C113" s="10"/>
      <c r="D113" s="10"/>
      <c r="E113" s="10"/>
      <c r="F113" s="10"/>
      <c r="G113" s="10"/>
      <c r="H113" s="10"/>
      <c r="I113" s="25" t="n">
        <v>4</v>
      </c>
      <c r="J113" s="25"/>
      <c r="K113" s="26"/>
      <c r="L113" s="26"/>
      <c r="M113" s="25"/>
      <c r="N113" s="25"/>
      <c r="O113" s="25"/>
      <c r="P113" s="26"/>
      <c r="Q113" s="26"/>
      <c r="R113" s="25"/>
      <c r="S113" s="25"/>
      <c r="T113" s="25"/>
      <c r="U113" s="27"/>
      <c r="V113" s="21"/>
      <c r="W113" s="16"/>
      <c r="X113" s="16"/>
      <c r="Y113" s="16"/>
    </row>
    <row r="114" customFormat="false" ht="15.75" hidden="false" customHeight="true" outlineLevel="0" collapsed="false">
      <c r="A114" s="9" t="s">
        <v>43</v>
      </c>
      <c r="B114" s="10" t="s">
        <v>44</v>
      </c>
      <c r="C114" s="11" t="s">
        <v>75</v>
      </c>
      <c r="D114" s="10" t="s">
        <v>28</v>
      </c>
      <c r="E114" s="10" t="s">
        <v>28</v>
      </c>
      <c r="F114" s="10"/>
      <c r="G114" s="10" t="n">
        <v>44</v>
      </c>
      <c r="H114" s="10" t="n">
        <v>9.3</v>
      </c>
      <c r="I114" s="12" t="n">
        <v>1</v>
      </c>
      <c r="J114" s="12" t="s">
        <v>49</v>
      </c>
      <c r="K114" s="13" t="n">
        <f aca="false">44.42</f>
        <v>44.42</v>
      </c>
      <c r="L114" s="13" t="n">
        <f aca="false">138.81</f>
        <v>138.81</v>
      </c>
      <c r="M114" s="12" t="n">
        <v>18</v>
      </c>
      <c r="N114" s="12" t="n">
        <v>36</v>
      </c>
      <c r="O114" s="12" t="n">
        <v>142.1</v>
      </c>
      <c r="P114" s="13" t="n">
        <f aca="false">27.45</f>
        <v>27.45</v>
      </c>
      <c r="Q114" s="13" t="n">
        <f aca="false">145.3</f>
        <v>145.3</v>
      </c>
      <c r="R114" s="12" t="n">
        <v>20.9</v>
      </c>
      <c r="S114" s="12" t="n">
        <v>20.5</v>
      </c>
      <c r="T114" s="12" t="n">
        <v>599</v>
      </c>
      <c r="U114" s="14" t="s">
        <v>29</v>
      </c>
      <c r="V114" s="15"/>
      <c r="W114" s="16" t="str">
        <f aca="false">A114</f>
        <v>JB</v>
      </c>
      <c r="X114" s="17" t="e">
        <f aca="false">ifs(C114="","",X114="",NOW(),TRUE(),X114)</f>
        <v>#VALUE!</v>
      </c>
      <c r="Y114" s="17" t="e">
        <f aca="false">ifs(COUNTA(K114:U117)&lt;44,"",Y114="",NOW(),TRUE(),Y114)</f>
        <v>#VALUE!</v>
      </c>
    </row>
    <row r="115" customFormat="false" ht="15.75" hidden="false" customHeight="false" outlineLevel="0" collapsed="false">
      <c r="A115" s="9"/>
      <c r="B115" s="10"/>
      <c r="C115" s="10"/>
      <c r="D115" s="10"/>
      <c r="E115" s="10"/>
      <c r="F115" s="10"/>
      <c r="G115" s="10"/>
      <c r="H115" s="10"/>
      <c r="I115" s="18" t="n">
        <v>2</v>
      </c>
      <c r="J115" s="18" t="s">
        <v>33</v>
      </c>
      <c r="K115" s="19" t="n">
        <f aca="false">43.15</f>
        <v>43.15</v>
      </c>
      <c r="L115" s="19" t="n">
        <f aca="false">133.21</f>
        <v>133.21</v>
      </c>
      <c r="M115" s="18" t="n">
        <v>16</v>
      </c>
      <c r="N115" s="18" t="n">
        <v>36</v>
      </c>
      <c r="O115" s="18" t="n">
        <v>123.9</v>
      </c>
      <c r="P115" s="19" t="n">
        <f aca="false">28.92</f>
        <v>28.92</v>
      </c>
      <c r="Q115" s="19" t="n">
        <f aca="false">144.34</f>
        <v>144.34</v>
      </c>
      <c r="R115" s="18" t="n">
        <v>20.2</v>
      </c>
      <c r="S115" s="18" t="n">
        <v>19.9</v>
      </c>
      <c r="T115" s="18" t="n">
        <v>510</v>
      </c>
      <c r="U115" s="20" t="s">
        <v>29</v>
      </c>
      <c r="V115" s="21"/>
      <c r="W115" s="16"/>
      <c r="X115" s="16"/>
      <c r="Y115" s="16"/>
    </row>
    <row r="116" customFormat="false" ht="15.75" hidden="false" customHeight="false" outlineLevel="0" collapsed="false">
      <c r="A116" s="9"/>
      <c r="B116" s="10"/>
      <c r="C116" s="10"/>
      <c r="D116" s="10"/>
      <c r="E116" s="10"/>
      <c r="F116" s="10"/>
      <c r="G116" s="10"/>
      <c r="H116" s="10"/>
      <c r="I116" s="22" t="n">
        <v>3</v>
      </c>
      <c r="J116" s="22" t="s">
        <v>49</v>
      </c>
      <c r="K116" s="23" t="n">
        <f aca="false">44.42</f>
        <v>44.42</v>
      </c>
      <c r="L116" s="23" t="n">
        <f aca="false">142.92</f>
        <v>142.92</v>
      </c>
      <c r="M116" s="22" t="n">
        <v>18</v>
      </c>
      <c r="N116" s="22" t="n">
        <v>34</v>
      </c>
      <c r="O116" s="22" t="n">
        <v>140.8</v>
      </c>
      <c r="P116" s="23" t="n">
        <f aca="false">26.19</f>
        <v>26.19</v>
      </c>
      <c r="Q116" s="23" t="n">
        <f aca="false">144.41</f>
        <v>144.41</v>
      </c>
      <c r="R116" s="22" t="n">
        <v>22</v>
      </c>
      <c r="S116" s="22" t="n">
        <v>19.4</v>
      </c>
      <c r="T116" s="22" t="n">
        <v>617</v>
      </c>
      <c r="U116" s="24" t="s">
        <v>29</v>
      </c>
      <c r="V116" s="15"/>
      <c r="W116" s="16"/>
      <c r="X116" s="16"/>
      <c r="Y116" s="16"/>
    </row>
    <row r="117" customFormat="false" ht="15.75" hidden="false" customHeight="false" outlineLevel="0" collapsed="false">
      <c r="A117" s="9"/>
      <c r="B117" s="10"/>
      <c r="C117" s="10"/>
      <c r="D117" s="10"/>
      <c r="E117" s="10"/>
      <c r="F117" s="10"/>
      <c r="G117" s="10"/>
      <c r="H117" s="10"/>
      <c r="I117" s="25" t="n">
        <v>4</v>
      </c>
      <c r="J117" s="25" t="s">
        <v>49</v>
      </c>
      <c r="K117" s="26" t="n">
        <f aca="false">43.74</f>
        <v>43.74</v>
      </c>
      <c r="L117" s="26" t="n">
        <f aca="false">147.69</f>
        <v>147.69</v>
      </c>
      <c r="M117" s="25" t="n">
        <v>16</v>
      </c>
      <c r="N117" s="25" t="n">
        <v>38</v>
      </c>
      <c r="O117" s="25" t="n">
        <v>158.3</v>
      </c>
      <c r="P117" s="26" t="n">
        <f aca="false">25.74</f>
        <v>25.74</v>
      </c>
      <c r="Q117" s="26" t="n">
        <f aca="false">150.95</f>
        <v>150.95</v>
      </c>
      <c r="R117" s="25" t="n">
        <v>22</v>
      </c>
      <c r="S117" s="25" t="n">
        <v>21.9</v>
      </c>
      <c r="T117" s="25" t="n">
        <v>614</v>
      </c>
      <c r="U117" s="27" t="s">
        <v>29</v>
      </c>
      <c r="V117" s="21"/>
      <c r="W117" s="16"/>
      <c r="X117" s="16"/>
      <c r="Y117" s="16"/>
    </row>
    <row r="118" customFormat="false" ht="15.75" hidden="false" customHeight="true" outlineLevel="0" collapsed="false">
      <c r="A118" s="9" t="s">
        <v>25</v>
      </c>
      <c r="B118" s="10" t="s">
        <v>26</v>
      </c>
      <c r="C118" s="11" t="s">
        <v>76</v>
      </c>
      <c r="D118" s="10" t="s">
        <v>28</v>
      </c>
      <c r="E118" s="10" t="s">
        <v>28</v>
      </c>
      <c r="F118" s="10"/>
      <c r="G118" s="10" t="n">
        <v>7</v>
      </c>
      <c r="H118" s="10" t="n">
        <v>2</v>
      </c>
      <c r="I118" s="12" t="n">
        <v>1</v>
      </c>
      <c r="J118" s="12"/>
      <c r="K118" s="13" t="n">
        <f aca="false">40.43</f>
        <v>40.43</v>
      </c>
      <c r="L118" s="13" t="n">
        <f aca="false">143.54</f>
        <v>143.54</v>
      </c>
      <c r="M118" s="12" t="n">
        <v>14</v>
      </c>
      <c r="N118" s="12" t="n">
        <v>36</v>
      </c>
      <c r="O118" s="12" t="n">
        <v>139.55</v>
      </c>
      <c r="P118" s="13" t="n">
        <f aca="false">25.18</f>
        <v>25.18</v>
      </c>
      <c r="Q118" s="13" t="n">
        <f aca="false">163.24</f>
        <v>163.24</v>
      </c>
      <c r="R118" s="12" t="n">
        <v>21.45</v>
      </c>
      <c r="S118" s="12" t="n">
        <v>23.4</v>
      </c>
      <c r="T118" s="12" t="n">
        <v>496</v>
      </c>
      <c r="U118" s="14" t="s">
        <v>29</v>
      </c>
      <c r="V118" s="15"/>
      <c r="W118" s="16" t="str">
        <f aca="false">A118</f>
        <v>KL</v>
      </c>
      <c r="X118" s="17" t="e">
        <f aca="false">ifs(C118="","",X118="",NOW(),TRUE(),X118)</f>
        <v>#VALUE!</v>
      </c>
      <c r="Y118" s="17" t="e">
        <f aca="false">ifs(COUNTA(K118:U121)&lt;44,"",Y118="",NOW(),TRUE(),Y118)</f>
        <v>#VALUE!</v>
      </c>
    </row>
    <row r="119" customFormat="false" ht="15.75" hidden="false" customHeight="false" outlineLevel="0" collapsed="false">
      <c r="A119" s="9"/>
      <c r="B119" s="10"/>
      <c r="C119" s="10"/>
      <c r="D119" s="10"/>
      <c r="E119" s="10"/>
      <c r="F119" s="10"/>
      <c r="G119" s="10"/>
      <c r="H119" s="10"/>
      <c r="I119" s="18" t="n">
        <v>2</v>
      </c>
      <c r="J119" s="18"/>
      <c r="K119" s="19" t="n">
        <f aca="false">39.69</f>
        <v>39.69</v>
      </c>
      <c r="L119" s="19" t="n">
        <f aca="false">152.87</f>
        <v>152.87</v>
      </c>
      <c r="M119" s="18" t="n">
        <v>14</v>
      </c>
      <c r="N119" s="18" t="n">
        <v>36</v>
      </c>
      <c r="O119" s="18" t="n">
        <v>142.45</v>
      </c>
      <c r="P119" s="19" t="n">
        <f aca="false">24.86</f>
        <v>24.86</v>
      </c>
      <c r="Q119" s="19" t="n">
        <f aca="false">169.65</f>
        <v>169.65</v>
      </c>
      <c r="R119" s="18" t="n">
        <v>22.45</v>
      </c>
      <c r="S119" s="18" t="n">
        <v>25</v>
      </c>
      <c r="T119" s="18" t="n">
        <v>499</v>
      </c>
      <c r="U119" s="20" t="s">
        <v>29</v>
      </c>
      <c r="V119" s="21"/>
      <c r="W119" s="16"/>
      <c r="X119" s="16"/>
      <c r="Y119" s="16"/>
    </row>
    <row r="120" customFormat="false" ht="15.75" hidden="false" customHeight="false" outlineLevel="0" collapsed="false">
      <c r="A120" s="9"/>
      <c r="B120" s="10"/>
      <c r="C120" s="10"/>
      <c r="D120" s="10"/>
      <c r="E120" s="10"/>
      <c r="F120" s="10"/>
      <c r="G120" s="10"/>
      <c r="H120" s="10"/>
      <c r="I120" s="22" t="n">
        <v>3</v>
      </c>
      <c r="J120" s="22"/>
      <c r="K120" s="23" t="n">
        <f aca="false">40.22</f>
        <v>40.22</v>
      </c>
      <c r="L120" s="23" t="n">
        <f aca="false">142.14</f>
        <v>142.14</v>
      </c>
      <c r="M120" s="22" t="n">
        <v>14</v>
      </c>
      <c r="N120" s="22" t="n">
        <v>36</v>
      </c>
      <c r="O120" s="22" t="n">
        <v>132.75</v>
      </c>
      <c r="P120" s="23" t="n">
        <f aca="false">24.53</f>
        <v>24.53</v>
      </c>
      <c r="Q120" s="23" t="n">
        <f aca="false">172.25</f>
        <v>172.25</v>
      </c>
      <c r="R120" s="22" t="n">
        <v>21.15</v>
      </c>
      <c r="S120" s="22" t="n">
        <v>22.95</v>
      </c>
      <c r="T120" s="22" t="n">
        <v>478</v>
      </c>
      <c r="U120" s="24" t="s">
        <v>29</v>
      </c>
      <c r="V120" s="15"/>
      <c r="W120" s="16"/>
      <c r="X120" s="16"/>
      <c r="Y120" s="16"/>
    </row>
    <row r="121" customFormat="false" ht="15.75" hidden="false" customHeight="false" outlineLevel="0" collapsed="false">
      <c r="A121" s="9"/>
      <c r="B121" s="10"/>
      <c r="C121" s="10"/>
      <c r="D121" s="10"/>
      <c r="E121" s="10"/>
      <c r="F121" s="10"/>
      <c r="G121" s="10"/>
      <c r="H121" s="10"/>
      <c r="I121" s="25" t="n">
        <v>4</v>
      </c>
      <c r="J121" s="25"/>
      <c r="K121" s="26" t="n">
        <f aca="false">36.19</f>
        <v>36.19</v>
      </c>
      <c r="L121" s="26" t="n">
        <f aca="false">127.59</f>
        <v>127.59</v>
      </c>
      <c r="M121" s="25" t="n">
        <v>16</v>
      </c>
      <c r="N121" s="25" t="n">
        <v>28</v>
      </c>
      <c r="O121" s="25" t="n">
        <v>89.25</v>
      </c>
      <c r="P121" s="26" t="n">
        <f aca="false">24.13</f>
        <v>24.13</v>
      </c>
      <c r="Q121" s="26" t="n">
        <f aca="false">149.76</f>
        <v>149.76</v>
      </c>
      <c r="R121" s="25" t="n">
        <v>16.55</v>
      </c>
      <c r="S121" s="25" t="n">
        <v>17.95</v>
      </c>
      <c r="T121" s="25" t="n">
        <v>414</v>
      </c>
      <c r="U121" s="27" t="s">
        <v>29</v>
      </c>
      <c r="V121" s="21"/>
      <c r="W121" s="16"/>
      <c r="X121" s="16"/>
      <c r="Y121" s="16"/>
    </row>
    <row r="122" customFormat="false" ht="15.75" hidden="false" customHeight="true" outlineLevel="0" collapsed="false">
      <c r="A122" s="9" t="s">
        <v>25</v>
      </c>
      <c r="B122" s="10" t="s">
        <v>26</v>
      </c>
      <c r="C122" s="11" t="s">
        <v>77</v>
      </c>
      <c r="D122" s="10" t="s">
        <v>28</v>
      </c>
      <c r="E122" s="10" t="s">
        <v>28</v>
      </c>
      <c r="F122" s="10"/>
      <c r="G122" s="10" t="n">
        <v>5</v>
      </c>
      <c r="H122" s="10" t="n">
        <v>1.15</v>
      </c>
      <c r="I122" s="12" t="n">
        <v>1</v>
      </c>
      <c r="J122" s="12"/>
      <c r="K122" s="13" t="n">
        <f aca="false">42.71</f>
        <v>42.71</v>
      </c>
      <c r="L122" s="13" t="n">
        <f aca="false">162.99</f>
        <v>162.99</v>
      </c>
      <c r="M122" s="12" t="n">
        <v>16</v>
      </c>
      <c r="N122" s="12" t="n">
        <v>38</v>
      </c>
      <c r="O122" s="12" t="n">
        <v>158.05</v>
      </c>
      <c r="P122" s="13" t="n">
        <f aca="false">27.24</f>
        <v>27.24</v>
      </c>
      <c r="Q122" s="13" t="n">
        <f aca="false">185.14</f>
        <v>185.14</v>
      </c>
      <c r="R122" s="12" t="n">
        <v>20.65</v>
      </c>
      <c r="S122" s="12" t="n">
        <v>24.5</v>
      </c>
      <c r="T122" s="12" t="n">
        <v>577</v>
      </c>
      <c r="U122" s="14" t="s">
        <v>29</v>
      </c>
      <c r="V122" s="15"/>
      <c r="W122" s="16" t="str">
        <f aca="false">A122</f>
        <v>KL</v>
      </c>
      <c r="X122" s="17" t="e">
        <f aca="false">ifs(C122="","",X122="",NOW(),TRUE(),X122)</f>
        <v>#VALUE!</v>
      </c>
      <c r="Y122" s="17" t="e">
        <f aca="false">ifs(COUNTA(K122:U125)&lt;44,"",Y122="",NOW(),TRUE(),Y122)</f>
        <v>#VALUE!</v>
      </c>
    </row>
    <row r="123" customFormat="false" ht="15.75" hidden="false" customHeight="false" outlineLevel="0" collapsed="false">
      <c r="A123" s="9"/>
      <c r="B123" s="10"/>
      <c r="C123" s="10"/>
      <c r="D123" s="10"/>
      <c r="E123" s="10"/>
      <c r="F123" s="10"/>
      <c r="G123" s="10"/>
      <c r="H123" s="10"/>
      <c r="I123" s="18" t="n">
        <v>2</v>
      </c>
      <c r="J123" s="18" t="s">
        <v>47</v>
      </c>
      <c r="K123" s="19" t="n">
        <f aca="false">39.99</f>
        <v>39.99</v>
      </c>
      <c r="L123" s="19" t="n">
        <f aca="false">161.61</f>
        <v>161.61</v>
      </c>
      <c r="M123" s="18" t="n">
        <v>14</v>
      </c>
      <c r="N123" s="18" t="n">
        <v>36</v>
      </c>
      <c r="O123" s="18" t="n">
        <v>145.75</v>
      </c>
      <c r="P123" s="19" t="n">
        <f aca="false">26.9</f>
        <v>26.9</v>
      </c>
      <c r="Q123" s="19" t="n">
        <f aca="false">179.06</f>
        <v>179.06</v>
      </c>
      <c r="R123" s="18" t="n">
        <v>19.85</v>
      </c>
      <c r="S123" s="18" t="n">
        <v>25.4</v>
      </c>
      <c r="T123" s="18" t="n">
        <v>509</v>
      </c>
      <c r="U123" s="20" t="s">
        <v>29</v>
      </c>
      <c r="V123" s="21"/>
      <c r="W123" s="16"/>
      <c r="X123" s="16"/>
      <c r="Y123" s="16"/>
    </row>
    <row r="124" customFormat="false" ht="15.75" hidden="false" customHeight="false" outlineLevel="0" collapsed="false">
      <c r="A124" s="9"/>
      <c r="B124" s="10"/>
      <c r="C124" s="10"/>
      <c r="D124" s="10"/>
      <c r="E124" s="10"/>
      <c r="F124" s="10"/>
      <c r="G124" s="10"/>
      <c r="H124" s="10"/>
      <c r="I124" s="22" t="n">
        <v>3</v>
      </c>
      <c r="J124" s="22"/>
      <c r="K124" s="23" t="n">
        <f aca="false">39.67</f>
        <v>39.67</v>
      </c>
      <c r="L124" s="23" t="n">
        <f aca="false">166.93</f>
        <v>166.93</v>
      </c>
      <c r="M124" s="22" t="n">
        <v>14</v>
      </c>
      <c r="N124" s="22" t="n">
        <v>38</v>
      </c>
      <c r="O124" s="22" t="n">
        <v>137.15</v>
      </c>
      <c r="P124" s="23" t="n">
        <f aca="false">26.7</f>
        <v>26.7</v>
      </c>
      <c r="Q124" s="23" t="n">
        <f aca="false">177.94</f>
        <v>177.94</v>
      </c>
      <c r="R124" s="22" t="n">
        <v>19.9</v>
      </c>
      <c r="S124" s="22" t="n">
        <v>22.3</v>
      </c>
      <c r="T124" s="22" t="n">
        <v>525</v>
      </c>
      <c r="U124" s="24" t="s">
        <v>29</v>
      </c>
      <c r="V124" s="15"/>
      <c r="W124" s="16"/>
      <c r="X124" s="16"/>
      <c r="Y124" s="16"/>
    </row>
    <row r="125" customFormat="false" ht="15.75" hidden="false" customHeight="false" outlineLevel="0" collapsed="false">
      <c r="A125" s="9"/>
      <c r="B125" s="10"/>
      <c r="C125" s="10"/>
      <c r="D125" s="10"/>
      <c r="E125" s="10"/>
      <c r="F125" s="10"/>
      <c r="G125" s="10"/>
      <c r="H125" s="10"/>
      <c r="I125" s="25" t="n">
        <v>4</v>
      </c>
      <c r="J125" s="25"/>
      <c r="K125" s="26" t="n">
        <f aca="false">40.08</f>
        <v>40.08</v>
      </c>
      <c r="L125" s="26" t="n">
        <f aca="false">153.15</f>
        <v>153.15</v>
      </c>
      <c r="M125" s="25" t="n">
        <v>14</v>
      </c>
      <c r="N125" s="25" t="n">
        <v>36</v>
      </c>
      <c r="O125" s="25" t="n">
        <v>132</v>
      </c>
      <c r="P125" s="26" t="n">
        <f aca="false">24.79</f>
        <v>24.79</v>
      </c>
      <c r="Q125" s="26" t="n">
        <f aca="false">169.28</f>
        <v>169.28</v>
      </c>
      <c r="R125" s="25" t="n">
        <v>17.4</v>
      </c>
      <c r="S125" s="25" t="n">
        <v>23.4</v>
      </c>
      <c r="T125" s="25" t="n">
        <v>501</v>
      </c>
      <c r="U125" s="27" t="s">
        <v>29</v>
      </c>
      <c r="V125" s="21"/>
      <c r="W125" s="16"/>
      <c r="X125" s="16"/>
      <c r="Y125" s="16"/>
    </row>
    <row r="126" customFormat="false" ht="15.75" hidden="false" customHeight="true" outlineLevel="0" collapsed="false">
      <c r="A126" s="9" t="s">
        <v>25</v>
      </c>
      <c r="B126" s="10" t="s">
        <v>26</v>
      </c>
      <c r="C126" s="11" t="s">
        <v>78</v>
      </c>
      <c r="D126" s="10" t="s">
        <v>28</v>
      </c>
      <c r="E126" s="10" t="s">
        <v>28</v>
      </c>
      <c r="F126" s="10"/>
      <c r="G126" s="10" t="n">
        <v>43</v>
      </c>
      <c r="H126" s="10" t="n">
        <v>6.55</v>
      </c>
      <c r="I126" s="12" t="n">
        <v>1</v>
      </c>
      <c r="J126" s="12"/>
      <c r="K126" s="13" t="n">
        <f aca="false">42.36</f>
        <v>42.36</v>
      </c>
      <c r="L126" s="13" t="n">
        <f aca="false">145.81</f>
        <v>145.81</v>
      </c>
      <c r="M126" s="12" t="n">
        <v>18</v>
      </c>
      <c r="N126" s="12" t="n">
        <v>36</v>
      </c>
      <c r="O126" s="12" t="n">
        <v>118.85</v>
      </c>
      <c r="P126" s="13" t="n">
        <f aca="false">28.62</f>
        <v>28.62</v>
      </c>
      <c r="Q126" s="13" t="n">
        <f aca="false">154.59</f>
        <v>154.59</v>
      </c>
      <c r="R126" s="12" t="n">
        <v>19.3</v>
      </c>
      <c r="S126" s="12" t="n">
        <v>16.7</v>
      </c>
      <c r="T126" s="12" t="n">
        <v>623</v>
      </c>
      <c r="U126" s="14" t="s">
        <v>32</v>
      </c>
      <c r="V126" s="15"/>
      <c r="W126" s="16" t="str">
        <f aca="false">A126</f>
        <v>KL</v>
      </c>
      <c r="X126" s="17" t="e">
        <f aca="false">ifs(C126="","",X126="",NOW(),TRUE(),X126)</f>
        <v>#VALUE!</v>
      </c>
      <c r="Y126" s="17" t="e">
        <f aca="false">ifs(COUNTA(K126:U129)&lt;44,"",Y126="",NOW(),TRUE(),Y126)</f>
        <v>#VALUE!</v>
      </c>
    </row>
    <row r="127" customFormat="false" ht="15.75" hidden="false" customHeight="false" outlineLevel="0" collapsed="false">
      <c r="A127" s="9"/>
      <c r="B127" s="10"/>
      <c r="C127" s="10"/>
      <c r="D127" s="10"/>
      <c r="E127" s="10"/>
      <c r="F127" s="10"/>
      <c r="G127" s="10"/>
      <c r="H127" s="10"/>
      <c r="I127" s="18" t="n">
        <v>2</v>
      </c>
      <c r="J127" s="18" t="s">
        <v>47</v>
      </c>
      <c r="K127" s="19" t="n">
        <f aca="false">41.21</f>
        <v>41.21</v>
      </c>
      <c r="L127" s="19" t="n">
        <f aca="false">142.05</f>
        <v>142.05</v>
      </c>
      <c r="M127" s="18" t="n">
        <v>16</v>
      </c>
      <c r="N127" s="18" t="n">
        <v>36</v>
      </c>
      <c r="O127" s="18" t="n">
        <v>106.45</v>
      </c>
      <c r="P127" s="19" t="n">
        <f aca="false">27.9</f>
        <v>27.9</v>
      </c>
      <c r="Q127" s="19" t="n">
        <f aca="false">160.43</f>
        <v>160.43</v>
      </c>
      <c r="R127" s="18" t="n">
        <v>17.15</v>
      </c>
      <c r="S127" s="18" t="n">
        <v>16.6</v>
      </c>
      <c r="T127" s="18" t="n">
        <v>562</v>
      </c>
      <c r="U127" s="20" t="s">
        <v>32</v>
      </c>
      <c r="V127" s="21"/>
      <c r="W127" s="16"/>
      <c r="X127" s="16"/>
      <c r="Y127" s="16"/>
    </row>
    <row r="128" customFormat="false" ht="15.75" hidden="false" customHeight="false" outlineLevel="0" collapsed="false">
      <c r="A128" s="9"/>
      <c r="B128" s="10"/>
      <c r="C128" s="10"/>
      <c r="D128" s="10"/>
      <c r="E128" s="10"/>
      <c r="F128" s="10"/>
      <c r="G128" s="10"/>
      <c r="H128" s="10"/>
      <c r="I128" s="22" t="n">
        <v>3</v>
      </c>
      <c r="J128" s="22"/>
      <c r="K128" s="23" t="n">
        <f aca="false">39.45</f>
        <v>39.45</v>
      </c>
      <c r="L128" s="23" t="n">
        <f aca="false">130.1</f>
        <v>130.1</v>
      </c>
      <c r="M128" s="22" t="n">
        <v>18</v>
      </c>
      <c r="N128" s="22" t="n">
        <v>30</v>
      </c>
      <c r="O128" s="22" t="n">
        <v>87.6</v>
      </c>
      <c r="P128" s="23" t="n">
        <f aca="false">25.88</f>
        <v>25.88</v>
      </c>
      <c r="Q128" s="23" t="n">
        <f aca="false">154.19</f>
        <v>154.19</v>
      </c>
      <c r="R128" s="22" t="n">
        <v>13.4</v>
      </c>
      <c r="S128" s="22" t="n">
        <v>13.85</v>
      </c>
      <c r="T128" s="22" t="n">
        <v>530</v>
      </c>
      <c r="U128" s="24" t="s">
        <v>32</v>
      </c>
      <c r="V128" s="15"/>
      <c r="W128" s="16"/>
      <c r="X128" s="16"/>
      <c r="Y128" s="16"/>
    </row>
    <row r="129" customFormat="false" ht="15.75" hidden="false" customHeight="false" outlineLevel="0" collapsed="false">
      <c r="A129" s="9"/>
      <c r="B129" s="10"/>
      <c r="C129" s="10"/>
      <c r="D129" s="10"/>
      <c r="E129" s="10"/>
      <c r="F129" s="10"/>
      <c r="G129" s="10"/>
      <c r="H129" s="10"/>
      <c r="I129" s="25" t="n">
        <v>4</v>
      </c>
      <c r="J129" s="25" t="s">
        <v>50</v>
      </c>
      <c r="K129" s="26" t="n">
        <f aca="false">41.87</f>
        <v>41.87</v>
      </c>
      <c r="L129" s="26" t="n">
        <f aca="false">118.96</f>
        <v>118.96</v>
      </c>
      <c r="M129" s="25" t="n">
        <v>18</v>
      </c>
      <c r="N129" s="25" t="n">
        <v>32</v>
      </c>
      <c r="O129" s="25" t="n">
        <v>81.2</v>
      </c>
      <c r="P129" s="26" t="n">
        <f aca="false">26.49</f>
        <v>26.49</v>
      </c>
      <c r="Q129" s="26" t="n">
        <f aca="false">137.28</f>
        <v>137.28</v>
      </c>
      <c r="R129" s="25" t="n">
        <v>15.35</v>
      </c>
      <c r="S129" s="25" t="n">
        <v>19.15</v>
      </c>
      <c r="T129" s="25" t="n">
        <v>360</v>
      </c>
      <c r="U129" s="27" t="s">
        <v>32</v>
      </c>
      <c r="V129" s="21"/>
      <c r="W129" s="16"/>
      <c r="X129" s="16"/>
      <c r="Y129" s="16"/>
    </row>
    <row r="130" customFormat="false" ht="15.75" hidden="false" customHeight="true" outlineLevel="0" collapsed="false">
      <c r="A130" s="9" t="s">
        <v>25</v>
      </c>
      <c r="B130" s="10" t="s">
        <v>26</v>
      </c>
      <c r="C130" s="11" t="s">
        <v>79</v>
      </c>
      <c r="D130" s="10" t="s">
        <v>28</v>
      </c>
      <c r="E130" s="10" t="s">
        <v>28</v>
      </c>
      <c r="F130" s="10"/>
      <c r="G130" s="10" t="n">
        <v>7</v>
      </c>
      <c r="H130" s="10" t="n">
        <v>1.1</v>
      </c>
      <c r="I130" s="12" t="n">
        <v>1</v>
      </c>
      <c r="J130" s="12" t="s">
        <v>35</v>
      </c>
      <c r="K130" s="13" t="n">
        <f aca="false">46.62</f>
        <v>46.62</v>
      </c>
      <c r="L130" s="13" t="n">
        <f aca="false">164.88</f>
        <v>164.88</v>
      </c>
      <c r="M130" s="12" t="n">
        <v>14</v>
      </c>
      <c r="N130" s="12" t="n">
        <v>38</v>
      </c>
      <c r="O130" s="12" t="n">
        <v>184.5</v>
      </c>
      <c r="P130" s="13" t="n">
        <f aca="false">26.29</f>
        <v>26.29</v>
      </c>
      <c r="Q130" s="13" t="n">
        <f aca="false">163.98</f>
        <v>163.98</v>
      </c>
      <c r="R130" s="12" t="n">
        <v>24.25</v>
      </c>
      <c r="S130" s="12" t="n">
        <v>31</v>
      </c>
      <c r="T130" s="12" t="n">
        <v>533</v>
      </c>
      <c r="U130" s="14" t="s">
        <v>29</v>
      </c>
      <c r="V130" s="15"/>
      <c r="W130" s="16" t="str">
        <f aca="false">A130</f>
        <v>KL</v>
      </c>
      <c r="X130" s="17" t="e">
        <f aca="false">ifs(C130="","",X130="",NOW(),TRUE(),X130)</f>
        <v>#VALUE!</v>
      </c>
      <c r="Y130" s="17" t="e">
        <f aca="false">ifs(COUNTA(K130:U133)&lt;44,"",Y130="",NOW(),TRUE(),Y130)</f>
        <v>#VALUE!</v>
      </c>
    </row>
    <row r="131" customFormat="false" ht="15.75" hidden="false" customHeight="false" outlineLevel="0" collapsed="false">
      <c r="A131" s="9"/>
      <c r="B131" s="10"/>
      <c r="C131" s="10"/>
      <c r="D131" s="10"/>
      <c r="E131" s="10"/>
      <c r="F131" s="10"/>
      <c r="G131" s="10"/>
      <c r="H131" s="10"/>
      <c r="I131" s="18" t="n">
        <v>2</v>
      </c>
      <c r="J131" s="18"/>
      <c r="K131" s="19" t="n">
        <f aca="false">43.72</f>
        <v>43.72</v>
      </c>
      <c r="L131" s="19" t="n">
        <f aca="false">167.1</f>
        <v>167.1</v>
      </c>
      <c r="M131" s="18" t="n">
        <v>14</v>
      </c>
      <c r="N131" s="18" t="n">
        <v>40</v>
      </c>
      <c r="O131" s="18" t="n">
        <v>164.75</v>
      </c>
      <c r="P131" s="19" t="n">
        <f aca="false">25.19</f>
        <v>25.19</v>
      </c>
      <c r="Q131" s="19" t="n">
        <f aca="false">167.67</f>
        <v>167.67</v>
      </c>
      <c r="R131" s="18" t="n">
        <v>23.65</v>
      </c>
      <c r="S131" s="18" t="n">
        <v>24.3</v>
      </c>
      <c r="T131" s="18" t="n">
        <v>579</v>
      </c>
      <c r="U131" s="20" t="s">
        <v>29</v>
      </c>
      <c r="V131" s="21"/>
      <c r="W131" s="16"/>
      <c r="X131" s="16"/>
      <c r="Y131" s="16"/>
    </row>
    <row r="132" customFormat="false" ht="15.75" hidden="false" customHeight="false" outlineLevel="0" collapsed="false">
      <c r="A132" s="9"/>
      <c r="B132" s="10"/>
      <c r="C132" s="10"/>
      <c r="D132" s="10"/>
      <c r="E132" s="10"/>
      <c r="F132" s="10"/>
      <c r="G132" s="10"/>
      <c r="H132" s="10"/>
      <c r="I132" s="22" t="n">
        <v>3</v>
      </c>
      <c r="J132" s="22"/>
      <c r="K132" s="23" t="n">
        <f aca="false">41.92</f>
        <v>41.92</v>
      </c>
      <c r="L132" s="23" t="n">
        <f aca="false">151.97</f>
        <v>151.97</v>
      </c>
      <c r="M132" s="22" t="n">
        <v>14</v>
      </c>
      <c r="N132" s="22" t="n">
        <v>38</v>
      </c>
      <c r="O132" s="22" t="n">
        <v>137.9</v>
      </c>
      <c r="P132" s="23" t="n">
        <f aca="false">23.59</f>
        <v>23.59</v>
      </c>
      <c r="Q132" s="23" t="n">
        <f aca="false">153.03</f>
        <v>153.03</v>
      </c>
      <c r="R132" s="22" t="n">
        <v>18.45</v>
      </c>
      <c r="S132" s="22" t="n">
        <v>23.55</v>
      </c>
      <c r="T132" s="22" t="n">
        <v>536</v>
      </c>
      <c r="U132" s="24" t="s">
        <v>29</v>
      </c>
      <c r="V132" s="15"/>
      <c r="W132" s="16"/>
      <c r="X132" s="16"/>
      <c r="Y132" s="16"/>
    </row>
    <row r="133" customFormat="false" ht="15.75" hidden="false" customHeight="false" outlineLevel="0" collapsed="false">
      <c r="A133" s="9"/>
      <c r="B133" s="10"/>
      <c r="C133" s="10"/>
      <c r="D133" s="10"/>
      <c r="E133" s="10"/>
      <c r="F133" s="10"/>
      <c r="G133" s="10"/>
      <c r="H133" s="10"/>
      <c r="I133" s="25" t="n">
        <v>4</v>
      </c>
      <c r="J133" s="25"/>
      <c r="K133" s="26" t="n">
        <f aca="false">41.1</f>
        <v>41.1</v>
      </c>
      <c r="L133" s="26" t="n">
        <f aca="false">131.11</f>
        <v>131.11</v>
      </c>
      <c r="M133" s="25" t="n">
        <v>14</v>
      </c>
      <c r="N133" s="25" t="n">
        <v>34</v>
      </c>
      <c r="O133" s="25" t="n">
        <v>109.9</v>
      </c>
      <c r="P133" s="26" t="n">
        <f aca="false">23.78</f>
        <v>23.78</v>
      </c>
      <c r="Q133" s="26" t="n">
        <f aca="false">138.62</f>
        <v>138.62</v>
      </c>
      <c r="R133" s="25" t="n">
        <v>15.45</v>
      </c>
      <c r="S133" s="25" t="n">
        <v>19.35</v>
      </c>
      <c r="T133" s="25" t="n">
        <v>500</v>
      </c>
      <c r="U133" s="27" t="s">
        <v>29</v>
      </c>
      <c r="V133" s="21"/>
      <c r="W133" s="16"/>
      <c r="X133" s="16"/>
      <c r="Y133" s="16"/>
    </row>
    <row r="134" customFormat="false" ht="15.75" hidden="false" customHeight="true" outlineLevel="0" collapsed="false">
      <c r="A134" s="9" t="s">
        <v>25</v>
      </c>
      <c r="B134" s="10" t="s">
        <v>26</v>
      </c>
      <c r="C134" s="11" t="s">
        <v>80</v>
      </c>
      <c r="D134" s="10" t="s">
        <v>28</v>
      </c>
      <c r="E134" s="10" t="s">
        <v>28</v>
      </c>
      <c r="F134" s="10" t="s">
        <v>81</v>
      </c>
      <c r="G134" s="10" t="n">
        <v>9</v>
      </c>
      <c r="H134" s="10" t="n">
        <v>2.95</v>
      </c>
      <c r="I134" s="12" t="n">
        <v>1</v>
      </c>
      <c r="J134" s="12"/>
      <c r="K134" s="13" t="n">
        <f aca="false">51.63</f>
        <v>51.63</v>
      </c>
      <c r="L134" s="13" t="n">
        <f aca="false">186.83</f>
        <v>186.83</v>
      </c>
      <c r="M134" s="12" t="n">
        <v>18</v>
      </c>
      <c r="N134" s="12" t="n">
        <v>42</v>
      </c>
      <c r="O134" s="12" t="n">
        <v>255.8</v>
      </c>
      <c r="P134" s="13" t="n">
        <f aca="false">31.57</f>
        <v>31.57</v>
      </c>
      <c r="Q134" s="13" t="n">
        <f aca="false">197.8</f>
        <v>197.8</v>
      </c>
      <c r="R134" s="12" t="n">
        <v>34.75</v>
      </c>
      <c r="S134" s="12" t="n">
        <v>31.5</v>
      </c>
      <c r="T134" s="12" t="n">
        <v>677</v>
      </c>
      <c r="U134" s="14" t="s">
        <v>29</v>
      </c>
      <c r="V134" s="15"/>
      <c r="W134" s="16" t="str">
        <f aca="false">A134</f>
        <v>KL</v>
      </c>
      <c r="X134" s="17" t="e">
        <f aca="false">ifs(C134="","",X134="",NOW(),TRUE(),X134)</f>
        <v>#VALUE!</v>
      </c>
      <c r="Y134" s="17" t="e">
        <f aca="false">ifs(COUNTA(K134:U137)&lt;44,"",Y134="",NOW(),TRUE(),Y134)</f>
        <v>#VALUE!</v>
      </c>
    </row>
    <row r="135" customFormat="false" ht="15.75" hidden="false" customHeight="false" outlineLevel="0" collapsed="false">
      <c r="A135" s="9"/>
      <c r="B135" s="10"/>
      <c r="C135" s="10"/>
      <c r="D135" s="10"/>
      <c r="E135" s="10"/>
      <c r="F135" s="10"/>
      <c r="G135" s="10"/>
      <c r="H135" s="10"/>
      <c r="I135" s="18" t="n">
        <v>2</v>
      </c>
      <c r="J135" s="18"/>
      <c r="K135" s="19" t="n">
        <f aca="false">50.33</f>
        <v>50.33</v>
      </c>
      <c r="L135" s="19" t="n">
        <f aca="false">189.21</f>
        <v>189.21</v>
      </c>
      <c r="M135" s="18" t="n">
        <v>16</v>
      </c>
      <c r="N135" s="18" t="n">
        <v>44</v>
      </c>
      <c r="O135" s="18" t="n">
        <v>251.85</v>
      </c>
      <c r="P135" s="19" t="n">
        <f aca="false">31.21</f>
        <v>31.21</v>
      </c>
      <c r="Q135" s="19" t="n">
        <f aca="false">193.07</f>
        <v>193.07</v>
      </c>
      <c r="R135" s="18" t="n">
        <v>38</v>
      </c>
      <c r="S135" s="18" t="n">
        <v>34.1</v>
      </c>
      <c r="T135" s="18" t="n">
        <v>653</v>
      </c>
      <c r="U135" s="20" t="s">
        <v>29</v>
      </c>
      <c r="V135" s="21"/>
      <c r="W135" s="16"/>
      <c r="X135" s="16"/>
      <c r="Y135" s="16"/>
    </row>
    <row r="136" customFormat="false" ht="15.75" hidden="false" customHeight="false" outlineLevel="0" collapsed="false">
      <c r="A136" s="9"/>
      <c r="B136" s="10"/>
      <c r="C136" s="10"/>
      <c r="D136" s="10"/>
      <c r="E136" s="10"/>
      <c r="F136" s="10"/>
      <c r="G136" s="10"/>
      <c r="H136" s="10"/>
      <c r="I136" s="22" t="n">
        <v>3</v>
      </c>
      <c r="J136" s="22"/>
      <c r="K136" s="23" t="n">
        <f aca="false">51.79</f>
        <v>51.79</v>
      </c>
      <c r="L136" s="23" t="n">
        <f aca="false">174.96</f>
        <v>174.96</v>
      </c>
      <c r="M136" s="22" t="n">
        <v>16</v>
      </c>
      <c r="N136" s="22" t="n">
        <v>40</v>
      </c>
      <c r="O136" s="22" t="n">
        <v>261.35</v>
      </c>
      <c r="P136" s="23" t="n">
        <f aca="false">28.19</f>
        <v>28.19</v>
      </c>
      <c r="Q136" s="23" t="n">
        <f aca="false">187.79</f>
        <v>187.79</v>
      </c>
      <c r="R136" s="22" t="n">
        <v>31.65</v>
      </c>
      <c r="S136" s="22" t="n">
        <v>36.65</v>
      </c>
      <c r="T136" s="22" t="n">
        <v>675</v>
      </c>
      <c r="U136" s="24" t="s">
        <v>29</v>
      </c>
      <c r="V136" s="15"/>
      <c r="W136" s="16"/>
      <c r="X136" s="16"/>
      <c r="Y136" s="16"/>
    </row>
    <row r="137" customFormat="false" ht="15.75" hidden="false" customHeight="false" outlineLevel="0" collapsed="false">
      <c r="A137" s="9"/>
      <c r="B137" s="10"/>
      <c r="C137" s="10"/>
      <c r="D137" s="10"/>
      <c r="E137" s="10"/>
      <c r="F137" s="10"/>
      <c r="G137" s="10"/>
      <c r="H137" s="10"/>
      <c r="I137" s="25" t="n">
        <v>4</v>
      </c>
      <c r="J137" s="25"/>
      <c r="K137" s="26" t="n">
        <f aca="false">47.86</f>
        <v>47.86</v>
      </c>
      <c r="L137" s="26" t="n">
        <f aca="false">164.12</f>
        <v>164.12</v>
      </c>
      <c r="M137" s="25" t="n">
        <v>14</v>
      </c>
      <c r="N137" s="25" t="n">
        <v>40</v>
      </c>
      <c r="O137" s="25" t="n">
        <v>211.95</v>
      </c>
      <c r="P137" s="26" t="n">
        <f aca="false">28.72</f>
        <v>28.72</v>
      </c>
      <c r="Q137" s="26" t="n">
        <f aca="false">182.93</f>
        <v>182.93</v>
      </c>
      <c r="R137" s="25" t="n">
        <v>26.1</v>
      </c>
      <c r="S137" s="25" t="n">
        <v>34.25</v>
      </c>
      <c r="T137" s="25" t="n">
        <v>572</v>
      </c>
      <c r="U137" s="27" t="s">
        <v>29</v>
      </c>
      <c r="V137" s="21"/>
      <c r="W137" s="16"/>
      <c r="X137" s="16"/>
      <c r="Y137" s="16"/>
    </row>
    <row r="138" customFormat="false" ht="15.75" hidden="false" customHeight="true" outlineLevel="0" collapsed="false">
      <c r="A138" s="9" t="s">
        <v>25</v>
      </c>
      <c r="B138" s="10" t="s">
        <v>26</v>
      </c>
      <c r="C138" s="11" t="s">
        <v>82</v>
      </c>
      <c r="D138" s="10" t="s">
        <v>28</v>
      </c>
      <c r="E138" s="10" t="s">
        <v>28</v>
      </c>
      <c r="F138" s="10"/>
      <c r="G138" s="10" t="n">
        <v>6</v>
      </c>
      <c r="H138" s="10" t="n">
        <v>0.45</v>
      </c>
      <c r="I138" s="12" t="n">
        <v>1</v>
      </c>
      <c r="J138" s="12"/>
      <c r="K138" s="13" t="n">
        <f aca="false">41.09</f>
        <v>41.09</v>
      </c>
      <c r="L138" s="13" t="n">
        <f aca="false">145.19</f>
        <v>145.19</v>
      </c>
      <c r="M138" s="12" t="n">
        <v>16</v>
      </c>
      <c r="N138" s="12" t="n">
        <v>36</v>
      </c>
      <c r="O138" s="12" t="n">
        <v>124.25</v>
      </c>
      <c r="P138" s="13" t="n">
        <f aca="false">26.98</f>
        <v>26.98</v>
      </c>
      <c r="Q138" s="13" t="n">
        <f aca="false">161.25</f>
        <v>161.25</v>
      </c>
      <c r="R138" s="12" t="n">
        <v>19.3</v>
      </c>
      <c r="S138" s="12" t="n">
        <v>18.1</v>
      </c>
      <c r="T138" s="12" t="n">
        <v>567</v>
      </c>
      <c r="U138" s="14" t="s">
        <v>29</v>
      </c>
      <c r="V138" s="15"/>
      <c r="W138" s="16" t="str">
        <f aca="false">A138</f>
        <v>KL</v>
      </c>
      <c r="X138" s="17" t="e">
        <f aca="false">ifs(C138="","",X138="",NOW(),TRUE(),X138)</f>
        <v>#VALUE!</v>
      </c>
      <c r="Y138" s="17" t="e">
        <f aca="false">ifs(COUNTA(K138:U141)&lt;44,"",Y138="",NOW(),TRUE(),Y138)</f>
        <v>#VALUE!</v>
      </c>
    </row>
    <row r="139" customFormat="false" ht="15.75" hidden="false" customHeight="false" outlineLevel="0" collapsed="false">
      <c r="A139" s="9"/>
      <c r="B139" s="10"/>
      <c r="C139" s="10"/>
      <c r="D139" s="10"/>
      <c r="E139" s="10"/>
      <c r="F139" s="10"/>
      <c r="G139" s="10"/>
      <c r="H139" s="10"/>
      <c r="I139" s="18" t="n">
        <v>2</v>
      </c>
      <c r="J139" s="18" t="s">
        <v>47</v>
      </c>
      <c r="K139" s="19" t="n">
        <f aca="false">40.17</f>
        <v>40.17</v>
      </c>
      <c r="L139" s="19" t="n">
        <f aca="false">142.06</f>
        <v>142.06</v>
      </c>
      <c r="M139" s="18" t="n">
        <v>16</v>
      </c>
      <c r="N139" s="18" t="n">
        <v>32</v>
      </c>
      <c r="O139" s="18" t="n">
        <v>126.35</v>
      </c>
      <c r="P139" s="19" t="n">
        <f aca="false">26.38</f>
        <v>26.38</v>
      </c>
      <c r="Q139" s="19" t="n">
        <f aca="false">158.17</f>
        <v>158.17</v>
      </c>
      <c r="R139" s="18" t="n">
        <v>18.15</v>
      </c>
      <c r="S139" s="18" t="n">
        <v>21.9</v>
      </c>
      <c r="T139" s="18" t="n">
        <v>506</v>
      </c>
      <c r="U139" s="20" t="s">
        <v>29</v>
      </c>
      <c r="V139" s="21"/>
      <c r="W139" s="16"/>
      <c r="X139" s="16"/>
      <c r="Y139" s="16"/>
    </row>
    <row r="140" customFormat="false" ht="15.75" hidden="false" customHeight="false" outlineLevel="0" collapsed="false">
      <c r="A140" s="9"/>
      <c r="B140" s="10"/>
      <c r="C140" s="10"/>
      <c r="D140" s="10"/>
      <c r="E140" s="10"/>
      <c r="F140" s="10"/>
      <c r="G140" s="10"/>
      <c r="H140" s="10"/>
      <c r="I140" s="22" t="n">
        <v>3</v>
      </c>
      <c r="J140" s="22" t="s">
        <v>36</v>
      </c>
      <c r="K140" s="23" t="n">
        <f aca="false">40.97</f>
        <v>40.97</v>
      </c>
      <c r="L140" s="23" t="n">
        <f aca="false">133.52</f>
        <v>133.52</v>
      </c>
      <c r="M140" s="22" t="n">
        <v>16</v>
      </c>
      <c r="N140" s="22" t="n">
        <v>32</v>
      </c>
      <c r="O140" s="22" t="n">
        <v>115.6</v>
      </c>
      <c r="P140" s="23" t="n">
        <f aca="false">26.74</f>
        <v>26.74</v>
      </c>
      <c r="Q140" s="23" t="n">
        <f aca="false">149.61</f>
        <v>149.61</v>
      </c>
      <c r="R140" s="22" t="n">
        <v>16.45</v>
      </c>
      <c r="S140" s="22" t="n">
        <v>19.2</v>
      </c>
      <c r="T140" s="22" t="n">
        <v>527</v>
      </c>
      <c r="U140" s="24" t="s">
        <v>29</v>
      </c>
      <c r="V140" s="15"/>
      <c r="W140" s="16"/>
      <c r="X140" s="16"/>
      <c r="Y140" s="16"/>
    </row>
    <row r="141" customFormat="false" ht="15.75" hidden="false" customHeight="false" outlineLevel="0" collapsed="false">
      <c r="A141" s="9"/>
      <c r="B141" s="10"/>
      <c r="C141" s="10"/>
      <c r="D141" s="10"/>
      <c r="E141" s="10"/>
      <c r="F141" s="10"/>
      <c r="G141" s="10"/>
      <c r="H141" s="10"/>
      <c r="I141" s="25" t="n">
        <v>4</v>
      </c>
      <c r="J141" s="25" t="s">
        <v>46</v>
      </c>
      <c r="K141" s="26" t="n">
        <f aca="false">41.79</f>
        <v>41.79</v>
      </c>
      <c r="L141" s="26" t="n">
        <f aca="false">110.01</f>
        <v>110.01</v>
      </c>
      <c r="M141" s="25" t="n">
        <v>14</v>
      </c>
      <c r="N141" s="25" t="n">
        <v>28</v>
      </c>
      <c r="O141" s="25" t="n">
        <v>114.2</v>
      </c>
      <c r="P141" s="26" t="n">
        <f aca="false">26.42</f>
        <v>26.42</v>
      </c>
      <c r="Q141" s="26" t="n">
        <f aca="false">145.41</f>
        <v>145.41</v>
      </c>
      <c r="R141" s="25" t="n">
        <v>16.25</v>
      </c>
      <c r="S141" s="25" t="n">
        <v>23.75</v>
      </c>
      <c r="T141" s="25" t="n">
        <v>433</v>
      </c>
      <c r="U141" s="27" t="s">
        <v>29</v>
      </c>
      <c r="V141" s="21"/>
      <c r="W141" s="16"/>
      <c r="X141" s="16"/>
      <c r="Y141" s="16"/>
    </row>
    <row r="142" customFormat="false" ht="15.75" hidden="false" customHeight="true" outlineLevel="0" collapsed="false">
      <c r="A142" s="9" t="s">
        <v>25</v>
      </c>
      <c r="B142" s="10" t="s">
        <v>26</v>
      </c>
      <c r="C142" s="11" t="s">
        <v>83</v>
      </c>
      <c r="D142" s="10" t="s">
        <v>28</v>
      </c>
      <c r="E142" s="10" t="s">
        <v>28</v>
      </c>
      <c r="F142" s="10"/>
      <c r="G142" s="10" t="n">
        <v>1</v>
      </c>
      <c r="H142" s="10" t="n">
        <v>0.2</v>
      </c>
      <c r="I142" s="12" t="n">
        <v>1</v>
      </c>
      <c r="J142" s="12"/>
      <c r="K142" s="13" t="n">
        <f aca="false">40.2</f>
        <v>40.2</v>
      </c>
      <c r="L142" s="13" t="n">
        <f aca="false">132.65</f>
        <v>132.65</v>
      </c>
      <c r="M142" s="12" t="n">
        <v>14</v>
      </c>
      <c r="N142" s="12" t="n">
        <v>36</v>
      </c>
      <c r="O142" s="12" t="n">
        <v>114.5</v>
      </c>
      <c r="P142" s="13" t="n">
        <f aca="false">23.51</f>
        <v>23.51</v>
      </c>
      <c r="Q142" s="13" t="n">
        <f aca="false">153.23</f>
        <v>153.23</v>
      </c>
      <c r="R142" s="12" t="n">
        <v>20.2</v>
      </c>
      <c r="S142" s="12" t="n">
        <v>17.55</v>
      </c>
      <c r="T142" s="12" t="n">
        <v>501</v>
      </c>
      <c r="U142" s="14" t="s">
        <v>29</v>
      </c>
      <c r="V142" s="15"/>
      <c r="W142" s="16" t="str">
        <f aca="false">A142</f>
        <v>KL</v>
      </c>
      <c r="X142" s="17" t="e">
        <f aca="false">ifs(C142="","",X142="",NOW(),TRUE(),X142)</f>
        <v>#VALUE!</v>
      </c>
      <c r="Y142" s="17" t="e">
        <f aca="false">ifs(COUNTA(K142:U145)&lt;44,"",Y142="",NOW(),TRUE(),Y142)</f>
        <v>#VALUE!</v>
      </c>
    </row>
    <row r="143" customFormat="false" ht="15.75" hidden="false" customHeight="false" outlineLevel="0" collapsed="false">
      <c r="A143" s="9"/>
      <c r="B143" s="10"/>
      <c r="C143" s="10"/>
      <c r="D143" s="10"/>
      <c r="E143" s="10"/>
      <c r="F143" s="10"/>
      <c r="G143" s="10"/>
      <c r="H143" s="10"/>
      <c r="I143" s="18" t="n">
        <v>2</v>
      </c>
      <c r="J143" s="18"/>
      <c r="K143" s="19" t="n">
        <f aca="false">38.92</f>
        <v>38.92</v>
      </c>
      <c r="L143" s="19" t="n">
        <f aca="false">132.89</f>
        <v>132.89</v>
      </c>
      <c r="M143" s="18" t="n">
        <v>14</v>
      </c>
      <c r="N143" s="18" t="n">
        <v>36</v>
      </c>
      <c r="O143" s="18" t="n">
        <v>114.55</v>
      </c>
      <c r="P143" s="19" t="n">
        <f aca="false">24.33</f>
        <v>24.33</v>
      </c>
      <c r="Q143" s="19" t="n">
        <f aca="false">155.43</f>
        <v>155.43</v>
      </c>
      <c r="R143" s="18" t="n">
        <v>20.65</v>
      </c>
      <c r="S143" s="18" t="n">
        <v>17.6</v>
      </c>
      <c r="T143" s="18" t="n">
        <v>533</v>
      </c>
      <c r="U143" s="20" t="s">
        <v>29</v>
      </c>
      <c r="V143" s="21"/>
      <c r="W143" s="16"/>
      <c r="X143" s="16"/>
      <c r="Y143" s="16"/>
    </row>
    <row r="144" customFormat="false" ht="15.75" hidden="false" customHeight="false" outlineLevel="0" collapsed="false">
      <c r="A144" s="9"/>
      <c r="B144" s="10"/>
      <c r="C144" s="10"/>
      <c r="D144" s="10"/>
      <c r="E144" s="10"/>
      <c r="F144" s="10"/>
      <c r="G144" s="10"/>
      <c r="H144" s="10"/>
      <c r="I144" s="22" t="n">
        <v>3</v>
      </c>
      <c r="J144" s="22"/>
      <c r="K144" s="23" t="n">
        <f aca="false">37.19</f>
        <v>37.19</v>
      </c>
      <c r="L144" s="23" t="n">
        <f aca="false">130.42</f>
        <v>130.42</v>
      </c>
      <c r="M144" s="22" t="n">
        <v>14</v>
      </c>
      <c r="N144" s="22" t="n">
        <v>30</v>
      </c>
      <c r="O144" s="22" t="n">
        <v>95.2</v>
      </c>
      <c r="P144" s="23" t="n">
        <f aca="false">23.33</f>
        <v>23.33</v>
      </c>
      <c r="Q144" s="23" t="n">
        <f aca="false">149.79</f>
        <v>149.79</v>
      </c>
      <c r="R144" s="22" t="n">
        <v>16.8</v>
      </c>
      <c r="S144" s="22" t="n">
        <v>17.8</v>
      </c>
      <c r="T144" s="22" t="n">
        <v>441</v>
      </c>
      <c r="U144" s="24" t="s">
        <v>29</v>
      </c>
      <c r="V144" s="15"/>
      <c r="W144" s="16"/>
      <c r="X144" s="16"/>
      <c r="Y144" s="16"/>
    </row>
    <row r="145" customFormat="false" ht="15.75" hidden="false" customHeight="false" outlineLevel="0" collapsed="false">
      <c r="A145" s="9"/>
      <c r="B145" s="10"/>
      <c r="C145" s="10"/>
      <c r="D145" s="10"/>
      <c r="E145" s="10"/>
      <c r="F145" s="10"/>
      <c r="G145" s="10"/>
      <c r="H145" s="10"/>
      <c r="I145" s="25" t="n">
        <v>4</v>
      </c>
      <c r="J145" s="25"/>
      <c r="K145" s="26" t="n">
        <f aca="false">36.73</f>
        <v>36.73</v>
      </c>
      <c r="L145" s="26" t="n">
        <f aca="false">136.14</f>
        <v>136.14</v>
      </c>
      <c r="M145" s="25" t="n">
        <v>12</v>
      </c>
      <c r="N145" s="25" t="n">
        <v>36</v>
      </c>
      <c r="O145" s="25" t="n">
        <v>103.05</v>
      </c>
      <c r="P145" s="26" t="n">
        <f aca="false">21.61</f>
        <v>21.61</v>
      </c>
      <c r="Q145" s="26" t="n">
        <f aca="false">158.59</f>
        <v>158.59</v>
      </c>
      <c r="R145" s="25" t="n">
        <v>18.35</v>
      </c>
      <c r="S145" s="25" t="n">
        <v>18.05</v>
      </c>
      <c r="T145" s="25" t="n">
        <v>466</v>
      </c>
      <c r="U145" s="27" t="s">
        <v>29</v>
      </c>
      <c r="V145" s="21"/>
      <c r="W145" s="16"/>
      <c r="X145" s="16"/>
      <c r="Y145" s="16"/>
    </row>
    <row r="146" customFormat="false" ht="15.75" hidden="false" customHeight="true" outlineLevel="0" collapsed="false">
      <c r="A146" s="9" t="s">
        <v>25</v>
      </c>
      <c r="B146" s="10" t="s">
        <v>26</v>
      </c>
      <c r="C146" s="11" t="s">
        <v>84</v>
      </c>
      <c r="D146" s="10" t="s">
        <v>28</v>
      </c>
      <c r="E146" s="10" t="s">
        <v>28</v>
      </c>
      <c r="F146" s="10"/>
      <c r="G146" s="10" t="n">
        <v>92</v>
      </c>
      <c r="H146" s="10" t="n">
        <v>19.3</v>
      </c>
      <c r="I146" s="12" t="n">
        <v>1</v>
      </c>
      <c r="J146" s="12"/>
      <c r="K146" s="13" t="n">
        <f aca="false">40.07</f>
        <v>40.07</v>
      </c>
      <c r="L146" s="13" t="n">
        <f aca="false">135.89</f>
        <v>135.89</v>
      </c>
      <c r="M146" s="12" t="n">
        <v>16</v>
      </c>
      <c r="N146" s="12" t="n">
        <v>32</v>
      </c>
      <c r="O146" s="12" t="n">
        <v>100.95</v>
      </c>
      <c r="P146" s="13" t="n">
        <f aca="false">25.02</f>
        <v>25.02</v>
      </c>
      <c r="Q146" s="13" t="n">
        <f aca="false">147.81</f>
        <v>147.81</v>
      </c>
      <c r="R146" s="12" t="n">
        <v>13.8</v>
      </c>
      <c r="S146" s="12" t="n">
        <v>18.65</v>
      </c>
      <c r="T146" s="12" t="n">
        <v>477</v>
      </c>
      <c r="U146" s="14" t="s">
        <v>29</v>
      </c>
      <c r="V146" s="15"/>
      <c r="W146" s="16" t="str">
        <f aca="false">A146</f>
        <v>KL</v>
      </c>
      <c r="X146" s="17" t="e">
        <f aca="false">ifs(C146="","",X146="",NOW(),TRUE(),X146)</f>
        <v>#VALUE!</v>
      </c>
      <c r="Y146" s="17" t="e">
        <f aca="false">ifs(COUNTA(K146:U149)&lt;44,"",Y146="",NOW(),TRUE(),Y146)</f>
        <v>#VALUE!</v>
      </c>
    </row>
    <row r="147" customFormat="false" ht="15.75" hidden="false" customHeight="false" outlineLevel="0" collapsed="false">
      <c r="A147" s="9"/>
      <c r="B147" s="10"/>
      <c r="C147" s="10"/>
      <c r="D147" s="10"/>
      <c r="E147" s="10"/>
      <c r="F147" s="10"/>
      <c r="G147" s="10"/>
      <c r="H147" s="10"/>
      <c r="I147" s="18" t="n">
        <v>2</v>
      </c>
      <c r="J147" s="18"/>
      <c r="K147" s="19" t="n">
        <f aca="false">39.46</f>
        <v>39.46</v>
      </c>
      <c r="L147" s="19" t="n">
        <f aca="false">119.79</f>
        <v>119.79</v>
      </c>
      <c r="M147" s="18" t="n">
        <v>16</v>
      </c>
      <c r="N147" s="18" t="n">
        <v>30</v>
      </c>
      <c r="O147" s="18" t="n">
        <v>91.95</v>
      </c>
      <c r="P147" s="19" t="n">
        <f aca="false">24.11</f>
        <v>24.11</v>
      </c>
      <c r="Q147" s="19" t="n">
        <f aca="false">146.93</f>
        <v>146.93</v>
      </c>
      <c r="R147" s="18" t="n">
        <v>12.15</v>
      </c>
      <c r="S147" s="18" t="n">
        <v>18.7</v>
      </c>
      <c r="T147" s="18" t="n">
        <v>435</v>
      </c>
      <c r="U147" s="20" t="s">
        <v>29</v>
      </c>
      <c r="V147" s="21"/>
      <c r="W147" s="16"/>
      <c r="X147" s="16"/>
      <c r="Y147" s="16"/>
    </row>
    <row r="148" customFormat="false" ht="15.75" hidden="false" customHeight="false" outlineLevel="0" collapsed="false">
      <c r="A148" s="9"/>
      <c r="B148" s="10"/>
      <c r="C148" s="10"/>
      <c r="D148" s="10"/>
      <c r="E148" s="10"/>
      <c r="F148" s="10"/>
      <c r="G148" s="10"/>
      <c r="H148" s="10"/>
      <c r="I148" s="22" t="n">
        <v>3</v>
      </c>
      <c r="J148" s="22" t="s">
        <v>46</v>
      </c>
      <c r="K148" s="23" t="n">
        <f aca="false">40.41</f>
        <v>40.41</v>
      </c>
      <c r="L148" s="23" t="n">
        <f aca="false">125.1</f>
        <v>125.1</v>
      </c>
      <c r="M148" s="22" t="n">
        <v>16</v>
      </c>
      <c r="N148" s="22" t="n">
        <v>28</v>
      </c>
      <c r="O148" s="22" t="n">
        <v>96.4</v>
      </c>
      <c r="P148" s="23" t="n">
        <f aca="false">24.71</f>
        <v>24.71</v>
      </c>
      <c r="Q148" s="23" t="n">
        <f aca="false">151.27</f>
        <v>151.27</v>
      </c>
      <c r="R148" s="22" t="n">
        <v>13.25</v>
      </c>
      <c r="S148" s="22" t="n">
        <v>18.45</v>
      </c>
      <c r="T148" s="22" t="n">
        <v>462</v>
      </c>
      <c r="U148" s="24" t="s">
        <v>29</v>
      </c>
      <c r="V148" s="15"/>
      <c r="W148" s="16"/>
      <c r="X148" s="16"/>
      <c r="Y148" s="16"/>
    </row>
    <row r="149" customFormat="false" ht="15.75" hidden="false" customHeight="false" outlineLevel="0" collapsed="false">
      <c r="A149" s="9"/>
      <c r="B149" s="10"/>
      <c r="C149" s="10"/>
      <c r="D149" s="10"/>
      <c r="E149" s="10"/>
      <c r="F149" s="10"/>
      <c r="G149" s="10"/>
      <c r="H149" s="10"/>
      <c r="I149" s="25" t="n">
        <v>4</v>
      </c>
      <c r="J149" s="25" t="s">
        <v>46</v>
      </c>
      <c r="K149" s="26" t="n">
        <f aca="false">38.91</f>
        <v>38.91</v>
      </c>
      <c r="L149" s="26" t="n">
        <f aca="false">139.16</f>
        <v>139.16</v>
      </c>
      <c r="M149" s="25" t="n">
        <v>14</v>
      </c>
      <c r="N149" s="25" t="n">
        <v>32</v>
      </c>
      <c r="O149" s="25" t="n">
        <v>74.25</v>
      </c>
      <c r="P149" s="26" t="n">
        <f aca="false">22.96</f>
        <v>22.96</v>
      </c>
      <c r="Q149" s="26" t="n">
        <f aca="false">155.07</f>
        <v>155.07</v>
      </c>
      <c r="R149" s="25" t="n">
        <v>12.75</v>
      </c>
      <c r="S149" s="25" t="n">
        <v>21.85</v>
      </c>
      <c r="T149" s="25" t="n">
        <v>292</v>
      </c>
      <c r="U149" s="27" t="s">
        <v>29</v>
      </c>
      <c r="V149" s="21"/>
      <c r="W149" s="16"/>
      <c r="X149" s="16"/>
      <c r="Y149" s="16"/>
    </row>
    <row r="150" customFormat="false" ht="15.75" hidden="false" customHeight="true" outlineLevel="0" collapsed="false">
      <c r="A150" s="9" t="s">
        <v>25</v>
      </c>
      <c r="B150" s="10" t="s">
        <v>26</v>
      </c>
      <c r="C150" s="11" t="s">
        <v>85</v>
      </c>
      <c r="D150" s="10" t="s">
        <v>28</v>
      </c>
      <c r="E150" s="10" t="s">
        <v>28</v>
      </c>
      <c r="F150" s="10"/>
      <c r="G150" s="10" t="n">
        <v>36</v>
      </c>
      <c r="H150" s="10" t="n">
        <v>7.15</v>
      </c>
      <c r="I150" s="12" t="n">
        <v>1</v>
      </c>
      <c r="J150" s="12"/>
      <c r="K150" s="13" t="n">
        <f aca="false">40.32</f>
        <v>40.32</v>
      </c>
      <c r="L150" s="13" t="n">
        <f aca="false">123.82</f>
        <v>123.82</v>
      </c>
      <c r="M150" s="12" t="n">
        <v>18</v>
      </c>
      <c r="N150" s="12" t="n">
        <v>30</v>
      </c>
      <c r="O150" s="12" t="n">
        <v>113.15</v>
      </c>
      <c r="P150" s="13" t="n">
        <f aca="false">22.87</f>
        <v>22.87</v>
      </c>
      <c r="Q150" s="13" t="n">
        <f aca="false">137.92</f>
        <v>137.92</v>
      </c>
      <c r="R150" s="12" t="n">
        <v>12.3</v>
      </c>
      <c r="S150" s="12" t="n">
        <v>21.4</v>
      </c>
      <c r="T150" s="12" t="n">
        <v>483</v>
      </c>
      <c r="U150" s="14" t="s">
        <v>29</v>
      </c>
      <c r="V150" s="15"/>
      <c r="W150" s="16" t="str">
        <f aca="false">A150</f>
        <v>KL</v>
      </c>
      <c r="X150" s="17" t="e">
        <f aca="false">ifs(C150="","",X150="",NOW(),TRUE(),X150)</f>
        <v>#VALUE!</v>
      </c>
      <c r="Y150" s="17" t="e">
        <f aca="false">ifs(COUNTA(K150:U153)&lt;44,"",Y150="",NOW(),TRUE(),Y150)</f>
        <v>#VALUE!</v>
      </c>
    </row>
    <row r="151" customFormat="false" ht="15.75" hidden="false" customHeight="false" outlineLevel="0" collapsed="false">
      <c r="A151" s="9"/>
      <c r="B151" s="10"/>
      <c r="C151" s="10"/>
      <c r="D151" s="10"/>
      <c r="E151" s="10"/>
      <c r="F151" s="10"/>
      <c r="G151" s="10"/>
      <c r="H151" s="10"/>
      <c r="I151" s="18" t="n">
        <v>2</v>
      </c>
      <c r="J151" s="18"/>
      <c r="K151" s="19" t="n">
        <f aca="false">38.16</f>
        <v>38.16</v>
      </c>
      <c r="L151" s="19" t="n">
        <f aca="false">117.89</f>
        <v>117.89</v>
      </c>
      <c r="M151" s="18" t="n">
        <v>16</v>
      </c>
      <c r="N151" s="18" t="n">
        <v>28</v>
      </c>
      <c r="O151" s="18" t="n">
        <v>97.85</v>
      </c>
      <c r="P151" s="19" t="n">
        <f aca="false">22.33</f>
        <v>22.33</v>
      </c>
      <c r="Q151" s="19" t="n">
        <f aca="false">137.18</f>
        <v>137.18</v>
      </c>
      <c r="R151" s="18" t="n">
        <v>10.6</v>
      </c>
      <c r="S151" s="18" t="n">
        <v>20.4</v>
      </c>
      <c r="T151" s="18" t="n">
        <v>429</v>
      </c>
      <c r="U151" s="20" t="s">
        <v>29</v>
      </c>
      <c r="V151" s="21"/>
      <c r="W151" s="16"/>
      <c r="X151" s="16"/>
      <c r="Y151" s="16"/>
    </row>
    <row r="152" customFormat="false" ht="15.75" hidden="false" customHeight="false" outlineLevel="0" collapsed="false">
      <c r="A152" s="9"/>
      <c r="B152" s="10"/>
      <c r="C152" s="10"/>
      <c r="D152" s="10"/>
      <c r="E152" s="10"/>
      <c r="F152" s="10"/>
      <c r="G152" s="10"/>
      <c r="H152" s="10"/>
      <c r="I152" s="22" t="n">
        <v>3</v>
      </c>
      <c r="J152" s="22"/>
      <c r="K152" s="23" t="n">
        <f aca="false">38.93</f>
        <v>38.93</v>
      </c>
      <c r="L152" s="23" t="n">
        <f aca="false">117.53</f>
        <v>117.53</v>
      </c>
      <c r="M152" s="22" t="n">
        <v>16</v>
      </c>
      <c r="N152" s="22" t="n">
        <v>28</v>
      </c>
      <c r="O152" s="22" t="n">
        <v>103.2</v>
      </c>
      <c r="P152" s="23" t="n">
        <f aca="false">22.43</f>
        <v>22.43</v>
      </c>
      <c r="Q152" s="23" t="n">
        <f aca="false">128.51</f>
        <v>128.51</v>
      </c>
      <c r="R152" s="22" t="n">
        <v>13.35</v>
      </c>
      <c r="S152" s="22" t="n">
        <v>22.05</v>
      </c>
      <c r="T152" s="22" t="n">
        <v>426</v>
      </c>
      <c r="U152" s="24" t="s">
        <v>29</v>
      </c>
      <c r="V152" s="15"/>
      <c r="W152" s="16"/>
      <c r="X152" s="16"/>
      <c r="Y152" s="16"/>
    </row>
    <row r="153" customFormat="false" ht="15.75" hidden="false" customHeight="false" outlineLevel="0" collapsed="false">
      <c r="A153" s="9"/>
      <c r="B153" s="10"/>
      <c r="C153" s="10"/>
      <c r="D153" s="10"/>
      <c r="E153" s="10"/>
      <c r="F153" s="10"/>
      <c r="G153" s="10"/>
      <c r="H153" s="10"/>
      <c r="I153" s="25" t="n">
        <v>4</v>
      </c>
      <c r="J153" s="25"/>
      <c r="K153" s="26" t="n">
        <f aca="false">38.68</f>
        <v>38.68</v>
      </c>
      <c r="L153" s="26" t="n">
        <f aca="false">119.93</f>
        <v>119.93</v>
      </c>
      <c r="M153" s="25" t="n">
        <v>14</v>
      </c>
      <c r="N153" s="25" t="n">
        <v>28</v>
      </c>
      <c r="O153" s="25" t="n">
        <v>103.75</v>
      </c>
      <c r="P153" s="26" t="n">
        <f aca="false">23.78</f>
        <v>23.78</v>
      </c>
      <c r="Q153" s="26" t="n">
        <f aca="false">155.96</f>
        <v>155.96</v>
      </c>
      <c r="R153" s="25" t="n">
        <v>14.1</v>
      </c>
      <c r="S153" s="25" t="n">
        <v>23.85</v>
      </c>
      <c r="T153" s="25" t="n">
        <v>374</v>
      </c>
      <c r="U153" s="27" t="s">
        <v>29</v>
      </c>
      <c r="V153" s="21"/>
      <c r="W153" s="16"/>
      <c r="X153" s="16"/>
      <c r="Y153" s="16"/>
    </row>
    <row r="154" customFormat="false" ht="15.75" hidden="false" customHeight="true" outlineLevel="0" collapsed="false">
      <c r="A154" s="9" t="s">
        <v>25</v>
      </c>
      <c r="B154" s="10" t="s">
        <v>26</v>
      </c>
      <c r="C154" s="11" t="s">
        <v>86</v>
      </c>
      <c r="D154" s="10" t="s">
        <v>28</v>
      </c>
      <c r="E154" s="10" t="s">
        <v>28</v>
      </c>
      <c r="F154" s="10"/>
      <c r="G154" s="10" t="n">
        <v>39</v>
      </c>
      <c r="H154" s="10" t="n">
        <v>9.1</v>
      </c>
      <c r="I154" s="12" t="n">
        <v>1</v>
      </c>
      <c r="J154" s="12"/>
      <c r="K154" s="13" t="n">
        <f aca="false">44.24</f>
        <v>44.24</v>
      </c>
      <c r="L154" s="13" t="n">
        <f aca="false">160.86</f>
        <v>160.86</v>
      </c>
      <c r="M154" s="12" t="n">
        <v>16</v>
      </c>
      <c r="N154" s="12" t="n">
        <v>38</v>
      </c>
      <c r="O154" s="12" t="n">
        <v>170</v>
      </c>
      <c r="P154" s="13" t="n">
        <f aca="false">25.38</f>
        <v>25.38</v>
      </c>
      <c r="Q154" s="13" t="n">
        <f aca="false">164.17</f>
        <v>164.17</v>
      </c>
      <c r="R154" s="12" t="n">
        <v>21.25</v>
      </c>
      <c r="S154" s="12" t="n">
        <v>26.45</v>
      </c>
      <c r="T154" s="12" t="n">
        <v>568</v>
      </c>
      <c r="U154" s="14" t="s">
        <v>41</v>
      </c>
      <c r="V154" s="15"/>
      <c r="W154" s="16" t="str">
        <f aca="false">A154</f>
        <v>KL</v>
      </c>
      <c r="X154" s="17" t="e">
        <f aca="false">ifs(C154="","",X154="",NOW(),TRUE(),X154)</f>
        <v>#VALUE!</v>
      </c>
      <c r="Y154" s="17" t="e">
        <f aca="false">ifs(COUNTA(K154:U157)&lt;44,"",Y154="",NOW(),TRUE(),Y154)</f>
        <v>#VALUE!</v>
      </c>
    </row>
    <row r="155" customFormat="false" ht="15.75" hidden="false" customHeight="false" outlineLevel="0" collapsed="false">
      <c r="A155" s="9"/>
      <c r="B155" s="10"/>
      <c r="C155" s="10"/>
      <c r="D155" s="10"/>
      <c r="E155" s="10"/>
      <c r="F155" s="10"/>
      <c r="G155" s="10"/>
      <c r="H155" s="10"/>
      <c r="I155" s="18" t="n">
        <v>2</v>
      </c>
      <c r="J155" s="18"/>
      <c r="K155" s="19" t="n">
        <f aca="false">44.94</f>
        <v>44.94</v>
      </c>
      <c r="L155" s="19" t="n">
        <f aca="false">140.26</f>
        <v>140.26</v>
      </c>
      <c r="M155" s="18" t="n">
        <v>16</v>
      </c>
      <c r="N155" s="18" t="n">
        <v>34</v>
      </c>
      <c r="O155" s="18" t="n">
        <v>157.8</v>
      </c>
      <c r="P155" s="19" t="n">
        <f aca="false">25.02</f>
        <v>25.02</v>
      </c>
      <c r="Q155" s="19" t="n">
        <f aca="false">152.88</f>
        <v>152.88</v>
      </c>
      <c r="R155" s="18" t="n">
        <v>21.1</v>
      </c>
      <c r="S155" s="18" t="n">
        <v>26.25</v>
      </c>
      <c r="T155" s="18" t="n">
        <v>537</v>
      </c>
      <c r="U155" s="20" t="s">
        <v>41</v>
      </c>
      <c r="V155" s="21"/>
      <c r="W155" s="16"/>
      <c r="X155" s="16"/>
      <c r="Y155" s="16"/>
    </row>
    <row r="156" customFormat="false" ht="15.75" hidden="false" customHeight="false" outlineLevel="0" collapsed="false">
      <c r="A156" s="9"/>
      <c r="B156" s="10"/>
      <c r="C156" s="10"/>
      <c r="D156" s="10"/>
      <c r="E156" s="10"/>
      <c r="F156" s="10"/>
      <c r="G156" s="10"/>
      <c r="H156" s="10"/>
      <c r="I156" s="22" t="n">
        <v>3</v>
      </c>
      <c r="J156" s="22"/>
      <c r="K156" s="23" t="n">
        <f aca="false">42.5</f>
        <v>42.5</v>
      </c>
      <c r="L156" s="23" t="n">
        <f aca="false">138.66</f>
        <v>138.66</v>
      </c>
      <c r="M156" s="22" t="n">
        <v>16</v>
      </c>
      <c r="N156" s="22" t="n">
        <v>34</v>
      </c>
      <c r="O156" s="22" t="n">
        <v>130.8</v>
      </c>
      <c r="P156" s="23" t="n">
        <f aca="false">24.59</f>
        <v>24.59</v>
      </c>
      <c r="Q156" s="23" t="n">
        <f aca="false">147</f>
        <v>147</v>
      </c>
      <c r="R156" s="22" t="n">
        <v>15.5</v>
      </c>
      <c r="S156" s="22" t="n">
        <v>21.1</v>
      </c>
      <c r="T156" s="22" t="n">
        <v>567</v>
      </c>
      <c r="U156" s="24" t="s">
        <v>41</v>
      </c>
      <c r="V156" s="15"/>
      <c r="W156" s="16"/>
      <c r="X156" s="16"/>
      <c r="Y156" s="16"/>
    </row>
    <row r="157" customFormat="false" ht="15.75" hidden="false" customHeight="false" outlineLevel="0" collapsed="false">
      <c r="A157" s="9"/>
      <c r="B157" s="10"/>
      <c r="C157" s="10"/>
      <c r="D157" s="10"/>
      <c r="E157" s="10"/>
      <c r="F157" s="10"/>
      <c r="G157" s="10"/>
      <c r="H157" s="10"/>
      <c r="I157" s="25" t="n">
        <v>4</v>
      </c>
      <c r="J157" s="25"/>
      <c r="K157" s="26" t="n">
        <f aca="false">45.33</f>
        <v>45.33</v>
      </c>
      <c r="L157" s="26" t="n">
        <f aca="false">138.12</f>
        <v>138.12</v>
      </c>
      <c r="M157" s="25" t="n">
        <v>16</v>
      </c>
      <c r="N157" s="25" t="n">
        <v>34</v>
      </c>
      <c r="O157" s="25" t="n">
        <v>161.55</v>
      </c>
      <c r="P157" s="26" t="n">
        <f aca="false">24.53</f>
        <v>24.53</v>
      </c>
      <c r="Q157" s="26" t="n">
        <f aca="false">138.54</f>
        <v>138.54</v>
      </c>
      <c r="R157" s="25" t="n">
        <v>17.7</v>
      </c>
      <c r="S157" s="25" t="n">
        <v>27.45</v>
      </c>
      <c r="T157" s="25" t="n">
        <v>534</v>
      </c>
      <c r="U157" s="27" t="s">
        <v>41</v>
      </c>
      <c r="V157" s="21"/>
      <c r="W157" s="16"/>
      <c r="X157" s="16"/>
      <c r="Y157" s="16"/>
    </row>
    <row r="158" customFormat="false" ht="15.75" hidden="false" customHeight="true" outlineLevel="0" collapsed="false">
      <c r="A158" s="9" t="s">
        <v>25</v>
      </c>
      <c r="B158" s="10" t="s">
        <v>26</v>
      </c>
      <c r="C158" s="11" t="s">
        <v>87</v>
      </c>
      <c r="D158" s="10" t="s">
        <v>28</v>
      </c>
      <c r="E158" s="10" t="s">
        <v>28</v>
      </c>
      <c r="F158" s="10"/>
      <c r="G158" s="10" t="n">
        <v>38</v>
      </c>
      <c r="H158" s="10" t="n">
        <v>9.45</v>
      </c>
      <c r="I158" s="12" t="n">
        <v>1</v>
      </c>
      <c r="J158" s="12" t="s">
        <v>35</v>
      </c>
      <c r="K158" s="13" t="n">
        <f aca="false">43.28</f>
        <v>43.28</v>
      </c>
      <c r="L158" s="13" t="n">
        <f aca="false">103.31</f>
        <v>103.31</v>
      </c>
      <c r="M158" s="12" t="n">
        <v>16</v>
      </c>
      <c r="N158" s="12" t="n">
        <v>26</v>
      </c>
      <c r="O158" s="12" t="n">
        <v>93.6</v>
      </c>
      <c r="P158" s="13" t="n">
        <f aca="false">24.42</f>
        <v>24.42</v>
      </c>
      <c r="Q158" s="13" t="n">
        <f aca="false">106.13</f>
        <v>106.13</v>
      </c>
      <c r="R158" s="12" t="n">
        <v>13.1</v>
      </c>
      <c r="S158" s="12" t="n">
        <v>28.75</v>
      </c>
      <c r="T158" s="12" t="n">
        <v>286</v>
      </c>
      <c r="U158" s="14" t="s">
        <v>29</v>
      </c>
      <c r="V158" s="15"/>
      <c r="W158" s="16" t="str">
        <f aca="false">A158</f>
        <v>KL</v>
      </c>
      <c r="X158" s="17" t="e">
        <f aca="false">ifs(C158="","",X158="",NOW(),TRUE(),X158)</f>
        <v>#VALUE!</v>
      </c>
      <c r="Y158" s="17" t="e">
        <f aca="false">ifs(COUNTA(K158:U161)&lt;44,"",Y158="",NOW(),TRUE(),Y158)</f>
        <v>#VALUE!</v>
      </c>
    </row>
    <row r="159" customFormat="false" ht="15.75" hidden="false" customHeight="false" outlineLevel="0" collapsed="false">
      <c r="A159" s="9"/>
      <c r="B159" s="10"/>
      <c r="C159" s="10"/>
      <c r="D159" s="10"/>
      <c r="E159" s="10"/>
      <c r="F159" s="10"/>
      <c r="G159" s="10"/>
      <c r="H159" s="10"/>
      <c r="I159" s="18" t="n">
        <v>2</v>
      </c>
      <c r="J159" s="18" t="s">
        <v>35</v>
      </c>
      <c r="K159" s="19" t="n">
        <f aca="false">39.54</f>
        <v>39.54</v>
      </c>
      <c r="L159" s="19" t="n">
        <f aca="false">107.01</f>
        <v>107.01</v>
      </c>
      <c r="M159" s="18" t="n">
        <v>14</v>
      </c>
      <c r="N159" s="18" t="n">
        <v>24</v>
      </c>
      <c r="O159" s="18" t="n">
        <v>85.7</v>
      </c>
      <c r="P159" s="19" t="n">
        <f aca="false">21.28</f>
        <v>21.28</v>
      </c>
      <c r="Q159" s="19" t="n">
        <f aca="false">111.19</f>
        <v>111.19</v>
      </c>
      <c r="R159" s="18" t="n">
        <v>11.5</v>
      </c>
      <c r="S159" s="18" t="n">
        <v>29.7</v>
      </c>
      <c r="T159" s="18" t="n">
        <v>255</v>
      </c>
      <c r="U159" s="20" t="s">
        <v>29</v>
      </c>
      <c r="V159" s="21"/>
      <c r="W159" s="16"/>
      <c r="X159" s="16"/>
      <c r="Y159" s="16"/>
    </row>
    <row r="160" customFormat="false" ht="15.75" hidden="false" customHeight="false" outlineLevel="0" collapsed="false">
      <c r="A160" s="9"/>
      <c r="B160" s="10"/>
      <c r="C160" s="10"/>
      <c r="D160" s="10"/>
      <c r="E160" s="10"/>
      <c r="F160" s="10"/>
      <c r="G160" s="10"/>
      <c r="H160" s="10"/>
      <c r="I160" s="22" t="n">
        <v>3</v>
      </c>
      <c r="J160" s="22" t="s">
        <v>35</v>
      </c>
      <c r="K160" s="23" t="n">
        <f aca="false">42.9</f>
        <v>42.9</v>
      </c>
      <c r="L160" s="23" t="n">
        <f aca="false">96.86</f>
        <v>96.86</v>
      </c>
      <c r="M160" s="22" t="n">
        <v>14</v>
      </c>
      <c r="N160" s="22" t="n">
        <v>24</v>
      </c>
      <c r="O160" s="22" t="n">
        <v>77.35</v>
      </c>
      <c r="P160" s="23" t="n">
        <f aca="false">22.85</f>
        <v>22.85</v>
      </c>
      <c r="Q160" s="23" t="n">
        <f aca="false">92.6</f>
        <v>92.6</v>
      </c>
      <c r="R160" s="22" t="n">
        <v>11.4</v>
      </c>
      <c r="S160" s="22" t="n">
        <v>29.1</v>
      </c>
      <c r="T160" s="22" t="n">
        <v>233</v>
      </c>
      <c r="U160" s="24" t="s">
        <v>29</v>
      </c>
      <c r="V160" s="15"/>
      <c r="W160" s="16"/>
      <c r="X160" s="16"/>
      <c r="Y160" s="16"/>
    </row>
    <row r="161" customFormat="false" ht="15.75" hidden="false" customHeight="false" outlineLevel="0" collapsed="false">
      <c r="A161" s="9"/>
      <c r="B161" s="10"/>
      <c r="C161" s="10"/>
      <c r="D161" s="10"/>
      <c r="E161" s="10"/>
      <c r="F161" s="10"/>
      <c r="G161" s="10"/>
      <c r="H161" s="10"/>
      <c r="I161" s="25" t="n">
        <v>4</v>
      </c>
      <c r="J161" s="25" t="s">
        <v>35</v>
      </c>
      <c r="K161" s="26" t="n">
        <f aca="false">42.33</f>
        <v>42.33</v>
      </c>
      <c r="L161" s="26" t="n">
        <f aca="false">81.75</f>
        <v>81.75</v>
      </c>
      <c r="M161" s="25" t="n">
        <v>16</v>
      </c>
      <c r="N161" s="25" t="n">
        <v>20</v>
      </c>
      <c r="O161" s="25" t="n">
        <v>65.7</v>
      </c>
      <c r="P161" s="26" t="n">
        <f aca="false">22.55</f>
        <v>22.55</v>
      </c>
      <c r="Q161" s="26" t="n">
        <f aca="false">87.21</f>
        <v>87.21</v>
      </c>
      <c r="R161" s="25" t="n">
        <v>9.15</v>
      </c>
      <c r="S161" s="25" t="n">
        <v>25.5</v>
      </c>
      <c r="T161" s="25" t="n">
        <v>227</v>
      </c>
      <c r="U161" s="27" t="s">
        <v>29</v>
      </c>
      <c r="V161" s="21"/>
      <c r="W161" s="16"/>
      <c r="X161" s="16"/>
      <c r="Y161" s="16"/>
    </row>
    <row r="162" customFormat="false" ht="15.75" hidden="false" customHeight="true" outlineLevel="0" collapsed="false">
      <c r="A162" s="9" t="s">
        <v>25</v>
      </c>
      <c r="B162" s="10" t="s">
        <v>26</v>
      </c>
      <c r="C162" s="11" t="s">
        <v>88</v>
      </c>
      <c r="D162" s="10" t="s">
        <v>28</v>
      </c>
      <c r="E162" s="10" t="s">
        <v>28</v>
      </c>
      <c r="F162" s="10" t="s">
        <v>89</v>
      </c>
      <c r="G162" s="10" t="n">
        <v>28</v>
      </c>
      <c r="H162" s="10" t="n">
        <v>4.35</v>
      </c>
      <c r="I162" s="12" t="n">
        <v>1</v>
      </c>
      <c r="J162" s="12"/>
      <c r="K162" s="13" t="n">
        <f aca="false">37.09</f>
        <v>37.09</v>
      </c>
      <c r="L162" s="13" t="n">
        <f aca="false">137.88</f>
        <v>137.88</v>
      </c>
      <c r="M162" s="12" t="n">
        <v>16</v>
      </c>
      <c r="N162" s="12" t="n">
        <v>34</v>
      </c>
      <c r="O162" s="12" t="n">
        <v>95.25</v>
      </c>
      <c r="P162" s="13" t="n">
        <f aca="false">25.7</f>
        <v>25.7</v>
      </c>
      <c r="Q162" s="13" t="n">
        <f aca="false">140.19</f>
        <v>140.19</v>
      </c>
      <c r="R162" s="12" t="n">
        <v>13.45</v>
      </c>
      <c r="S162" s="12" t="n">
        <v>17.05</v>
      </c>
      <c r="T162" s="12" t="n">
        <v>486</v>
      </c>
      <c r="U162" s="14" t="s">
        <v>58</v>
      </c>
      <c r="V162" s="15"/>
      <c r="W162" s="16" t="str">
        <f aca="false">A162</f>
        <v>KL</v>
      </c>
      <c r="X162" s="17" t="e">
        <f aca="false">ifs(C162="","",X162="",NOW(),TRUE(),X162)</f>
        <v>#VALUE!</v>
      </c>
      <c r="Y162" s="17" t="e">
        <f aca="false">ifs(COUNTA(K162:U165)&lt;44,"",Y162="",NOW(),TRUE(),Y162)</f>
        <v>#VALUE!</v>
      </c>
    </row>
    <row r="163" customFormat="false" ht="15.75" hidden="false" customHeight="false" outlineLevel="0" collapsed="false">
      <c r="A163" s="9"/>
      <c r="B163" s="10"/>
      <c r="C163" s="10"/>
      <c r="D163" s="10"/>
      <c r="E163" s="10"/>
      <c r="F163" s="10"/>
      <c r="G163" s="10"/>
      <c r="H163" s="10"/>
      <c r="I163" s="18" t="n">
        <v>2</v>
      </c>
      <c r="J163" s="18"/>
      <c r="K163" s="19" t="n">
        <f aca="false">37.83</f>
        <v>37.83</v>
      </c>
      <c r="L163" s="19" t="n">
        <f aca="false">133.21</f>
        <v>133.21</v>
      </c>
      <c r="M163" s="18" t="n">
        <v>12</v>
      </c>
      <c r="N163" s="18" t="n">
        <v>34</v>
      </c>
      <c r="O163" s="18" t="n">
        <v>93.8</v>
      </c>
      <c r="P163" s="19" t="n">
        <f aca="false">23.84</f>
        <v>23.84</v>
      </c>
      <c r="Q163" s="19" t="n">
        <f aca="false">142.93</f>
        <v>142.93</v>
      </c>
      <c r="R163" s="18" t="n">
        <v>13.9</v>
      </c>
      <c r="S163" s="18" t="n">
        <v>20.25</v>
      </c>
      <c r="T163" s="18" t="n">
        <v>405</v>
      </c>
      <c r="U163" s="20" t="s">
        <v>32</v>
      </c>
      <c r="V163" s="21"/>
      <c r="W163" s="16"/>
      <c r="X163" s="16"/>
      <c r="Y163" s="16"/>
    </row>
    <row r="164" customFormat="false" ht="15.75" hidden="false" customHeight="false" outlineLevel="0" collapsed="false">
      <c r="A164" s="9"/>
      <c r="B164" s="10"/>
      <c r="C164" s="10"/>
      <c r="D164" s="10"/>
      <c r="E164" s="10"/>
      <c r="F164" s="10"/>
      <c r="G164" s="10"/>
      <c r="H164" s="10"/>
      <c r="I164" s="22" t="n">
        <v>3</v>
      </c>
      <c r="J164" s="22"/>
      <c r="K164" s="23" t="n">
        <f aca="false">36.05</f>
        <v>36.05</v>
      </c>
      <c r="L164" s="23" t="n">
        <f aca="false">117.82</f>
        <v>117.82</v>
      </c>
      <c r="M164" s="22" t="n">
        <v>14</v>
      </c>
      <c r="N164" s="22" t="n">
        <v>28</v>
      </c>
      <c r="O164" s="22" t="n">
        <v>68.1</v>
      </c>
      <c r="P164" s="23" t="n">
        <f aca="false">23.99</f>
        <v>23.99</v>
      </c>
      <c r="Q164" s="23" t="n">
        <f aca="false">140.16</f>
        <v>140.16</v>
      </c>
      <c r="R164" s="22" t="n">
        <v>8.65</v>
      </c>
      <c r="S164" s="22" t="n">
        <v>14.55</v>
      </c>
      <c r="T164" s="22" t="n">
        <v>408</v>
      </c>
      <c r="U164" s="24" t="s">
        <v>58</v>
      </c>
      <c r="V164" s="15"/>
      <c r="W164" s="16"/>
      <c r="X164" s="16"/>
      <c r="Y164" s="16"/>
    </row>
    <row r="165" customFormat="false" ht="15.75" hidden="false" customHeight="false" outlineLevel="0" collapsed="false">
      <c r="A165" s="9"/>
      <c r="B165" s="10"/>
      <c r="C165" s="10"/>
      <c r="D165" s="10"/>
      <c r="E165" s="10"/>
      <c r="F165" s="10"/>
      <c r="G165" s="10"/>
      <c r="H165" s="10"/>
      <c r="I165" s="25" t="n">
        <v>4</v>
      </c>
      <c r="J165" s="25"/>
      <c r="K165" s="26" t="n">
        <f aca="false">36.36</f>
        <v>36.36</v>
      </c>
      <c r="L165" s="26" t="n">
        <f aca="false">117.08</f>
        <v>117.08</v>
      </c>
      <c r="M165" s="25" t="n">
        <v>14</v>
      </c>
      <c r="N165" s="25" t="n">
        <v>30</v>
      </c>
      <c r="O165" s="25" t="n">
        <v>74.05</v>
      </c>
      <c r="P165" s="26" t="n">
        <f aca="false">23.43</f>
        <v>23.43</v>
      </c>
      <c r="Q165" s="26" t="n">
        <f aca="false">126.33</f>
        <v>126.33</v>
      </c>
      <c r="R165" s="25" t="n">
        <v>9.5</v>
      </c>
      <c r="S165" s="25" t="n">
        <v>16.7</v>
      </c>
      <c r="T165" s="25" t="n">
        <v>388</v>
      </c>
      <c r="U165" s="27" t="s">
        <v>58</v>
      </c>
      <c r="V165" s="21"/>
      <c r="W165" s="16"/>
      <c r="X165" s="16"/>
      <c r="Y165" s="16"/>
    </row>
    <row r="166" customFormat="false" ht="15.75" hidden="false" customHeight="true" outlineLevel="0" collapsed="false">
      <c r="A166" s="9" t="s">
        <v>25</v>
      </c>
      <c r="B166" s="10" t="s">
        <v>26</v>
      </c>
      <c r="C166" s="11" t="s">
        <v>90</v>
      </c>
      <c r="D166" s="10" t="s">
        <v>28</v>
      </c>
      <c r="E166" s="10" t="s">
        <v>28</v>
      </c>
      <c r="F166" s="10"/>
      <c r="G166" s="10" t="n">
        <v>10</v>
      </c>
      <c r="H166" s="10" t="n">
        <v>1.9</v>
      </c>
      <c r="I166" s="12" t="n">
        <v>1</v>
      </c>
      <c r="J166" s="12"/>
      <c r="K166" s="13" t="n">
        <f aca="false">40.17</f>
        <v>40.17</v>
      </c>
      <c r="L166" s="13" t="n">
        <f aca="false">145.98</f>
        <v>145.98</v>
      </c>
      <c r="M166" s="12" t="n">
        <v>14</v>
      </c>
      <c r="N166" s="12" t="n">
        <v>36</v>
      </c>
      <c r="O166" s="12" t="n">
        <v>119.95</v>
      </c>
      <c r="P166" s="13" t="n">
        <f aca="false">24.56</f>
        <v>24.56</v>
      </c>
      <c r="Q166" s="13" t="n">
        <f aca="false">162.37</f>
        <v>162.37</v>
      </c>
      <c r="R166" s="12" t="n">
        <v>15.35</v>
      </c>
      <c r="S166" s="12" t="n">
        <v>22.85</v>
      </c>
      <c r="T166" s="12" t="n">
        <v>462</v>
      </c>
      <c r="U166" s="14" t="s">
        <v>58</v>
      </c>
      <c r="V166" s="15"/>
      <c r="W166" s="16" t="str">
        <f aca="false">A166</f>
        <v>KL</v>
      </c>
      <c r="X166" s="17" t="e">
        <f aca="false">ifs(C166="","",X166="",NOW(),TRUE(),X166)</f>
        <v>#VALUE!</v>
      </c>
      <c r="Y166" s="17" t="e">
        <f aca="false">ifs(COUNTA(K166:U169)&lt;44,"",Y166="",NOW(),TRUE(),Y166)</f>
        <v>#VALUE!</v>
      </c>
    </row>
    <row r="167" customFormat="false" ht="15.75" hidden="false" customHeight="false" outlineLevel="0" collapsed="false">
      <c r="A167" s="9"/>
      <c r="B167" s="10"/>
      <c r="C167" s="10"/>
      <c r="D167" s="10"/>
      <c r="E167" s="10"/>
      <c r="F167" s="10"/>
      <c r="G167" s="10"/>
      <c r="H167" s="10"/>
      <c r="I167" s="18" t="n">
        <v>2</v>
      </c>
      <c r="J167" s="18"/>
      <c r="K167" s="19" t="n">
        <f aca="false">40.22</f>
        <v>40.22</v>
      </c>
      <c r="L167" s="19" t="n">
        <f aca="false">144.45</f>
        <v>144.45</v>
      </c>
      <c r="M167" s="18" t="n">
        <v>14</v>
      </c>
      <c r="N167" s="18" t="n">
        <v>34</v>
      </c>
      <c r="O167" s="18" t="n">
        <v>115.5</v>
      </c>
      <c r="P167" s="19" t="n">
        <f aca="false">22.25</f>
        <v>22.25</v>
      </c>
      <c r="Q167" s="19" t="n">
        <f aca="false">159.94</f>
        <v>159.94</v>
      </c>
      <c r="R167" s="18" t="n">
        <v>14.45</v>
      </c>
      <c r="S167" s="18" t="n">
        <v>21.1</v>
      </c>
      <c r="T167" s="18" t="n">
        <v>478</v>
      </c>
      <c r="U167" s="20" t="s">
        <v>58</v>
      </c>
      <c r="V167" s="21"/>
      <c r="W167" s="16"/>
      <c r="X167" s="16"/>
      <c r="Y167" s="16"/>
    </row>
    <row r="168" customFormat="false" ht="15.75" hidden="false" customHeight="false" outlineLevel="0" collapsed="false">
      <c r="A168" s="9"/>
      <c r="B168" s="10"/>
      <c r="C168" s="10"/>
      <c r="D168" s="10"/>
      <c r="E168" s="10"/>
      <c r="F168" s="10"/>
      <c r="G168" s="10"/>
      <c r="H168" s="10"/>
      <c r="I168" s="22" t="n">
        <v>3</v>
      </c>
      <c r="J168" s="22"/>
      <c r="K168" s="23" t="n">
        <f aca="false">38.72</f>
        <v>38.72</v>
      </c>
      <c r="L168" s="23" t="n">
        <f aca="false">132.44</f>
        <v>132.44</v>
      </c>
      <c r="M168" s="22" t="n">
        <v>14</v>
      </c>
      <c r="N168" s="22" t="n">
        <v>34</v>
      </c>
      <c r="O168" s="22" t="n">
        <v>100.45</v>
      </c>
      <c r="P168" s="23" t="n">
        <f aca="false">22.58</f>
        <v>22.58</v>
      </c>
      <c r="Q168" s="23" t="n">
        <f aca="false">147.14</f>
        <v>147.14</v>
      </c>
      <c r="R168" s="22" t="n">
        <v>12.65</v>
      </c>
      <c r="S168" s="22" t="n">
        <v>20.1</v>
      </c>
      <c r="T168" s="22" t="n">
        <v>451</v>
      </c>
      <c r="U168" s="24" t="s">
        <v>58</v>
      </c>
      <c r="V168" s="15"/>
      <c r="W168" s="16"/>
      <c r="X168" s="16"/>
      <c r="Y168" s="16"/>
    </row>
    <row r="169" customFormat="false" ht="15.75" hidden="false" customHeight="false" outlineLevel="0" collapsed="false">
      <c r="A169" s="9"/>
      <c r="B169" s="10"/>
      <c r="C169" s="10"/>
      <c r="D169" s="10"/>
      <c r="E169" s="10"/>
      <c r="F169" s="10"/>
      <c r="G169" s="10"/>
      <c r="H169" s="10"/>
      <c r="I169" s="25" t="n">
        <v>4</v>
      </c>
      <c r="J169" s="25"/>
      <c r="K169" s="26" t="n">
        <f aca="false">36.2</f>
        <v>36.2</v>
      </c>
      <c r="L169" s="26" t="n">
        <f aca="false">144.14</f>
        <v>144.14</v>
      </c>
      <c r="M169" s="25" t="n">
        <v>12</v>
      </c>
      <c r="N169" s="25" t="n">
        <v>34</v>
      </c>
      <c r="O169" s="25" t="n">
        <v>99.05</v>
      </c>
      <c r="P169" s="26" t="n">
        <f aca="false">22.47</f>
        <v>22.47</v>
      </c>
      <c r="Q169" s="26" t="n">
        <f aca="false">152.85</f>
        <v>152.85</v>
      </c>
      <c r="R169" s="25" t="n">
        <v>13.45</v>
      </c>
      <c r="S169" s="25" t="n">
        <v>21.1</v>
      </c>
      <c r="T169" s="25" t="n">
        <v>407</v>
      </c>
      <c r="U169" s="27" t="s">
        <v>58</v>
      </c>
      <c r="V169" s="21"/>
      <c r="W169" s="16"/>
      <c r="X169" s="16"/>
      <c r="Y169" s="16"/>
    </row>
    <row r="170" customFormat="false" ht="15.75" hidden="false" customHeight="true" outlineLevel="0" collapsed="false">
      <c r="A170" s="9" t="s">
        <v>25</v>
      </c>
      <c r="B170" s="10" t="s">
        <v>26</v>
      </c>
      <c r="C170" s="11" t="s">
        <v>91</v>
      </c>
      <c r="D170" s="10" t="s">
        <v>28</v>
      </c>
      <c r="E170" s="10" t="s">
        <v>28</v>
      </c>
      <c r="F170" s="10"/>
      <c r="G170" s="10" t="n">
        <v>54</v>
      </c>
      <c r="H170" s="10" t="n">
        <v>8.7</v>
      </c>
      <c r="I170" s="12" t="n">
        <v>1</v>
      </c>
      <c r="J170" s="12" t="s">
        <v>47</v>
      </c>
      <c r="K170" s="13" t="n">
        <f aca="false">45.03</f>
        <v>45.03</v>
      </c>
      <c r="L170" s="13" t="n">
        <f aca="false">152.68</f>
        <v>152.68</v>
      </c>
      <c r="M170" s="12" t="n">
        <v>16</v>
      </c>
      <c r="N170" s="12" t="n">
        <v>38</v>
      </c>
      <c r="O170" s="12" t="n">
        <v>166.8</v>
      </c>
      <c r="P170" s="13" t="n">
        <f aca="false">28.55</f>
        <v>28.55</v>
      </c>
      <c r="Q170" s="13" t="n">
        <f aca="false">167.46</f>
        <v>167.46</v>
      </c>
      <c r="R170" s="12" t="n">
        <v>21.25</v>
      </c>
      <c r="S170" s="12" t="n">
        <v>24.7</v>
      </c>
      <c r="T170" s="12" t="n">
        <v>593</v>
      </c>
      <c r="U170" s="14" t="s">
        <v>29</v>
      </c>
      <c r="V170" s="15"/>
      <c r="W170" s="16" t="str">
        <f aca="false">A170</f>
        <v>KL</v>
      </c>
      <c r="X170" s="17" t="e">
        <f aca="false">ifs(C170="","",X170="",NOW(),TRUE(),X170)</f>
        <v>#VALUE!</v>
      </c>
      <c r="Y170" s="17" t="e">
        <f aca="false">ifs(COUNTA(K170:U173)&lt;44,"",Y170="",NOW(),TRUE(),Y170)</f>
        <v>#VALUE!</v>
      </c>
    </row>
    <row r="171" customFormat="false" ht="15.75" hidden="false" customHeight="false" outlineLevel="0" collapsed="false">
      <c r="A171" s="9"/>
      <c r="B171" s="10"/>
      <c r="C171" s="10"/>
      <c r="D171" s="10"/>
      <c r="E171" s="10"/>
      <c r="F171" s="10"/>
      <c r="G171" s="10"/>
      <c r="H171" s="10"/>
      <c r="I171" s="18" t="n">
        <v>2</v>
      </c>
      <c r="J171" s="18" t="s">
        <v>36</v>
      </c>
      <c r="K171" s="19" t="n">
        <f aca="false">43.1</f>
        <v>43.1</v>
      </c>
      <c r="L171" s="19" t="n">
        <f aca="false">116.96</f>
        <v>116.96</v>
      </c>
      <c r="M171" s="18" t="n">
        <v>16</v>
      </c>
      <c r="N171" s="18" t="n">
        <v>30</v>
      </c>
      <c r="O171" s="18" t="n">
        <v>121.2</v>
      </c>
      <c r="P171" s="19" t="n">
        <f aca="false">26.25</f>
        <v>26.25</v>
      </c>
      <c r="Q171" s="19" t="n">
        <f aca="false">133.03</f>
        <v>133.03</v>
      </c>
      <c r="R171" s="18" t="n">
        <v>15.65</v>
      </c>
      <c r="S171" s="18" t="n">
        <v>24.25</v>
      </c>
      <c r="T171" s="18" t="n">
        <v>448</v>
      </c>
      <c r="U171" s="20" t="s">
        <v>29</v>
      </c>
      <c r="V171" s="21"/>
      <c r="W171" s="16"/>
      <c r="X171" s="16"/>
      <c r="Y171" s="16"/>
    </row>
    <row r="172" customFormat="false" ht="15.75" hidden="false" customHeight="false" outlineLevel="0" collapsed="false">
      <c r="A172" s="9"/>
      <c r="B172" s="10"/>
      <c r="C172" s="10"/>
      <c r="D172" s="10"/>
      <c r="E172" s="10"/>
      <c r="F172" s="10"/>
      <c r="G172" s="10"/>
      <c r="H172" s="10"/>
      <c r="I172" s="22" t="n">
        <v>3</v>
      </c>
      <c r="J172" s="22" t="s">
        <v>47</v>
      </c>
      <c r="K172" s="23" t="n">
        <f aca="false">40.64</f>
        <v>40.64</v>
      </c>
      <c r="L172" s="23" t="n">
        <f aca="false">128.29</f>
        <v>128.29</v>
      </c>
      <c r="M172" s="22" t="n">
        <v>18</v>
      </c>
      <c r="N172" s="22" t="n">
        <v>30</v>
      </c>
      <c r="O172" s="22" t="n">
        <v>103.9</v>
      </c>
      <c r="P172" s="23" t="n">
        <f aca="false">26.52</f>
        <v>26.52</v>
      </c>
      <c r="Q172" s="23" t="n">
        <f aca="false">137.53</f>
        <v>137.53</v>
      </c>
      <c r="R172" s="22" t="n">
        <v>14.15</v>
      </c>
      <c r="S172" s="22" t="n">
        <v>18.25</v>
      </c>
      <c r="T172" s="22" t="n">
        <v>503</v>
      </c>
      <c r="U172" s="24" t="s">
        <v>29</v>
      </c>
      <c r="V172" s="15"/>
      <c r="W172" s="16"/>
      <c r="X172" s="16"/>
      <c r="Y172" s="16"/>
    </row>
    <row r="173" customFormat="false" ht="15.75" hidden="false" customHeight="false" outlineLevel="0" collapsed="false">
      <c r="A173" s="9"/>
      <c r="B173" s="10"/>
      <c r="C173" s="10"/>
      <c r="D173" s="10"/>
      <c r="E173" s="10"/>
      <c r="F173" s="10"/>
      <c r="G173" s="10"/>
      <c r="H173" s="10"/>
      <c r="I173" s="25" t="n">
        <v>4</v>
      </c>
      <c r="J173" s="25"/>
      <c r="K173" s="26" t="n">
        <f aca="false">38.01</f>
        <v>38.01</v>
      </c>
      <c r="L173" s="26" t="n">
        <f aca="false">120.17</f>
        <v>120.17</v>
      </c>
      <c r="M173" s="25" t="n">
        <v>12</v>
      </c>
      <c r="N173" s="25" t="n">
        <v>32</v>
      </c>
      <c r="O173" s="25" t="n">
        <v>92.25</v>
      </c>
      <c r="P173" s="26" t="n">
        <f aca="false">23.28</f>
        <v>23.28</v>
      </c>
      <c r="Q173" s="26" t="n">
        <f aca="false">139.16</f>
        <v>139.16</v>
      </c>
      <c r="R173" s="25" t="n">
        <v>12.25</v>
      </c>
      <c r="S173" s="25" t="n">
        <v>21.25</v>
      </c>
      <c r="T173" s="25" t="n">
        <v>380</v>
      </c>
      <c r="U173" s="27" t="s">
        <v>29</v>
      </c>
      <c r="V173" s="21"/>
      <c r="W173" s="16"/>
      <c r="X173" s="16"/>
      <c r="Y173" s="16"/>
    </row>
    <row r="174" customFormat="false" ht="15.75" hidden="false" customHeight="true" outlineLevel="0" collapsed="false">
      <c r="A174" s="9" t="s">
        <v>25</v>
      </c>
      <c r="B174" s="10" t="s">
        <v>26</v>
      </c>
      <c r="C174" s="11" t="s">
        <v>92</v>
      </c>
      <c r="D174" s="10" t="s">
        <v>28</v>
      </c>
      <c r="E174" s="10" t="s">
        <v>28</v>
      </c>
      <c r="F174" s="10"/>
      <c r="G174" s="10" t="n">
        <v>4</v>
      </c>
      <c r="H174" s="10" t="n">
        <v>0.95</v>
      </c>
      <c r="I174" s="12" t="n">
        <v>1</v>
      </c>
      <c r="J174" s="12"/>
      <c r="K174" s="13" t="n">
        <f aca="false">40.8</f>
        <v>40.8</v>
      </c>
      <c r="L174" s="13" t="n">
        <f aca="false">140.81</f>
        <v>140.81</v>
      </c>
      <c r="M174" s="12" t="n">
        <v>16</v>
      </c>
      <c r="N174" s="12" t="n">
        <v>38</v>
      </c>
      <c r="O174" s="12" t="n">
        <v>127.9</v>
      </c>
      <c r="P174" s="13" t="n">
        <f aca="false">23.25</f>
        <v>23.25</v>
      </c>
      <c r="Q174" s="13" t="n">
        <f aca="false">151.8</f>
        <v>151.8</v>
      </c>
      <c r="R174" s="12" t="n">
        <v>20.25</v>
      </c>
      <c r="S174" s="12" t="n">
        <v>17.7</v>
      </c>
      <c r="T174" s="12" t="n">
        <v>613</v>
      </c>
      <c r="U174" s="14" t="s">
        <v>29</v>
      </c>
      <c r="V174" s="15"/>
      <c r="W174" s="16" t="str">
        <f aca="false">A174</f>
        <v>KL</v>
      </c>
      <c r="X174" s="17" t="e">
        <f aca="false">ifs(C174="","",X174="",NOW(),TRUE(),X174)</f>
        <v>#VALUE!</v>
      </c>
      <c r="Y174" s="17" t="e">
        <f aca="false">ifs(COUNTA(K174:U177)&lt;44,"",Y174="",NOW(),TRUE(),Y174)</f>
        <v>#VALUE!</v>
      </c>
    </row>
    <row r="175" customFormat="false" ht="15.75" hidden="false" customHeight="false" outlineLevel="0" collapsed="false">
      <c r="A175" s="9"/>
      <c r="B175" s="10"/>
      <c r="C175" s="10"/>
      <c r="D175" s="10"/>
      <c r="E175" s="10"/>
      <c r="F175" s="10"/>
      <c r="G175" s="10"/>
      <c r="H175" s="10"/>
      <c r="I175" s="18" t="n">
        <v>2</v>
      </c>
      <c r="J175" s="18"/>
      <c r="K175" s="19" t="n">
        <f aca="false">40.21</f>
        <v>40.21</v>
      </c>
      <c r="L175" s="19" t="n">
        <f aca="false">131.55</f>
        <v>131.55</v>
      </c>
      <c r="M175" s="18" t="n">
        <v>16</v>
      </c>
      <c r="N175" s="18" t="n">
        <v>36</v>
      </c>
      <c r="O175" s="18" t="n">
        <v>112.1</v>
      </c>
      <c r="P175" s="19" t="n">
        <f aca="false">24.42</f>
        <v>24.42</v>
      </c>
      <c r="Q175" s="19" t="n">
        <f aca="false">146.66</f>
        <v>146.66</v>
      </c>
      <c r="R175" s="18" t="n">
        <v>17.45</v>
      </c>
      <c r="S175" s="18" t="n">
        <v>17.4</v>
      </c>
      <c r="T175" s="18" t="n">
        <v>562</v>
      </c>
      <c r="U175" s="20" t="s">
        <v>29</v>
      </c>
      <c r="V175" s="21"/>
      <c r="W175" s="16"/>
      <c r="X175" s="16"/>
      <c r="Y175" s="16"/>
    </row>
    <row r="176" customFormat="false" ht="15.75" hidden="false" customHeight="false" outlineLevel="0" collapsed="false">
      <c r="A176" s="9"/>
      <c r="B176" s="10"/>
      <c r="C176" s="10"/>
      <c r="D176" s="10"/>
      <c r="E176" s="10"/>
      <c r="F176" s="10"/>
      <c r="G176" s="10"/>
      <c r="H176" s="10"/>
      <c r="I176" s="22" t="n">
        <v>3</v>
      </c>
      <c r="J176" s="22"/>
      <c r="K176" s="23" t="n">
        <f aca="false">39.23</f>
        <v>39.23</v>
      </c>
      <c r="L176" s="23" t="n">
        <f aca="false">138.72</f>
        <v>138.72</v>
      </c>
      <c r="M176" s="22" t="n">
        <v>12</v>
      </c>
      <c r="N176" s="22" t="n">
        <v>38</v>
      </c>
      <c r="O176" s="22" t="n">
        <v>111.85</v>
      </c>
      <c r="P176" s="23" t="n">
        <f aca="false">23.16</f>
        <v>23.16</v>
      </c>
      <c r="Q176" s="23" t="n">
        <f aca="false">147.73</f>
        <v>147.73</v>
      </c>
      <c r="R176" s="22" t="n">
        <v>16.3</v>
      </c>
      <c r="S176" s="22" t="n">
        <v>23.65</v>
      </c>
      <c r="T176" s="22" t="n">
        <v>407</v>
      </c>
      <c r="U176" s="24" t="s">
        <v>29</v>
      </c>
      <c r="V176" s="15"/>
      <c r="W176" s="16"/>
      <c r="X176" s="16"/>
      <c r="Y176" s="16"/>
    </row>
    <row r="177" customFormat="false" ht="15.75" hidden="false" customHeight="false" outlineLevel="0" collapsed="false">
      <c r="A177" s="9"/>
      <c r="B177" s="10"/>
      <c r="C177" s="10"/>
      <c r="D177" s="10"/>
      <c r="E177" s="10"/>
      <c r="F177" s="10"/>
      <c r="G177" s="10"/>
      <c r="H177" s="10"/>
      <c r="I177" s="25" t="n">
        <v>4</v>
      </c>
      <c r="J177" s="25"/>
      <c r="K177" s="26" t="n">
        <f aca="false">37.98</f>
        <v>37.98</v>
      </c>
      <c r="L177" s="26" t="n">
        <f aca="false">119.01</f>
        <v>119.01</v>
      </c>
      <c r="M177" s="25" t="n">
        <v>12</v>
      </c>
      <c r="N177" s="25" t="n">
        <v>34</v>
      </c>
      <c r="O177" s="25" t="n">
        <v>101.95</v>
      </c>
      <c r="P177" s="26" t="n">
        <f aca="false">21.71</f>
        <v>21.71</v>
      </c>
      <c r="Q177" s="26" t="n">
        <f aca="false">142.72</f>
        <v>142.72</v>
      </c>
      <c r="R177" s="25" t="n">
        <v>15.05</v>
      </c>
      <c r="S177" s="25" t="n">
        <v>21.15</v>
      </c>
      <c r="T177" s="25" t="n">
        <v>401</v>
      </c>
      <c r="U177" s="27" t="s">
        <v>29</v>
      </c>
      <c r="V177" s="21"/>
      <c r="W177" s="16"/>
      <c r="X177" s="16"/>
      <c r="Y177" s="16"/>
    </row>
    <row r="178" customFormat="false" ht="15.75" hidden="false" customHeight="true" outlineLevel="0" collapsed="false">
      <c r="A178" s="9" t="s">
        <v>25</v>
      </c>
      <c r="B178" s="10" t="s">
        <v>26</v>
      </c>
      <c r="C178" s="11" t="s">
        <v>93</v>
      </c>
      <c r="D178" s="10" t="s">
        <v>28</v>
      </c>
      <c r="E178" s="10" t="s">
        <v>28</v>
      </c>
      <c r="F178" s="10"/>
      <c r="G178" s="10" t="n">
        <v>13</v>
      </c>
      <c r="H178" s="10" t="n">
        <v>1.8</v>
      </c>
      <c r="I178" s="12" t="n">
        <v>1</v>
      </c>
      <c r="J178" s="12"/>
      <c r="K178" s="13" t="n">
        <f aca="false">38.72</f>
        <v>38.72</v>
      </c>
      <c r="L178" s="13" t="n">
        <f aca="false">126.44</f>
        <v>126.44</v>
      </c>
      <c r="M178" s="12" t="n">
        <v>14</v>
      </c>
      <c r="N178" s="12" t="n">
        <v>34</v>
      </c>
      <c r="O178" s="12" t="n">
        <v>108.65</v>
      </c>
      <c r="P178" s="13" t="n">
        <f aca="false">23.12</f>
        <v>23.12</v>
      </c>
      <c r="Q178" s="13" t="n">
        <f aca="false">141.55</f>
        <v>141.55</v>
      </c>
      <c r="R178" s="12" t="n">
        <v>13.65</v>
      </c>
      <c r="S178" s="12" t="n">
        <v>20.1</v>
      </c>
      <c r="T178" s="12" t="n">
        <v>498</v>
      </c>
      <c r="U178" s="14" t="s">
        <v>29</v>
      </c>
      <c r="V178" s="15"/>
      <c r="W178" s="16" t="str">
        <f aca="false">A178</f>
        <v>KL</v>
      </c>
      <c r="X178" s="17" t="e">
        <f aca="false">ifs(C178="","",X178="",NOW(),TRUE(),X178)</f>
        <v>#VALUE!</v>
      </c>
      <c r="Y178" s="17" t="e">
        <f aca="false">ifs(COUNTA(K178:U181)&lt;44,"",Y178="",NOW(),TRUE(),Y178)</f>
        <v>#VALUE!</v>
      </c>
    </row>
    <row r="179" customFormat="false" ht="15.75" hidden="false" customHeight="false" outlineLevel="0" collapsed="false">
      <c r="A179" s="9"/>
      <c r="B179" s="10"/>
      <c r="C179" s="10"/>
      <c r="D179" s="10"/>
      <c r="E179" s="10"/>
      <c r="F179" s="10"/>
      <c r="G179" s="10"/>
      <c r="H179" s="10"/>
      <c r="I179" s="18" t="n">
        <v>2</v>
      </c>
      <c r="J179" s="18" t="s">
        <v>49</v>
      </c>
      <c r="K179" s="19" t="n">
        <f aca="false">38.31</f>
        <v>38.31</v>
      </c>
      <c r="L179" s="19" t="n">
        <f aca="false">117.96</f>
        <v>117.96</v>
      </c>
      <c r="M179" s="18" t="n">
        <v>14</v>
      </c>
      <c r="N179" s="18" t="n">
        <v>30</v>
      </c>
      <c r="O179" s="18" t="n">
        <v>99.7</v>
      </c>
      <c r="P179" s="19" t="n">
        <f aca="false">23.7</f>
        <v>23.7</v>
      </c>
      <c r="Q179" s="19" t="n">
        <f aca="false">142.95</f>
        <v>142.95</v>
      </c>
      <c r="R179" s="18" t="n">
        <v>13.95</v>
      </c>
      <c r="S179" s="18" t="n">
        <v>18.35</v>
      </c>
      <c r="T179" s="18" t="n">
        <v>464</v>
      </c>
      <c r="U179" s="20" t="s">
        <v>29</v>
      </c>
      <c r="V179" s="21"/>
      <c r="W179" s="16"/>
      <c r="X179" s="16"/>
      <c r="Y179" s="16"/>
    </row>
    <row r="180" customFormat="false" ht="15.75" hidden="false" customHeight="false" outlineLevel="0" collapsed="false">
      <c r="A180" s="9"/>
      <c r="B180" s="10"/>
      <c r="C180" s="10"/>
      <c r="D180" s="10"/>
      <c r="E180" s="10"/>
      <c r="F180" s="10"/>
      <c r="G180" s="10"/>
      <c r="H180" s="10"/>
      <c r="I180" s="22" t="n">
        <v>3</v>
      </c>
      <c r="J180" s="22" t="s">
        <v>49</v>
      </c>
      <c r="K180" s="23" t="n">
        <f aca="false">38.65</f>
        <v>38.65</v>
      </c>
      <c r="L180" s="23" t="n">
        <f aca="false">116.16</f>
        <v>116.16</v>
      </c>
      <c r="M180" s="22" t="n">
        <v>14</v>
      </c>
      <c r="N180" s="22" t="n">
        <v>30</v>
      </c>
      <c r="O180" s="22" t="n">
        <v>96.55</v>
      </c>
      <c r="P180" s="23" t="n">
        <f aca="false">23.66</f>
        <v>23.66</v>
      </c>
      <c r="Q180" s="23" t="n">
        <f aca="false">129.18</f>
        <v>129.18</v>
      </c>
      <c r="R180" s="22" t="n">
        <v>13.2</v>
      </c>
      <c r="S180" s="22" t="n">
        <v>18.85</v>
      </c>
      <c r="T180" s="22" t="n">
        <v>467</v>
      </c>
      <c r="U180" s="24" t="s">
        <v>29</v>
      </c>
      <c r="V180" s="15"/>
      <c r="W180" s="16"/>
      <c r="X180" s="16"/>
      <c r="Y180" s="16"/>
    </row>
    <row r="181" customFormat="false" ht="15.75" hidden="false" customHeight="false" outlineLevel="0" collapsed="false">
      <c r="A181" s="9"/>
      <c r="B181" s="10"/>
      <c r="C181" s="10"/>
      <c r="D181" s="10"/>
      <c r="E181" s="10"/>
      <c r="F181" s="10"/>
      <c r="G181" s="10"/>
      <c r="H181" s="10"/>
      <c r="I181" s="25" t="n">
        <v>4</v>
      </c>
      <c r="J181" s="25"/>
      <c r="K181" s="26" t="n">
        <f aca="false">37.37</f>
        <v>37.37</v>
      </c>
      <c r="L181" s="26" t="n">
        <f aca="false">110.64</f>
        <v>110.64</v>
      </c>
      <c r="M181" s="25" t="n">
        <v>14</v>
      </c>
      <c r="N181" s="25" t="n">
        <v>28</v>
      </c>
      <c r="O181" s="25" t="n">
        <v>87.65</v>
      </c>
      <c r="P181" s="26" t="n">
        <f aca="false">21.86</f>
        <v>21.86</v>
      </c>
      <c r="Q181" s="26" t="n">
        <f aca="false">127.68</f>
        <v>127.68</v>
      </c>
      <c r="R181" s="25" t="n">
        <v>11.75</v>
      </c>
      <c r="S181" s="25" t="n">
        <v>19.65</v>
      </c>
      <c r="T181" s="25" t="n">
        <v>398</v>
      </c>
      <c r="U181" s="27" t="s">
        <v>29</v>
      </c>
      <c r="V181" s="21"/>
      <c r="W181" s="16"/>
      <c r="X181" s="16"/>
      <c r="Y181" s="16"/>
    </row>
    <row r="182" customFormat="false" ht="15.75" hidden="false" customHeight="true" outlineLevel="0" collapsed="false">
      <c r="A182" s="9" t="s">
        <v>25</v>
      </c>
      <c r="B182" s="10" t="s">
        <v>26</v>
      </c>
      <c r="C182" s="11" t="s">
        <v>94</v>
      </c>
      <c r="D182" s="10" t="s">
        <v>28</v>
      </c>
      <c r="E182" s="10" t="s">
        <v>28</v>
      </c>
      <c r="F182" s="10"/>
      <c r="G182" s="10" t="n">
        <v>23</v>
      </c>
      <c r="H182" s="10" t="n">
        <v>4.45</v>
      </c>
      <c r="I182" s="12" t="n">
        <v>1</v>
      </c>
      <c r="J182" s="12"/>
      <c r="K182" s="13" t="n">
        <f aca="false">45.04</f>
        <v>45.04</v>
      </c>
      <c r="L182" s="13" t="n">
        <f aca="false">167.03</f>
        <v>167.03</v>
      </c>
      <c r="M182" s="12" t="n">
        <v>16</v>
      </c>
      <c r="N182" s="12" t="n">
        <v>40</v>
      </c>
      <c r="O182" s="12" t="n">
        <v>199.5</v>
      </c>
      <c r="P182" s="13" t="n">
        <f aca="false">24.95</f>
        <v>24.95</v>
      </c>
      <c r="Q182" s="13" t="n">
        <f aca="false">172.82</f>
        <v>172.82</v>
      </c>
      <c r="R182" s="12" t="n">
        <v>23.55</v>
      </c>
      <c r="S182" s="12" t="n">
        <v>27.75</v>
      </c>
      <c r="T182" s="12" t="n">
        <v>641</v>
      </c>
      <c r="U182" s="14" t="s">
        <v>29</v>
      </c>
      <c r="V182" s="15"/>
      <c r="W182" s="16" t="str">
        <f aca="false">A182</f>
        <v>KL</v>
      </c>
      <c r="X182" s="17" t="e">
        <f aca="false">ifs(C182="","",X182="",NOW(),TRUE(),X182)</f>
        <v>#VALUE!</v>
      </c>
      <c r="Y182" s="17" t="e">
        <f aca="false">ifs(COUNTA(K182:U185)&lt;44,"",Y182="",NOW(),TRUE(),Y182)</f>
        <v>#VALUE!</v>
      </c>
    </row>
    <row r="183" customFormat="false" ht="15.75" hidden="false" customHeight="false" outlineLevel="0" collapsed="false">
      <c r="A183" s="9"/>
      <c r="B183" s="10"/>
      <c r="C183" s="10"/>
      <c r="D183" s="10"/>
      <c r="E183" s="10"/>
      <c r="F183" s="10"/>
      <c r="G183" s="10"/>
      <c r="H183" s="10"/>
      <c r="I183" s="18" t="n">
        <v>2</v>
      </c>
      <c r="J183" s="18"/>
      <c r="K183" s="19" t="n">
        <f aca="false">40.92</f>
        <v>40.92</v>
      </c>
      <c r="L183" s="19" t="n">
        <f aca="false">152.53</f>
        <v>152.53</v>
      </c>
      <c r="M183" s="18" t="n">
        <v>14</v>
      </c>
      <c r="N183" s="18" t="n">
        <v>34</v>
      </c>
      <c r="O183" s="18" t="n">
        <v>150.45</v>
      </c>
      <c r="P183" s="19" t="n">
        <f aca="false">24.35</f>
        <v>24.35</v>
      </c>
      <c r="Q183" s="19" t="n">
        <f aca="false">175.22</f>
        <v>175.22</v>
      </c>
      <c r="R183" s="18" t="n">
        <v>16.4</v>
      </c>
      <c r="S183" s="18" t="n">
        <v>26.3</v>
      </c>
      <c r="T183" s="18" t="n">
        <v>506</v>
      </c>
      <c r="U183" s="20" t="s">
        <v>29</v>
      </c>
      <c r="V183" s="21"/>
      <c r="W183" s="16"/>
      <c r="X183" s="16"/>
      <c r="Y183" s="16"/>
    </row>
    <row r="184" customFormat="false" ht="15.75" hidden="false" customHeight="false" outlineLevel="0" collapsed="false">
      <c r="A184" s="9"/>
      <c r="B184" s="10"/>
      <c r="C184" s="10"/>
      <c r="D184" s="10"/>
      <c r="E184" s="10"/>
      <c r="F184" s="10"/>
      <c r="G184" s="10"/>
      <c r="H184" s="10"/>
      <c r="I184" s="22" t="n">
        <v>3</v>
      </c>
      <c r="J184" s="22"/>
      <c r="K184" s="23" t="n">
        <f aca="false">41.24</f>
        <v>41.24</v>
      </c>
      <c r="L184" s="23" t="n">
        <f aca="false">157.07</f>
        <v>157.07</v>
      </c>
      <c r="M184" s="22" t="n">
        <v>16</v>
      </c>
      <c r="N184" s="22" t="n">
        <v>38</v>
      </c>
      <c r="O184" s="22" t="n">
        <v>150.45</v>
      </c>
      <c r="P184" s="23" t="n">
        <f aca="false">24.52</f>
        <v>24.52</v>
      </c>
      <c r="Q184" s="23" t="n">
        <f aca="false">164.03</f>
        <v>164.03</v>
      </c>
      <c r="R184" s="22" t="n">
        <v>17.75</v>
      </c>
      <c r="S184" s="22" t="n">
        <v>22.4</v>
      </c>
      <c r="T184" s="22" t="n">
        <v>616</v>
      </c>
      <c r="U184" s="24" t="s">
        <v>29</v>
      </c>
      <c r="V184" s="15"/>
      <c r="W184" s="16"/>
      <c r="X184" s="16"/>
      <c r="Y184" s="16"/>
    </row>
    <row r="185" customFormat="false" ht="15.75" hidden="false" customHeight="false" outlineLevel="0" collapsed="false">
      <c r="A185" s="9"/>
      <c r="B185" s="10"/>
      <c r="C185" s="10"/>
      <c r="D185" s="10"/>
      <c r="E185" s="10"/>
      <c r="F185" s="10"/>
      <c r="G185" s="10"/>
      <c r="H185" s="10"/>
      <c r="I185" s="25" t="n">
        <v>4</v>
      </c>
      <c r="J185" s="25"/>
      <c r="K185" s="26" t="n">
        <f aca="false">40.51</f>
        <v>40.51</v>
      </c>
      <c r="L185" s="26" t="n">
        <f aca="false">131.72</f>
        <v>131.72</v>
      </c>
      <c r="M185" s="25" t="n">
        <v>16</v>
      </c>
      <c r="N185" s="25" t="n">
        <v>30</v>
      </c>
      <c r="O185" s="25" t="n">
        <v>127.2</v>
      </c>
      <c r="P185" s="26" t="n">
        <f aca="false">22.97</f>
        <v>22.97</v>
      </c>
      <c r="Q185" s="26" t="n">
        <f aca="false">152.96</f>
        <v>152.96</v>
      </c>
      <c r="R185" s="25" t="n">
        <v>14.55</v>
      </c>
      <c r="S185" s="25" t="n">
        <v>23.85</v>
      </c>
      <c r="T185" s="25" t="n">
        <v>506</v>
      </c>
      <c r="U185" s="27" t="s">
        <v>29</v>
      </c>
      <c r="V185" s="21"/>
      <c r="W185" s="16"/>
      <c r="X185" s="16"/>
      <c r="Y185" s="16"/>
    </row>
    <row r="186" customFormat="false" ht="15.75" hidden="false" customHeight="true" outlineLevel="0" collapsed="false">
      <c r="A186" s="9" t="s">
        <v>25</v>
      </c>
      <c r="B186" s="10" t="s">
        <v>26</v>
      </c>
      <c r="C186" s="11" t="s">
        <v>95</v>
      </c>
      <c r="D186" s="10" t="s">
        <v>28</v>
      </c>
      <c r="E186" s="10" t="s">
        <v>28</v>
      </c>
      <c r="F186" s="10"/>
      <c r="G186" s="10" t="n">
        <v>25</v>
      </c>
      <c r="H186" s="10" t="n">
        <v>6.55</v>
      </c>
      <c r="I186" s="12" t="n">
        <v>1</v>
      </c>
      <c r="J186" s="12"/>
      <c r="K186" s="13" t="n">
        <f aca="false">44.66</f>
        <v>44.66</v>
      </c>
      <c r="L186" s="13" t="n">
        <f aca="false">152.23</f>
        <v>152.23</v>
      </c>
      <c r="M186" s="12" t="n">
        <v>14</v>
      </c>
      <c r="N186" s="12" t="n">
        <v>38</v>
      </c>
      <c r="O186" s="12" t="n">
        <v>170</v>
      </c>
      <c r="P186" s="13" t="n">
        <f aca="false">27.43</f>
        <v>27.43</v>
      </c>
      <c r="Q186" s="13" t="n">
        <f aca="false">159.79</f>
        <v>159.79</v>
      </c>
      <c r="R186" s="12" t="n">
        <v>23.65</v>
      </c>
      <c r="S186" s="12" t="n">
        <v>27.7</v>
      </c>
      <c r="T186" s="12" t="n">
        <v>560</v>
      </c>
      <c r="U186" s="14" t="s">
        <v>29</v>
      </c>
      <c r="V186" s="15"/>
      <c r="W186" s="16" t="str">
        <f aca="false">A186</f>
        <v>KL</v>
      </c>
      <c r="X186" s="17" t="e">
        <f aca="false">ifs(C186="","",X186="",NOW(),TRUE(),X186)</f>
        <v>#VALUE!</v>
      </c>
      <c r="Y186" s="17" t="e">
        <f aca="false">ifs(COUNTA(K186:U189)&lt;44,"",Y186="",NOW(),TRUE(),Y186)</f>
        <v>#VALUE!</v>
      </c>
    </row>
    <row r="187" customFormat="false" ht="15.75" hidden="false" customHeight="false" outlineLevel="0" collapsed="false">
      <c r="A187" s="9"/>
      <c r="B187" s="10"/>
      <c r="C187" s="10"/>
      <c r="D187" s="10"/>
      <c r="E187" s="10"/>
      <c r="F187" s="10"/>
      <c r="G187" s="10"/>
      <c r="H187" s="10"/>
      <c r="I187" s="18" t="n">
        <v>2</v>
      </c>
      <c r="J187" s="18" t="s">
        <v>47</v>
      </c>
      <c r="K187" s="19" t="n">
        <f aca="false">45.37</f>
        <v>45.37</v>
      </c>
      <c r="L187" s="19" t="n">
        <f aca="false">145.93</f>
        <v>145.93</v>
      </c>
      <c r="M187" s="18" t="n">
        <v>16</v>
      </c>
      <c r="N187" s="18" t="n">
        <v>36</v>
      </c>
      <c r="O187" s="18" t="n">
        <v>162.05</v>
      </c>
      <c r="P187" s="19" t="n">
        <f aca="false">27.67</f>
        <v>27.67</v>
      </c>
      <c r="Q187" s="19" t="n">
        <f aca="false">162.22</f>
        <v>162.22</v>
      </c>
      <c r="R187" s="18" t="n">
        <v>24.25</v>
      </c>
      <c r="S187" s="18" t="n">
        <v>25.9</v>
      </c>
      <c r="T187" s="18" t="n">
        <v>524</v>
      </c>
      <c r="U187" s="20" t="s">
        <v>29</v>
      </c>
      <c r="V187" s="21"/>
      <c r="W187" s="16"/>
      <c r="X187" s="16"/>
      <c r="Y187" s="16"/>
    </row>
    <row r="188" customFormat="false" ht="15.75" hidden="false" customHeight="false" outlineLevel="0" collapsed="false">
      <c r="A188" s="9"/>
      <c r="B188" s="10"/>
      <c r="C188" s="10"/>
      <c r="D188" s="10"/>
      <c r="E188" s="10"/>
      <c r="F188" s="10"/>
      <c r="G188" s="10"/>
      <c r="H188" s="10"/>
      <c r="I188" s="22" t="n">
        <v>3</v>
      </c>
      <c r="J188" s="22" t="s">
        <v>47</v>
      </c>
      <c r="K188" s="23" t="n">
        <f aca="false">47.57</f>
        <v>47.57</v>
      </c>
      <c r="L188" s="23" t="n">
        <f aca="false">142.72</f>
        <v>142.72</v>
      </c>
      <c r="M188" s="22" t="n">
        <v>16</v>
      </c>
      <c r="N188" s="22" t="n">
        <v>36</v>
      </c>
      <c r="O188" s="22" t="n">
        <v>182.85</v>
      </c>
      <c r="P188" s="23" t="n">
        <f aca="false">26.55</f>
        <v>26.55</v>
      </c>
      <c r="Q188" s="23" t="n">
        <f aca="false">153.62</f>
        <v>153.62</v>
      </c>
      <c r="R188" s="22" t="n">
        <v>25.3</v>
      </c>
      <c r="S188" s="22" t="n">
        <v>26.45</v>
      </c>
      <c r="T188" s="22" t="n">
        <v>564</v>
      </c>
      <c r="U188" s="24" t="s">
        <v>29</v>
      </c>
      <c r="V188" s="15"/>
      <c r="W188" s="16"/>
      <c r="X188" s="16"/>
      <c r="Y188" s="16"/>
    </row>
    <row r="189" customFormat="false" ht="15.75" hidden="false" customHeight="false" outlineLevel="0" collapsed="false">
      <c r="A189" s="9"/>
      <c r="B189" s="10"/>
      <c r="C189" s="10"/>
      <c r="D189" s="10"/>
      <c r="E189" s="10"/>
      <c r="F189" s="10"/>
      <c r="G189" s="10"/>
      <c r="H189" s="10"/>
      <c r="I189" s="25" t="n">
        <v>4</v>
      </c>
      <c r="J189" s="25"/>
      <c r="K189" s="26" t="n">
        <f aca="false">46.48</f>
        <v>46.48</v>
      </c>
      <c r="L189" s="26" t="n">
        <f aca="false">144.22</f>
        <v>144.22</v>
      </c>
      <c r="M189" s="25" t="n">
        <v>18</v>
      </c>
      <c r="N189" s="25" t="n">
        <v>36</v>
      </c>
      <c r="O189" s="25" t="n">
        <v>151.05</v>
      </c>
      <c r="P189" s="26" t="n">
        <f aca="false">27.48</f>
        <v>27.48</v>
      </c>
      <c r="Q189" s="26" t="n">
        <f aca="false">155.71</f>
        <v>155.71</v>
      </c>
      <c r="R189" s="25" t="n">
        <v>21.65</v>
      </c>
      <c r="S189" s="25" t="n">
        <v>21.85</v>
      </c>
      <c r="T189" s="25" t="n">
        <v>616</v>
      </c>
      <c r="U189" s="27" t="s">
        <v>29</v>
      </c>
      <c r="V189" s="21"/>
      <c r="W189" s="16"/>
      <c r="X189" s="16"/>
      <c r="Y189" s="16"/>
    </row>
    <row r="190" customFormat="false" ht="15.75" hidden="false" customHeight="true" outlineLevel="0" collapsed="false">
      <c r="A190" s="9" t="s">
        <v>25</v>
      </c>
      <c r="B190" s="10" t="s">
        <v>26</v>
      </c>
      <c r="C190" s="11" t="s">
        <v>96</v>
      </c>
      <c r="D190" s="10" t="s">
        <v>28</v>
      </c>
      <c r="E190" s="10" t="s">
        <v>28</v>
      </c>
      <c r="F190" s="10"/>
      <c r="G190" s="10" t="n">
        <v>4</v>
      </c>
      <c r="H190" s="10" t="n">
        <v>0.65</v>
      </c>
      <c r="I190" s="12" t="n">
        <v>1</v>
      </c>
      <c r="J190" s="12"/>
      <c r="K190" s="13" t="n">
        <f aca="false">44.5</f>
        <v>44.5</v>
      </c>
      <c r="L190" s="13" t="n">
        <f aca="false">159.59</f>
        <v>159.59</v>
      </c>
      <c r="M190" s="12" t="n">
        <v>14</v>
      </c>
      <c r="N190" s="12" t="n">
        <v>40</v>
      </c>
      <c r="O190" s="12" t="n">
        <v>156.45</v>
      </c>
      <c r="P190" s="13" t="n">
        <f aca="false">28.22</f>
        <v>28.22</v>
      </c>
      <c r="Q190" s="13" t="n">
        <f aca="false">168.01</f>
        <v>168.01</v>
      </c>
      <c r="R190" s="12" t="n">
        <v>21.25</v>
      </c>
      <c r="S190" s="12" t="n">
        <v>26.7</v>
      </c>
      <c r="T190" s="12" t="n">
        <v>526</v>
      </c>
      <c r="U190" s="14" t="s">
        <v>29</v>
      </c>
      <c r="V190" s="15"/>
      <c r="W190" s="16" t="str">
        <f aca="false">A190</f>
        <v>KL</v>
      </c>
      <c r="X190" s="17" t="e">
        <f aca="false">ifs(C190="","",X190="",NOW(),TRUE(),X190)</f>
        <v>#VALUE!</v>
      </c>
      <c r="Y190" s="17" t="e">
        <f aca="false">ifs(COUNTA(K190:U193)&lt;44,"",Y190="",NOW(),TRUE(),Y190)</f>
        <v>#VALUE!</v>
      </c>
    </row>
    <row r="191" customFormat="false" ht="15.75" hidden="false" customHeight="false" outlineLevel="0" collapsed="false">
      <c r="A191" s="9"/>
      <c r="B191" s="10"/>
      <c r="C191" s="10"/>
      <c r="D191" s="10"/>
      <c r="E191" s="10"/>
      <c r="F191" s="10"/>
      <c r="G191" s="10"/>
      <c r="H191" s="10"/>
      <c r="I191" s="18" t="n">
        <v>2</v>
      </c>
      <c r="J191" s="18" t="s">
        <v>33</v>
      </c>
      <c r="K191" s="19" t="n">
        <f aca="false">40.38</f>
        <v>40.38</v>
      </c>
      <c r="L191" s="19" t="n">
        <f aca="false">90.57</f>
        <v>90.57</v>
      </c>
      <c r="M191" s="18" t="n">
        <v>14</v>
      </c>
      <c r="N191" s="18" t="n">
        <v>20</v>
      </c>
      <c r="O191" s="18" t="n">
        <v>79</v>
      </c>
      <c r="P191" s="19" t="n">
        <f aca="false">23.94</f>
        <v>23.94</v>
      </c>
      <c r="Q191" s="19" t="n">
        <f aca="false">128.55</f>
        <v>128.55</v>
      </c>
      <c r="R191" s="18" t="n">
        <v>10.45</v>
      </c>
      <c r="S191" s="18" t="n">
        <v>26.15</v>
      </c>
      <c r="T191" s="18" t="n">
        <v>264</v>
      </c>
      <c r="U191" s="20" t="s">
        <v>97</v>
      </c>
      <c r="V191" s="21"/>
      <c r="W191" s="16"/>
      <c r="X191" s="16"/>
      <c r="Y191" s="16"/>
    </row>
    <row r="192" customFormat="false" ht="15.75" hidden="false" customHeight="false" outlineLevel="0" collapsed="false">
      <c r="A192" s="9"/>
      <c r="B192" s="10"/>
      <c r="C192" s="10"/>
      <c r="D192" s="10"/>
      <c r="E192" s="10"/>
      <c r="F192" s="10"/>
      <c r="G192" s="10"/>
      <c r="H192" s="10"/>
      <c r="I192" s="22" t="n">
        <v>3</v>
      </c>
      <c r="J192" s="22" t="s">
        <v>33</v>
      </c>
      <c r="K192" s="23" t="n">
        <f aca="false">43.08</f>
        <v>43.08</v>
      </c>
      <c r="L192" s="23" t="n">
        <f aca="false">92.8</f>
        <v>92.8</v>
      </c>
      <c r="M192" s="22" t="n">
        <v>16</v>
      </c>
      <c r="N192" s="22" t="n">
        <v>22</v>
      </c>
      <c r="O192" s="22" t="n">
        <v>89.9</v>
      </c>
      <c r="P192" s="23" t="n">
        <f aca="false">25.52</f>
        <v>25.52</v>
      </c>
      <c r="Q192" s="23" t="n">
        <f aca="false">127.2</f>
        <v>127.2</v>
      </c>
      <c r="R192" s="22" t="n">
        <v>12.05</v>
      </c>
      <c r="S192" s="22" t="n">
        <v>28.3</v>
      </c>
      <c r="T192" s="22" t="n">
        <v>290</v>
      </c>
      <c r="U192" s="24" t="s">
        <v>97</v>
      </c>
      <c r="V192" s="15"/>
      <c r="W192" s="16"/>
      <c r="X192" s="16"/>
      <c r="Y192" s="16"/>
    </row>
    <row r="193" customFormat="false" ht="15.75" hidden="false" customHeight="false" outlineLevel="0" collapsed="false">
      <c r="A193" s="9"/>
      <c r="B193" s="10"/>
      <c r="C193" s="10"/>
      <c r="D193" s="10"/>
      <c r="E193" s="10"/>
      <c r="F193" s="10"/>
      <c r="G193" s="10"/>
      <c r="H193" s="10"/>
      <c r="I193" s="25" t="n">
        <v>4</v>
      </c>
      <c r="J193" s="25" t="s">
        <v>33</v>
      </c>
      <c r="K193" s="26" t="n">
        <f aca="false">37.54</f>
        <v>37.54</v>
      </c>
      <c r="L193" s="26" t="n">
        <f aca="false">94.54</f>
        <v>94.54</v>
      </c>
      <c r="M193" s="25" t="n">
        <v>14</v>
      </c>
      <c r="N193" s="25" t="n">
        <v>22</v>
      </c>
      <c r="O193" s="25" t="n">
        <v>67.35</v>
      </c>
      <c r="P193" s="26" t="n">
        <f aca="false">22</f>
        <v>22</v>
      </c>
      <c r="Q193" s="26" t="n">
        <f aca="false">132.13</f>
        <v>132.13</v>
      </c>
      <c r="R193" s="25" t="n">
        <v>9.45</v>
      </c>
      <c r="S193" s="25" t="n">
        <v>24.95</v>
      </c>
      <c r="T193" s="25" t="n">
        <v>229</v>
      </c>
      <c r="U193" s="27" t="s">
        <v>97</v>
      </c>
      <c r="V193" s="21"/>
      <c r="W193" s="16"/>
      <c r="X193" s="16"/>
      <c r="Y193" s="16"/>
    </row>
    <row r="194" customFormat="false" ht="15.75" hidden="false" customHeight="true" outlineLevel="0" collapsed="false">
      <c r="A194" s="9" t="s">
        <v>25</v>
      </c>
      <c r="B194" s="10" t="s">
        <v>26</v>
      </c>
      <c r="C194" s="11" t="s">
        <v>98</v>
      </c>
      <c r="D194" s="10" t="s">
        <v>28</v>
      </c>
      <c r="E194" s="10" t="s">
        <v>28</v>
      </c>
      <c r="F194" s="10"/>
      <c r="G194" s="10" t="n">
        <v>22</v>
      </c>
      <c r="H194" s="10" t="n">
        <v>5.45</v>
      </c>
      <c r="I194" s="12" t="n">
        <v>1</v>
      </c>
      <c r="J194" s="12" t="s">
        <v>36</v>
      </c>
      <c r="K194" s="13" t="n">
        <f aca="false">51.42</f>
        <v>51.42</v>
      </c>
      <c r="L194" s="13" t="n">
        <f aca="false">171.13</f>
        <v>171.13</v>
      </c>
      <c r="M194" s="12" t="n">
        <v>20</v>
      </c>
      <c r="N194" s="12" t="n">
        <v>40</v>
      </c>
      <c r="O194" s="12" t="n">
        <v>233.75</v>
      </c>
      <c r="P194" s="13" t="n">
        <f aca="false">32.35</f>
        <v>32.35</v>
      </c>
      <c r="Q194" s="13" t="n">
        <f aca="false">194.06</f>
        <v>194.06</v>
      </c>
      <c r="R194" s="12" t="n">
        <v>38.1</v>
      </c>
      <c r="S194" s="12" t="n">
        <v>26.05</v>
      </c>
      <c r="T194" s="12" t="n">
        <v>765</v>
      </c>
      <c r="U194" s="14" t="s">
        <v>29</v>
      </c>
      <c r="V194" s="15"/>
      <c r="W194" s="16" t="str">
        <f aca="false">A194</f>
        <v>KL</v>
      </c>
      <c r="X194" s="17" t="e">
        <f aca="false">ifs(C194="","",X194="",NOW(),TRUE(),X194)</f>
        <v>#VALUE!</v>
      </c>
      <c r="Y194" s="17" t="e">
        <f aca="false">ifs(COUNTA(K194:U197)&lt;44,"",Y194="",NOW(),TRUE(),Y194)</f>
        <v>#VALUE!</v>
      </c>
    </row>
    <row r="195" customFormat="false" ht="15.75" hidden="false" customHeight="false" outlineLevel="0" collapsed="false">
      <c r="A195" s="9"/>
      <c r="B195" s="10"/>
      <c r="C195" s="10"/>
      <c r="D195" s="10"/>
      <c r="E195" s="10"/>
      <c r="F195" s="10"/>
      <c r="G195" s="10"/>
      <c r="H195" s="10"/>
      <c r="I195" s="18" t="n">
        <v>2</v>
      </c>
      <c r="J195" s="18" t="s">
        <v>47</v>
      </c>
      <c r="K195" s="19" t="n">
        <f aca="false">45.77</f>
        <v>45.77</v>
      </c>
      <c r="L195" s="19" t="n">
        <f aca="false">141.36</f>
        <v>141.36</v>
      </c>
      <c r="M195" s="18" t="n">
        <v>16</v>
      </c>
      <c r="N195" s="18" t="n">
        <v>32</v>
      </c>
      <c r="O195" s="18" t="n">
        <v>150.5</v>
      </c>
      <c r="P195" s="19" t="n">
        <f aca="false">28.13</f>
        <v>28.13</v>
      </c>
      <c r="Q195" s="19" t="n">
        <f aca="false">161.62</f>
        <v>161.62</v>
      </c>
      <c r="R195" s="18" t="n">
        <v>27.05</v>
      </c>
      <c r="S195" s="18" t="n">
        <v>24.8</v>
      </c>
      <c r="T195" s="18" t="n">
        <v>504</v>
      </c>
      <c r="U195" s="20" t="s">
        <v>29</v>
      </c>
      <c r="V195" s="21"/>
      <c r="W195" s="16"/>
      <c r="X195" s="16"/>
      <c r="Y195" s="16"/>
    </row>
    <row r="196" customFormat="false" ht="15.75" hidden="false" customHeight="false" outlineLevel="0" collapsed="false">
      <c r="A196" s="9"/>
      <c r="B196" s="10"/>
      <c r="C196" s="10"/>
      <c r="D196" s="10"/>
      <c r="E196" s="10"/>
      <c r="F196" s="10"/>
      <c r="G196" s="10"/>
      <c r="H196" s="10"/>
      <c r="I196" s="22" t="n">
        <v>3</v>
      </c>
      <c r="J196" s="22" t="s">
        <v>46</v>
      </c>
      <c r="K196" s="23" t="n">
        <f aca="false">46.39</f>
        <v>46.39</v>
      </c>
      <c r="L196" s="23" t="n">
        <f aca="false">112.68</f>
        <v>112.68</v>
      </c>
      <c r="M196" s="22" t="n">
        <v>20</v>
      </c>
      <c r="N196" s="22" t="n">
        <v>28</v>
      </c>
      <c r="O196" s="22" t="n">
        <v>122.35</v>
      </c>
      <c r="P196" s="23" t="n">
        <f aca="false">28.87</f>
        <v>28.87</v>
      </c>
      <c r="Q196" s="23" t="n">
        <f aca="false">139.75</f>
        <v>139.75</v>
      </c>
      <c r="R196" s="22" t="n">
        <v>23.45</v>
      </c>
      <c r="S196" s="22" t="n">
        <v>22.25</v>
      </c>
      <c r="T196" s="22" t="n">
        <v>458</v>
      </c>
      <c r="U196" s="24" t="s">
        <v>29</v>
      </c>
      <c r="V196" s="15"/>
      <c r="W196" s="16"/>
      <c r="X196" s="16"/>
      <c r="Y196" s="16"/>
    </row>
    <row r="197" customFormat="false" ht="15.75" hidden="false" customHeight="false" outlineLevel="0" collapsed="false">
      <c r="A197" s="9"/>
      <c r="B197" s="10"/>
      <c r="C197" s="10"/>
      <c r="D197" s="10"/>
      <c r="E197" s="10"/>
      <c r="F197" s="10"/>
      <c r="G197" s="10"/>
      <c r="H197" s="10"/>
      <c r="I197" s="25" t="n">
        <v>4</v>
      </c>
      <c r="J197" s="25" t="s">
        <v>46</v>
      </c>
      <c r="K197" s="26" t="n">
        <f aca="false">43.8</f>
        <v>43.8</v>
      </c>
      <c r="L197" s="26" t="n">
        <f aca="false">87.1</f>
        <v>87.1</v>
      </c>
      <c r="M197" s="25" t="n">
        <v>18</v>
      </c>
      <c r="N197" s="25" t="n">
        <v>20</v>
      </c>
      <c r="O197" s="25" t="n">
        <v>82.05</v>
      </c>
      <c r="P197" s="26" t="n">
        <f aca="false">28.53</f>
        <v>28.53</v>
      </c>
      <c r="Q197" s="26" t="n">
        <f aca="false">121.21</f>
        <v>121.21</v>
      </c>
      <c r="R197" s="25" t="n">
        <v>17.45</v>
      </c>
      <c r="S197" s="25" t="n">
        <v>21.75</v>
      </c>
      <c r="T197" s="25" t="n">
        <v>302</v>
      </c>
      <c r="U197" s="27" t="s">
        <v>29</v>
      </c>
      <c r="V197" s="21"/>
      <c r="W197" s="16"/>
      <c r="X197" s="16"/>
      <c r="Y197" s="16"/>
    </row>
    <row r="198" customFormat="false" ht="15.75" hidden="false" customHeight="true" outlineLevel="0" collapsed="false">
      <c r="A198" s="9" t="s">
        <v>43</v>
      </c>
      <c r="B198" s="10" t="s">
        <v>44</v>
      </c>
      <c r="C198" s="11" t="s">
        <v>99</v>
      </c>
      <c r="D198" s="10" t="s">
        <v>28</v>
      </c>
      <c r="E198" s="10" t="s">
        <v>28</v>
      </c>
      <c r="F198" s="10"/>
      <c r="G198" s="10" t="n">
        <v>16</v>
      </c>
      <c r="H198" s="10" t="n">
        <v>2.8</v>
      </c>
      <c r="I198" s="12" t="n">
        <v>1</v>
      </c>
      <c r="J198" s="12" t="s">
        <v>57</v>
      </c>
      <c r="K198" s="13" t="n">
        <f aca="false">40.87</f>
        <v>40.87</v>
      </c>
      <c r="L198" s="13" t="n">
        <f aca="false">153.19</f>
        <v>153.19</v>
      </c>
      <c r="M198" s="12" t="n">
        <v>16</v>
      </c>
      <c r="N198" s="12" t="n">
        <v>34</v>
      </c>
      <c r="O198" s="12" t="n">
        <v>114.1</v>
      </c>
      <c r="P198" s="13" t="n">
        <f aca="false">27.81</f>
        <v>27.81</v>
      </c>
      <c r="Q198" s="13" t="n">
        <f aca="false">178.17</f>
        <v>178.17</v>
      </c>
      <c r="R198" s="12" t="n">
        <v>21.4</v>
      </c>
      <c r="S198" s="12" t="n">
        <v>17.4</v>
      </c>
      <c r="T198" s="12" t="n">
        <v>537</v>
      </c>
      <c r="U198" s="14" t="s">
        <v>29</v>
      </c>
      <c r="V198" s="15"/>
      <c r="W198" s="16" t="str">
        <f aca="false">A198</f>
        <v>JB</v>
      </c>
      <c r="X198" s="17" t="e">
        <f aca="false">ifs(C198="","",X198="",NOW(),TRUE(),X198)</f>
        <v>#VALUE!</v>
      </c>
      <c r="Y198" s="17" t="e">
        <f aca="false">ifs(COUNTA(K198:U201)&lt;44,"",Y198="",NOW(),TRUE(),Y198)</f>
        <v>#VALUE!</v>
      </c>
    </row>
    <row r="199" customFormat="false" ht="15.75" hidden="false" customHeight="false" outlineLevel="0" collapsed="false">
      <c r="A199" s="9"/>
      <c r="B199" s="10"/>
      <c r="C199" s="10"/>
      <c r="D199" s="10"/>
      <c r="E199" s="10"/>
      <c r="F199" s="10"/>
      <c r="G199" s="10"/>
      <c r="H199" s="10"/>
      <c r="I199" s="18" t="n">
        <v>2</v>
      </c>
      <c r="J199" s="18" t="s">
        <v>49</v>
      </c>
      <c r="K199" s="19" t="n">
        <f aca="false">41.01</f>
        <v>41.01</v>
      </c>
      <c r="L199" s="19" t="n">
        <f aca="false">137.54</f>
        <v>137.54</v>
      </c>
      <c r="M199" s="18" t="n">
        <v>16</v>
      </c>
      <c r="N199" s="18" t="n">
        <v>36</v>
      </c>
      <c r="O199" s="18" t="n">
        <v>124.2</v>
      </c>
      <c r="P199" s="19" t="n">
        <f aca="false">26.19</f>
        <v>26.19</v>
      </c>
      <c r="Q199" s="19" t="n">
        <f aca="false">179.96</f>
        <v>179.96</v>
      </c>
      <c r="R199" s="18" t="n">
        <v>21.8</v>
      </c>
      <c r="S199" s="18" t="n">
        <v>18.8</v>
      </c>
      <c r="T199" s="18" t="n">
        <v>527</v>
      </c>
      <c r="U199" s="20" t="s">
        <v>29</v>
      </c>
      <c r="V199" s="21"/>
      <c r="W199" s="16"/>
      <c r="X199" s="16"/>
      <c r="Y199" s="16"/>
    </row>
    <row r="200" customFormat="false" ht="15.75" hidden="false" customHeight="false" outlineLevel="0" collapsed="false">
      <c r="A200" s="9"/>
      <c r="B200" s="10"/>
      <c r="C200" s="10"/>
      <c r="D200" s="10"/>
      <c r="E200" s="10"/>
      <c r="F200" s="10"/>
      <c r="G200" s="10"/>
      <c r="H200" s="10"/>
      <c r="I200" s="22" t="n">
        <v>3</v>
      </c>
      <c r="J200" s="22" t="s">
        <v>46</v>
      </c>
      <c r="K200" s="23" t="n">
        <f aca="false">38.73</f>
        <v>38.73</v>
      </c>
      <c r="L200" s="23" t="n">
        <f aca="false">110.73</f>
        <v>110.73</v>
      </c>
      <c r="M200" s="22" t="n">
        <v>18</v>
      </c>
      <c r="N200" s="22" t="n">
        <v>30</v>
      </c>
      <c r="O200" s="22" t="n">
        <v>96.4</v>
      </c>
      <c r="P200" s="23" t="n">
        <f aca="false">28.9</f>
        <v>28.9</v>
      </c>
      <c r="Q200" s="23" t="n">
        <f aca="false">149.82</f>
        <v>149.82</v>
      </c>
      <c r="R200" s="22" t="n">
        <v>16.1</v>
      </c>
      <c r="S200" s="22" t="n">
        <v>18.4</v>
      </c>
      <c r="T200" s="22" t="n">
        <v>428</v>
      </c>
      <c r="U200" s="24" t="s">
        <v>29</v>
      </c>
      <c r="V200" s="15"/>
      <c r="W200" s="16"/>
      <c r="X200" s="16"/>
      <c r="Y200" s="16"/>
    </row>
    <row r="201" customFormat="false" ht="15.75" hidden="false" customHeight="false" outlineLevel="0" collapsed="false">
      <c r="A201" s="9"/>
      <c r="B201" s="10"/>
      <c r="C201" s="10"/>
      <c r="D201" s="10"/>
      <c r="E201" s="10"/>
      <c r="F201" s="10"/>
      <c r="G201" s="10"/>
      <c r="H201" s="10"/>
      <c r="I201" s="25" t="n">
        <v>4</v>
      </c>
      <c r="J201" s="25" t="s">
        <v>49</v>
      </c>
      <c r="K201" s="26" t="n">
        <f aca="false">41.35</f>
        <v>41.35</v>
      </c>
      <c r="L201" s="26" t="n">
        <f aca="false">141.79</f>
        <v>141.79</v>
      </c>
      <c r="M201" s="25" t="n">
        <v>16</v>
      </c>
      <c r="N201" s="25" t="n">
        <v>28</v>
      </c>
      <c r="O201" s="25" t="n">
        <v>124</v>
      </c>
      <c r="P201" s="26" t="n">
        <f aca="false">25.74</f>
        <v>25.74</v>
      </c>
      <c r="Q201" s="26" t="n">
        <f aca="false">175.82</f>
        <v>175.82</v>
      </c>
      <c r="R201" s="25" t="n">
        <v>17.6</v>
      </c>
      <c r="S201" s="25" t="n">
        <v>22.2</v>
      </c>
      <c r="T201" s="25" t="n">
        <v>479</v>
      </c>
      <c r="U201" s="27" t="s">
        <v>29</v>
      </c>
      <c r="V201" s="21"/>
      <c r="W201" s="16"/>
      <c r="X201" s="16"/>
      <c r="Y201" s="16"/>
    </row>
    <row r="202" customFormat="false" ht="15.75" hidden="false" customHeight="true" outlineLevel="0" collapsed="false">
      <c r="A202" s="9" t="s">
        <v>43</v>
      </c>
      <c r="B202" s="10" t="s">
        <v>44</v>
      </c>
      <c r="C202" s="11" t="s">
        <v>100</v>
      </c>
      <c r="D202" s="10" t="s">
        <v>28</v>
      </c>
      <c r="E202" s="10" t="s">
        <v>28</v>
      </c>
      <c r="F202" s="10"/>
      <c r="G202" s="10" t="n">
        <v>0</v>
      </c>
      <c r="H202" s="10" t="n">
        <v>0</v>
      </c>
      <c r="I202" s="12" t="n">
        <v>1</v>
      </c>
      <c r="J202" s="12" t="s">
        <v>33</v>
      </c>
      <c r="K202" s="13" t="n">
        <f aca="false">37.25</f>
        <v>37.25</v>
      </c>
      <c r="L202" s="13" t="n">
        <f aca="false">131.33</f>
        <v>131.33</v>
      </c>
      <c r="M202" s="12" t="n">
        <v>12</v>
      </c>
      <c r="N202" s="12" t="n">
        <v>34</v>
      </c>
      <c r="O202" s="12" t="n">
        <v>102.8</v>
      </c>
      <c r="P202" s="13" t="n">
        <f aca="false">23.58</f>
        <v>23.58</v>
      </c>
      <c r="Q202" s="13" t="n">
        <f aca="false">145.14</f>
        <v>145.14</v>
      </c>
      <c r="R202" s="12" t="n">
        <v>12.4</v>
      </c>
      <c r="S202" s="12" t="n">
        <v>22.7</v>
      </c>
      <c r="T202" s="12" t="n">
        <v>406</v>
      </c>
      <c r="U202" s="14" t="s">
        <v>29</v>
      </c>
      <c r="V202" s="15"/>
      <c r="W202" s="16" t="str">
        <f aca="false">A202</f>
        <v>JB</v>
      </c>
      <c r="X202" s="17" t="e">
        <f aca="false">ifs(C202="","",X202="",NOW(),TRUE(),X202)</f>
        <v>#VALUE!</v>
      </c>
      <c r="Y202" s="17" t="e">
        <f aca="false">ifs(COUNTA(K202:U205)&lt;44,"",Y202="",NOW(),TRUE(),Y202)</f>
        <v>#VALUE!</v>
      </c>
    </row>
    <row r="203" customFormat="false" ht="15.75" hidden="false" customHeight="false" outlineLevel="0" collapsed="false">
      <c r="A203" s="9"/>
      <c r="B203" s="10"/>
      <c r="C203" s="10"/>
      <c r="D203" s="10"/>
      <c r="E203" s="10"/>
      <c r="F203" s="10"/>
      <c r="G203" s="10"/>
      <c r="H203" s="10"/>
      <c r="I203" s="18" t="n">
        <v>2</v>
      </c>
      <c r="J203" s="18" t="s">
        <v>46</v>
      </c>
      <c r="K203" s="19" t="n">
        <f aca="false">43.78</f>
        <v>43.78</v>
      </c>
      <c r="L203" s="19" t="n">
        <f aca="false">160.66</f>
        <v>160.66</v>
      </c>
      <c r="M203" s="18" t="n">
        <v>16</v>
      </c>
      <c r="N203" s="18" t="n">
        <v>40</v>
      </c>
      <c r="O203" s="18" t="n">
        <v>185.4</v>
      </c>
      <c r="P203" s="19" t="n">
        <f aca="false">26.58</f>
        <v>26.58</v>
      </c>
      <c r="Q203" s="19" t="n">
        <f aca="false">179.7</f>
        <v>179.7</v>
      </c>
      <c r="R203" s="18" t="n">
        <v>23.6</v>
      </c>
      <c r="S203" s="18" t="n">
        <v>26.4</v>
      </c>
      <c r="T203" s="18" t="n">
        <v>602</v>
      </c>
      <c r="U203" s="20" t="s">
        <v>29</v>
      </c>
      <c r="V203" s="21"/>
      <c r="W203" s="16"/>
      <c r="X203" s="16"/>
      <c r="Y203" s="16"/>
    </row>
    <row r="204" customFormat="false" ht="15.75" hidden="false" customHeight="false" outlineLevel="0" collapsed="false">
      <c r="A204" s="9"/>
      <c r="B204" s="10"/>
      <c r="C204" s="10"/>
      <c r="D204" s="10"/>
      <c r="E204" s="10"/>
      <c r="F204" s="10"/>
      <c r="G204" s="10"/>
      <c r="H204" s="10"/>
      <c r="I204" s="22" t="n">
        <v>3</v>
      </c>
      <c r="J204" s="22" t="s">
        <v>33</v>
      </c>
      <c r="K204" s="23" t="n">
        <f aca="false">40.97</f>
        <v>40.97</v>
      </c>
      <c r="L204" s="23" t="n">
        <f aca="false">154.58</f>
        <v>154.58</v>
      </c>
      <c r="M204" s="22" t="n">
        <v>16</v>
      </c>
      <c r="N204" s="22" t="n">
        <v>34</v>
      </c>
      <c r="O204" s="22" t="n">
        <v>145.7</v>
      </c>
      <c r="P204" s="23" t="n">
        <f aca="false">24.53</f>
        <v>24.53</v>
      </c>
      <c r="Q204" s="23" t="n">
        <f aca="false">166.54</f>
        <v>166.54</v>
      </c>
      <c r="R204" s="22" t="n">
        <v>18.5</v>
      </c>
      <c r="S204" s="22" t="n">
        <v>23.4</v>
      </c>
      <c r="T204" s="22" t="n">
        <v>554</v>
      </c>
      <c r="U204" s="24" t="s">
        <v>29</v>
      </c>
      <c r="V204" s="15"/>
      <c r="W204" s="16"/>
      <c r="X204" s="16"/>
      <c r="Y204" s="16"/>
    </row>
    <row r="205" customFormat="false" ht="15.75" hidden="false" customHeight="false" outlineLevel="0" collapsed="false">
      <c r="A205" s="9"/>
      <c r="B205" s="10"/>
      <c r="C205" s="10"/>
      <c r="D205" s="10"/>
      <c r="E205" s="10"/>
      <c r="F205" s="10"/>
      <c r="G205" s="10"/>
      <c r="H205" s="10"/>
      <c r="I205" s="25" t="n">
        <v>4</v>
      </c>
      <c r="J205" s="25" t="s">
        <v>49</v>
      </c>
      <c r="K205" s="26" t="n">
        <f aca="false">41.38</f>
        <v>41.38</v>
      </c>
      <c r="L205" s="26" t="n">
        <f aca="false">179.23</f>
        <v>179.23</v>
      </c>
      <c r="M205" s="25" t="n">
        <v>14</v>
      </c>
      <c r="N205" s="25" t="n">
        <v>44</v>
      </c>
      <c r="O205" s="25" t="n">
        <v>171.1</v>
      </c>
      <c r="P205" s="26" t="n">
        <f aca="false">24.56</f>
        <v>24.56</v>
      </c>
      <c r="Q205" s="26" t="n">
        <f aca="false">187.34</f>
        <v>187.34</v>
      </c>
      <c r="R205" s="25" t="n">
        <v>21.1</v>
      </c>
      <c r="S205" s="25" t="n">
        <v>25.7</v>
      </c>
      <c r="T205" s="25" t="n">
        <v>582</v>
      </c>
      <c r="U205" s="27" t="s">
        <v>29</v>
      </c>
      <c r="V205" s="21"/>
      <c r="W205" s="16"/>
      <c r="X205" s="16"/>
      <c r="Y205" s="16"/>
    </row>
    <row r="206" customFormat="false" ht="15.75" hidden="false" customHeight="true" outlineLevel="0" collapsed="false">
      <c r="A206" s="9" t="s">
        <v>43</v>
      </c>
      <c r="B206" s="10" t="s">
        <v>44</v>
      </c>
      <c r="C206" s="11" t="s">
        <v>101</v>
      </c>
      <c r="D206" s="10" t="s">
        <v>28</v>
      </c>
      <c r="E206" s="10" t="s">
        <v>28</v>
      </c>
      <c r="F206" s="10"/>
      <c r="G206" s="10" t="n">
        <v>6</v>
      </c>
      <c r="H206" s="10" t="n">
        <v>0.9</v>
      </c>
      <c r="I206" s="12" t="n">
        <v>1</v>
      </c>
      <c r="J206" s="12" t="s">
        <v>35</v>
      </c>
      <c r="K206" s="13" t="n">
        <f aca="false">37.16</f>
        <v>37.16</v>
      </c>
      <c r="L206" s="13" t="n">
        <f aca="false">85.7</f>
        <v>85.7</v>
      </c>
      <c r="M206" s="12" t="n">
        <v>12</v>
      </c>
      <c r="N206" s="12" t="n">
        <v>16</v>
      </c>
      <c r="O206" s="12" t="n">
        <v>49.2</v>
      </c>
      <c r="P206" s="13" t="n">
        <f aca="false">23.25</f>
        <v>23.25</v>
      </c>
      <c r="Q206" s="13" t="n">
        <f aca="false">115.39</f>
        <v>115.39</v>
      </c>
      <c r="R206" s="12" t="n">
        <v>9.9</v>
      </c>
      <c r="S206" s="12" t="n">
        <v>19.9</v>
      </c>
      <c r="T206" s="12" t="n">
        <v>207</v>
      </c>
      <c r="U206" s="14" t="s">
        <v>29</v>
      </c>
      <c r="V206" s="15"/>
      <c r="W206" s="16" t="str">
        <f aca="false">A206</f>
        <v>JB</v>
      </c>
      <c r="X206" s="17" t="e">
        <f aca="false">ifs(C206="","",X206="",NOW(),TRUE(),X206)</f>
        <v>#VALUE!</v>
      </c>
      <c r="Y206" s="17" t="e">
        <f aca="false">ifs(COUNTA(K206:U209)&lt;44,"",Y206="",NOW(),TRUE(),Y206)</f>
        <v>#VALUE!</v>
      </c>
    </row>
    <row r="207" customFormat="false" ht="15.75" hidden="false" customHeight="false" outlineLevel="0" collapsed="false">
      <c r="A207" s="9"/>
      <c r="B207" s="10"/>
      <c r="C207" s="10"/>
      <c r="D207" s="10"/>
      <c r="E207" s="10"/>
      <c r="F207" s="10"/>
      <c r="G207" s="10"/>
      <c r="H207" s="10"/>
      <c r="I207" s="18" t="n">
        <v>2</v>
      </c>
      <c r="J207" s="18" t="s">
        <v>35</v>
      </c>
      <c r="K207" s="19" t="n">
        <f aca="false">39.64</f>
        <v>39.64</v>
      </c>
      <c r="L207" s="19" t="n">
        <f aca="false">127.19</f>
        <v>127.19</v>
      </c>
      <c r="M207" s="18" t="n">
        <v>14</v>
      </c>
      <c r="N207" s="18" t="n">
        <v>32</v>
      </c>
      <c r="O207" s="18" t="n">
        <v>104.2</v>
      </c>
      <c r="P207" s="19" t="n">
        <f aca="false">25.07</f>
        <v>25.07</v>
      </c>
      <c r="Q207" s="19" t="n">
        <f aca="false">151.27</f>
        <v>151.27</v>
      </c>
      <c r="R207" s="18" t="n">
        <v>14</v>
      </c>
      <c r="S207" s="18" t="n">
        <v>21.9</v>
      </c>
      <c r="T207" s="18" t="n">
        <v>407</v>
      </c>
      <c r="U207" s="20" t="s">
        <v>29</v>
      </c>
      <c r="V207" s="21"/>
      <c r="W207" s="16"/>
      <c r="X207" s="16"/>
      <c r="Y207" s="16"/>
    </row>
    <row r="208" customFormat="false" ht="15.75" hidden="false" customHeight="false" outlineLevel="0" collapsed="false">
      <c r="A208" s="9"/>
      <c r="B208" s="10"/>
      <c r="C208" s="10"/>
      <c r="D208" s="10"/>
      <c r="E208" s="10"/>
      <c r="F208" s="10"/>
      <c r="G208" s="10"/>
      <c r="H208" s="10"/>
      <c r="I208" s="22" t="n">
        <v>3</v>
      </c>
      <c r="J208" s="22" t="s">
        <v>49</v>
      </c>
      <c r="K208" s="23" t="n">
        <f aca="false">37.39</f>
        <v>37.39</v>
      </c>
      <c r="L208" s="23" t="n">
        <f aca="false">89.95</f>
        <v>89.95</v>
      </c>
      <c r="M208" s="22" t="n">
        <v>12</v>
      </c>
      <c r="N208" s="22" t="n">
        <v>24</v>
      </c>
      <c r="O208" s="22" t="n">
        <v>67.1</v>
      </c>
      <c r="P208" s="23" t="n">
        <f aca="false">24.63</f>
        <v>24.63</v>
      </c>
      <c r="Q208" s="23" t="n">
        <f aca="false">123.84</f>
        <v>123.84</v>
      </c>
      <c r="R208" s="22" t="n">
        <v>10.7</v>
      </c>
      <c r="S208" s="22" t="n">
        <v>20.3</v>
      </c>
      <c r="T208" s="22" t="n">
        <v>279</v>
      </c>
      <c r="U208" s="24" t="s">
        <v>29</v>
      </c>
      <c r="V208" s="15"/>
      <c r="W208" s="16"/>
      <c r="X208" s="16"/>
      <c r="Y208" s="16"/>
    </row>
    <row r="209" customFormat="false" ht="15.75" hidden="false" customHeight="false" outlineLevel="0" collapsed="false">
      <c r="A209" s="9"/>
      <c r="B209" s="10"/>
      <c r="C209" s="10"/>
      <c r="D209" s="10"/>
      <c r="E209" s="10"/>
      <c r="F209" s="10"/>
      <c r="G209" s="10"/>
      <c r="H209" s="10"/>
      <c r="I209" s="25" t="n">
        <v>4</v>
      </c>
      <c r="J209" s="25" t="s">
        <v>35</v>
      </c>
      <c r="K209" s="26" t="n">
        <f aca="false">40.74</f>
        <v>40.74</v>
      </c>
      <c r="L209" s="26" t="n">
        <f aca="false">119.78</f>
        <v>119.78</v>
      </c>
      <c r="M209" s="25" t="n">
        <v>14</v>
      </c>
      <c r="N209" s="25" t="n">
        <v>30</v>
      </c>
      <c r="O209" s="25" t="n">
        <v>98.9</v>
      </c>
      <c r="P209" s="26" t="n">
        <f aca="false">23.85</f>
        <v>23.85</v>
      </c>
      <c r="Q209" s="26" t="n">
        <f aca="false">140.65</f>
        <v>140.65</v>
      </c>
      <c r="R209" s="25" t="n">
        <v>13.5</v>
      </c>
      <c r="S209" s="25" t="n">
        <v>20.5</v>
      </c>
      <c r="T209" s="25" t="n">
        <v>421</v>
      </c>
      <c r="U209" s="27" t="s">
        <v>97</v>
      </c>
      <c r="V209" s="21"/>
      <c r="W209" s="16"/>
      <c r="X209" s="16"/>
      <c r="Y209" s="16"/>
    </row>
    <row r="210" customFormat="false" ht="15.75" hidden="false" customHeight="true" outlineLevel="0" collapsed="false">
      <c r="A210" s="9" t="s">
        <v>43</v>
      </c>
      <c r="B210" s="10" t="s">
        <v>44</v>
      </c>
      <c r="C210" s="11" t="s">
        <v>102</v>
      </c>
      <c r="D210" s="10" t="s">
        <v>28</v>
      </c>
      <c r="E210" s="10" t="s">
        <v>28</v>
      </c>
      <c r="F210" s="10"/>
      <c r="G210" s="10" t="n">
        <v>11</v>
      </c>
      <c r="H210" s="10" t="n">
        <v>2</v>
      </c>
      <c r="I210" s="12" t="n">
        <v>1</v>
      </c>
      <c r="J210" s="12" t="s">
        <v>46</v>
      </c>
      <c r="K210" s="13" t="n">
        <f aca="false">40.34</f>
        <v>40.34</v>
      </c>
      <c r="L210" s="13" t="n">
        <f aca="false">110.72</f>
        <v>110.72</v>
      </c>
      <c r="M210" s="12" t="n">
        <v>16</v>
      </c>
      <c r="N210" s="12" t="n">
        <v>24</v>
      </c>
      <c r="O210" s="12" t="n">
        <v>84.3</v>
      </c>
      <c r="P210" s="13" t="n">
        <f aca="false">25.54</f>
        <v>25.54</v>
      </c>
      <c r="Q210" s="13" t="n">
        <f aca="false">128.8</f>
        <v>128.8</v>
      </c>
      <c r="R210" s="12" t="n">
        <v>14.2</v>
      </c>
      <c r="S210" s="12" t="n">
        <v>19</v>
      </c>
      <c r="T210" s="12" t="n">
        <v>365</v>
      </c>
      <c r="U210" s="14" t="s">
        <v>29</v>
      </c>
      <c r="V210" s="15"/>
      <c r="W210" s="16" t="str">
        <f aca="false">A210</f>
        <v>JB</v>
      </c>
      <c r="X210" s="17" t="e">
        <f aca="false">ifs(C210="","",X210="",NOW(),TRUE(),X210)</f>
        <v>#VALUE!</v>
      </c>
      <c r="Y210" s="17" t="e">
        <f aca="false">ifs(COUNTA(K210:U213)&lt;44,"",Y210="",NOW(),TRUE(),Y210)</f>
        <v>#VALUE!</v>
      </c>
    </row>
    <row r="211" customFormat="false" ht="15.75" hidden="false" customHeight="false" outlineLevel="0" collapsed="false">
      <c r="A211" s="9"/>
      <c r="B211" s="10"/>
      <c r="C211" s="10"/>
      <c r="D211" s="10"/>
      <c r="E211" s="10"/>
      <c r="F211" s="10"/>
      <c r="G211" s="10"/>
      <c r="H211" s="10"/>
      <c r="I211" s="18" t="n">
        <v>2</v>
      </c>
      <c r="J211" s="18" t="s">
        <v>103</v>
      </c>
      <c r="K211" s="19" t="n">
        <f aca="false">37.79</f>
        <v>37.79</v>
      </c>
      <c r="L211" s="19" t="n">
        <f aca="false">107.34</f>
        <v>107.34</v>
      </c>
      <c r="M211" s="18" t="n">
        <v>12</v>
      </c>
      <c r="N211" s="18" t="n">
        <v>28</v>
      </c>
      <c r="O211" s="18" t="n">
        <v>71</v>
      </c>
      <c r="P211" s="19" t="n">
        <f aca="false">24.8</f>
        <v>24.8</v>
      </c>
      <c r="Q211" s="19" t="n">
        <f aca="false">125.57</f>
        <v>125.57</v>
      </c>
      <c r="R211" s="18" t="n">
        <v>14.2</v>
      </c>
      <c r="S211" s="18" t="n">
        <v>20.8</v>
      </c>
      <c r="T211" s="18" t="n">
        <v>272</v>
      </c>
      <c r="U211" s="20" t="s">
        <v>58</v>
      </c>
      <c r="V211" s="21"/>
      <c r="W211" s="16"/>
      <c r="X211" s="16"/>
      <c r="Y211" s="16"/>
    </row>
    <row r="212" customFormat="false" ht="15.75" hidden="false" customHeight="false" outlineLevel="0" collapsed="false">
      <c r="A212" s="9"/>
      <c r="B212" s="10"/>
      <c r="C212" s="10"/>
      <c r="D212" s="10"/>
      <c r="E212" s="10"/>
      <c r="F212" s="10"/>
      <c r="G212" s="10"/>
      <c r="H212" s="10"/>
      <c r="I212" s="22" t="n">
        <v>3</v>
      </c>
      <c r="J212" s="22" t="s">
        <v>104</v>
      </c>
      <c r="K212" s="23" t="n">
        <f aca="false">42.42</f>
        <v>42.42</v>
      </c>
      <c r="L212" s="23" t="n">
        <f aca="false">153</f>
        <v>153</v>
      </c>
      <c r="M212" s="22" t="n">
        <v>14</v>
      </c>
      <c r="N212" s="22" t="n">
        <v>40</v>
      </c>
      <c r="O212" s="22" t="n">
        <v>135.2</v>
      </c>
      <c r="P212" s="23" t="n">
        <f aca="false">27.33</f>
        <v>27.33</v>
      </c>
      <c r="Q212" s="23" t="n">
        <f aca="false">166.38</f>
        <v>166.38</v>
      </c>
      <c r="R212" s="22" t="n">
        <v>24.3</v>
      </c>
      <c r="S212" s="22" t="n">
        <v>21.2</v>
      </c>
      <c r="T212" s="22" t="n">
        <v>514</v>
      </c>
      <c r="U212" s="24" t="s">
        <v>29</v>
      </c>
      <c r="V212" s="15"/>
      <c r="W212" s="16"/>
      <c r="X212" s="16"/>
      <c r="Y212" s="16"/>
    </row>
    <row r="213" customFormat="false" ht="15.75" hidden="false" customHeight="false" outlineLevel="0" collapsed="false">
      <c r="A213" s="9"/>
      <c r="B213" s="10"/>
      <c r="C213" s="10"/>
      <c r="D213" s="10"/>
      <c r="E213" s="10"/>
      <c r="F213" s="10"/>
      <c r="G213" s="10"/>
      <c r="H213" s="10"/>
      <c r="I213" s="25" t="n">
        <v>4</v>
      </c>
      <c r="J213" s="25" t="s">
        <v>33</v>
      </c>
      <c r="K213" s="26" t="n">
        <f aca="false">37.84</f>
        <v>37.84</v>
      </c>
      <c r="L213" s="26" t="n">
        <f aca="false">100.26</f>
        <v>100.26</v>
      </c>
      <c r="M213" s="25" t="n">
        <v>10</v>
      </c>
      <c r="N213" s="25" t="n">
        <v>26</v>
      </c>
      <c r="O213" s="25" t="n">
        <v>69.8</v>
      </c>
      <c r="P213" s="26" t="n">
        <f aca="false">22.9</f>
        <v>22.9</v>
      </c>
      <c r="Q213" s="26" t="n">
        <f aca="false">130.09</f>
        <v>130.09</v>
      </c>
      <c r="R213" s="25" t="n">
        <v>12.2</v>
      </c>
      <c r="S213" s="25" t="n">
        <v>22.5</v>
      </c>
      <c r="T213" s="25" t="n">
        <v>241</v>
      </c>
      <c r="U213" s="27" t="s">
        <v>29</v>
      </c>
      <c r="V213" s="21"/>
      <c r="W213" s="16"/>
      <c r="X213" s="16"/>
      <c r="Y213" s="16"/>
    </row>
    <row r="214" customFormat="false" ht="15.75" hidden="false" customHeight="true" outlineLevel="0" collapsed="false">
      <c r="A214" s="9" t="s">
        <v>43</v>
      </c>
      <c r="B214" s="10" t="s">
        <v>44</v>
      </c>
      <c r="C214" s="11" t="s">
        <v>105</v>
      </c>
      <c r="D214" s="10" t="s">
        <v>28</v>
      </c>
      <c r="E214" s="10" t="s">
        <v>28</v>
      </c>
      <c r="F214" s="10"/>
      <c r="G214" s="10" t="n">
        <v>14</v>
      </c>
      <c r="H214" s="10" t="n">
        <v>2.8</v>
      </c>
      <c r="I214" s="12" t="n">
        <v>1</v>
      </c>
      <c r="J214" s="12" t="s">
        <v>106</v>
      </c>
      <c r="K214" s="13" t="n">
        <f aca="false">37.4</f>
        <v>37.4</v>
      </c>
      <c r="L214" s="13" t="n">
        <f aca="false">96.78</f>
        <v>96.78</v>
      </c>
      <c r="M214" s="12" t="n">
        <v>12</v>
      </c>
      <c r="N214" s="12" t="n">
        <v>22</v>
      </c>
      <c r="O214" s="12" t="n">
        <v>50.5</v>
      </c>
      <c r="P214" s="13" t="n">
        <f aca="false">22.41</f>
        <v>22.41</v>
      </c>
      <c r="Q214" s="13" t="n">
        <f aca="false">107.75</f>
        <v>107.75</v>
      </c>
      <c r="R214" s="12" t="n">
        <v>8</v>
      </c>
      <c r="S214" s="12" t="n">
        <v>24.4</v>
      </c>
      <c r="T214" s="12" t="n">
        <v>177</v>
      </c>
      <c r="U214" s="14" t="s">
        <v>29</v>
      </c>
      <c r="V214" s="15"/>
      <c r="W214" s="16" t="str">
        <f aca="false">A214</f>
        <v>JB</v>
      </c>
      <c r="X214" s="17" t="e">
        <f aca="false">ifs(C214="","",X214="",NOW(),TRUE(),X214)</f>
        <v>#VALUE!</v>
      </c>
      <c r="Y214" s="17" t="e">
        <f aca="false">ifs(COUNTA(K214:U217)&lt;44,"",Y214="",NOW(),TRUE(),Y214)</f>
        <v>#VALUE!</v>
      </c>
    </row>
    <row r="215" customFormat="false" ht="15.75" hidden="false" customHeight="false" outlineLevel="0" collapsed="false">
      <c r="A215" s="9"/>
      <c r="B215" s="10"/>
      <c r="C215" s="10"/>
      <c r="D215" s="10"/>
      <c r="E215" s="10"/>
      <c r="F215" s="10"/>
      <c r="G215" s="10"/>
      <c r="H215" s="10"/>
      <c r="I215" s="18" t="n">
        <v>2</v>
      </c>
      <c r="J215" s="18" t="s">
        <v>106</v>
      </c>
      <c r="K215" s="19" t="n">
        <f aca="false">42.91</f>
        <v>42.91</v>
      </c>
      <c r="L215" s="19" t="n">
        <f aca="false">125.24</f>
        <v>125.24</v>
      </c>
      <c r="M215" s="18" t="n">
        <v>10</v>
      </c>
      <c r="N215" s="18" t="n">
        <v>28</v>
      </c>
      <c r="O215" s="18" t="n">
        <v>95.8</v>
      </c>
      <c r="P215" s="19" t="n">
        <f aca="false">26.78</f>
        <v>26.78</v>
      </c>
      <c r="Q215" s="19" t="n">
        <f aca="false">135.55</f>
        <v>135.55</v>
      </c>
      <c r="R215" s="18" t="n">
        <v>15.4</v>
      </c>
      <c r="S215" s="18" t="n">
        <v>26.8</v>
      </c>
      <c r="T215" s="18" t="n">
        <v>297</v>
      </c>
      <c r="U215" s="20" t="s">
        <v>29</v>
      </c>
      <c r="V215" s="21"/>
      <c r="W215" s="16"/>
      <c r="X215" s="16"/>
      <c r="Y215" s="16"/>
    </row>
    <row r="216" customFormat="false" ht="15.75" hidden="false" customHeight="false" outlineLevel="0" collapsed="false">
      <c r="A216" s="9"/>
      <c r="B216" s="10"/>
      <c r="C216" s="10"/>
      <c r="D216" s="10"/>
      <c r="E216" s="10"/>
      <c r="F216" s="10"/>
      <c r="G216" s="10"/>
      <c r="H216" s="10"/>
      <c r="I216" s="22" t="n">
        <v>3</v>
      </c>
      <c r="J216" s="22" t="s">
        <v>35</v>
      </c>
      <c r="K216" s="23" t="n">
        <f aca="false">45.76</f>
        <v>45.76</v>
      </c>
      <c r="L216" s="23" t="n">
        <f aca="false">163.77</f>
        <v>163.77</v>
      </c>
      <c r="M216" s="22" t="n">
        <v>14</v>
      </c>
      <c r="N216" s="22" t="n">
        <v>40</v>
      </c>
      <c r="O216" s="22" t="n">
        <v>151.1</v>
      </c>
      <c r="P216" s="23" t="n">
        <f aca="false">26.49</f>
        <v>26.49</v>
      </c>
      <c r="Q216" s="23" t="n">
        <f aca="false">174.61</f>
        <v>174.61</v>
      </c>
      <c r="R216" s="22" t="n">
        <v>21.4</v>
      </c>
      <c r="S216" s="22" t="n">
        <v>23.3</v>
      </c>
      <c r="T216" s="22" t="n">
        <v>543</v>
      </c>
      <c r="U216" s="24" t="s">
        <v>29</v>
      </c>
      <c r="V216" s="15"/>
      <c r="W216" s="16"/>
      <c r="X216" s="16"/>
      <c r="Y216" s="16"/>
    </row>
    <row r="217" customFormat="false" ht="15.75" hidden="false" customHeight="false" outlineLevel="0" collapsed="false">
      <c r="A217" s="9"/>
      <c r="B217" s="10"/>
      <c r="C217" s="10"/>
      <c r="D217" s="10"/>
      <c r="E217" s="10"/>
      <c r="F217" s="10"/>
      <c r="G217" s="10"/>
      <c r="H217" s="10"/>
      <c r="I217" s="25" t="n">
        <v>4</v>
      </c>
      <c r="J217" s="25" t="s">
        <v>106</v>
      </c>
      <c r="K217" s="26" t="n">
        <f aca="false">38.54</f>
        <v>38.54</v>
      </c>
      <c r="L217" s="26" t="n">
        <f aca="false">116.52</f>
        <v>116.52</v>
      </c>
      <c r="M217" s="25" t="n">
        <v>12</v>
      </c>
      <c r="N217" s="25" t="n">
        <v>34</v>
      </c>
      <c r="O217" s="25" t="n">
        <v>66</v>
      </c>
      <c r="P217" s="26" t="n">
        <f aca="false">24.74</f>
        <v>24.74</v>
      </c>
      <c r="Q217" s="26" t="n">
        <f aca="false">131.84</f>
        <v>131.84</v>
      </c>
      <c r="R217" s="25" t="n">
        <v>14.6</v>
      </c>
      <c r="S217" s="25" t="n">
        <v>18.5</v>
      </c>
      <c r="T217" s="25" t="n">
        <v>275</v>
      </c>
      <c r="U217" s="27" t="s">
        <v>29</v>
      </c>
      <c r="V217" s="21"/>
      <c r="W217" s="16"/>
      <c r="X217" s="16"/>
      <c r="Y217" s="16"/>
    </row>
    <row r="218" customFormat="false" ht="15.75" hidden="false" customHeight="true" outlineLevel="0" collapsed="false">
      <c r="A218" s="9" t="s">
        <v>43</v>
      </c>
      <c r="B218" s="10" t="s">
        <v>44</v>
      </c>
      <c r="C218" s="11" t="s">
        <v>107</v>
      </c>
      <c r="D218" s="10" t="s">
        <v>28</v>
      </c>
      <c r="E218" s="10" t="s">
        <v>28</v>
      </c>
      <c r="F218" s="10"/>
      <c r="G218" s="10" t="n">
        <v>11</v>
      </c>
      <c r="H218" s="10" t="n">
        <v>2.5</v>
      </c>
      <c r="I218" s="12" t="n">
        <v>1</v>
      </c>
      <c r="J218" s="12" t="s">
        <v>35</v>
      </c>
      <c r="K218" s="13" t="n">
        <f aca="false">44</f>
        <v>44</v>
      </c>
      <c r="L218" s="13" t="n">
        <f aca="false">162.07</f>
        <v>162.07</v>
      </c>
      <c r="M218" s="12" t="n">
        <v>16</v>
      </c>
      <c r="N218" s="12" t="n">
        <v>42</v>
      </c>
      <c r="O218" s="12" t="n">
        <v>159.4</v>
      </c>
      <c r="P218" s="13" t="n">
        <f aca="false">30.68</f>
        <v>30.68</v>
      </c>
      <c r="Q218" s="13" t="n">
        <f aca="false">168.85</f>
        <v>168.85</v>
      </c>
      <c r="R218" s="12" t="n">
        <v>30.4</v>
      </c>
      <c r="S218" s="12" t="n">
        <v>19.9</v>
      </c>
      <c r="T218" s="12" t="n">
        <v>662</v>
      </c>
      <c r="U218" s="14" t="s">
        <v>29</v>
      </c>
      <c r="V218" s="15"/>
      <c r="W218" s="16" t="str">
        <f aca="false">A218</f>
        <v>JB</v>
      </c>
      <c r="X218" s="17" t="e">
        <f aca="false">ifs(C218="","",X218="",NOW(),TRUE(),X218)</f>
        <v>#VALUE!</v>
      </c>
      <c r="Y218" s="17" t="e">
        <f aca="false">ifs(COUNTA(K218:U221)&lt;44,"",Y218="",NOW(),TRUE(),Y218)</f>
        <v>#VALUE!</v>
      </c>
    </row>
    <row r="219" customFormat="false" ht="15.75" hidden="false" customHeight="false" outlineLevel="0" collapsed="false">
      <c r="A219" s="9"/>
      <c r="B219" s="10"/>
      <c r="C219" s="10"/>
      <c r="D219" s="10"/>
      <c r="E219" s="10"/>
      <c r="F219" s="10"/>
      <c r="G219" s="10"/>
      <c r="H219" s="10"/>
      <c r="I219" s="18" t="n">
        <v>2</v>
      </c>
      <c r="J219" s="18" t="s">
        <v>47</v>
      </c>
      <c r="K219" s="19" t="n">
        <f aca="false">44.44</f>
        <v>44.44</v>
      </c>
      <c r="L219" s="19" t="n">
        <f aca="false">158.31</f>
        <v>158.31</v>
      </c>
      <c r="M219" s="18" t="n">
        <v>18</v>
      </c>
      <c r="N219" s="18" t="n">
        <v>40</v>
      </c>
      <c r="O219" s="18" t="n">
        <v>164.1</v>
      </c>
      <c r="P219" s="19" t="n">
        <f aca="false">29.82</f>
        <v>29.82</v>
      </c>
      <c r="Q219" s="19" t="n">
        <f aca="false">168.87</f>
        <v>168.87</v>
      </c>
      <c r="R219" s="18" t="n">
        <v>30.1</v>
      </c>
      <c r="S219" s="18" t="n">
        <v>20.4</v>
      </c>
      <c r="T219" s="18" t="n">
        <v>649</v>
      </c>
      <c r="U219" s="20" t="s">
        <v>29</v>
      </c>
      <c r="V219" s="21"/>
      <c r="W219" s="16"/>
      <c r="X219" s="16"/>
      <c r="Y219" s="16"/>
    </row>
    <row r="220" customFormat="false" ht="15.75" hidden="false" customHeight="false" outlineLevel="0" collapsed="false">
      <c r="A220" s="9"/>
      <c r="B220" s="10"/>
      <c r="C220" s="10"/>
      <c r="D220" s="10"/>
      <c r="E220" s="10"/>
      <c r="F220" s="10"/>
      <c r="G220" s="10"/>
      <c r="H220" s="10"/>
      <c r="I220" s="22" t="n">
        <v>3</v>
      </c>
      <c r="J220" s="22" t="s">
        <v>46</v>
      </c>
      <c r="K220" s="23" t="n">
        <f aca="false">45.12</f>
        <v>45.12</v>
      </c>
      <c r="L220" s="23" t="n">
        <f aca="false">148.81</f>
        <v>148.81</v>
      </c>
      <c r="M220" s="22" t="n">
        <v>18</v>
      </c>
      <c r="N220" s="22" t="n">
        <v>38</v>
      </c>
      <c r="O220" s="22" t="n">
        <v>147.1</v>
      </c>
      <c r="P220" s="23" t="n">
        <f aca="false">29.04</f>
        <v>29.04</v>
      </c>
      <c r="Q220" s="23" t="n">
        <f aca="false">156.31</f>
        <v>156.31</v>
      </c>
      <c r="R220" s="22" t="n">
        <v>24.3</v>
      </c>
      <c r="S220" s="22" t="n">
        <v>21</v>
      </c>
      <c r="T220" s="22" t="n">
        <v>595</v>
      </c>
      <c r="U220" s="24" t="s">
        <v>29</v>
      </c>
      <c r="V220" s="15"/>
      <c r="W220" s="16"/>
      <c r="X220" s="16"/>
      <c r="Y220" s="16"/>
    </row>
    <row r="221" customFormat="false" ht="15.75" hidden="false" customHeight="false" outlineLevel="0" collapsed="false">
      <c r="A221" s="9"/>
      <c r="B221" s="10"/>
      <c r="C221" s="10"/>
      <c r="D221" s="10"/>
      <c r="E221" s="10"/>
      <c r="F221" s="10"/>
      <c r="G221" s="10"/>
      <c r="H221" s="10"/>
      <c r="I221" s="25" t="n">
        <v>4</v>
      </c>
      <c r="J221" s="25" t="s">
        <v>50</v>
      </c>
      <c r="K221" s="26" t="n">
        <f aca="false">45.86</f>
        <v>45.86</v>
      </c>
      <c r="L221" s="26" t="n">
        <f aca="false">161.13</f>
        <v>161.13</v>
      </c>
      <c r="M221" s="25" t="n">
        <v>18</v>
      </c>
      <c r="N221" s="25" t="n">
        <v>38</v>
      </c>
      <c r="O221" s="25" t="n">
        <v>167.4</v>
      </c>
      <c r="P221" s="26" t="n">
        <f aca="false">29.19</f>
        <v>29.19</v>
      </c>
      <c r="Q221" s="26" t="n">
        <f aca="false">171.76</f>
        <v>171.76</v>
      </c>
      <c r="R221" s="25" t="n">
        <v>29.4</v>
      </c>
      <c r="S221" s="25" t="n">
        <v>19.7</v>
      </c>
      <c r="T221" s="25" t="n">
        <v>683</v>
      </c>
      <c r="U221" s="27" t="s">
        <v>29</v>
      </c>
      <c r="V221" s="21"/>
      <c r="W221" s="16"/>
      <c r="X221" s="16"/>
      <c r="Y221" s="16"/>
    </row>
    <row r="222" customFormat="false" ht="15.75" hidden="false" customHeight="true" outlineLevel="0" collapsed="false">
      <c r="A222" s="9" t="s">
        <v>43</v>
      </c>
      <c r="B222" s="10" t="s">
        <v>44</v>
      </c>
      <c r="C222" s="11" t="s">
        <v>108</v>
      </c>
      <c r="D222" s="10" t="s">
        <v>28</v>
      </c>
      <c r="E222" s="10" t="s">
        <v>28</v>
      </c>
      <c r="F222" s="10"/>
      <c r="G222" s="10" t="n">
        <v>12</v>
      </c>
      <c r="H222" s="10" t="n">
        <v>1.9</v>
      </c>
      <c r="I222" s="12" t="n">
        <v>1</v>
      </c>
      <c r="J222" s="12" t="s">
        <v>50</v>
      </c>
      <c r="K222" s="13" t="n">
        <f aca="false">35.7</f>
        <v>35.7</v>
      </c>
      <c r="L222" s="13" t="n">
        <f aca="false">98.76</f>
        <v>98.76</v>
      </c>
      <c r="M222" s="12" t="n">
        <v>12</v>
      </c>
      <c r="N222" s="12" t="n">
        <v>24</v>
      </c>
      <c r="O222" s="12" t="n">
        <v>63.6</v>
      </c>
      <c r="P222" s="13" t="n">
        <f aca="false">23.24</f>
        <v>23.24</v>
      </c>
      <c r="Q222" s="13" t="n">
        <f aca="false">117.02</f>
        <v>117.02</v>
      </c>
      <c r="R222" s="12" t="n">
        <v>8.8</v>
      </c>
      <c r="S222" s="12" t="n">
        <v>19.4</v>
      </c>
      <c r="T222" s="12" t="n">
        <v>290</v>
      </c>
      <c r="U222" s="14" t="s">
        <v>29</v>
      </c>
      <c r="V222" s="15"/>
      <c r="W222" s="16" t="str">
        <f aca="false">A222</f>
        <v>JB</v>
      </c>
      <c r="X222" s="17" t="e">
        <f aca="false">ifs(C222="","",X222="",NOW(),TRUE(),X222)</f>
        <v>#VALUE!</v>
      </c>
      <c r="Y222" s="17" t="e">
        <f aca="false">ifs(COUNTA(K222:U225)&lt;44,"",Y222="",NOW(),TRUE(),Y222)</f>
        <v>#VALUE!</v>
      </c>
    </row>
    <row r="223" customFormat="false" ht="15.75" hidden="false" customHeight="false" outlineLevel="0" collapsed="false">
      <c r="A223" s="9"/>
      <c r="B223" s="10"/>
      <c r="C223" s="10"/>
      <c r="D223" s="10"/>
      <c r="E223" s="10"/>
      <c r="F223" s="10"/>
      <c r="G223" s="10"/>
      <c r="H223" s="10"/>
      <c r="I223" s="18" t="n">
        <v>2</v>
      </c>
      <c r="J223" s="18" t="s">
        <v>33</v>
      </c>
      <c r="K223" s="19" t="n">
        <f aca="false">36.63</f>
        <v>36.63</v>
      </c>
      <c r="L223" s="19" t="n">
        <f aca="false">106.25</f>
        <v>106.25</v>
      </c>
      <c r="M223" s="18" t="n">
        <v>16</v>
      </c>
      <c r="N223" s="18" t="n">
        <v>26</v>
      </c>
      <c r="O223" s="18" t="n">
        <v>62.9</v>
      </c>
      <c r="P223" s="19" t="n">
        <f aca="false">25.52</f>
        <v>25.52</v>
      </c>
      <c r="Q223" s="19" t="n">
        <f aca="false">122.73</f>
        <v>122.73</v>
      </c>
      <c r="R223" s="18" t="n">
        <v>9.6</v>
      </c>
      <c r="S223" s="18" t="n">
        <v>15.9</v>
      </c>
      <c r="T223" s="18" t="n">
        <v>343</v>
      </c>
      <c r="U223" s="20" t="s">
        <v>29</v>
      </c>
      <c r="V223" s="21"/>
      <c r="W223" s="16"/>
      <c r="X223" s="16"/>
      <c r="Y223" s="16"/>
    </row>
    <row r="224" customFormat="false" ht="15.75" hidden="false" customHeight="false" outlineLevel="0" collapsed="false">
      <c r="A224" s="9"/>
      <c r="B224" s="10"/>
      <c r="C224" s="10"/>
      <c r="D224" s="10"/>
      <c r="E224" s="10"/>
      <c r="F224" s="10"/>
      <c r="G224" s="10"/>
      <c r="H224" s="10"/>
      <c r="I224" s="22" t="n">
        <v>3</v>
      </c>
      <c r="J224" s="22" t="s">
        <v>57</v>
      </c>
      <c r="K224" s="23" t="n">
        <f aca="false">34.84</f>
        <v>34.84</v>
      </c>
      <c r="L224" s="23" t="n">
        <f aca="false">106.02</f>
        <v>106.02</v>
      </c>
      <c r="M224" s="22" t="n">
        <v>14</v>
      </c>
      <c r="N224" s="22" t="n">
        <v>30</v>
      </c>
      <c r="O224" s="22" t="n">
        <v>68.3</v>
      </c>
      <c r="P224" s="23" t="n">
        <f aca="false">27.41</f>
        <v>27.41</v>
      </c>
      <c r="Q224" s="23" t="n">
        <f aca="false">126.2</f>
        <v>126.2</v>
      </c>
      <c r="R224" s="22" t="n">
        <v>10.1</v>
      </c>
      <c r="S224" s="22" t="n">
        <v>16.9</v>
      </c>
      <c r="T224" s="22" t="n">
        <v>350</v>
      </c>
      <c r="U224" s="24" t="s">
        <v>58</v>
      </c>
      <c r="V224" s="15"/>
      <c r="W224" s="16"/>
      <c r="X224" s="16"/>
      <c r="Y224" s="16"/>
    </row>
    <row r="225" customFormat="false" ht="15.75" hidden="false" customHeight="false" outlineLevel="0" collapsed="false">
      <c r="A225" s="9"/>
      <c r="B225" s="10"/>
      <c r="C225" s="10"/>
      <c r="D225" s="10"/>
      <c r="E225" s="10"/>
      <c r="F225" s="10"/>
      <c r="G225" s="10"/>
      <c r="H225" s="10"/>
      <c r="I225" s="25" t="n">
        <v>4</v>
      </c>
      <c r="J225" s="25" t="s">
        <v>57</v>
      </c>
      <c r="K225" s="26" t="n">
        <f aca="false">36.65</f>
        <v>36.65</v>
      </c>
      <c r="L225" s="26" t="n">
        <f aca="false">87.97</f>
        <v>87.97</v>
      </c>
      <c r="M225" s="25" t="n">
        <v>14</v>
      </c>
      <c r="N225" s="25" t="n">
        <v>18</v>
      </c>
      <c r="O225" s="25" t="n">
        <v>51.5</v>
      </c>
      <c r="P225" s="26" t="n">
        <f aca="false">22.11</f>
        <v>22.11</v>
      </c>
      <c r="Q225" s="26" t="n">
        <f aca="false">98.71</f>
        <v>98.71</v>
      </c>
      <c r="R225" s="25" t="n">
        <v>6.2</v>
      </c>
      <c r="S225" s="25" t="n">
        <v>18.6</v>
      </c>
      <c r="T225" s="25" t="n">
        <v>248</v>
      </c>
      <c r="U225" s="27" t="s">
        <v>29</v>
      </c>
      <c r="V225" s="21"/>
      <c r="W225" s="16"/>
      <c r="X225" s="16"/>
      <c r="Y225" s="16"/>
    </row>
    <row r="226" customFormat="false" ht="15.75" hidden="false" customHeight="true" outlineLevel="0" collapsed="false">
      <c r="A226" s="9" t="s">
        <v>43</v>
      </c>
      <c r="B226" s="10" t="s">
        <v>44</v>
      </c>
      <c r="C226" s="11" t="s">
        <v>109</v>
      </c>
      <c r="D226" s="10" t="s">
        <v>28</v>
      </c>
      <c r="E226" s="10" t="s">
        <v>28</v>
      </c>
      <c r="F226" s="10"/>
      <c r="G226" s="10" t="n">
        <v>19</v>
      </c>
      <c r="H226" s="10" t="n">
        <v>2.8</v>
      </c>
      <c r="I226" s="12" t="n">
        <v>1</v>
      </c>
      <c r="J226" s="12" t="s">
        <v>50</v>
      </c>
      <c r="K226" s="13" t="n">
        <f aca="false">41.18</f>
        <v>41.18</v>
      </c>
      <c r="L226" s="13" t="n">
        <f aca="false">108.77</f>
        <v>108.77</v>
      </c>
      <c r="M226" s="12" t="n">
        <v>14</v>
      </c>
      <c r="N226" s="12" t="n">
        <v>28</v>
      </c>
      <c r="O226" s="12" t="n">
        <v>82.1</v>
      </c>
      <c r="P226" s="13" t="n">
        <f aca="false">24.94</f>
        <v>24.94</v>
      </c>
      <c r="Q226" s="13" t="n">
        <f aca="false">140.11</f>
        <v>140.11</v>
      </c>
      <c r="R226" s="12" t="n">
        <v>13.8</v>
      </c>
      <c r="S226" s="12" t="n">
        <v>21.6</v>
      </c>
      <c r="T226" s="12" t="n">
        <v>320</v>
      </c>
      <c r="U226" s="14" t="s">
        <v>29</v>
      </c>
      <c r="V226" s="15"/>
      <c r="W226" s="16" t="str">
        <f aca="false">A226</f>
        <v>JB</v>
      </c>
      <c r="X226" s="17" t="e">
        <f aca="false">ifs(C226="","",X226="",NOW(),TRUE(),X226)</f>
        <v>#VALUE!</v>
      </c>
      <c r="Y226" s="17" t="e">
        <f aca="false">ifs(COUNTA(K226:U229)&lt;44,"",Y226="",NOW(),TRUE(),Y226)</f>
        <v>#VALUE!</v>
      </c>
    </row>
    <row r="227" customFormat="false" ht="15.75" hidden="false" customHeight="false" outlineLevel="0" collapsed="false">
      <c r="A227" s="9"/>
      <c r="B227" s="10"/>
      <c r="C227" s="10"/>
      <c r="D227" s="10"/>
      <c r="E227" s="10"/>
      <c r="F227" s="10"/>
      <c r="G227" s="10"/>
      <c r="H227" s="10"/>
      <c r="I227" s="18" t="n">
        <v>2</v>
      </c>
      <c r="J227" s="18" t="s">
        <v>35</v>
      </c>
      <c r="K227" s="19" t="n">
        <f aca="false">39.8</f>
        <v>39.8</v>
      </c>
      <c r="L227" s="19" t="n">
        <f aca="false">95.7</f>
        <v>95.7</v>
      </c>
      <c r="M227" s="18" t="n">
        <v>12</v>
      </c>
      <c r="N227" s="18" t="n">
        <v>22</v>
      </c>
      <c r="O227" s="18" t="n">
        <v>71.4</v>
      </c>
      <c r="P227" s="19" t="n">
        <f aca="false">25.71</f>
        <v>25.71</v>
      </c>
      <c r="Q227" s="19" t="n">
        <f aca="false">122.72</f>
        <v>122.72</v>
      </c>
      <c r="R227" s="18" t="n">
        <v>12.5</v>
      </c>
      <c r="S227" s="18" t="n">
        <v>23</v>
      </c>
      <c r="T227" s="18" t="n">
        <v>259</v>
      </c>
      <c r="U227" s="20" t="s">
        <v>29</v>
      </c>
      <c r="V227" s="21"/>
      <c r="W227" s="16"/>
      <c r="X227" s="16"/>
      <c r="Y227" s="16"/>
    </row>
    <row r="228" customFormat="false" ht="15.75" hidden="false" customHeight="false" outlineLevel="0" collapsed="false">
      <c r="A228" s="9"/>
      <c r="B228" s="10"/>
      <c r="C228" s="10"/>
      <c r="D228" s="10"/>
      <c r="E228" s="10"/>
      <c r="F228" s="10"/>
      <c r="G228" s="10"/>
      <c r="H228" s="10"/>
      <c r="I228" s="22" t="n">
        <v>3</v>
      </c>
      <c r="J228" s="22" t="s">
        <v>50</v>
      </c>
      <c r="K228" s="23" t="n">
        <f aca="false">43.44</f>
        <v>43.44</v>
      </c>
      <c r="L228" s="23" t="n">
        <f aca="false">123.49</f>
        <v>123.49</v>
      </c>
      <c r="M228" s="22" t="n">
        <v>14</v>
      </c>
      <c r="N228" s="22" t="n">
        <v>34</v>
      </c>
      <c r="O228" s="22" t="n">
        <v>111.1</v>
      </c>
      <c r="P228" s="23" t="n">
        <f aca="false">26.44</f>
        <v>26.44</v>
      </c>
      <c r="Q228" s="23" t="n">
        <f aca="false">153.96</f>
        <v>153.96</v>
      </c>
      <c r="R228" s="22" t="n">
        <v>19.4</v>
      </c>
      <c r="S228" s="22" t="n">
        <v>21</v>
      </c>
      <c r="T228" s="22" t="n">
        <v>426</v>
      </c>
      <c r="U228" s="24" t="s">
        <v>29</v>
      </c>
      <c r="V228" s="15"/>
      <c r="W228" s="16"/>
      <c r="X228" s="16"/>
      <c r="Y228" s="16"/>
    </row>
    <row r="229" customFormat="false" ht="15.75" hidden="false" customHeight="false" outlineLevel="0" collapsed="false">
      <c r="A229" s="9"/>
      <c r="B229" s="10"/>
      <c r="C229" s="10"/>
      <c r="D229" s="10"/>
      <c r="E229" s="10"/>
      <c r="F229" s="10"/>
      <c r="G229" s="10"/>
      <c r="H229" s="10"/>
      <c r="I229" s="25" t="n">
        <v>4</v>
      </c>
      <c r="J229" s="25" t="s">
        <v>49</v>
      </c>
      <c r="K229" s="26" t="n">
        <f aca="false">39.29</f>
        <v>39.29</v>
      </c>
      <c r="L229" s="26" t="n">
        <f aca="false">100.8</f>
        <v>100.8</v>
      </c>
      <c r="M229" s="25" t="n">
        <v>16</v>
      </c>
      <c r="N229" s="25" t="n">
        <v>30</v>
      </c>
      <c r="O229" s="25" t="n">
        <v>62.5</v>
      </c>
      <c r="P229" s="26" t="n">
        <f aca="false">24.72</f>
        <v>24.72</v>
      </c>
      <c r="Q229" s="26" t="n">
        <f aca="false">128.89</f>
        <v>128.89</v>
      </c>
      <c r="R229" s="25" t="n">
        <v>12.9</v>
      </c>
      <c r="S229" s="25" t="n">
        <v>18.2</v>
      </c>
      <c r="T229" s="25" t="n">
        <v>272</v>
      </c>
      <c r="U229" s="27" t="s">
        <v>29</v>
      </c>
      <c r="V229" s="21"/>
      <c r="W229" s="16"/>
      <c r="X229" s="16"/>
      <c r="Y229" s="16"/>
    </row>
    <row r="230" customFormat="false" ht="15.75" hidden="false" customHeight="true" outlineLevel="0" collapsed="false">
      <c r="A230" s="9" t="s">
        <v>43</v>
      </c>
      <c r="B230" s="10" t="s">
        <v>44</v>
      </c>
      <c r="C230" s="11" t="s">
        <v>110</v>
      </c>
      <c r="D230" s="10" t="s">
        <v>28</v>
      </c>
      <c r="E230" s="10" t="s">
        <v>28</v>
      </c>
      <c r="F230" s="10"/>
      <c r="G230" s="10" t="n">
        <v>6</v>
      </c>
      <c r="H230" s="10" t="n">
        <v>1.7</v>
      </c>
      <c r="I230" s="12" t="n">
        <v>1</v>
      </c>
      <c r="J230" s="12" t="s">
        <v>111</v>
      </c>
      <c r="K230" s="13" t="n">
        <f aca="false">43.12</f>
        <v>43.12</v>
      </c>
      <c r="L230" s="13" t="n">
        <f aca="false">137.76</f>
        <v>137.76</v>
      </c>
      <c r="M230" s="12" t="n">
        <v>14</v>
      </c>
      <c r="N230" s="12" t="n">
        <v>38</v>
      </c>
      <c r="O230" s="12" t="n">
        <v>114.7</v>
      </c>
      <c r="P230" s="13" t="n">
        <f aca="false">29.62</f>
        <v>29.62</v>
      </c>
      <c r="Q230" s="13" t="n">
        <f aca="false">140.97</f>
        <v>140.97</v>
      </c>
      <c r="R230" s="12" t="n">
        <v>16.6</v>
      </c>
      <c r="S230" s="12" t="n">
        <v>25.3</v>
      </c>
      <c r="T230" s="12" t="n">
        <v>397</v>
      </c>
      <c r="U230" s="14" t="s">
        <v>58</v>
      </c>
      <c r="V230" s="15"/>
      <c r="W230" s="16" t="str">
        <f aca="false">A230</f>
        <v>JB</v>
      </c>
      <c r="X230" s="17" t="e">
        <f aca="false">ifs(C230="","",X230="",NOW(),TRUE(),X230)</f>
        <v>#VALUE!</v>
      </c>
      <c r="Y230" s="17" t="e">
        <f aca="false">ifs(COUNTA(K230:U233)&lt;44,"",Y230="",NOW(),TRUE(),Y230)</f>
        <v>#VALUE!</v>
      </c>
    </row>
    <row r="231" customFormat="false" ht="15.75" hidden="false" customHeight="false" outlineLevel="0" collapsed="false">
      <c r="A231" s="9"/>
      <c r="B231" s="10"/>
      <c r="C231" s="10"/>
      <c r="D231" s="10"/>
      <c r="E231" s="10"/>
      <c r="F231" s="10"/>
      <c r="G231" s="10"/>
      <c r="H231" s="10"/>
      <c r="I231" s="18" t="n">
        <v>2</v>
      </c>
      <c r="J231" s="18" t="s">
        <v>35</v>
      </c>
      <c r="K231" s="19" t="n">
        <f aca="false">42.64</f>
        <v>42.64</v>
      </c>
      <c r="L231" s="19" t="n">
        <f aca="false">123.66</f>
        <v>123.66</v>
      </c>
      <c r="M231" s="18" t="n">
        <v>12</v>
      </c>
      <c r="N231" s="18" t="n">
        <v>36</v>
      </c>
      <c r="O231" s="18" t="n">
        <v>94.9</v>
      </c>
      <c r="P231" s="19" t="n">
        <f aca="false">28.45</f>
        <v>28.45</v>
      </c>
      <c r="Q231" s="19" t="n">
        <f aca="false">125.67</f>
        <v>125.67</v>
      </c>
      <c r="R231" s="18" t="n">
        <v>17.8</v>
      </c>
      <c r="S231" s="18" t="n">
        <v>25.3</v>
      </c>
      <c r="T231" s="18" t="n">
        <v>307</v>
      </c>
      <c r="U231" s="20" t="s">
        <v>58</v>
      </c>
      <c r="V231" s="21"/>
      <c r="W231" s="16"/>
      <c r="X231" s="16"/>
      <c r="Y231" s="16"/>
    </row>
    <row r="232" customFormat="false" ht="15.75" hidden="false" customHeight="false" outlineLevel="0" collapsed="false">
      <c r="A232" s="9"/>
      <c r="B232" s="10"/>
      <c r="C232" s="10"/>
      <c r="D232" s="10"/>
      <c r="E232" s="10"/>
      <c r="F232" s="10"/>
      <c r="G232" s="10"/>
      <c r="H232" s="10"/>
      <c r="I232" s="22" t="n">
        <v>3</v>
      </c>
      <c r="J232" s="22" t="s">
        <v>33</v>
      </c>
      <c r="K232" s="23" t="n">
        <f aca="false">44.28</f>
        <v>44.28</v>
      </c>
      <c r="L232" s="23" t="n">
        <f aca="false">131.44</f>
        <v>131.44</v>
      </c>
      <c r="M232" s="22" t="n">
        <v>12</v>
      </c>
      <c r="N232" s="22" t="n">
        <v>38</v>
      </c>
      <c r="O232" s="22" t="n">
        <v>132.7</v>
      </c>
      <c r="P232" s="23" t="n">
        <f aca="false">27.55</f>
        <v>27.55</v>
      </c>
      <c r="Q232" s="23" t="n">
        <f aca="false">141.84</f>
        <v>141.84</v>
      </c>
      <c r="R232" s="22" t="n">
        <v>22.7</v>
      </c>
      <c r="S232" s="22" t="n">
        <v>27.1</v>
      </c>
      <c r="T232" s="22" t="n">
        <v>407</v>
      </c>
      <c r="U232" s="24" t="s">
        <v>58</v>
      </c>
      <c r="V232" s="15"/>
      <c r="W232" s="16"/>
      <c r="X232" s="16"/>
      <c r="Y232" s="16"/>
    </row>
    <row r="233" customFormat="false" ht="15.75" hidden="false" customHeight="false" outlineLevel="0" collapsed="false">
      <c r="A233" s="9"/>
      <c r="B233" s="10"/>
      <c r="C233" s="10"/>
      <c r="D233" s="10"/>
      <c r="E233" s="10"/>
      <c r="F233" s="10"/>
      <c r="G233" s="10"/>
      <c r="H233" s="10"/>
      <c r="I233" s="25" t="n">
        <v>4</v>
      </c>
      <c r="J233" s="25" t="s">
        <v>33</v>
      </c>
      <c r="K233" s="26" t="n">
        <f aca="false">45.13</f>
        <v>45.13</v>
      </c>
      <c r="L233" s="26" t="n">
        <f aca="false">138.74</f>
        <v>138.74</v>
      </c>
      <c r="M233" s="25" t="n">
        <v>16</v>
      </c>
      <c r="N233" s="25" t="n">
        <v>36</v>
      </c>
      <c r="O233" s="25" t="n">
        <v>134.8</v>
      </c>
      <c r="P233" s="26" t="n">
        <f aca="false">27.07</f>
        <v>27.07</v>
      </c>
      <c r="Q233" s="26" t="n">
        <f aca="false">157.76</f>
        <v>157.76</v>
      </c>
      <c r="R233" s="25" t="n">
        <v>21</v>
      </c>
      <c r="S233" s="25" t="n">
        <v>25.9</v>
      </c>
      <c r="T233" s="25" t="n">
        <v>451</v>
      </c>
      <c r="U233" s="27" t="s">
        <v>58</v>
      </c>
      <c r="V233" s="21"/>
      <c r="W233" s="16"/>
      <c r="X233" s="16"/>
      <c r="Y233" s="16"/>
    </row>
    <row r="234" customFormat="false" ht="15.75" hidden="false" customHeight="true" outlineLevel="0" collapsed="false">
      <c r="A234" s="9" t="s">
        <v>43</v>
      </c>
      <c r="B234" s="10" t="s">
        <v>44</v>
      </c>
      <c r="C234" s="11" t="s">
        <v>112</v>
      </c>
      <c r="D234" s="10" t="s">
        <v>28</v>
      </c>
      <c r="E234" s="10" t="s">
        <v>28</v>
      </c>
      <c r="F234" s="10"/>
      <c r="G234" s="10" t="n">
        <v>36</v>
      </c>
      <c r="H234" s="10" t="n">
        <v>8.8</v>
      </c>
      <c r="I234" s="12" t="n">
        <v>1</v>
      </c>
      <c r="J234" s="12" t="s">
        <v>49</v>
      </c>
      <c r="K234" s="13" t="n">
        <f aca="false">46.23</f>
        <v>46.23</v>
      </c>
      <c r="L234" s="13" t="n">
        <f aca="false">153.46</f>
        <v>153.46</v>
      </c>
      <c r="M234" s="12" t="n">
        <v>16</v>
      </c>
      <c r="N234" s="12" t="n">
        <v>34</v>
      </c>
      <c r="O234" s="12" t="n">
        <v>155.7</v>
      </c>
      <c r="P234" s="13" t="n">
        <f aca="false">28.99</f>
        <v>28.99</v>
      </c>
      <c r="Q234" s="13" t="n">
        <f aca="false">168.32</f>
        <v>168.32</v>
      </c>
      <c r="R234" s="12" t="n">
        <v>20.3</v>
      </c>
      <c r="S234" s="12" t="n">
        <v>25.5</v>
      </c>
      <c r="T234" s="12" t="n">
        <v>527</v>
      </c>
      <c r="U234" s="14" t="s">
        <v>58</v>
      </c>
      <c r="V234" s="15"/>
      <c r="W234" s="16" t="str">
        <f aca="false">A234</f>
        <v>JB</v>
      </c>
      <c r="X234" s="17" t="e">
        <f aca="false">ifs(C234="","",X234="",NOW(),TRUE(),X234)</f>
        <v>#VALUE!</v>
      </c>
      <c r="Y234" s="17" t="e">
        <f aca="false">ifs(COUNTA(K234:U237)&lt;44,"",Y234="",NOW(),TRUE(),Y234)</f>
        <v>#VALUE!</v>
      </c>
    </row>
    <row r="235" customFormat="false" ht="15.75" hidden="false" customHeight="false" outlineLevel="0" collapsed="false">
      <c r="A235" s="9"/>
      <c r="B235" s="10"/>
      <c r="C235" s="10"/>
      <c r="D235" s="10"/>
      <c r="E235" s="10"/>
      <c r="F235" s="10"/>
      <c r="G235" s="10"/>
      <c r="H235" s="10"/>
      <c r="I235" s="18" t="n">
        <v>2</v>
      </c>
      <c r="J235" s="18" t="s">
        <v>49</v>
      </c>
      <c r="K235" s="19" t="n">
        <f aca="false">40.75</f>
        <v>40.75</v>
      </c>
      <c r="L235" s="19" t="n">
        <f aca="false">127.41</f>
        <v>127.41</v>
      </c>
      <c r="M235" s="18" t="n">
        <v>14</v>
      </c>
      <c r="N235" s="18" t="n">
        <v>30</v>
      </c>
      <c r="O235" s="18" t="n">
        <v>106.8</v>
      </c>
      <c r="P235" s="19" t="n">
        <f aca="false">28.17</f>
        <v>28.17</v>
      </c>
      <c r="Q235" s="19" t="n">
        <f aca="false">143.22</f>
        <v>143.22</v>
      </c>
      <c r="R235" s="18" t="n">
        <v>13.1</v>
      </c>
      <c r="S235" s="18" t="n">
        <v>22.8</v>
      </c>
      <c r="T235" s="18" t="n">
        <v>401</v>
      </c>
      <c r="U235" s="20" t="s">
        <v>58</v>
      </c>
      <c r="V235" s="21"/>
      <c r="W235" s="16"/>
      <c r="X235" s="16"/>
      <c r="Y235" s="16"/>
    </row>
    <row r="236" customFormat="false" ht="15.75" hidden="false" customHeight="false" outlineLevel="0" collapsed="false">
      <c r="A236" s="9"/>
      <c r="B236" s="10"/>
      <c r="C236" s="10"/>
      <c r="D236" s="10"/>
      <c r="E236" s="10"/>
      <c r="F236" s="10"/>
      <c r="G236" s="10"/>
      <c r="H236" s="10"/>
      <c r="I236" s="22" t="n">
        <v>3</v>
      </c>
      <c r="J236" s="22" t="s">
        <v>33</v>
      </c>
      <c r="K236" s="23" t="n">
        <f aca="false">42.88</f>
        <v>42.88</v>
      </c>
      <c r="L236" s="23" t="n">
        <f aca="false">135.47</f>
        <v>135.47</v>
      </c>
      <c r="M236" s="22" t="n">
        <v>14</v>
      </c>
      <c r="N236" s="22" t="n">
        <v>34</v>
      </c>
      <c r="O236" s="22" t="n">
        <v>141.3</v>
      </c>
      <c r="P236" s="23" t="n">
        <f aca="false">25.29</f>
        <v>25.29</v>
      </c>
      <c r="Q236" s="23" t="n">
        <f aca="false">153.86</f>
        <v>153.86</v>
      </c>
      <c r="R236" s="22" t="n">
        <v>15.4</v>
      </c>
      <c r="S236" s="22" t="n">
        <v>27.7</v>
      </c>
      <c r="T236" s="22" t="n">
        <v>445</v>
      </c>
      <c r="U236" s="24" t="s">
        <v>58</v>
      </c>
      <c r="V236" s="15"/>
      <c r="W236" s="16"/>
      <c r="X236" s="16"/>
      <c r="Y236" s="16"/>
    </row>
    <row r="237" customFormat="false" ht="15.75" hidden="false" customHeight="false" outlineLevel="0" collapsed="false">
      <c r="A237" s="9"/>
      <c r="B237" s="10"/>
      <c r="C237" s="10"/>
      <c r="D237" s="10"/>
      <c r="E237" s="10"/>
      <c r="F237" s="10"/>
      <c r="G237" s="10"/>
      <c r="H237" s="10"/>
      <c r="I237" s="25" t="n">
        <v>4</v>
      </c>
      <c r="J237" s="25" t="s">
        <v>33</v>
      </c>
      <c r="K237" s="26" t="n">
        <f aca="false">42.73</f>
        <v>42.73</v>
      </c>
      <c r="L237" s="26" t="n">
        <f aca="false">117.77</f>
        <v>117.77</v>
      </c>
      <c r="M237" s="25" t="n">
        <v>16</v>
      </c>
      <c r="N237" s="25" t="n">
        <v>26</v>
      </c>
      <c r="O237" s="25" t="n">
        <v>91.7</v>
      </c>
      <c r="P237" s="26" t="n">
        <f aca="false">26.74</f>
        <v>26.74</v>
      </c>
      <c r="Q237" s="26" t="n">
        <f aca="false">119.94</f>
        <v>119.94</v>
      </c>
      <c r="R237" s="25" t="n">
        <v>10.6</v>
      </c>
      <c r="S237" s="25" t="n">
        <v>30.7</v>
      </c>
      <c r="T237" s="25" t="n">
        <v>171</v>
      </c>
      <c r="U237" s="27" t="s">
        <v>58</v>
      </c>
      <c r="V237" s="21"/>
      <c r="W237" s="16"/>
      <c r="X237" s="16"/>
      <c r="Y237" s="16"/>
    </row>
    <row r="238" customFormat="false" ht="15.75" hidden="false" customHeight="true" outlineLevel="0" collapsed="false">
      <c r="A238" s="9" t="s">
        <v>25</v>
      </c>
      <c r="B238" s="10" t="s">
        <v>26</v>
      </c>
      <c r="C238" s="11" t="s">
        <v>113</v>
      </c>
      <c r="D238" s="10" t="s">
        <v>28</v>
      </c>
      <c r="E238" s="10" t="s">
        <v>28</v>
      </c>
      <c r="F238" s="10"/>
      <c r="G238" s="10" t="n">
        <v>9</v>
      </c>
      <c r="H238" s="10" t="n">
        <v>2.1</v>
      </c>
      <c r="I238" s="12" t="n">
        <v>1</v>
      </c>
      <c r="J238" s="12"/>
      <c r="K238" s="13" t="n">
        <f aca="false">44.51</f>
        <v>44.51</v>
      </c>
      <c r="L238" s="13" t="n">
        <f aca="false">163.35</f>
        <v>163.35</v>
      </c>
      <c r="M238" s="12" t="n">
        <v>12</v>
      </c>
      <c r="N238" s="12" t="n">
        <v>40</v>
      </c>
      <c r="O238" s="12" t="n">
        <v>167.45</v>
      </c>
      <c r="P238" s="13" t="n">
        <f aca="false">25.94</f>
        <v>25.94</v>
      </c>
      <c r="Q238" s="13" t="n">
        <f aca="false">184.44</f>
        <v>184.44</v>
      </c>
      <c r="R238" s="12" t="n">
        <v>20.55</v>
      </c>
      <c r="S238" s="12" t="n">
        <v>29.6</v>
      </c>
      <c r="T238" s="12" t="n">
        <v>472</v>
      </c>
      <c r="U238" s="14" t="s">
        <v>29</v>
      </c>
      <c r="V238" s="15"/>
      <c r="W238" s="16" t="str">
        <f aca="false">A238</f>
        <v>KL</v>
      </c>
      <c r="X238" s="17" t="e">
        <f aca="false">ifs(C238="","",X238="",NOW(),TRUE(),X238)</f>
        <v>#VALUE!</v>
      </c>
      <c r="Y238" s="17" t="e">
        <f aca="false">ifs(COUNTA(K238:U241)&lt;44,"",Y238="",NOW(),TRUE(),Y238)</f>
        <v>#VALUE!</v>
      </c>
    </row>
    <row r="239" customFormat="false" ht="15.75" hidden="false" customHeight="false" outlineLevel="0" collapsed="false">
      <c r="A239" s="9"/>
      <c r="B239" s="10"/>
      <c r="C239" s="10"/>
      <c r="D239" s="10"/>
      <c r="E239" s="10"/>
      <c r="F239" s="10"/>
      <c r="G239" s="10"/>
      <c r="H239" s="10"/>
      <c r="I239" s="18" t="n">
        <v>2</v>
      </c>
      <c r="J239" s="18"/>
      <c r="K239" s="19" t="n">
        <f aca="false">44.5</f>
        <v>44.5</v>
      </c>
      <c r="L239" s="19" t="n">
        <f aca="false">137.61</f>
        <v>137.61</v>
      </c>
      <c r="M239" s="18" t="n">
        <v>12</v>
      </c>
      <c r="N239" s="18" t="n">
        <v>32</v>
      </c>
      <c r="O239" s="18" t="n">
        <v>150.7</v>
      </c>
      <c r="P239" s="19" t="n">
        <f aca="false">25.98</f>
        <v>25.98</v>
      </c>
      <c r="Q239" s="19" t="n">
        <f aca="false">162.46</f>
        <v>162.46</v>
      </c>
      <c r="R239" s="18" t="n">
        <v>16.85</v>
      </c>
      <c r="S239" s="18" t="n">
        <v>33.9</v>
      </c>
      <c r="T239" s="18" t="n">
        <v>409</v>
      </c>
      <c r="U239" s="20" t="s">
        <v>29</v>
      </c>
      <c r="V239" s="21"/>
      <c r="W239" s="16"/>
      <c r="X239" s="16"/>
      <c r="Y239" s="16"/>
    </row>
    <row r="240" customFormat="false" ht="15.75" hidden="false" customHeight="false" outlineLevel="0" collapsed="false">
      <c r="A240" s="9"/>
      <c r="B240" s="10"/>
      <c r="C240" s="10"/>
      <c r="D240" s="10"/>
      <c r="E240" s="10"/>
      <c r="F240" s="10"/>
      <c r="G240" s="10"/>
      <c r="H240" s="10"/>
      <c r="I240" s="22" t="n">
        <v>3</v>
      </c>
      <c r="J240" s="22"/>
      <c r="K240" s="23" t="n">
        <f aca="false">46.34</f>
        <v>46.34</v>
      </c>
      <c r="L240" s="23" t="n">
        <f aca="false">133.17</f>
        <v>133.17</v>
      </c>
      <c r="M240" s="22" t="n">
        <v>14</v>
      </c>
      <c r="N240" s="22" t="n">
        <v>34</v>
      </c>
      <c r="O240" s="22" t="n">
        <v>155.45</v>
      </c>
      <c r="P240" s="23" t="n">
        <f aca="false">25.2</f>
        <v>25.2</v>
      </c>
      <c r="Q240" s="23" t="n">
        <f aca="false">160.11</f>
        <v>160.11</v>
      </c>
      <c r="R240" s="22" t="n">
        <v>17.45</v>
      </c>
      <c r="S240" s="22" t="n">
        <v>30.9</v>
      </c>
      <c r="T240" s="22" t="n">
        <v>449</v>
      </c>
      <c r="U240" s="24" t="s">
        <v>29</v>
      </c>
      <c r="V240" s="15"/>
      <c r="W240" s="16"/>
      <c r="X240" s="16"/>
      <c r="Y240" s="16"/>
    </row>
    <row r="241" customFormat="false" ht="15.75" hidden="false" customHeight="false" outlineLevel="0" collapsed="false">
      <c r="A241" s="9"/>
      <c r="B241" s="10"/>
      <c r="C241" s="10"/>
      <c r="D241" s="10"/>
      <c r="E241" s="10"/>
      <c r="F241" s="10"/>
      <c r="G241" s="10"/>
      <c r="H241" s="10"/>
      <c r="I241" s="25" t="n">
        <v>4</v>
      </c>
      <c r="J241" s="25"/>
      <c r="K241" s="26" t="n">
        <f aca="false">42.35</f>
        <v>42.35</v>
      </c>
      <c r="L241" s="26" t="n">
        <f aca="false">119.15</f>
        <v>119.15</v>
      </c>
      <c r="M241" s="25" t="n">
        <v>12</v>
      </c>
      <c r="N241" s="25" t="n">
        <v>30</v>
      </c>
      <c r="O241" s="25" t="n">
        <v>122.05</v>
      </c>
      <c r="P241" s="26" t="n">
        <f aca="false">23.38</f>
        <v>23.38</v>
      </c>
      <c r="Q241" s="26" t="n">
        <f aca="false">143.09</f>
        <v>143.09</v>
      </c>
      <c r="R241" s="25" t="n">
        <v>15.75</v>
      </c>
      <c r="S241" s="25" t="n">
        <v>30.4</v>
      </c>
      <c r="T241" s="25" t="n">
        <v>358</v>
      </c>
      <c r="U241" s="27" t="s">
        <v>29</v>
      </c>
      <c r="V241" s="21"/>
      <c r="W241" s="16"/>
      <c r="X241" s="16"/>
      <c r="Y241" s="16"/>
    </row>
    <row r="242" customFormat="false" ht="15.75" hidden="false" customHeight="true" outlineLevel="0" collapsed="false">
      <c r="A242" s="9" t="s">
        <v>25</v>
      </c>
      <c r="B242" s="10" t="s">
        <v>26</v>
      </c>
      <c r="C242" s="11" t="s">
        <v>114</v>
      </c>
      <c r="D242" s="10" t="s">
        <v>28</v>
      </c>
      <c r="E242" s="10" t="s">
        <v>28</v>
      </c>
      <c r="F242" s="10"/>
      <c r="G242" s="10" t="n">
        <v>7</v>
      </c>
      <c r="H242" s="10" t="n">
        <v>1.65</v>
      </c>
      <c r="I242" s="12" t="n">
        <v>1</v>
      </c>
      <c r="J242" s="12"/>
      <c r="K242" s="13" t="n">
        <f aca="false">46.09</f>
        <v>46.09</v>
      </c>
      <c r="L242" s="13" t="n">
        <f aca="false">168.47</f>
        <v>168.47</v>
      </c>
      <c r="M242" s="12" t="n">
        <v>16</v>
      </c>
      <c r="N242" s="12" t="n">
        <v>38</v>
      </c>
      <c r="O242" s="12" t="n">
        <v>185.5</v>
      </c>
      <c r="P242" s="13" t="n">
        <f aca="false">28.45</f>
        <v>28.45</v>
      </c>
      <c r="Q242" s="13" t="n">
        <f aca="false">170.57</f>
        <v>170.57</v>
      </c>
      <c r="R242" s="12" t="n">
        <v>19.15</v>
      </c>
      <c r="S242" s="12" t="n">
        <v>27.6</v>
      </c>
      <c r="T242" s="12" t="n">
        <v>625</v>
      </c>
      <c r="U242" s="14" t="s">
        <v>29</v>
      </c>
      <c r="V242" s="15"/>
      <c r="W242" s="16" t="str">
        <f aca="false">A242</f>
        <v>KL</v>
      </c>
      <c r="X242" s="17" t="e">
        <f aca="false">ifs(C242="","",X242="",NOW(),TRUE(),X242)</f>
        <v>#VALUE!</v>
      </c>
      <c r="Y242" s="17" t="e">
        <f aca="false">ifs(COUNTA(K242:U245)&lt;44,"",Y242="",NOW(),TRUE(),Y242)</f>
        <v>#VALUE!</v>
      </c>
    </row>
    <row r="243" customFormat="false" ht="15.75" hidden="false" customHeight="false" outlineLevel="0" collapsed="false">
      <c r="A243" s="9"/>
      <c r="B243" s="10"/>
      <c r="C243" s="10"/>
      <c r="D243" s="10"/>
      <c r="E243" s="10"/>
      <c r="F243" s="10"/>
      <c r="G243" s="10"/>
      <c r="H243" s="10"/>
      <c r="I243" s="18" t="n">
        <v>2</v>
      </c>
      <c r="J243" s="18"/>
      <c r="K243" s="19" t="n">
        <f aca="false">45.58</f>
        <v>45.58</v>
      </c>
      <c r="L243" s="19" t="n">
        <f aca="false">135.25</f>
        <v>135.25</v>
      </c>
      <c r="M243" s="18" t="n">
        <v>16</v>
      </c>
      <c r="N243" s="18" t="n">
        <v>30</v>
      </c>
      <c r="O243" s="18" t="n">
        <v>135.35</v>
      </c>
      <c r="P243" s="19" t="n">
        <f aca="false">25.15</f>
        <v>25.15</v>
      </c>
      <c r="Q243" s="19" t="n">
        <f aca="false">142.97</f>
        <v>142.97</v>
      </c>
      <c r="R243" s="18" t="n">
        <v>13.45</v>
      </c>
      <c r="S243" s="18" t="n">
        <v>26.05</v>
      </c>
      <c r="T243" s="18" t="n">
        <v>478</v>
      </c>
      <c r="U243" s="20" t="s">
        <v>29</v>
      </c>
      <c r="V243" s="21"/>
      <c r="W243" s="16"/>
      <c r="X243" s="16"/>
      <c r="Y243" s="16"/>
    </row>
    <row r="244" customFormat="false" ht="15.75" hidden="false" customHeight="false" outlineLevel="0" collapsed="false">
      <c r="A244" s="9"/>
      <c r="B244" s="10"/>
      <c r="C244" s="10"/>
      <c r="D244" s="10"/>
      <c r="E244" s="10"/>
      <c r="F244" s="10"/>
      <c r="G244" s="10"/>
      <c r="H244" s="10"/>
      <c r="I244" s="22" t="n">
        <v>3</v>
      </c>
      <c r="J244" s="22"/>
      <c r="K244" s="23" t="n">
        <f aca="false">44.91</f>
        <v>44.91</v>
      </c>
      <c r="L244" s="23" t="n">
        <f aca="false">113.03</f>
        <v>113.03</v>
      </c>
      <c r="M244" s="22" t="n">
        <v>16</v>
      </c>
      <c r="N244" s="22" t="n">
        <v>24</v>
      </c>
      <c r="O244" s="22" t="n">
        <v>108</v>
      </c>
      <c r="P244" s="23" t="n">
        <f aca="false">25.87</f>
        <v>25.87</v>
      </c>
      <c r="Q244" s="23" t="n">
        <f aca="false">129.01</f>
        <v>129.01</v>
      </c>
      <c r="R244" s="22" t="n">
        <v>11.3</v>
      </c>
      <c r="S244" s="22" t="n">
        <v>25.55</v>
      </c>
      <c r="T244" s="22" t="n">
        <v>398</v>
      </c>
      <c r="U244" s="24" t="s">
        <v>29</v>
      </c>
      <c r="V244" s="15"/>
      <c r="W244" s="16"/>
      <c r="X244" s="16"/>
      <c r="Y244" s="16"/>
    </row>
    <row r="245" customFormat="false" ht="15.75" hidden="false" customHeight="false" outlineLevel="0" collapsed="false">
      <c r="A245" s="9"/>
      <c r="B245" s="10"/>
      <c r="C245" s="10"/>
      <c r="D245" s="10"/>
      <c r="E245" s="10"/>
      <c r="F245" s="10"/>
      <c r="G245" s="10"/>
      <c r="H245" s="10"/>
      <c r="I245" s="25" t="n">
        <v>4</v>
      </c>
      <c r="J245" s="25"/>
      <c r="K245" s="26" t="n">
        <f aca="false">43.05</f>
        <v>43.05</v>
      </c>
      <c r="L245" s="26" t="n">
        <f aca="false">105.95</f>
        <v>105.95</v>
      </c>
      <c r="M245" s="25" t="n">
        <v>16</v>
      </c>
      <c r="N245" s="25" t="n">
        <v>26</v>
      </c>
      <c r="O245" s="25" t="n">
        <v>101.4</v>
      </c>
      <c r="P245" s="26" t="n">
        <f aca="false">24.98</f>
        <v>24.98</v>
      </c>
      <c r="Q245" s="26" t="n">
        <f aca="false">127.67</f>
        <v>127.67</v>
      </c>
      <c r="R245" s="25" t="n">
        <v>10.6</v>
      </c>
      <c r="S245" s="25" t="n">
        <v>24.05</v>
      </c>
      <c r="T245" s="25" t="n">
        <v>397</v>
      </c>
      <c r="U245" s="27" t="s">
        <v>29</v>
      </c>
      <c r="V245" s="21"/>
      <c r="W245" s="16"/>
      <c r="X245" s="16"/>
      <c r="Y245" s="16"/>
    </row>
    <row r="246" customFormat="false" ht="15.75" hidden="false" customHeight="true" outlineLevel="0" collapsed="false">
      <c r="A246" s="9" t="s">
        <v>25</v>
      </c>
      <c r="B246" s="10" t="s">
        <v>26</v>
      </c>
      <c r="C246" s="11" t="s">
        <v>115</v>
      </c>
      <c r="D246" s="10" t="s">
        <v>28</v>
      </c>
      <c r="E246" s="10" t="s">
        <v>28</v>
      </c>
      <c r="F246" s="10"/>
      <c r="G246" s="10" t="n">
        <v>14</v>
      </c>
      <c r="H246" s="10" t="n">
        <v>3.6</v>
      </c>
      <c r="I246" s="12" t="n">
        <v>1</v>
      </c>
      <c r="J246" s="12" t="s">
        <v>47</v>
      </c>
      <c r="K246" s="13" t="n">
        <f aca="false">49.62</f>
        <v>49.62</v>
      </c>
      <c r="L246" s="13" t="n">
        <f aca="false">163.57</f>
        <v>163.57</v>
      </c>
      <c r="M246" s="12" t="n">
        <v>18</v>
      </c>
      <c r="N246" s="12" t="n">
        <v>40</v>
      </c>
      <c r="O246" s="12" t="n">
        <v>206.35</v>
      </c>
      <c r="P246" s="13" t="n">
        <f aca="false">30.47</f>
        <v>30.47</v>
      </c>
      <c r="Q246" s="13" t="n">
        <f aca="false">178.66</f>
        <v>178.66</v>
      </c>
      <c r="R246" s="12" t="n">
        <v>32.8</v>
      </c>
      <c r="S246" s="12" t="n">
        <v>24.15</v>
      </c>
      <c r="T246" s="12" t="n">
        <v>708</v>
      </c>
      <c r="U246" s="14" t="s">
        <v>29</v>
      </c>
      <c r="V246" s="15"/>
      <c r="W246" s="16" t="str">
        <f aca="false">A246</f>
        <v>KL</v>
      </c>
      <c r="X246" s="17" t="e">
        <f aca="false">ifs(C246="","",X246="",NOW(),TRUE(),X246)</f>
        <v>#VALUE!</v>
      </c>
      <c r="Y246" s="17" t="e">
        <f aca="false">ifs(COUNTA(K246:U249)&lt;44,"",Y246="",NOW(),TRUE(),Y246)</f>
        <v>#VALUE!</v>
      </c>
    </row>
    <row r="247" customFormat="false" ht="15.75" hidden="false" customHeight="false" outlineLevel="0" collapsed="false">
      <c r="A247" s="9"/>
      <c r="B247" s="10"/>
      <c r="C247" s="10"/>
      <c r="D247" s="10"/>
      <c r="E247" s="10"/>
      <c r="F247" s="10"/>
      <c r="G247" s="10"/>
      <c r="H247" s="10"/>
      <c r="I247" s="18" t="n">
        <v>2</v>
      </c>
      <c r="J247" s="18" t="s">
        <v>47</v>
      </c>
      <c r="K247" s="19" t="n">
        <f aca="false">47.84</f>
        <v>47.84</v>
      </c>
      <c r="L247" s="19" t="n">
        <f aca="false">129.83</f>
        <v>129.83</v>
      </c>
      <c r="M247" s="18" t="n">
        <v>18</v>
      </c>
      <c r="N247" s="18" t="n">
        <v>30</v>
      </c>
      <c r="O247" s="18" t="n">
        <v>143.35</v>
      </c>
      <c r="P247" s="19" t="n">
        <f aca="false">29.25</f>
        <v>29.25</v>
      </c>
      <c r="Q247" s="19" t="n">
        <f aca="false">150.81</f>
        <v>150.81</v>
      </c>
      <c r="R247" s="18" t="n">
        <v>21.9</v>
      </c>
      <c r="S247" s="18" t="n">
        <v>24.25</v>
      </c>
      <c r="T247" s="18" t="n">
        <v>529</v>
      </c>
      <c r="U247" s="20" t="s">
        <v>29</v>
      </c>
      <c r="V247" s="21"/>
      <c r="W247" s="16"/>
      <c r="X247" s="16"/>
      <c r="Y247" s="16"/>
    </row>
    <row r="248" customFormat="false" ht="15.75" hidden="false" customHeight="false" outlineLevel="0" collapsed="false">
      <c r="A248" s="9"/>
      <c r="B248" s="10"/>
      <c r="C248" s="10"/>
      <c r="D248" s="10"/>
      <c r="E248" s="10"/>
      <c r="F248" s="10"/>
      <c r="G248" s="10"/>
      <c r="H248" s="10"/>
      <c r="I248" s="22" t="n">
        <v>3</v>
      </c>
      <c r="J248" s="22" t="s">
        <v>47</v>
      </c>
      <c r="K248" s="23" t="n">
        <f aca="false">44.9</f>
        <v>44.9</v>
      </c>
      <c r="L248" s="23" t="n">
        <f aca="false">119.44</f>
        <v>119.44</v>
      </c>
      <c r="M248" s="22" t="n">
        <v>18</v>
      </c>
      <c r="N248" s="22" t="n">
        <v>28</v>
      </c>
      <c r="O248" s="22" t="n">
        <v>135.15</v>
      </c>
      <c r="P248" s="23" t="n">
        <f aca="false">27.57</f>
        <v>27.57</v>
      </c>
      <c r="Q248" s="23" t="n">
        <f aca="false">140.15</f>
        <v>140.15</v>
      </c>
      <c r="R248" s="22" t="n">
        <v>19.35</v>
      </c>
      <c r="S248" s="22" t="n">
        <v>25.15</v>
      </c>
      <c r="T248" s="22" t="n">
        <v>472</v>
      </c>
      <c r="U248" s="24" t="s">
        <v>29</v>
      </c>
      <c r="V248" s="15"/>
      <c r="W248" s="16"/>
      <c r="X248" s="16"/>
      <c r="Y248" s="16"/>
    </row>
    <row r="249" customFormat="false" ht="15.75" hidden="false" customHeight="false" outlineLevel="0" collapsed="false">
      <c r="A249" s="9"/>
      <c r="B249" s="10"/>
      <c r="C249" s="10"/>
      <c r="D249" s="10"/>
      <c r="E249" s="10"/>
      <c r="F249" s="10"/>
      <c r="G249" s="10"/>
      <c r="H249" s="10"/>
      <c r="I249" s="25" t="n">
        <v>4</v>
      </c>
      <c r="J249" s="25"/>
      <c r="K249" s="26" t="n">
        <f aca="false">44.92</f>
        <v>44.92</v>
      </c>
      <c r="L249" s="26" t="n">
        <f aca="false">113.48</f>
        <v>113.48</v>
      </c>
      <c r="M249" s="25" t="n">
        <v>20</v>
      </c>
      <c r="N249" s="25" t="n">
        <v>26</v>
      </c>
      <c r="O249" s="25" t="n">
        <v>122.65</v>
      </c>
      <c r="P249" s="26" t="n">
        <f aca="false">25.32</f>
        <v>25.32</v>
      </c>
      <c r="Q249" s="26" t="n">
        <f aca="false">131.28</f>
        <v>131.28</v>
      </c>
      <c r="R249" s="25" t="n">
        <v>16.2</v>
      </c>
      <c r="S249" s="25" t="n">
        <v>23.45</v>
      </c>
      <c r="T249" s="25" t="n">
        <v>463</v>
      </c>
      <c r="U249" s="27" t="s">
        <v>29</v>
      </c>
      <c r="V249" s="21"/>
      <c r="W249" s="16"/>
      <c r="X249" s="16"/>
      <c r="Y249" s="16"/>
    </row>
    <row r="250" customFormat="false" ht="15.75" hidden="false" customHeight="true" outlineLevel="0" collapsed="false">
      <c r="A250" s="9" t="s">
        <v>25</v>
      </c>
      <c r="B250" s="10" t="s">
        <v>26</v>
      </c>
      <c r="C250" s="11" t="s">
        <v>116</v>
      </c>
      <c r="D250" s="10" t="s">
        <v>28</v>
      </c>
      <c r="E250" s="10" t="s">
        <v>28</v>
      </c>
      <c r="F250" s="10"/>
      <c r="G250" s="10" t="n">
        <v>29</v>
      </c>
      <c r="H250" s="10" t="n">
        <v>6.55</v>
      </c>
      <c r="I250" s="12" t="n">
        <v>1</v>
      </c>
      <c r="J250" s="12"/>
      <c r="K250" s="13" t="n">
        <f aca="false">50.02</f>
        <v>50.02</v>
      </c>
      <c r="L250" s="13" t="n">
        <f aca="false">176.16</f>
        <v>176.16</v>
      </c>
      <c r="M250" s="12" t="n">
        <v>18</v>
      </c>
      <c r="N250" s="12" t="n">
        <v>44</v>
      </c>
      <c r="O250" s="12" t="n">
        <v>220.05</v>
      </c>
      <c r="P250" s="13" t="n">
        <f aca="false">32.52</f>
        <v>32.52</v>
      </c>
      <c r="Q250" s="13" t="n">
        <f aca="false">187.84</f>
        <v>187.84</v>
      </c>
      <c r="R250" s="12" t="n">
        <v>38.4</v>
      </c>
      <c r="S250" s="12" t="n">
        <v>23.95</v>
      </c>
      <c r="T250" s="12" t="n">
        <v>773</v>
      </c>
      <c r="U250" s="14" t="s">
        <v>29</v>
      </c>
      <c r="V250" s="15"/>
      <c r="W250" s="16" t="str">
        <f aca="false">A250</f>
        <v>KL</v>
      </c>
      <c r="X250" s="17" t="e">
        <f aca="false">ifs(C250="","",X250="",NOW(),TRUE(),X250)</f>
        <v>#VALUE!</v>
      </c>
      <c r="Y250" s="17" t="e">
        <f aca="false">ifs(COUNTA(K250:U253)&lt;44,"",Y250="",NOW(),TRUE(),Y250)</f>
        <v>#VALUE!</v>
      </c>
    </row>
    <row r="251" customFormat="false" ht="15.75" hidden="false" customHeight="false" outlineLevel="0" collapsed="false">
      <c r="A251" s="9"/>
      <c r="B251" s="10"/>
      <c r="C251" s="10"/>
      <c r="D251" s="10"/>
      <c r="E251" s="10"/>
      <c r="F251" s="10"/>
      <c r="G251" s="10"/>
      <c r="H251" s="10"/>
      <c r="I251" s="18" t="n">
        <v>2</v>
      </c>
      <c r="J251" s="18" t="s">
        <v>33</v>
      </c>
      <c r="K251" s="19" t="n">
        <f aca="false">46.58</f>
        <v>46.58</v>
      </c>
      <c r="L251" s="19" t="n">
        <f aca="false">111.68</f>
        <v>111.68</v>
      </c>
      <c r="M251" s="18" t="n">
        <v>18</v>
      </c>
      <c r="N251" s="18" t="n">
        <v>28</v>
      </c>
      <c r="O251" s="18" t="n">
        <v>124.1</v>
      </c>
      <c r="P251" s="19" t="n">
        <f aca="false">28.96</f>
        <v>28.96</v>
      </c>
      <c r="Q251" s="19" t="n">
        <f aca="false">127.9</f>
        <v>127.9</v>
      </c>
      <c r="R251" s="18" t="n">
        <v>19.05</v>
      </c>
      <c r="S251" s="18" t="n">
        <v>24.2</v>
      </c>
      <c r="T251" s="18" t="n">
        <v>445</v>
      </c>
      <c r="U251" s="20" t="s">
        <v>29</v>
      </c>
      <c r="V251" s="21"/>
      <c r="W251" s="16"/>
      <c r="X251" s="16"/>
      <c r="Y251" s="16"/>
    </row>
    <row r="252" customFormat="false" ht="15.75" hidden="false" customHeight="false" outlineLevel="0" collapsed="false">
      <c r="A252" s="9"/>
      <c r="B252" s="10"/>
      <c r="C252" s="10"/>
      <c r="D252" s="10"/>
      <c r="E252" s="10"/>
      <c r="F252" s="10"/>
      <c r="G252" s="10"/>
      <c r="H252" s="10"/>
      <c r="I252" s="22" t="n">
        <v>3</v>
      </c>
      <c r="J252" s="22" t="s">
        <v>46</v>
      </c>
      <c r="K252" s="23" t="n">
        <f aca="false">44.12</f>
        <v>44.12</v>
      </c>
      <c r="L252" s="23" t="n">
        <f aca="false">100.37</f>
        <v>100.37</v>
      </c>
      <c r="M252" s="22" t="n">
        <v>16</v>
      </c>
      <c r="N252" s="22" t="n">
        <v>24</v>
      </c>
      <c r="O252" s="22" t="n">
        <v>99.95</v>
      </c>
      <c r="P252" s="23" t="n">
        <f aca="false">25.05</f>
        <v>25.05</v>
      </c>
      <c r="Q252" s="23" t="n">
        <f aca="false">112.24</f>
        <v>112.24</v>
      </c>
      <c r="R252" s="22" t="n">
        <v>16.15</v>
      </c>
      <c r="S252" s="22" t="n">
        <v>28.35</v>
      </c>
      <c r="T252" s="22" t="n">
        <v>312</v>
      </c>
      <c r="U252" s="24" t="s">
        <v>29</v>
      </c>
      <c r="V252" s="15"/>
      <c r="W252" s="16"/>
      <c r="X252" s="16"/>
      <c r="Y252" s="16"/>
    </row>
    <row r="253" customFormat="false" ht="15.75" hidden="false" customHeight="false" outlineLevel="0" collapsed="false">
      <c r="A253" s="9"/>
      <c r="B253" s="10"/>
      <c r="C253" s="10"/>
      <c r="D253" s="10"/>
      <c r="E253" s="10"/>
      <c r="F253" s="10"/>
      <c r="G253" s="10"/>
      <c r="H253" s="10"/>
      <c r="I253" s="25" t="n">
        <v>4</v>
      </c>
      <c r="J253" s="25" t="s">
        <v>50</v>
      </c>
      <c r="K253" s="26" t="n">
        <f aca="false">40.54</f>
        <v>40.54</v>
      </c>
      <c r="L253" s="26" t="n">
        <f aca="false">85.48</f>
        <v>85.48</v>
      </c>
      <c r="M253" s="25" t="n">
        <v>16</v>
      </c>
      <c r="N253" s="25" t="n">
        <v>20</v>
      </c>
      <c r="O253" s="25" t="n">
        <v>72.45</v>
      </c>
      <c r="P253" s="26" t="n">
        <f aca="false">23.47</f>
        <v>23.47</v>
      </c>
      <c r="Q253" s="26" t="n">
        <f aca="false">83.64</f>
        <v>83.64</v>
      </c>
      <c r="R253" s="25" t="n">
        <v>10.55</v>
      </c>
      <c r="S253" s="25" t="n">
        <v>22.95</v>
      </c>
      <c r="T253" s="25" t="n">
        <v>280</v>
      </c>
      <c r="U253" s="27" t="s">
        <v>29</v>
      </c>
      <c r="V253" s="21"/>
      <c r="W253" s="16"/>
      <c r="X253" s="16"/>
      <c r="Y253" s="16"/>
    </row>
    <row r="254" customFormat="false" ht="15.75" hidden="false" customHeight="true" outlineLevel="0" collapsed="false">
      <c r="A254" s="9" t="s">
        <v>25</v>
      </c>
      <c r="B254" s="10" t="s">
        <v>26</v>
      </c>
      <c r="C254" s="11" t="s">
        <v>117</v>
      </c>
      <c r="D254" s="10" t="s">
        <v>28</v>
      </c>
      <c r="E254" s="10" t="s">
        <v>28</v>
      </c>
      <c r="F254" s="10"/>
      <c r="G254" s="10" t="n">
        <v>14</v>
      </c>
      <c r="H254" s="10" t="n">
        <v>2.6</v>
      </c>
      <c r="I254" s="12" t="n">
        <v>1</v>
      </c>
      <c r="J254" s="12" t="s">
        <v>104</v>
      </c>
      <c r="K254" s="13" t="n">
        <f aca="false">44.15</f>
        <v>44.15</v>
      </c>
      <c r="L254" s="13" t="n">
        <f aca="false">198.12</f>
        <v>198.12</v>
      </c>
      <c r="M254" s="12" t="n">
        <v>16</v>
      </c>
      <c r="N254" s="12" t="n">
        <v>36</v>
      </c>
      <c r="O254" s="12" t="n">
        <v>197.1</v>
      </c>
      <c r="P254" s="13" t="n">
        <f aca="false">29.88</f>
        <v>29.88</v>
      </c>
      <c r="Q254" s="13" t="n">
        <f aca="false">214.21</f>
        <v>214.21</v>
      </c>
      <c r="R254" s="12" t="n">
        <v>40.1</v>
      </c>
      <c r="S254" s="12" t="n">
        <v>28.85</v>
      </c>
      <c r="T254" s="12" t="n">
        <v>536</v>
      </c>
      <c r="U254" s="14" t="s">
        <v>29</v>
      </c>
      <c r="V254" s="15"/>
      <c r="W254" s="16" t="str">
        <f aca="false">A254</f>
        <v>KL</v>
      </c>
      <c r="X254" s="17" t="e">
        <f aca="false">ifs(C254="","",X254="",NOW(),TRUE(),X254)</f>
        <v>#VALUE!</v>
      </c>
      <c r="Y254" s="17" t="e">
        <f aca="false">ifs(COUNTA(K254:U257)&lt;44,"",Y254="",NOW(),TRUE(),Y254)</f>
        <v>#VALUE!</v>
      </c>
    </row>
    <row r="255" customFormat="false" ht="15.75" hidden="false" customHeight="false" outlineLevel="0" collapsed="false">
      <c r="A255" s="9"/>
      <c r="B255" s="10"/>
      <c r="C255" s="10"/>
      <c r="D255" s="10"/>
      <c r="E255" s="10"/>
      <c r="F255" s="10"/>
      <c r="G255" s="10"/>
      <c r="H255" s="10"/>
      <c r="I255" s="18" t="n">
        <v>2</v>
      </c>
      <c r="J255" s="18" t="s">
        <v>47</v>
      </c>
      <c r="K255" s="19" t="n">
        <f aca="false">40.62</f>
        <v>40.62</v>
      </c>
      <c r="L255" s="19" t="n">
        <f aca="false">123.99</f>
        <v>123.99</v>
      </c>
      <c r="M255" s="18" t="n">
        <v>14</v>
      </c>
      <c r="N255" s="18" t="n">
        <v>28</v>
      </c>
      <c r="O255" s="18" t="n">
        <v>114.25</v>
      </c>
      <c r="P255" s="19" t="n">
        <f aca="false">26.47</f>
        <v>26.47</v>
      </c>
      <c r="Q255" s="19" t="n">
        <f aca="false">153.93</f>
        <v>153.93</v>
      </c>
      <c r="R255" s="18" t="n">
        <v>22.8</v>
      </c>
      <c r="S255" s="18" t="n">
        <v>25.15</v>
      </c>
      <c r="T255" s="18" t="n">
        <v>373</v>
      </c>
      <c r="U255" s="20" t="s">
        <v>29</v>
      </c>
      <c r="V255" s="15"/>
      <c r="W255" s="16"/>
      <c r="X255" s="16"/>
      <c r="Y255" s="16"/>
    </row>
    <row r="256" customFormat="false" ht="15.75" hidden="false" customHeight="false" outlineLevel="0" collapsed="false">
      <c r="A256" s="9"/>
      <c r="B256" s="10"/>
      <c r="C256" s="10"/>
      <c r="D256" s="10"/>
      <c r="E256" s="10"/>
      <c r="F256" s="10"/>
      <c r="G256" s="10"/>
      <c r="H256" s="10"/>
      <c r="I256" s="22" t="n">
        <v>3</v>
      </c>
      <c r="J256" s="22"/>
      <c r="K256" s="23" t="n">
        <f aca="false">40.08</f>
        <v>40.08</v>
      </c>
      <c r="L256" s="23" t="n">
        <f aca="false">114.57</f>
        <v>114.57</v>
      </c>
      <c r="M256" s="22" t="n">
        <v>14</v>
      </c>
      <c r="N256" s="22" t="n">
        <v>24</v>
      </c>
      <c r="O256" s="22" t="n">
        <v>98</v>
      </c>
      <c r="P256" s="23" t="n">
        <f aca="false">25.65</f>
        <v>25.65</v>
      </c>
      <c r="Q256" s="23" t="n">
        <f aca="false">140.62</f>
        <v>140.62</v>
      </c>
      <c r="R256" s="22" t="n">
        <v>18.5</v>
      </c>
      <c r="S256" s="22" t="n">
        <v>23.95</v>
      </c>
      <c r="T256" s="22" t="n">
        <v>359</v>
      </c>
      <c r="U256" s="24" t="s">
        <v>29</v>
      </c>
      <c r="V256" s="15"/>
      <c r="W256" s="16"/>
      <c r="X256" s="16"/>
      <c r="Y256" s="16"/>
    </row>
    <row r="257" customFormat="false" ht="15.75" hidden="false" customHeight="false" outlineLevel="0" collapsed="false">
      <c r="A257" s="9"/>
      <c r="B257" s="10"/>
      <c r="C257" s="10"/>
      <c r="D257" s="10"/>
      <c r="E257" s="10"/>
      <c r="F257" s="10"/>
      <c r="G257" s="10"/>
      <c r="H257" s="10"/>
      <c r="I257" s="25" t="n">
        <v>4</v>
      </c>
      <c r="J257" s="25"/>
      <c r="K257" s="26" t="n">
        <f aca="false">39.23</f>
        <v>39.23</v>
      </c>
      <c r="L257" s="26" t="n">
        <f aca="false">105.64</f>
        <v>105.64</v>
      </c>
      <c r="M257" s="25" t="n">
        <v>14</v>
      </c>
      <c r="N257" s="25" t="n">
        <v>24</v>
      </c>
      <c r="O257" s="25" t="n">
        <v>86.15</v>
      </c>
      <c r="P257" s="26" t="n">
        <f aca="false">24.24</f>
        <v>24.24</v>
      </c>
      <c r="Q257" s="26" t="n">
        <f aca="false">132.71</f>
        <v>132.71</v>
      </c>
      <c r="R257" s="25" t="n">
        <v>17.15</v>
      </c>
      <c r="S257" s="25" t="n">
        <v>23.05</v>
      </c>
      <c r="T257" s="25" t="n">
        <v>306</v>
      </c>
      <c r="U257" s="27" t="s">
        <v>29</v>
      </c>
      <c r="V257" s="15"/>
      <c r="W257" s="16"/>
      <c r="X257" s="16"/>
      <c r="Y257" s="16"/>
    </row>
    <row r="258" customFormat="false" ht="15.75" hidden="false" customHeight="false" outlineLevel="0" collapsed="false">
      <c r="A258" s="9" t="s">
        <v>25</v>
      </c>
      <c r="B258" s="10" t="s">
        <v>26</v>
      </c>
      <c r="C258" s="11"/>
      <c r="D258" s="10"/>
      <c r="E258" s="10"/>
      <c r="F258" s="10"/>
      <c r="G258" s="10" t="n">
        <v>28</v>
      </c>
      <c r="H258" s="10" t="n">
        <v>5.6</v>
      </c>
      <c r="I258" s="12" t="n">
        <v>1</v>
      </c>
      <c r="J258" s="12"/>
      <c r="K258" s="13" t="n">
        <f aca="false">42.11</f>
        <v>42.11</v>
      </c>
      <c r="L258" s="13" t="n">
        <f aca="false">155.05</f>
        <v>155.05</v>
      </c>
      <c r="M258" s="12" t="n">
        <v>12</v>
      </c>
      <c r="N258" s="12" t="n">
        <v>40</v>
      </c>
      <c r="O258" s="12" t="n">
        <v>155.15</v>
      </c>
      <c r="P258" s="13" t="n">
        <f aca="false">23.2</f>
        <v>23.2</v>
      </c>
      <c r="Q258" s="13" t="n">
        <f aca="false">162.95</f>
        <v>162.95</v>
      </c>
      <c r="R258" s="12" t="n">
        <v>16</v>
      </c>
      <c r="S258" s="12" t="n">
        <v>26.6</v>
      </c>
      <c r="T258" s="12" t="n">
        <v>514</v>
      </c>
      <c r="U258" s="14" t="s">
        <v>29</v>
      </c>
      <c r="V258" s="15" t="s">
        <v>118</v>
      </c>
      <c r="W258" s="16" t="str">
        <f aca="false">A258</f>
        <v>KL</v>
      </c>
      <c r="X258" s="17" t="e">
        <f aca="false">ifs(C258="","",X258="",NOW(),TRUE(),X258)</f>
        <v>#VALUE!</v>
      </c>
      <c r="Y258" s="17" t="e">
        <f aca="false">ifs(COUNTA(K258:U261)&lt;44,"",Y258="",NOW(),TRUE(),Y258)</f>
        <v>#VALUE!</v>
      </c>
    </row>
    <row r="259" customFormat="false" ht="15.75" hidden="false" customHeight="false" outlineLevel="0" collapsed="false">
      <c r="A259" s="9"/>
      <c r="B259" s="10"/>
      <c r="C259" s="10"/>
      <c r="D259" s="10"/>
      <c r="E259" s="10"/>
      <c r="F259" s="10"/>
      <c r="G259" s="10"/>
      <c r="H259" s="10"/>
      <c r="I259" s="18" t="n">
        <v>2</v>
      </c>
      <c r="J259" s="18"/>
      <c r="K259" s="19" t="n">
        <f aca="false">42.24</f>
        <v>42.24</v>
      </c>
      <c r="L259" s="19" t="n">
        <f aca="false">138.64</f>
        <v>138.64</v>
      </c>
      <c r="M259" s="18" t="n">
        <v>16</v>
      </c>
      <c r="N259" s="18" t="n">
        <v>32</v>
      </c>
      <c r="O259" s="18" t="n">
        <v>134.4</v>
      </c>
      <c r="P259" s="19" t="n">
        <f aca="false">22.58</f>
        <v>22.58</v>
      </c>
      <c r="Q259" s="19" t="n">
        <f aca="false">142.4</f>
        <v>142.4</v>
      </c>
      <c r="R259" s="18" t="n">
        <v>13.9</v>
      </c>
      <c r="S259" s="18" t="n">
        <v>26.7</v>
      </c>
      <c r="T259" s="18" t="n">
        <v>478</v>
      </c>
      <c r="U259" s="20" t="s">
        <v>29</v>
      </c>
      <c r="V259" s="15" t="s">
        <v>118</v>
      </c>
      <c r="W259" s="16"/>
      <c r="X259" s="16"/>
      <c r="Y259" s="16"/>
    </row>
    <row r="260" customFormat="false" ht="15.75" hidden="false" customHeight="false" outlineLevel="0" collapsed="false">
      <c r="A260" s="9"/>
      <c r="B260" s="10"/>
      <c r="C260" s="10"/>
      <c r="D260" s="10"/>
      <c r="E260" s="10"/>
      <c r="F260" s="10"/>
      <c r="G260" s="10"/>
      <c r="H260" s="10"/>
      <c r="I260" s="22" t="n">
        <v>3</v>
      </c>
      <c r="J260" s="22"/>
      <c r="K260" s="23" t="n">
        <f aca="false">40.7</f>
        <v>40.7</v>
      </c>
      <c r="L260" s="23" t="n">
        <f aca="false">124.68</f>
        <v>124.68</v>
      </c>
      <c r="M260" s="22" t="n">
        <v>12</v>
      </c>
      <c r="N260" s="22" t="n">
        <v>34</v>
      </c>
      <c r="O260" s="22" t="n">
        <v>118.25</v>
      </c>
      <c r="P260" s="23" t="n">
        <f aca="false">21.26</f>
        <v>21.26</v>
      </c>
      <c r="Q260" s="23" t="n">
        <f aca="false">129.04</f>
        <v>129.04</v>
      </c>
      <c r="R260" s="22" t="n">
        <v>11.9</v>
      </c>
      <c r="S260" s="22" t="n">
        <v>25.3</v>
      </c>
      <c r="T260" s="22" t="n">
        <v>430</v>
      </c>
      <c r="U260" s="24" t="s">
        <v>29</v>
      </c>
      <c r="V260" s="15" t="s">
        <v>118</v>
      </c>
      <c r="W260" s="16"/>
      <c r="X260" s="16"/>
      <c r="Y260" s="16"/>
    </row>
    <row r="261" customFormat="false" ht="15.75" hidden="false" customHeight="false" outlineLevel="0" collapsed="false">
      <c r="A261" s="9"/>
      <c r="B261" s="10"/>
      <c r="C261" s="10"/>
      <c r="D261" s="10"/>
      <c r="E261" s="10"/>
      <c r="F261" s="10"/>
      <c r="G261" s="10"/>
      <c r="H261" s="10"/>
      <c r="I261" s="25" t="n">
        <v>4</v>
      </c>
      <c r="J261" s="25" t="s">
        <v>47</v>
      </c>
      <c r="K261" s="26" t="n">
        <f aca="false">37.9</f>
        <v>37.9</v>
      </c>
      <c r="L261" s="26" t="n">
        <f aca="false">128.27</f>
        <v>128.27</v>
      </c>
      <c r="M261" s="25" t="n">
        <v>12</v>
      </c>
      <c r="N261" s="25" t="n">
        <v>34</v>
      </c>
      <c r="O261" s="25" t="n">
        <v>103</v>
      </c>
      <c r="P261" s="26" t="n">
        <f aca="false">20.45</f>
        <v>20.45</v>
      </c>
      <c r="Q261" s="26" t="n">
        <f aca="false">132.81</f>
        <v>132.81</v>
      </c>
      <c r="R261" s="25" t="n">
        <v>11</v>
      </c>
      <c r="S261" s="25" t="n">
        <v>24.1</v>
      </c>
      <c r="T261" s="25" t="n">
        <v>381</v>
      </c>
      <c r="U261" s="27" t="s">
        <v>29</v>
      </c>
      <c r="V261" s="15" t="s">
        <v>118</v>
      </c>
      <c r="W261" s="16"/>
      <c r="X261" s="16"/>
      <c r="Y261" s="16"/>
    </row>
    <row r="262" customFormat="false" ht="15.75" hidden="false" customHeight="true" outlineLevel="0" collapsed="false">
      <c r="A262" s="9" t="s">
        <v>25</v>
      </c>
      <c r="B262" s="10" t="s">
        <v>26</v>
      </c>
      <c r="C262" s="11" t="s">
        <v>119</v>
      </c>
      <c r="D262" s="10" t="s">
        <v>28</v>
      </c>
      <c r="E262" s="10" t="s">
        <v>28</v>
      </c>
      <c r="F262" s="10"/>
      <c r="G262" s="10" t="n">
        <v>32</v>
      </c>
      <c r="H262" s="10" t="n">
        <v>7</v>
      </c>
      <c r="I262" s="12" t="n">
        <v>1</v>
      </c>
      <c r="J262" s="12" t="s">
        <v>120</v>
      </c>
      <c r="K262" s="13" t="n">
        <f aca="false">47.64</f>
        <v>47.64</v>
      </c>
      <c r="L262" s="13" t="n">
        <f aca="false">187.26</f>
        <v>187.26</v>
      </c>
      <c r="M262" s="12" t="n">
        <v>16</v>
      </c>
      <c r="N262" s="12" t="n">
        <v>42</v>
      </c>
      <c r="O262" s="12" t="n">
        <v>204.3</v>
      </c>
      <c r="P262" s="13" t="n">
        <f aca="false">31.2</f>
        <v>31.2</v>
      </c>
      <c r="Q262" s="13" t="n">
        <f aca="false">205.66</f>
        <v>205.66</v>
      </c>
      <c r="R262" s="12" t="n">
        <v>33.1</v>
      </c>
      <c r="S262" s="12" t="n">
        <v>28.75</v>
      </c>
      <c r="T262" s="12" t="n">
        <v>615</v>
      </c>
      <c r="U262" s="14" t="s">
        <v>29</v>
      </c>
      <c r="V262" s="15"/>
      <c r="W262" s="16" t="str">
        <f aca="false">A262</f>
        <v>KL</v>
      </c>
      <c r="X262" s="17" t="e">
        <f aca="false">ifs(C262="","",X262="",NOW(),TRUE(),X262)</f>
        <v>#VALUE!</v>
      </c>
      <c r="Y262" s="17" t="e">
        <f aca="false">ifs(COUNTA(K262:U265)&lt;44,"",Y262="",NOW(),TRUE(),Y262)</f>
        <v>#VALUE!</v>
      </c>
    </row>
    <row r="263" customFormat="false" ht="15.75" hidden="false" customHeight="false" outlineLevel="0" collapsed="false">
      <c r="A263" s="9"/>
      <c r="B263" s="10"/>
      <c r="C263" s="10"/>
      <c r="D263" s="10"/>
      <c r="E263" s="10"/>
      <c r="F263" s="10"/>
      <c r="G263" s="10"/>
      <c r="H263" s="10"/>
      <c r="I263" s="18" t="n">
        <v>2</v>
      </c>
      <c r="J263" s="18" t="s">
        <v>46</v>
      </c>
      <c r="K263" s="19" t="n">
        <f aca="false">31.02</f>
        <v>31.02</v>
      </c>
      <c r="L263" s="19" t="n">
        <f aca="false">103.28</f>
        <v>103.28</v>
      </c>
      <c r="M263" s="18" t="n">
        <v>12</v>
      </c>
      <c r="N263" s="18" t="n">
        <v>16</v>
      </c>
      <c r="O263" s="18" t="n">
        <v>31.05</v>
      </c>
      <c r="P263" s="19" t="n">
        <f aca="false">21.92</f>
        <v>21.92</v>
      </c>
      <c r="Q263" s="19" t="n">
        <f aca="false">141.23</f>
        <v>141.23</v>
      </c>
      <c r="R263" s="18" t="n">
        <v>16.45</v>
      </c>
      <c r="S263" s="18"/>
      <c r="T263" s="18" t="n">
        <v>74</v>
      </c>
      <c r="U263" s="20" t="s">
        <v>29</v>
      </c>
      <c r="V263" s="21" t="s">
        <v>121</v>
      </c>
      <c r="W263" s="16"/>
      <c r="X263" s="16"/>
      <c r="Y263" s="16"/>
    </row>
    <row r="264" customFormat="false" ht="15.75" hidden="false" customHeight="false" outlineLevel="0" collapsed="false">
      <c r="A264" s="9"/>
      <c r="B264" s="10"/>
      <c r="C264" s="10"/>
      <c r="D264" s="10"/>
      <c r="E264" s="10"/>
      <c r="F264" s="10"/>
      <c r="G264" s="10"/>
      <c r="H264" s="10"/>
      <c r="I264" s="22" t="n">
        <v>3</v>
      </c>
      <c r="J264" s="22" t="s">
        <v>111</v>
      </c>
      <c r="K264" s="23"/>
      <c r="L264" s="23"/>
      <c r="M264" s="22"/>
      <c r="N264" s="22"/>
      <c r="O264" s="22" t="n">
        <v>27.55</v>
      </c>
      <c r="P264" s="23" t="n">
        <f aca="false">29.4</f>
        <v>29.4</v>
      </c>
      <c r="Q264" s="23" t="n">
        <f aca="false">186.04</f>
        <v>186.04</v>
      </c>
      <c r="R264" s="22" t="n">
        <v>27.55</v>
      </c>
      <c r="S264" s="22"/>
      <c r="T264" s="22"/>
      <c r="U264" s="24"/>
      <c r="V264" s="15" t="s">
        <v>122</v>
      </c>
      <c r="W264" s="16"/>
      <c r="X264" s="16"/>
      <c r="Y264" s="16"/>
    </row>
    <row r="265" customFormat="false" ht="15.75" hidden="false" customHeight="false" outlineLevel="0" collapsed="false">
      <c r="A265" s="9"/>
      <c r="B265" s="10"/>
      <c r="C265" s="10"/>
      <c r="D265" s="10"/>
      <c r="E265" s="10"/>
      <c r="F265" s="10"/>
      <c r="G265" s="10"/>
      <c r="H265" s="10"/>
      <c r="I265" s="25" t="n">
        <v>4</v>
      </c>
      <c r="J265" s="25"/>
      <c r="K265" s="26"/>
      <c r="L265" s="26"/>
      <c r="M265" s="25"/>
      <c r="N265" s="25"/>
      <c r="O265" s="25"/>
      <c r="P265" s="26"/>
      <c r="Q265" s="26"/>
      <c r="R265" s="25"/>
      <c r="S265" s="25"/>
      <c r="T265" s="25"/>
      <c r="U265" s="27"/>
      <c r="V265" s="21"/>
      <c r="W265" s="16"/>
      <c r="X265" s="16"/>
      <c r="Y265" s="16"/>
    </row>
    <row r="266" customFormat="false" ht="15.75" hidden="false" customHeight="true" outlineLevel="0" collapsed="false">
      <c r="A266" s="9" t="s">
        <v>25</v>
      </c>
      <c r="B266" s="10" t="s">
        <v>26</v>
      </c>
      <c r="C266" s="11" t="s">
        <v>123</v>
      </c>
      <c r="D266" s="10" t="s">
        <v>28</v>
      </c>
      <c r="E266" s="10" t="s">
        <v>28</v>
      </c>
      <c r="F266" s="10"/>
      <c r="G266" s="10" t="n">
        <v>25</v>
      </c>
      <c r="H266" s="10" t="n">
        <v>4.35</v>
      </c>
      <c r="I266" s="12" t="n">
        <v>1</v>
      </c>
      <c r="J266" s="12"/>
      <c r="K266" s="13" t="n">
        <f aca="false">44.61</f>
        <v>44.61</v>
      </c>
      <c r="L266" s="13" t="n">
        <f aca="false">158.32</f>
        <v>158.32</v>
      </c>
      <c r="M266" s="12" t="n">
        <v>14</v>
      </c>
      <c r="N266" s="12" t="n">
        <v>40</v>
      </c>
      <c r="O266" s="12" t="n">
        <v>158.7</v>
      </c>
      <c r="P266" s="13" t="n">
        <f aca="false">26.96</f>
        <v>26.96</v>
      </c>
      <c r="Q266" s="13" t="n">
        <f aca="false">168.46</f>
        <v>168.46</v>
      </c>
      <c r="R266" s="12" t="n">
        <v>26.45</v>
      </c>
      <c r="S266" s="12" t="n">
        <v>22.8</v>
      </c>
      <c r="T266" s="12" t="n">
        <v>579</v>
      </c>
      <c r="U266" s="14" t="s">
        <v>29</v>
      </c>
      <c r="V266" s="15"/>
      <c r="W266" s="16" t="str">
        <f aca="false">A266</f>
        <v>KL</v>
      </c>
      <c r="X266" s="17" t="e">
        <f aca="false">ifs(C266="","",X266="",NOW(),TRUE(),X266)</f>
        <v>#VALUE!</v>
      </c>
      <c r="Y266" s="17" t="e">
        <f aca="false">ifs(COUNTA(K266:U269)&lt;44,"",Y266="",NOW(),TRUE(),Y266)</f>
        <v>#VALUE!</v>
      </c>
    </row>
    <row r="267" customFormat="false" ht="15.75" hidden="false" customHeight="false" outlineLevel="0" collapsed="false">
      <c r="A267" s="9"/>
      <c r="B267" s="10"/>
      <c r="C267" s="10"/>
      <c r="D267" s="10"/>
      <c r="E267" s="10"/>
      <c r="F267" s="10"/>
      <c r="G267" s="10"/>
      <c r="H267" s="10"/>
      <c r="I267" s="18" t="n">
        <v>2</v>
      </c>
      <c r="J267" s="18"/>
      <c r="K267" s="19" t="n">
        <f aca="false">43.75</f>
        <v>43.75</v>
      </c>
      <c r="L267" s="19" t="n">
        <f aca="false">135.87</f>
        <v>135.87</v>
      </c>
      <c r="M267" s="18" t="n">
        <v>14</v>
      </c>
      <c r="N267" s="18" t="n">
        <v>34</v>
      </c>
      <c r="O267" s="18" t="n">
        <v>133.55</v>
      </c>
      <c r="P267" s="19" t="n">
        <f aca="false">25.96</f>
        <v>25.96</v>
      </c>
      <c r="Q267" s="19" t="n">
        <f aca="false">157</f>
        <v>157</v>
      </c>
      <c r="R267" s="18" t="n">
        <v>23.3</v>
      </c>
      <c r="S267" s="18" t="n">
        <v>22.7</v>
      </c>
      <c r="T267" s="18" t="n">
        <v>498</v>
      </c>
      <c r="U267" s="20" t="s">
        <v>29</v>
      </c>
      <c r="V267" s="21"/>
      <c r="W267" s="16"/>
      <c r="X267" s="16"/>
      <c r="Y267" s="16"/>
    </row>
    <row r="268" customFormat="false" ht="15.75" hidden="false" customHeight="false" outlineLevel="0" collapsed="false">
      <c r="A268" s="9"/>
      <c r="B268" s="10"/>
      <c r="C268" s="10"/>
      <c r="D268" s="10"/>
      <c r="E268" s="10"/>
      <c r="F268" s="10"/>
      <c r="G268" s="10"/>
      <c r="H268" s="10"/>
      <c r="I268" s="22" t="n">
        <v>3</v>
      </c>
      <c r="J268" s="22"/>
      <c r="K268" s="23" t="n">
        <f aca="false">43.59</f>
        <v>43.59</v>
      </c>
      <c r="L268" s="23" t="n">
        <f aca="false">150.79</f>
        <v>150.79</v>
      </c>
      <c r="M268" s="22" t="n">
        <v>12</v>
      </c>
      <c r="N268" s="22" t="n">
        <v>36</v>
      </c>
      <c r="O268" s="22" t="n">
        <v>128.95</v>
      </c>
      <c r="P268" s="23" t="n">
        <f aca="false">27.13</f>
        <v>27.13</v>
      </c>
      <c r="Q268" s="23" t="n">
        <f aca="false">160.01</f>
        <v>160.01</v>
      </c>
      <c r="R268" s="22" t="n">
        <v>23.9</v>
      </c>
      <c r="S268" s="22" t="n">
        <v>23.3</v>
      </c>
      <c r="T268" s="22" t="n">
        <v>454</v>
      </c>
      <c r="U268" s="24" t="s">
        <v>29</v>
      </c>
      <c r="V268" s="15"/>
      <c r="W268" s="16"/>
      <c r="X268" s="16"/>
      <c r="Y268" s="16"/>
    </row>
    <row r="269" customFormat="false" ht="15.75" hidden="false" customHeight="false" outlineLevel="0" collapsed="false">
      <c r="A269" s="9"/>
      <c r="B269" s="10"/>
      <c r="C269" s="10"/>
      <c r="D269" s="10"/>
      <c r="E269" s="10"/>
      <c r="F269" s="10"/>
      <c r="G269" s="10"/>
      <c r="H269" s="10"/>
      <c r="I269" s="25" t="n">
        <v>4</v>
      </c>
      <c r="J269" s="25"/>
      <c r="K269" s="26" t="n">
        <f aca="false">43.52</f>
        <v>43.52</v>
      </c>
      <c r="L269" s="26" t="n">
        <f aca="false">126.31</f>
        <v>126.31</v>
      </c>
      <c r="M269" s="25" t="n">
        <v>16</v>
      </c>
      <c r="N269" s="25" t="n">
        <v>30</v>
      </c>
      <c r="O269" s="25" t="n">
        <v>117.35</v>
      </c>
      <c r="P269" s="26" t="n">
        <f aca="false">28.1</f>
        <v>28.1</v>
      </c>
      <c r="Q269" s="26" t="n">
        <f aca="false">139.06</f>
        <v>139.06</v>
      </c>
      <c r="R269" s="25" t="n">
        <v>21.9</v>
      </c>
      <c r="S269" s="25" t="n">
        <v>19.9</v>
      </c>
      <c r="T269" s="25" t="n">
        <v>494</v>
      </c>
      <c r="U269" s="27" t="s">
        <v>29</v>
      </c>
      <c r="V269" s="21"/>
      <c r="W269" s="16"/>
      <c r="X269" s="16"/>
      <c r="Y269" s="16"/>
    </row>
    <row r="270" customFormat="false" ht="15.75" hidden="false" customHeight="true" outlineLevel="0" collapsed="false">
      <c r="A270" s="9" t="s">
        <v>25</v>
      </c>
      <c r="B270" s="10" t="s">
        <v>26</v>
      </c>
      <c r="C270" s="11" t="s">
        <v>124</v>
      </c>
      <c r="D270" s="10" t="s">
        <v>28</v>
      </c>
      <c r="E270" s="10" t="s">
        <v>28</v>
      </c>
      <c r="F270" s="10"/>
      <c r="G270" s="10" t="n">
        <v>40</v>
      </c>
      <c r="H270" s="10" t="n">
        <v>9.25</v>
      </c>
      <c r="I270" s="12" t="n">
        <v>1</v>
      </c>
      <c r="J270" s="12"/>
      <c r="K270" s="13" t="n">
        <f aca="false">49.93</f>
        <v>49.93</v>
      </c>
      <c r="L270" s="13" t="n">
        <f aca="false">202.25</f>
        <v>202.25</v>
      </c>
      <c r="M270" s="12" t="n">
        <v>16</v>
      </c>
      <c r="N270" s="12" t="n">
        <v>46</v>
      </c>
      <c r="O270" s="12" t="n">
        <v>264</v>
      </c>
      <c r="P270" s="13" t="n">
        <f aca="false">29.68</f>
        <v>29.68</v>
      </c>
      <c r="Q270" s="13" t="n">
        <f aca="false">213.52</f>
        <v>213.52</v>
      </c>
      <c r="R270" s="12" t="n">
        <v>36.4</v>
      </c>
      <c r="S270" s="12" t="n">
        <v>35.95</v>
      </c>
      <c r="T270" s="12" t="n">
        <v>710</v>
      </c>
      <c r="U270" s="14" t="s">
        <v>58</v>
      </c>
      <c r="V270" s="15"/>
      <c r="W270" s="16" t="str">
        <f aca="false">A270</f>
        <v>KL</v>
      </c>
      <c r="X270" s="17" t="e">
        <f aca="false">ifs(C270="","",X270="",NOW(),TRUE(),X270)</f>
        <v>#VALUE!</v>
      </c>
      <c r="Y270" s="17" t="e">
        <f aca="false">ifs(COUNTA(K270:U273)&lt;44,"",Y270="",NOW(),TRUE(),Y270)</f>
        <v>#VALUE!</v>
      </c>
    </row>
    <row r="271" customFormat="false" ht="15.75" hidden="false" customHeight="false" outlineLevel="0" collapsed="false">
      <c r="A271" s="9"/>
      <c r="B271" s="10"/>
      <c r="C271" s="10"/>
      <c r="D271" s="10"/>
      <c r="E271" s="10"/>
      <c r="F271" s="10"/>
      <c r="G271" s="10"/>
      <c r="H271" s="10"/>
      <c r="I271" s="18" t="n">
        <v>2</v>
      </c>
      <c r="J271" s="18"/>
      <c r="K271" s="19" t="n">
        <f aca="false">49.5</f>
        <v>49.5</v>
      </c>
      <c r="L271" s="19" t="n">
        <f aca="false">189.45</f>
        <v>189.45</v>
      </c>
      <c r="M271" s="18" t="n">
        <v>18</v>
      </c>
      <c r="N271" s="18" t="n">
        <v>44</v>
      </c>
      <c r="O271" s="18" t="n">
        <v>241.2</v>
      </c>
      <c r="P271" s="19" t="n">
        <f aca="false">31.57</f>
        <v>31.57</v>
      </c>
      <c r="Q271" s="19" t="n">
        <f aca="false">205.95</f>
        <v>205.95</v>
      </c>
      <c r="R271" s="18" t="n">
        <v>34.55</v>
      </c>
      <c r="S271" s="18" t="n">
        <v>30.75</v>
      </c>
      <c r="T271" s="18" t="n">
        <v>721</v>
      </c>
      <c r="U271" s="20" t="s">
        <v>58</v>
      </c>
      <c r="V271" s="21"/>
      <c r="W271" s="16"/>
      <c r="X271" s="16"/>
      <c r="Y271" s="16"/>
    </row>
    <row r="272" customFormat="false" ht="15.75" hidden="false" customHeight="false" outlineLevel="0" collapsed="false">
      <c r="A272" s="9"/>
      <c r="B272" s="10"/>
      <c r="C272" s="10"/>
      <c r="D272" s="10"/>
      <c r="E272" s="10"/>
      <c r="F272" s="10"/>
      <c r="G272" s="10"/>
      <c r="H272" s="10"/>
      <c r="I272" s="22" t="n">
        <v>3</v>
      </c>
      <c r="J272" s="22"/>
      <c r="K272" s="23" t="n">
        <f aca="false">49.66</f>
        <v>49.66</v>
      </c>
      <c r="L272" s="23" t="n">
        <f aca="false">193.61</f>
        <v>193.61</v>
      </c>
      <c r="M272" s="22" t="n">
        <v>14</v>
      </c>
      <c r="N272" s="22" t="n">
        <v>44</v>
      </c>
      <c r="O272" s="22" t="n">
        <v>239.65</v>
      </c>
      <c r="P272" s="23" t="n">
        <f aca="false">28.98</f>
        <v>28.98</v>
      </c>
      <c r="Q272" s="23" t="n">
        <f aca="false">200.73</f>
        <v>200.73</v>
      </c>
      <c r="R272" s="22" t="n">
        <v>35.6</v>
      </c>
      <c r="S272" s="22" t="n">
        <v>33.4</v>
      </c>
      <c r="T272" s="22" t="n">
        <v>603</v>
      </c>
      <c r="U272" s="24" t="s">
        <v>58</v>
      </c>
      <c r="V272" s="15"/>
      <c r="W272" s="16"/>
      <c r="X272" s="16"/>
      <c r="Y272" s="16"/>
    </row>
    <row r="273" customFormat="false" ht="15.75" hidden="false" customHeight="false" outlineLevel="0" collapsed="false">
      <c r="A273" s="9"/>
      <c r="B273" s="10"/>
      <c r="C273" s="10"/>
      <c r="D273" s="10"/>
      <c r="E273" s="10"/>
      <c r="F273" s="10"/>
      <c r="G273" s="10"/>
      <c r="H273" s="10"/>
      <c r="I273" s="25" t="n">
        <v>4</v>
      </c>
      <c r="J273" s="25"/>
      <c r="K273" s="26" t="n">
        <f aca="false">46.07</f>
        <v>46.07</v>
      </c>
      <c r="L273" s="26" t="n">
        <f aca="false">153.16</f>
        <v>153.16</v>
      </c>
      <c r="M273" s="25" t="n">
        <v>14</v>
      </c>
      <c r="N273" s="25" t="n">
        <v>34</v>
      </c>
      <c r="O273" s="25" t="n">
        <v>167.25</v>
      </c>
      <c r="P273" s="26" t="n">
        <f aca="false">28.13</f>
        <v>28.13</v>
      </c>
      <c r="Q273" s="26" t="n">
        <f aca="false">157.1</f>
        <v>157.1</v>
      </c>
      <c r="R273" s="25" t="n">
        <v>22.75</v>
      </c>
      <c r="S273" s="25" t="n">
        <v>31.85</v>
      </c>
      <c r="T273" s="25" t="n">
        <v>461</v>
      </c>
      <c r="U273" s="27" t="s">
        <v>58</v>
      </c>
      <c r="V273" s="21"/>
      <c r="W273" s="16"/>
      <c r="X273" s="16"/>
      <c r="Y273" s="16"/>
    </row>
    <row r="274" customFormat="false" ht="15.75" hidden="false" customHeight="true" outlineLevel="0" collapsed="false">
      <c r="A274" s="9" t="s">
        <v>25</v>
      </c>
      <c r="B274" s="10" t="s">
        <v>26</v>
      </c>
      <c r="C274" s="11" t="s">
        <v>125</v>
      </c>
      <c r="D274" s="10" t="s">
        <v>28</v>
      </c>
      <c r="E274" s="10" t="s">
        <v>28</v>
      </c>
      <c r="F274" s="10"/>
      <c r="G274" s="10" t="n">
        <v>39</v>
      </c>
      <c r="H274" s="10" t="n">
        <v>8.5</v>
      </c>
      <c r="I274" s="12" t="n">
        <v>1</v>
      </c>
      <c r="J274" s="12"/>
      <c r="K274" s="13" t="n">
        <f aca="false">41.52</f>
        <v>41.52</v>
      </c>
      <c r="L274" s="13" t="n">
        <f aca="false">116.16</f>
        <v>116.16</v>
      </c>
      <c r="M274" s="12" t="n">
        <v>14</v>
      </c>
      <c r="N274" s="12" t="n">
        <v>28</v>
      </c>
      <c r="O274" s="12" t="n">
        <v>105.5</v>
      </c>
      <c r="P274" s="13" t="n">
        <f aca="false">27</f>
        <v>27</v>
      </c>
      <c r="Q274" s="13" t="n">
        <f aca="false">136.07</f>
        <v>136.07</v>
      </c>
      <c r="R274" s="12" t="n">
        <v>15.3</v>
      </c>
      <c r="S274" s="12" t="n">
        <v>23.75</v>
      </c>
      <c r="T274" s="12" t="n">
        <v>390</v>
      </c>
      <c r="U274" s="14" t="s">
        <v>58</v>
      </c>
      <c r="V274" s="15"/>
      <c r="W274" s="16" t="str">
        <f aca="false">A274</f>
        <v>KL</v>
      </c>
      <c r="X274" s="17" t="e">
        <f aca="false">ifs(C274="","",X274="",NOW(),TRUE(),X274)</f>
        <v>#VALUE!</v>
      </c>
      <c r="Y274" s="17" t="e">
        <f aca="false">ifs(COUNTA(K274:U277)&lt;44,"",Y274="",NOW(),TRUE(),Y274)</f>
        <v>#VALUE!</v>
      </c>
    </row>
    <row r="275" customFormat="false" ht="15.75" hidden="false" customHeight="false" outlineLevel="0" collapsed="false">
      <c r="A275" s="9"/>
      <c r="B275" s="10"/>
      <c r="C275" s="10"/>
      <c r="D275" s="10"/>
      <c r="E275" s="10"/>
      <c r="F275" s="10"/>
      <c r="G275" s="10"/>
      <c r="H275" s="10"/>
      <c r="I275" s="18" t="n">
        <v>2</v>
      </c>
      <c r="J275" s="18"/>
      <c r="K275" s="19" t="n">
        <f aca="false">37.18</f>
        <v>37.18</v>
      </c>
      <c r="L275" s="19" t="n">
        <f aca="false">124.24</f>
        <v>124.24</v>
      </c>
      <c r="M275" s="18" t="n">
        <v>12</v>
      </c>
      <c r="N275" s="18" t="n">
        <v>28</v>
      </c>
      <c r="O275" s="18" t="n">
        <v>87.15</v>
      </c>
      <c r="P275" s="19" t="n">
        <f aca="false">23.55</f>
        <v>23.55</v>
      </c>
      <c r="Q275" s="19" t="n">
        <f aca="false">136.7</f>
        <v>136.7</v>
      </c>
      <c r="R275" s="18" t="n">
        <v>10.7</v>
      </c>
      <c r="S275" s="18" t="n">
        <v>22.9</v>
      </c>
      <c r="T275" s="18" t="n">
        <v>340</v>
      </c>
      <c r="U275" s="20" t="s">
        <v>58</v>
      </c>
      <c r="V275" s="21"/>
      <c r="W275" s="16"/>
      <c r="X275" s="16"/>
      <c r="Y275" s="16"/>
    </row>
    <row r="276" customFormat="false" ht="15.75" hidden="false" customHeight="false" outlineLevel="0" collapsed="false">
      <c r="A276" s="9"/>
      <c r="B276" s="10"/>
      <c r="C276" s="10"/>
      <c r="D276" s="10"/>
      <c r="E276" s="10"/>
      <c r="F276" s="10"/>
      <c r="G276" s="10"/>
      <c r="H276" s="10"/>
      <c r="I276" s="22" t="n">
        <v>3</v>
      </c>
      <c r="J276" s="22"/>
      <c r="K276" s="23" t="n">
        <f aca="false">39.61</f>
        <v>39.61</v>
      </c>
      <c r="L276" s="23" t="n">
        <f aca="false">118.1</f>
        <v>118.1</v>
      </c>
      <c r="M276" s="22" t="n">
        <v>14</v>
      </c>
      <c r="N276" s="22" t="n">
        <v>28</v>
      </c>
      <c r="O276" s="22" t="n">
        <v>92.05</v>
      </c>
      <c r="P276" s="23" t="n">
        <f aca="false">25.29</f>
        <v>25.29</v>
      </c>
      <c r="Q276" s="23" t="n">
        <f aca="false">134.1</f>
        <v>134.1</v>
      </c>
      <c r="R276" s="22" t="n">
        <v>10.85</v>
      </c>
      <c r="S276" s="22" t="n">
        <v>21.9</v>
      </c>
      <c r="T276" s="22" t="n">
        <v>383</v>
      </c>
      <c r="U276" s="24" t="s">
        <v>58</v>
      </c>
      <c r="V276" s="15"/>
      <c r="W276" s="16"/>
      <c r="X276" s="16"/>
      <c r="Y276" s="16"/>
    </row>
    <row r="277" customFormat="false" ht="15.75" hidden="false" customHeight="false" outlineLevel="0" collapsed="false">
      <c r="A277" s="9"/>
      <c r="B277" s="10"/>
      <c r="C277" s="10"/>
      <c r="D277" s="10"/>
      <c r="E277" s="10"/>
      <c r="F277" s="10"/>
      <c r="G277" s="10"/>
      <c r="H277" s="10"/>
      <c r="I277" s="25" t="n">
        <v>4</v>
      </c>
      <c r="J277" s="25"/>
      <c r="K277" s="26" t="n">
        <f aca="false">36.98</f>
        <v>36.98</v>
      </c>
      <c r="L277" s="26" t="n">
        <f aca="false">103.86</f>
        <v>103.86</v>
      </c>
      <c r="M277" s="25" t="n">
        <v>12</v>
      </c>
      <c r="N277" s="25" t="n">
        <v>26</v>
      </c>
      <c r="O277" s="25" t="n">
        <v>74.45</v>
      </c>
      <c r="P277" s="26" t="n">
        <f aca="false">23.33</f>
        <v>23.33</v>
      </c>
      <c r="Q277" s="26" t="n">
        <f aca="false">119.57</f>
        <v>119.57</v>
      </c>
      <c r="R277" s="25" t="n">
        <v>10.2</v>
      </c>
      <c r="S277" s="25" t="n">
        <v>21.4</v>
      </c>
      <c r="T277" s="25" t="n">
        <v>300</v>
      </c>
      <c r="U277" s="27" t="s">
        <v>58</v>
      </c>
      <c r="V277" s="21"/>
      <c r="W277" s="16"/>
      <c r="X277" s="16"/>
      <c r="Y277" s="16"/>
    </row>
    <row r="278" customFormat="false" ht="15.75" hidden="false" customHeight="true" outlineLevel="0" collapsed="false">
      <c r="A278" s="9" t="s">
        <v>25</v>
      </c>
      <c r="B278" s="10" t="s">
        <v>26</v>
      </c>
      <c r="C278" s="11" t="s">
        <v>126</v>
      </c>
      <c r="D278" s="10" t="s">
        <v>28</v>
      </c>
      <c r="E278" s="10" t="s">
        <v>28</v>
      </c>
      <c r="F278" s="10"/>
      <c r="G278" s="10" t="n">
        <v>12</v>
      </c>
      <c r="H278" s="10" t="n">
        <v>3.45</v>
      </c>
      <c r="I278" s="12" t="n">
        <v>1</v>
      </c>
      <c r="J278" s="12" t="s">
        <v>47</v>
      </c>
      <c r="K278" s="13" t="n">
        <f aca="false">44.98</f>
        <v>44.98</v>
      </c>
      <c r="L278" s="13" t="n">
        <f aca="false">156.78</f>
        <v>156.78</v>
      </c>
      <c r="M278" s="12" t="n">
        <v>16</v>
      </c>
      <c r="N278" s="12" t="n">
        <v>36</v>
      </c>
      <c r="O278" s="12" t="n">
        <v>174</v>
      </c>
      <c r="P278" s="13" t="n">
        <f aca="false">27.07</f>
        <v>27.07</v>
      </c>
      <c r="Q278" s="13" t="n">
        <f aca="false">178.22</f>
        <v>178.22</v>
      </c>
      <c r="R278" s="12" t="n">
        <v>20</v>
      </c>
      <c r="S278" s="12" t="n">
        <v>27.05</v>
      </c>
      <c r="T278" s="12" t="n">
        <v>574</v>
      </c>
      <c r="U278" s="14" t="s">
        <v>29</v>
      </c>
      <c r="V278" s="15"/>
      <c r="W278" s="16" t="str">
        <f aca="false">A278</f>
        <v>KL</v>
      </c>
      <c r="X278" s="17" t="e">
        <f aca="false">ifs(C278="","",X278="",NOW(),TRUE(),X278)</f>
        <v>#VALUE!</v>
      </c>
      <c r="Y278" s="17" t="e">
        <f aca="false">ifs(COUNTA(K278:U281)&lt;44,"",Y278="",NOW(),TRUE(),Y278)</f>
        <v>#VALUE!</v>
      </c>
    </row>
    <row r="279" customFormat="false" ht="15.75" hidden="false" customHeight="false" outlineLevel="0" collapsed="false">
      <c r="A279" s="9"/>
      <c r="B279" s="10"/>
      <c r="C279" s="10"/>
      <c r="D279" s="10"/>
      <c r="E279" s="10"/>
      <c r="F279" s="10"/>
      <c r="G279" s="10"/>
      <c r="H279" s="10"/>
      <c r="I279" s="18" t="n">
        <v>2</v>
      </c>
      <c r="J279" s="18" t="s">
        <v>47</v>
      </c>
      <c r="K279" s="19" t="n">
        <f aca="false">42.1</f>
        <v>42.1</v>
      </c>
      <c r="L279" s="19" t="n">
        <f aca="false">155.59</f>
        <v>155.59</v>
      </c>
      <c r="M279" s="18" t="n">
        <v>14</v>
      </c>
      <c r="N279" s="18" t="n">
        <v>34</v>
      </c>
      <c r="O279" s="18" t="n">
        <v>151.55</v>
      </c>
      <c r="P279" s="19" t="n">
        <f aca="false">24.78</f>
        <v>24.78</v>
      </c>
      <c r="Q279" s="19" t="n">
        <f aca="false">173.67</f>
        <v>173.67</v>
      </c>
      <c r="R279" s="18" t="n">
        <v>17.5</v>
      </c>
      <c r="S279" s="18" t="n">
        <v>27</v>
      </c>
      <c r="T279" s="18" t="n">
        <v>514</v>
      </c>
      <c r="U279" s="20" t="s">
        <v>29</v>
      </c>
      <c r="V279" s="21"/>
      <c r="W279" s="16"/>
      <c r="X279" s="16"/>
      <c r="Y279" s="16"/>
    </row>
    <row r="280" customFormat="false" ht="15.75" hidden="false" customHeight="false" outlineLevel="0" collapsed="false">
      <c r="A280" s="9"/>
      <c r="B280" s="10"/>
      <c r="C280" s="10"/>
      <c r="D280" s="10"/>
      <c r="E280" s="10"/>
      <c r="F280" s="10"/>
      <c r="G280" s="10"/>
      <c r="H280" s="10"/>
      <c r="I280" s="22" t="n">
        <v>3</v>
      </c>
      <c r="J280" s="22"/>
      <c r="K280" s="23" t="n">
        <f aca="false">43.22</f>
        <v>43.22</v>
      </c>
      <c r="L280" s="23" t="n">
        <f aca="false">134.94</f>
        <v>134.94</v>
      </c>
      <c r="M280" s="22" t="n">
        <v>14</v>
      </c>
      <c r="N280" s="22" t="n">
        <v>32</v>
      </c>
      <c r="O280" s="22" t="n">
        <v>142.9</v>
      </c>
      <c r="P280" s="23" t="n">
        <f aca="false">24.64</f>
        <v>24.64</v>
      </c>
      <c r="Q280" s="23" t="n">
        <f aca="false">160.59</f>
        <v>160.59</v>
      </c>
      <c r="R280" s="22" t="n">
        <v>15.8</v>
      </c>
      <c r="S280" s="22" t="n">
        <v>28.7</v>
      </c>
      <c r="T280" s="22" t="n">
        <v>449</v>
      </c>
      <c r="U280" s="24" t="s">
        <v>29</v>
      </c>
      <c r="V280" s="15"/>
      <c r="W280" s="16"/>
      <c r="X280" s="16"/>
      <c r="Y280" s="16"/>
    </row>
    <row r="281" customFormat="false" ht="15.75" hidden="false" customHeight="false" outlineLevel="0" collapsed="false">
      <c r="A281" s="9"/>
      <c r="B281" s="10"/>
      <c r="C281" s="10"/>
      <c r="D281" s="10"/>
      <c r="E281" s="10"/>
      <c r="F281" s="10"/>
      <c r="G281" s="10"/>
      <c r="H281" s="10"/>
      <c r="I281" s="25" t="n">
        <v>4</v>
      </c>
      <c r="J281" s="25"/>
      <c r="K281" s="26" t="n">
        <f aca="false">43.07</f>
        <v>43.07</v>
      </c>
      <c r="L281" s="26" t="n">
        <f aca="false">131.82</f>
        <v>131.82</v>
      </c>
      <c r="M281" s="25" t="n">
        <v>16</v>
      </c>
      <c r="N281" s="25" t="n">
        <v>30</v>
      </c>
      <c r="O281" s="25" t="n">
        <v>138.3</v>
      </c>
      <c r="P281" s="26" t="n">
        <f aca="false">24.75</f>
        <v>24.75</v>
      </c>
      <c r="Q281" s="26" t="n">
        <f aca="false">150.68</f>
        <v>150.68</v>
      </c>
      <c r="R281" s="25" t="n">
        <v>15.45</v>
      </c>
      <c r="S281" s="25" t="n">
        <v>23.1</v>
      </c>
      <c r="T281" s="25" t="n">
        <v>501</v>
      </c>
      <c r="U281" s="27" t="s">
        <v>29</v>
      </c>
      <c r="V281" s="21"/>
      <c r="W281" s="16"/>
      <c r="X281" s="16"/>
      <c r="Y281" s="16"/>
    </row>
    <row r="282" customFormat="false" ht="15.75" hidden="false" customHeight="true" outlineLevel="0" collapsed="false">
      <c r="A282" s="9" t="s">
        <v>25</v>
      </c>
      <c r="B282" s="10" t="s">
        <v>26</v>
      </c>
      <c r="C282" s="11" t="s">
        <v>127</v>
      </c>
      <c r="D282" s="10" t="s">
        <v>28</v>
      </c>
      <c r="E282" s="10" t="s">
        <v>28</v>
      </c>
      <c r="F282" s="10"/>
      <c r="G282" s="10" t="n">
        <v>6</v>
      </c>
      <c r="H282" s="10" t="n">
        <v>1.1</v>
      </c>
      <c r="I282" s="12" t="n">
        <v>1</v>
      </c>
      <c r="J282" s="12"/>
      <c r="K282" s="13" t="n">
        <f aca="false">48.32</f>
        <v>48.32</v>
      </c>
      <c r="L282" s="13" t="n">
        <f aca="false">149.87</f>
        <v>149.87</v>
      </c>
      <c r="M282" s="12" t="n">
        <v>16</v>
      </c>
      <c r="N282" s="12" t="n">
        <v>38</v>
      </c>
      <c r="O282" s="12" t="n">
        <v>184.85</v>
      </c>
      <c r="P282" s="13" t="n">
        <f aca="false">29.27</f>
        <v>29.27</v>
      </c>
      <c r="Q282" s="13" t="n">
        <f aca="false">169.5</f>
        <v>169.5</v>
      </c>
      <c r="R282" s="12" t="n">
        <v>25.95</v>
      </c>
      <c r="S282" s="12" t="n">
        <v>24.5</v>
      </c>
      <c r="T282" s="12" t="n">
        <v>630</v>
      </c>
      <c r="U282" s="14" t="s">
        <v>29</v>
      </c>
      <c r="V282" s="15"/>
      <c r="W282" s="16" t="str">
        <f aca="false">A282</f>
        <v>KL</v>
      </c>
      <c r="X282" s="17" t="e">
        <f aca="false">ifs(C282="","",X282="",NOW(),TRUE(),X282)</f>
        <v>#VALUE!</v>
      </c>
      <c r="Y282" s="17" t="e">
        <f aca="false">ifs(COUNTA(K282:U285)&lt;44,"",Y282="",NOW(),TRUE(),Y282)</f>
        <v>#VALUE!</v>
      </c>
    </row>
    <row r="283" customFormat="false" ht="15.75" hidden="false" customHeight="false" outlineLevel="0" collapsed="false">
      <c r="A283" s="9"/>
      <c r="B283" s="10"/>
      <c r="C283" s="10"/>
      <c r="D283" s="10"/>
      <c r="E283" s="10"/>
      <c r="F283" s="10"/>
      <c r="G283" s="10"/>
      <c r="H283" s="10"/>
      <c r="I283" s="18" t="n">
        <v>2</v>
      </c>
      <c r="J283" s="18"/>
      <c r="K283" s="19" t="n">
        <f aca="false">47.31</f>
        <v>47.31</v>
      </c>
      <c r="L283" s="19" t="n">
        <f aca="false">136.42</f>
        <v>136.42</v>
      </c>
      <c r="M283" s="18" t="n">
        <v>16</v>
      </c>
      <c r="N283" s="18" t="n">
        <v>34</v>
      </c>
      <c r="O283" s="18" t="n">
        <v>164.85</v>
      </c>
      <c r="P283" s="19" t="n">
        <f aca="false">28.39</f>
        <v>28.39</v>
      </c>
      <c r="Q283" s="19" t="n">
        <f aca="false">168.39</f>
        <v>168.39</v>
      </c>
      <c r="R283" s="18" t="n">
        <v>25.5</v>
      </c>
      <c r="S283" s="18" t="n">
        <v>25.2</v>
      </c>
      <c r="T283" s="18" t="n">
        <v>563</v>
      </c>
      <c r="U283" s="20" t="s">
        <v>29</v>
      </c>
      <c r="V283" s="21"/>
      <c r="W283" s="16"/>
      <c r="X283" s="16"/>
      <c r="Y283" s="16"/>
    </row>
    <row r="284" customFormat="false" ht="15.75" hidden="false" customHeight="false" outlineLevel="0" collapsed="false">
      <c r="A284" s="9"/>
      <c r="B284" s="10"/>
      <c r="C284" s="10"/>
      <c r="D284" s="10"/>
      <c r="E284" s="10"/>
      <c r="F284" s="10"/>
      <c r="G284" s="10"/>
      <c r="H284" s="10"/>
      <c r="I284" s="22" t="n">
        <v>3</v>
      </c>
      <c r="J284" s="22"/>
      <c r="K284" s="23" t="n">
        <f aca="false">44.01</f>
        <v>44.01</v>
      </c>
      <c r="L284" s="23" t="n">
        <f aca="false">134.62</f>
        <v>134.62</v>
      </c>
      <c r="M284" s="22" t="n">
        <v>16</v>
      </c>
      <c r="N284" s="22" t="n">
        <v>34</v>
      </c>
      <c r="O284" s="22" t="n">
        <v>137.4</v>
      </c>
      <c r="P284" s="23" t="n">
        <f aca="false">27.76</f>
        <v>27.76</v>
      </c>
      <c r="Q284" s="23" t="n">
        <f aca="false">158.91</f>
        <v>158.91</v>
      </c>
      <c r="R284" s="22" t="n">
        <v>18.7</v>
      </c>
      <c r="S284" s="22" t="n">
        <v>22</v>
      </c>
      <c r="T284" s="22" t="n">
        <v>547</v>
      </c>
      <c r="U284" s="24" t="s">
        <v>29</v>
      </c>
      <c r="V284" s="15"/>
      <c r="W284" s="16"/>
      <c r="X284" s="16"/>
      <c r="Y284" s="16"/>
    </row>
    <row r="285" customFormat="false" ht="15.75" hidden="false" customHeight="false" outlineLevel="0" collapsed="false">
      <c r="A285" s="9"/>
      <c r="B285" s="10"/>
      <c r="C285" s="10"/>
      <c r="D285" s="10"/>
      <c r="E285" s="10"/>
      <c r="F285" s="10"/>
      <c r="G285" s="10"/>
      <c r="H285" s="10"/>
      <c r="I285" s="25" t="n">
        <v>4</v>
      </c>
      <c r="J285" s="25"/>
      <c r="K285" s="26" t="n">
        <f aca="false">44.13</f>
        <v>44.13</v>
      </c>
      <c r="L285" s="26" t="n">
        <f aca="false">109.93</f>
        <v>109.93</v>
      </c>
      <c r="M285" s="25" t="n">
        <v>18</v>
      </c>
      <c r="N285" s="25" t="n">
        <v>28</v>
      </c>
      <c r="O285" s="25" t="n">
        <v>111</v>
      </c>
      <c r="P285" s="26" t="n">
        <f aca="false">27.03</f>
        <v>27.03</v>
      </c>
      <c r="Q285" s="26" t="n">
        <f aca="false">136.07</f>
        <v>136.07</v>
      </c>
      <c r="R285" s="25" t="n">
        <v>14</v>
      </c>
      <c r="S285" s="25" t="n">
        <v>18.95</v>
      </c>
      <c r="T285" s="25" t="n">
        <v>505</v>
      </c>
      <c r="U285" s="27" t="s">
        <v>29</v>
      </c>
      <c r="V285" s="21"/>
      <c r="W285" s="16"/>
      <c r="X285" s="16"/>
      <c r="Y285" s="16"/>
    </row>
    <row r="286" customFormat="false" ht="15.75" hidden="false" customHeight="true" outlineLevel="0" collapsed="false">
      <c r="A286" s="9" t="s">
        <v>25</v>
      </c>
      <c r="B286" s="10" t="s">
        <v>26</v>
      </c>
      <c r="C286" s="11" t="s">
        <v>128</v>
      </c>
      <c r="D286" s="10" t="s">
        <v>28</v>
      </c>
      <c r="E286" s="10" t="s">
        <v>28</v>
      </c>
      <c r="F286" s="10"/>
      <c r="G286" s="10" t="n">
        <v>8</v>
      </c>
      <c r="H286" s="10" t="n">
        <v>1.95</v>
      </c>
      <c r="I286" s="12" t="n">
        <v>1</v>
      </c>
      <c r="J286" s="12"/>
      <c r="K286" s="13" t="n">
        <f aca="false">42.62</f>
        <v>42.62</v>
      </c>
      <c r="L286" s="13" t="n">
        <f aca="false">165.69</f>
        <v>165.69</v>
      </c>
      <c r="M286" s="12" t="n">
        <v>14</v>
      </c>
      <c r="N286" s="12" t="n">
        <v>40</v>
      </c>
      <c r="O286" s="12" t="n">
        <v>165.9</v>
      </c>
      <c r="P286" s="13" t="n">
        <f aca="false">25.32</f>
        <v>25.32</v>
      </c>
      <c r="Q286" s="13" t="n">
        <f aca="false">175.03</f>
        <v>175.03</v>
      </c>
      <c r="R286" s="12" t="n">
        <v>16.8</v>
      </c>
      <c r="S286" s="12" t="n">
        <v>25.2</v>
      </c>
      <c r="T286" s="12" t="n">
        <v>577</v>
      </c>
      <c r="U286" s="14" t="s">
        <v>29</v>
      </c>
      <c r="V286" s="15"/>
      <c r="W286" s="16" t="str">
        <f aca="false">A286</f>
        <v>KL</v>
      </c>
      <c r="X286" s="17" t="e">
        <f aca="false">ifs(C286="","",X286="",NOW(),TRUE(),X286)</f>
        <v>#VALUE!</v>
      </c>
      <c r="Y286" s="17" t="e">
        <f aca="false">ifs(COUNTA(K286:U289)&lt;44,"",Y286="",NOW(),TRUE(),Y286)</f>
        <v>#VALUE!</v>
      </c>
    </row>
    <row r="287" customFormat="false" ht="15.75" hidden="false" customHeight="false" outlineLevel="0" collapsed="false">
      <c r="A287" s="9"/>
      <c r="B287" s="10"/>
      <c r="C287" s="10"/>
      <c r="D287" s="10"/>
      <c r="E287" s="10"/>
      <c r="F287" s="10"/>
      <c r="G287" s="10"/>
      <c r="H287" s="10"/>
      <c r="I287" s="18" t="n">
        <v>2</v>
      </c>
      <c r="J287" s="18" t="s">
        <v>47</v>
      </c>
      <c r="K287" s="19" t="n">
        <f aca="false">41.95</f>
        <v>41.95</v>
      </c>
      <c r="L287" s="19" t="n">
        <f aca="false">146.05</f>
        <v>146.05</v>
      </c>
      <c r="M287" s="18" t="n">
        <v>14</v>
      </c>
      <c r="N287" s="18" t="n">
        <v>34</v>
      </c>
      <c r="O287" s="18" t="n">
        <v>137.9</v>
      </c>
      <c r="P287" s="19" t="n">
        <f aca="false">23.95</f>
        <v>23.95</v>
      </c>
      <c r="Q287" s="19" t="n">
        <f aca="false">159.6</f>
        <v>159.6</v>
      </c>
      <c r="R287" s="18" t="n">
        <v>15.4</v>
      </c>
      <c r="S287" s="18" t="n">
        <v>26.05</v>
      </c>
      <c r="T287" s="18" t="n">
        <v>501</v>
      </c>
      <c r="U287" s="20" t="s">
        <v>29</v>
      </c>
      <c r="V287" s="21"/>
      <c r="W287" s="16"/>
      <c r="X287" s="16"/>
      <c r="Y287" s="16"/>
    </row>
    <row r="288" customFormat="false" ht="15.75" hidden="false" customHeight="false" outlineLevel="0" collapsed="false">
      <c r="A288" s="9"/>
      <c r="B288" s="10"/>
      <c r="C288" s="10"/>
      <c r="D288" s="10"/>
      <c r="E288" s="10"/>
      <c r="F288" s="10"/>
      <c r="G288" s="10"/>
      <c r="H288" s="10"/>
      <c r="I288" s="22" t="n">
        <v>3</v>
      </c>
      <c r="J288" s="22" t="s">
        <v>46</v>
      </c>
      <c r="K288" s="23" t="n">
        <f aca="false">43.33</f>
        <v>43.33</v>
      </c>
      <c r="L288" s="23" t="n">
        <f aca="false">117.42</f>
        <v>117.42</v>
      </c>
      <c r="M288" s="22" t="n">
        <v>18</v>
      </c>
      <c r="N288" s="22" t="n">
        <v>28</v>
      </c>
      <c r="O288" s="22" t="n">
        <v>122.8</v>
      </c>
      <c r="P288" s="23" t="n">
        <f aca="false">25.61</f>
        <v>25.61</v>
      </c>
      <c r="Q288" s="23" t="n">
        <f aca="false">145.43</f>
        <v>145.43</v>
      </c>
      <c r="R288" s="22" t="n">
        <v>14.65</v>
      </c>
      <c r="S288" s="22" t="n">
        <v>23</v>
      </c>
      <c r="T288" s="22" t="n">
        <v>487</v>
      </c>
      <c r="U288" s="24" t="s">
        <v>29</v>
      </c>
      <c r="V288" s="15"/>
      <c r="W288" s="16"/>
      <c r="X288" s="16"/>
      <c r="Y288" s="16"/>
    </row>
    <row r="289" customFormat="false" ht="15.75" hidden="false" customHeight="false" outlineLevel="0" collapsed="false">
      <c r="A289" s="9"/>
      <c r="B289" s="10"/>
      <c r="C289" s="10"/>
      <c r="D289" s="10"/>
      <c r="E289" s="10"/>
      <c r="F289" s="10"/>
      <c r="G289" s="10"/>
      <c r="H289" s="10"/>
      <c r="I289" s="25" t="n">
        <v>4</v>
      </c>
      <c r="J289" s="25" t="s">
        <v>46</v>
      </c>
      <c r="K289" s="26" t="n">
        <f aca="false">40.31</f>
        <v>40.31</v>
      </c>
      <c r="L289" s="26" t="n">
        <f aca="false">108.97</f>
        <v>108.97</v>
      </c>
      <c r="M289" s="25" t="n">
        <v>14</v>
      </c>
      <c r="N289" s="25" t="n">
        <v>26</v>
      </c>
      <c r="O289" s="25" t="n">
        <v>100.25</v>
      </c>
      <c r="P289" s="26" t="n">
        <f aca="false">23.29</f>
        <v>23.29</v>
      </c>
      <c r="Q289" s="26" t="n">
        <f aca="false">138.46</f>
        <v>138.46</v>
      </c>
      <c r="R289" s="25" t="n">
        <v>11.5</v>
      </c>
      <c r="S289" s="25" t="n">
        <v>23.6</v>
      </c>
      <c r="T289" s="25" t="n">
        <v>382</v>
      </c>
      <c r="U289" s="27" t="s">
        <v>29</v>
      </c>
      <c r="V289" s="21"/>
      <c r="W289" s="16"/>
      <c r="X289" s="16"/>
      <c r="Y289" s="16"/>
    </row>
    <row r="290" customFormat="false" ht="15.75" hidden="false" customHeight="true" outlineLevel="0" collapsed="false">
      <c r="A290" s="9" t="s">
        <v>25</v>
      </c>
      <c r="B290" s="10" t="s">
        <v>26</v>
      </c>
      <c r="C290" s="11" t="s">
        <v>129</v>
      </c>
      <c r="D290" s="10" t="s">
        <v>28</v>
      </c>
      <c r="E290" s="10" t="s">
        <v>28</v>
      </c>
      <c r="F290" s="10"/>
      <c r="G290" s="10" t="n">
        <v>19</v>
      </c>
      <c r="H290" s="10" t="n">
        <v>5.6</v>
      </c>
      <c r="I290" s="12" t="n">
        <v>1</v>
      </c>
      <c r="J290" s="12" t="s">
        <v>120</v>
      </c>
      <c r="K290" s="13" t="n">
        <f aca="false">45.12</f>
        <v>45.12</v>
      </c>
      <c r="L290" s="13" t="n">
        <f aca="false">175.78</f>
        <v>175.78</v>
      </c>
      <c r="M290" s="12" t="n">
        <v>14</v>
      </c>
      <c r="N290" s="12" t="n">
        <v>44</v>
      </c>
      <c r="O290" s="12" t="n">
        <v>198.75</v>
      </c>
      <c r="P290" s="13" t="n">
        <f aca="false">26.95</f>
        <v>26.95</v>
      </c>
      <c r="Q290" s="13" t="n">
        <f aca="false">206.57</f>
        <v>206.57</v>
      </c>
      <c r="R290" s="12" t="n">
        <v>23.05</v>
      </c>
      <c r="S290" s="12" t="n">
        <v>30.72</v>
      </c>
      <c r="T290" s="12" t="n">
        <v>562</v>
      </c>
      <c r="U290" s="14" t="s">
        <v>29</v>
      </c>
      <c r="V290" s="15"/>
      <c r="W290" s="16" t="str">
        <f aca="false">A290</f>
        <v>KL</v>
      </c>
      <c r="X290" s="17" t="e">
        <f aca="false">ifs(C290="","",X290="",NOW(),TRUE(),X290)</f>
        <v>#VALUE!</v>
      </c>
      <c r="Y290" s="17" t="e">
        <f aca="false">ifs(COUNTA(K290:U293)&lt;44,"",Y290="",NOW(),TRUE(),Y290)</f>
        <v>#VALUE!</v>
      </c>
    </row>
    <row r="291" customFormat="false" ht="15.75" hidden="false" customHeight="false" outlineLevel="0" collapsed="false">
      <c r="A291" s="9"/>
      <c r="B291" s="10"/>
      <c r="C291" s="10"/>
      <c r="D291" s="10"/>
      <c r="E291" s="10"/>
      <c r="F291" s="10"/>
      <c r="G291" s="10"/>
      <c r="H291" s="10"/>
      <c r="I291" s="18" t="n">
        <v>2</v>
      </c>
      <c r="J291" s="18" t="s">
        <v>47</v>
      </c>
      <c r="K291" s="19" t="n">
        <f aca="false">43.48</f>
        <v>43.48</v>
      </c>
      <c r="L291" s="19" t="n">
        <f aca="false">170.23</f>
        <v>170.23</v>
      </c>
      <c r="M291" s="18" t="n">
        <v>14</v>
      </c>
      <c r="N291" s="18" t="n">
        <v>40</v>
      </c>
      <c r="O291" s="18" t="n">
        <v>175.15</v>
      </c>
      <c r="P291" s="19" t="n">
        <f aca="false">24.06</f>
        <v>24.06</v>
      </c>
      <c r="Q291" s="19" t="n">
        <f aca="false">191.68</f>
        <v>191.68</v>
      </c>
      <c r="R291" s="18" t="n">
        <v>18.75</v>
      </c>
      <c r="S291" s="18" t="n">
        <v>28.55</v>
      </c>
      <c r="T291" s="18" t="n">
        <v>570</v>
      </c>
      <c r="U291" s="20" t="s">
        <v>29</v>
      </c>
      <c r="V291" s="21"/>
      <c r="W291" s="16"/>
      <c r="X291" s="16"/>
      <c r="Y291" s="16"/>
    </row>
    <row r="292" customFormat="false" ht="15.75" hidden="false" customHeight="false" outlineLevel="0" collapsed="false">
      <c r="A292" s="9"/>
      <c r="B292" s="10"/>
      <c r="C292" s="10"/>
      <c r="D292" s="10"/>
      <c r="E292" s="10"/>
      <c r="F292" s="10"/>
      <c r="G292" s="10"/>
      <c r="H292" s="10"/>
      <c r="I292" s="22" t="n">
        <v>3</v>
      </c>
      <c r="J292" s="22" t="s">
        <v>57</v>
      </c>
      <c r="K292" s="23" t="n">
        <f aca="false">44.58</f>
        <v>44.58</v>
      </c>
      <c r="L292" s="23" t="n">
        <f aca="false">155.89</f>
        <v>155.89</v>
      </c>
      <c r="M292" s="22" t="n">
        <v>14</v>
      </c>
      <c r="N292" s="22" t="n">
        <v>36</v>
      </c>
      <c r="O292" s="22" t="n">
        <v>165.7</v>
      </c>
      <c r="P292" s="23" t="n">
        <f aca="false">27.23</f>
        <v>27.23</v>
      </c>
      <c r="Q292" s="23" t="n">
        <f aca="false">177.52</f>
        <v>177.52</v>
      </c>
      <c r="R292" s="22" t="n">
        <v>18.45</v>
      </c>
      <c r="S292" s="22" t="n">
        <v>25.75</v>
      </c>
      <c r="T292" s="22" t="n">
        <v>561</v>
      </c>
      <c r="U292" s="24" t="s">
        <v>29</v>
      </c>
      <c r="V292" s="15"/>
      <c r="W292" s="16"/>
      <c r="X292" s="16"/>
      <c r="Y292" s="16"/>
    </row>
    <row r="293" customFormat="false" ht="15.75" hidden="false" customHeight="false" outlineLevel="0" collapsed="false">
      <c r="A293" s="9"/>
      <c r="B293" s="10"/>
      <c r="C293" s="10"/>
      <c r="D293" s="10"/>
      <c r="E293" s="10"/>
      <c r="F293" s="10"/>
      <c r="G293" s="10"/>
      <c r="H293" s="10"/>
      <c r="I293" s="25" t="n">
        <v>4</v>
      </c>
      <c r="J293" s="25" t="s">
        <v>57</v>
      </c>
      <c r="K293" s="26" t="n">
        <f aca="false">44.47</f>
        <v>44.47</v>
      </c>
      <c r="L293" s="26" t="n">
        <f aca="false">149.38</f>
        <v>149.38</v>
      </c>
      <c r="M293" s="25" t="n">
        <v>14</v>
      </c>
      <c r="N293" s="25" t="n">
        <v>36</v>
      </c>
      <c r="O293" s="25" t="n">
        <v>149.75</v>
      </c>
      <c r="P293" s="26" t="n">
        <f aca="false">24.18</f>
        <v>24.18</v>
      </c>
      <c r="Q293" s="26" t="n">
        <f aca="false">176.26</f>
        <v>176.26</v>
      </c>
      <c r="R293" s="25" t="n">
        <v>15.35</v>
      </c>
      <c r="S293" s="25" t="n">
        <v>27.15</v>
      </c>
      <c r="T293" s="25" t="n">
        <v>507</v>
      </c>
      <c r="U293" s="27" t="s">
        <v>29</v>
      </c>
      <c r="V293" s="21"/>
      <c r="W293" s="16"/>
      <c r="X293" s="16"/>
      <c r="Y293" s="16"/>
    </row>
    <row r="294" customFormat="false" ht="15.75" hidden="false" customHeight="true" outlineLevel="0" collapsed="false">
      <c r="A294" s="9" t="s">
        <v>25</v>
      </c>
      <c r="B294" s="10" t="s">
        <v>26</v>
      </c>
      <c r="C294" s="11" t="s">
        <v>130</v>
      </c>
      <c r="D294" s="10" t="s">
        <v>28</v>
      </c>
      <c r="E294" s="10" t="s">
        <v>28</v>
      </c>
      <c r="F294" s="10"/>
      <c r="G294" s="10" t="n">
        <v>3</v>
      </c>
      <c r="H294" s="10" t="n">
        <v>0.75</v>
      </c>
      <c r="I294" s="12" t="n">
        <v>1</v>
      </c>
      <c r="J294" s="12"/>
      <c r="K294" s="13" t="n">
        <f aca="false">44.66</f>
        <v>44.66</v>
      </c>
      <c r="L294" s="13" t="n">
        <f aca="false">177.03</f>
        <v>177.03</v>
      </c>
      <c r="M294" s="12" t="n">
        <v>16</v>
      </c>
      <c r="N294" s="12" t="n">
        <v>40</v>
      </c>
      <c r="O294" s="12" t="n">
        <v>196.6</v>
      </c>
      <c r="P294" s="13" t="n">
        <f aca="false">24.31</f>
        <v>24.31</v>
      </c>
      <c r="Q294" s="13" t="n">
        <f aca="false">185.56</f>
        <v>185.56</v>
      </c>
      <c r="R294" s="12" t="n">
        <v>23.7</v>
      </c>
      <c r="S294" s="12" t="n">
        <v>25.15</v>
      </c>
      <c r="T294" s="12" t="n">
        <v>704</v>
      </c>
      <c r="U294" s="14" t="s">
        <v>29</v>
      </c>
      <c r="V294" s="15"/>
      <c r="W294" s="16" t="str">
        <f aca="false">A294</f>
        <v>KL</v>
      </c>
      <c r="X294" s="17" t="e">
        <f aca="false">ifs(C294="","",X294="",NOW(),TRUE(),X294)</f>
        <v>#VALUE!</v>
      </c>
      <c r="Y294" s="17" t="e">
        <f aca="false">ifs(COUNTA(K294:U297)&lt;44,"",Y294="",NOW(),TRUE(),Y294)</f>
        <v>#VALUE!</v>
      </c>
    </row>
    <row r="295" customFormat="false" ht="15.75" hidden="false" customHeight="false" outlineLevel="0" collapsed="false">
      <c r="A295" s="9"/>
      <c r="B295" s="10"/>
      <c r="C295" s="10"/>
      <c r="D295" s="10"/>
      <c r="E295" s="10"/>
      <c r="F295" s="10"/>
      <c r="G295" s="10"/>
      <c r="H295" s="10"/>
      <c r="I295" s="18" t="n">
        <v>2</v>
      </c>
      <c r="J295" s="18"/>
      <c r="K295" s="19" t="n">
        <f aca="false">42.3</f>
        <v>42.3</v>
      </c>
      <c r="L295" s="19" t="n">
        <f aca="false">165.57</f>
        <v>165.57</v>
      </c>
      <c r="M295" s="18" t="n">
        <v>14</v>
      </c>
      <c r="N295" s="18" t="n">
        <v>40</v>
      </c>
      <c r="O295" s="18" t="n">
        <v>178.2</v>
      </c>
      <c r="P295" s="19" t="n">
        <f aca="false">25.11</f>
        <v>25.11</v>
      </c>
      <c r="Q295" s="19" t="n">
        <f aca="false">178.84</f>
        <v>178.84</v>
      </c>
      <c r="R295" s="18" t="n">
        <v>20.45</v>
      </c>
      <c r="S295" s="18" t="n">
        <v>24.25</v>
      </c>
      <c r="T295" s="18" t="n">
        <v>642</v>
      </c>
      <c r="U295" s="20" t="s">
        <v>29</v>
      </c>
      <c r="V295" s="21"/>
      <c r="W295" s="16"/>
      <c r="X295" s="16"/>
      <c r="Y295" s="16"/>
    </row>
    <row r="296" customFormat="false" ht="15.75" hidden="false" customHeight="false" outlineLevel="0" collapsed="false">
      <c r="A296" s="9"/>
      <c r="B296" s="10"/>
      <c r="C296" s="10"/>
      <c r="D296" s="10"/>
      <c r="E296" s="10"/>
      <c r="F296" s="10"/>
      <c r="G296" s="10"/>
      <c r="H296" s="10"/>
      <c r="I296" s="22" t="n">
        <v>3</v>
      </c>
      <c r="J296" s="22"/>
      <c r="K296" s="23" t="n">
        <f aca="false">44.19</f>
        <v>44.19</v>
      </c>
      <c r="L296" s="23" t="n">
        <f aca="false">168.54</f>
        <v>168.54</v>
      </c>
      <c r="M296" s="22" t="n">
        <v>16</v>
      </c>
      <c r="N296" s="22" t="n">
        <v>42</v>
      </c>
      <c r="O296" s="22" t="n">
        <v>179.75</v>
      </c>
      <c r="P296" s="23" t="n">
        <f aca="false">25.27</f>
        <v>25.27</v>
      </c>
      <c r="Q296" s="23" t="n">
        <f aca="false">174.01</f>
        <v>174.01</v>
      </c>
      <c r="R296" s="22" t="n">
        <v>19.4</v>
      </c>
      <c r="S296" s="22" t="n">
        <v>24.05</v>
      </c>
      <c r="T296" s="22" t="n">
        <v>686</v>
      </c>
      <c r="U296" s="24" t="s">
        <v>29</v>
      </c>
      <c r="V296" s="15"/>
      <c r="W296" s="16"/>
      <c r="X296" s="16"/>
      <c r="Y296" s="16"/>
    </row>
    <row r="297" customFormat="false" ht="15.75" hidden="false" customHeight="false" outlineLevel="0" collapsed="false">
      <c r="A297" s="9"/>
      <c r="B297" s="10"/>
      <c r="C297" s="10"/>
      <c r="D297" s="10"/>
      <c r="E297" s="10"/>
      <c r="F297" s="10"/>
      <c r="G297" s="10"/>
      <c r="H297" s="10"/>
      <c r="I297" s="25" t="n">
        <v>4</v>
      </c>
      <c r="J297" s="25"/>
      <c r="K297" s="26" t="n">
        <f aca="false">42.12</f>
        <v>42.12</v>
      </c>
      <c r="L297" s="26" t="n">
        <f aca="false">145.66</f>
        <v>145.66</v>
      </c>
      <c r="M297" s="25" t="n">
        <v>16</v>
      </c>
      <c r="N297" s="25" t="n">
        <v>40</v>
      </c>
      <c r="O297" s="25" t="n">
        <v>140.55</v>
      </c>
      <c r="P297" s="26" t="n">
        <f aca="false">24.84</f>
        <v>24.84</v>
      </c>
      <c r="Q297" s="26" t="n">
        <f aca="false">161.23</f>
        <v>161.23</v>
      </c>
      <c r="R297" s="25" t="n">
        <v>17.1</v>
      </c>
      <c r="S297" s="25" t="n">
        <v>20.65</v>
      </c>
      <c r="T297" s="25" t="n">
        <v>643</v>
      </c>
      <c r="U297" s="27" t="s">
        <v>29</v>
      </c>
      <c r="V297" s="21"/>
      <c r="W297" s="16"/>
      <c r="X297" s="16"/>
      <c r="Y297" s="16"/>
    </row>
    <row r="298" customFormat="false" ht="15.75" hidden="false" customHeight="true" outlineLevel="0" collapsed="false">
      <c r="A298" s="9" t="s">
        <v>25</v>
      </c>
      <c r="B298" s="10" t="s">
        <v>26</v>
      </c>
      <c r="C298" s="11" t="s">
        <v>131</v>
      </c>
      <c r="D298" s="10" t="s">
        <v>28</v>
      </c>
      <c r="E298" s="10" t="s">
        <v>28</v>
      </c>
      <c r="F298" s="10"/>
      <c r="G298" s="10" t="n">
        <v>10</v>
      </c>
      <c r="H298" s="10" t="n">
        <v>3</v>
      </c>
      <c r="I298" s="12" t="n">
        <v>1</v>
      </c>
      <c r="J298" s="12"/>
      <c r="K298" s="13" t="n">
        <f aca="false">43.47</f>
        <v>43.47</v>
      </c>
      <c r="L298" s="13" t="n">
        <f aca="false">146.22</f>
        <v>146.22</v>
      </c>
      <c r="M298" s="12" t="n">
        <v>12</v>
      </c>
      <c r="N298" s="12" t="n">
        <v>36</v>
      </c>
      <c r="O298" s="12" t="n">
        <v>155.55</v>
      </c>
      <c r="P298" s="13" t="n">
        <f aca="false">24.68</f>
        <v>24.68</v>
      </c>
      <c r="Q298" s="13" t="n">
        <f aca="false">160.53</f>
        <v>160.53</v>
      </c>
      <c r="R298" s="12" t="n">
        <v>20.8</v>
      </c>
      <c r="S298" s="12" t="n">
        <v>29.2</v>
      </c>
      <c r="T298" s="12" t="n">
        <v>464</v>
      </c>
      <c r="U298" s="14" t="s">
        <v>29</v>
      </c>
      <c r="V298" s="15"/>
      <c r="W298" s="16" t="str">
        <f aca="false">A298</f>
        <v>KL</v>
      </c>
      <c r="X298" s="17" t="e">
        <f aca="false">ifs(C298="","",X298="",NOW(),TRUE(),X298)</f>
        <v>#VALUE!</v>
      </c>
      <c r="Y298" s="17" t="e">
        <f aca="false">ifs(COUNTA(K298:U301)&lt;44,"",Y298="",NOW(),TRUE(),Y298)</f>
        <v>#VALUE!</v>
      </c>
    </row>
    <row r="299" customFormat="false" ht="15.75" hidden="false" customHeight="false" outlineLevel="0" collapsed="false">
      <c r="A299" s="9"/>
      <c r="B299" s="10"/>
      <c r="C299" s="10"/>
      <c r="D299" s="10"/>
      <c r="E299" s="10"/>
      <c r="F299" s="10"/>
      <c r="G299" s="10"/>
      <c r="H299" s="10"/>
      <c r="I299" s="18" t="n">
        <v>2</v>
      </c>
      <c r="J299" s="18"/>
      <c r="K299" s="19" t="n">
        <f aca="false">40.66</f>
        <v>40.66</v>
      </c>
      <c r="L299" s="19" t="n">
        <f aca="false">133.94</f>
        <v>133.94</v>
      </c>
      <c r="M299" s="18" t="n">
        <v>12</v>
      </c>
      <c r="N299" s="18" t="n">
        <v>32</v>
      </c>
      <c r="O299" s="18" t="n">
        <v>123.9</v>
      </c>
      <c r="P299" s="19" t="n">
        <f aca="false">25.19</f>
        <v>25.19</v>
      </c>
      <c r="Q299" s="19" t="n">
        <f aca="false">151.05</f>
        <v>151.05</v>
      </c>
      <c r="R299" s="18" t="n">
        <v>19.4</v>
      </c>
      <c r="S299" s="18" t="n">
        <v>26.35</v>
      </c>
      <c r="T299" s="18" t="n">
        <v>408</v>
      </c>
      <c r="U299" s="20" t="s">
        <v>29</v>
      </c>
      <c r="V299" s="21"/>
      <c r="W299" s="16"/>
      <c r="X299" s="16"/>
      <c r="Y299" s="16"/>
    </row>
    <row r="300" customFormat="false" ht="15.75" hidden="false" customHeight="false" outlineLevel="0" collapsed="false">
      <c r="A300" s="9"/>
      <c r="B300" s="10"/>
      <c r="C300" s="10"/>
      <c r="D300" s="10"/>
      <c r="E300" s="10"/>
      <c r="F300" s="10"/>
      <c r="G300" s="10"/>
      <c r="H300" s="10"/>
      <c r="I300" s="22" t="n">
        <v>3</v>
      </c>
      <c r="J300" s="22"/>
      <c r="K300" s="23" t="n">
        <f aca="false">39.72</f>
        <v>39.72</v>
      </c>
      <c r="L300" s="23" t="n">
        <f aca="false">129.05</f>
        <v>129.05</v>
      </c>
      <c r="M300" s="22" t="n">
        <v>12</v>
      </c>
      <c r="N300" s="22" t="n">
        <v>32</v>
      </c>
      <c r="O300" s="22" t="n">
        <v>117.4</v>
      </c>
      <c r="P300" s="23" t="n">
        <f aca="false">22.97</f>
        <v>22.97</v>
      </c>
      <c r="Q300" s="23" t="n">
        <f aca="false">132.68</f>
        <v>132.68</v>
      </c>
      <c r="R300" s="22" t="n">
        <v>16.1</v>
      </c>
      <c r="S300" s="22" t="n">
        <v>26.2</v>
      </c>
      <c r="T300" s="22" t="n">
        <v>393</v>
      </c>
      <c r="U300" s="24" t="s">
        <v>29</v>
      </c>
      <c r="V300" s="15"/>
      <c r="W300" s="16"/>
      <c r="X300" s="16"/>
      <c r="Y300" s="16"/>
    </row>
    <row r="301" customFormat="false" ht="15.75" hidden="false" customHeight="false" outlineLevel="0" collapsed="false">
      <c r="A301" s="9"/>
      <c r="B301" s="10"/>
      <c r="C301" s="10"/>
      <c r="D301" s="10"/>
      <c r="E301" s="10"/>
      <c r="F301" s="10"/>
      <c r="G301" s="10"/>
      <c r="H301" s="10"/>
      <c r="I301" s="25" t="n">
        <v>4</v>
      </c>
      <c r="J301" s="25"/>
      <c r="K301" s="26" t="n">
        <f aca="false">38.41</f>
        <v>38.41</v>
      </c>
      <c r="L301" s="26" t="n">
        <f aca="false">100.66</f>
        <v>100.66</v>
      </c>
      <c r="M301" s="25" t="n">
        <v>12</v>
      </c>
      <c r="N301" s="25" t="n">
        <v>26</v>
      </c>
      <c r="O301" s="25" t="n">
        <v>81.15</v>
      </c>
      <c r="P301" s="26" t="n">
        <f aca="false">21.51</f>
        <v>21.51</v>
      </c>
      <c r="Q301" s="26" t="n">
        <f aca="false">118.1</f>
        <v>118.1</v>
      </c>
      <c r="R301" s="25" t="n">
        <v>12.1</v>
      </c>
      <c r="S301" s="25" t="n">
        <v>25.15</v>
      </c>
      <c r="T301" s="25" t="n">
        <v>282</v>
      </c>
      <c r="U301" s="27" t="s">
        <v>29</v>
      </c>
      <c r="V301" s="21"/>
      <c r="W301" s="16"/>
      <c r="X301" s="16"/>
      <c r="Y301" s="16"/>
    </row>
    <row r="302" customFormat="false" ht="15.75" hidden="false" customHeight="true" outlineLevel="0" collapsed="false">
      <c r="A302" s="9" t="s">
        <v>25</v>
      </c>
      <c r="B302" s="10" t="s">
        <v>26</v>
      </c>
      <c r="C302" s="11" t="s">
        <v>132</v>
      </c>
      <c r="D302" s="10" t="s">
        <v>28</v>
      </c>
      <c r="E302" s="10" t="s">
        <v>28</v>
      </c>
      <c r="F302" s="10"/>
      <c r="G302" s="10" t="n">
        <v>127</v>
      </c>
      <c r="H302" s="10" t="n">
        <v>40.6</v>
      </c>
      <c r="I302" s="12" t="n">
        <v>1</v>
      </c>
      <c r="J302" s="12"/>
      <c r="K302" s="13" t="n">
        <f aca="false">48.09</f>
        <v>48.09</v>
      </c>
      <c r="L302" s="13" t="n">
        <f aca="false">176.89</f>
        <v>176.89</v>
      </c>
      <c r="M302" s="12" t="n">
        <v>16</v>
      </c>
      <c r="N302" s="12" t="n">
        <v>36</v>
      </c>
      <c r="O302" s="12" t="n">
        <v>182.25</v>
      </c>
      <c r="P302" s="13" t="n">
        <f aca="false">30.88</f>
        <v>30.88</v>
      </c>
      <c r="Q302" s="13" t="n">
        <f aca="false">178.52</f>
        <v>178.52</v>
      </c>
      <c r="R302" s="12" t="n">
        <v>23.25</v>
      </c>
      <c r="S302" s="12" t="n">
        <v>30.95</v>
      </c>
      <c r="T302" s="12" t="n">
        <v>502</v>
      </c>
      <c r="U302" s="14" t="s">
        <v>58</v>
      </c>
      <c r="V302" s="15"/>
      <c r="W302" s="16" t="str">
        <f aca="false">A302</f>
        <v>KL</v>
      </c>
      <c r="X302" s="17" t="e">
        <f aca="false">ifs(C302="","",X302="",NOW(),TRUE(),X302)</f>
        <v>#VALUE!</v>
      </c>
      <c r="Y302" s="17" t="e">
        <f aca="false">ifs(COUNTA(K302:U305)&lt;44,"",Y302="",NOW(),TRUE(),Y302)</f>
        <v>#VALUE!</v>
      </c>
    </row>
    <row r="303" customFormat="false" ht="15.75" hidden="false" customHeight="false" outlineLevel="0" collapsed="false">
      <c r="A303" s="9"/>
      <c r="B303" s="10"/>
      <c r="C303" s="10"/>
      <c r="D303" s="10"/>
      <c r="E303" s="10"/>
      <c r="F303" s="10"/>
      <c r="G303" s="10"/>
      <c r="H303" s="10"/>
      <c r="I303" s="18" t="n">
        <v>2</v>
      </c>
      <c r="J303" s="18" t="s">
        <v>49</v>
      </c>
      <c r="K303" s="19" t="n">
        <f aca="false">48.28</f>
        <v>48.28</v>
      </c>
      <c r="L303" s="19" t="n">
        <f aca="false">131.17</f>
        <v>131.17</v>
      </c>
      <c r="M303" s="18" t="n">
        <v>16</v>
      </c>
      <c r="N303" s="18" t="n">
        <v>24</v>
      </c>
      <c r="O303" s="18" t="n">
        <v>146.95</v>
      </c>
      <c r="P303" s="19" t="n">
        <f aca="false">30.99</f>
        <v>30.99</v>
      </c>
      <c r="Q303" s="19" t="n">
        <f aca="false">166.36</f>
        <v>166.36</v>
      </c>
      <c r="R303" s="18" t="n">
        <v>16.7</v>
      </c>
      <c r="S303" s="18" t="n">
        <v>33.2</v>
      </c>
      <c r="T303" s="18" t="n">
        <v>405</v>
      </c>
      <c r="U303" s="20" t="s">
        <v>58</v>
      </c>
      <c r="V303" s="21"/>
      <c r="W303" s="16"/>
      <c r="X303" s="16"/>
      <c r="Y303" s="16"/>
    </row>
    <row r="304" customFormat="false" ht="15.75" hidden="false" customHeight="false" outlineLevel="0" collapsed="false">
      <c r="A304" s="9"/>
      <c r="B304" s="10"/>
      <c r="C304" s="10"/>
      <c r="D304" s="10"/>
      <c r="E304" s="10"/>
      <c r="F304" s="10"/>
      <c r="G304" s="10"/>
      <c r="H304" s="10"/>
      <c r="I304" s="22" t="n">
        <v>3</v>
      </c>
      <c r="J304" s="22"/>
      <c r="K304" s="23" t="n">
        <f aca="false">47.7</f>
        <v>47.7</v>
      </c>
      <c r="L304" s="23" t="n">
        <f aca="false">152.07</f>
        <v>152.07</v>
      </c>
      <c r="M304" s="22" t="n">
        <v>14</v>
      </c>
      <c r="N304" s="22" t="n">
        <v>30</v>
      </c>
      <c r="O304" s="22" t="n">
        <v>144.9</v>
      </c>
      <c r="P304" s="23" t="n">
        <f aca="false">28.73</f>
        <v>28.73</v>
      </c>
      <c r="Q304" s="23" t="n">
        <f aca="false">168.49</f>
        <v>168.49</v>
      </c>
      <c r="R304" s="22" t="n">
        <v>20.35</v>
      </c>
      <c r="S304" s="22" t="n">
        <v>33.4</v>
      </c>
      <c r="T304" s="22" t="n">
        <v>373</v>
      </c>
      <c r="U304" s="24" t="s">
        <v>58</v>
      </c>
      <c r="V304" s="15"/>
      <c r="W304" s="16"/>
      <c r="X304" s="16"/>
      <c r="Y304" s="16"/>
    </row>
    <row r="305" customFormat="false" ht="15.75" hidden="false" customHeight="false" outlineLevel="0" collapsed="false">
      <c r="A305" s="9"/>
      <c r="B305" s="10"/>
      <c r="C305" s="10"/>
      <c r="D305" s="10"/>
      <c r="E305" s="10"/>
      <c r="F305" s="10"/>
      <c r="G305" s="10"/>
      <c r="H305" s="10"/>
      <c r="I305" s="25" t="n">
        <v>4</v>
      </c>
      <c r="J305" s="25"/>
      <c r="K305" s="26" t="n">
        <f aca="false">46.96</f>
        <v>46.96</v>
      </c>
      <c r="L305" s="26" t="n">
        <f aca="false">144.16</f>
        <v>144.16</v>
      </c>
      <c r="M305" s="25" t="n">
        <v>14</v>
      </c>
      <c r="N305" s="25" t="n">
        <v>30</v>
      </c>
      <c r="O305" s="25" t="n">
        <v>131.15</v>
      </c>
      <c r="P305" s="26" t="n">
        <f aca="false">27.82</f>
        <v>27.82</v>
      </c>
      <c r="Q305" s="26" t="n">
        <f aca="false">167.12</f>
        <v>167.12</v>
      </c>
      <c r="R305" s="25" t="n">
        <v>16.8</v>
      </c>
      <c r="S305" s="25" t="n">
        <v>29.7</v>
      </c>
      <c r="T305" s="25" t="n">
        <v>378</v>
      </c>
      <c r="U305" s="27" t="s">
        <v>58</v>
      </c>
      <c r="V305" s="21"/>
      <c r="W305" s="16"/>
      <c r="X305" s="16"/>
      <c r="Y305" s="16"/>
    </row>
    <row r="306" customFormat="false" ht="15.75" hidden="false" customHeight="true" outlineLevel="0" collapsed="false">
      <c r="A306" s="9" t="s">
        <v>25</v>
      </c>
      <c r="B306" s="10" t="s">
        <v>26</v>
      </c>
      <c r="C306" s="11" t="s">
        <v>133</v>
      </c>
      <c r="D306" s="10" t="s">
        <v>28</v>
      </c>
      <c r="E306" s="10" t="s">
        <v>28</v>
      </c>
      <c r="F306" s="10"/>
      <c r="G306" s="10" t="n">
        <v>44</v>
      </c>
      <c r="H306" s="10" t="n">
        <v>12.15</v>
      </c>
      <c r="I306" s="12" t="n">
        <v>1</v>
      </c>
      <c r="J306" s="12"/>
      <c r="K306" s="13" t="n">
        <f aca="false">46.05</f>
        <v>46.05</v>
      </c>
      <c r="L306" s="13" t="n">
        <f aca="false">177.15</f>
        <v>177.15</v>
      </c>
      <c r="M306" s="12" t="n">
        <v>14</v>
      </c>
      <c r="N306" s="12" t="n">
        <v>42</v>
      </c>
      <c r="O306" s="12" t="n">
        <v>185.5</v>
      </c>
      <c r="P306" s="13" t="n">
        <f aca="false">27.15</f>
        <v>27.15</v>
      </c>
      <c r="Q306" s="13" t="n">
        <f aca="false">187.87</f>
        <v>187.87</v>
      </c>
      <c r="R306" s="12" t="n">
        <v>20.7</v>
      </c>
      <c r="S306" s="12" t="n">
        <v>27.3</v>
      </c>
      <c r="T306" s="12" t="n">
        <v>590</v>
      </c>
      <c r="U306" s="14" t="s">
        <v>97</v>
      </c>
      <c r="V306" s="15"/>
      <c r="W306" s="16" t="str">
        <f aca="false">A306</f>
        <v>KL</v>
      </c>
      <c r="X306" s="17" t="e">
        <f aca="false">ifs(C306="","",X306="",NOW(),TRUE(),X306)</f>
        <v>#VALUE!</v>
      </c>
      <c r="Y306" s="17" t="e">
        <f aca="false">ifs(COUNTA(K306:U309)&lt;44,"",Y306="",NOW(),TRUE(),Y306)</f>
        <v>#VALUE!</v>
      </c>
    </row>
    <row r="307" customFormat="false" ht="15.75" hidden="false" customHeight="false" outlineLevel="0" collapsed="false">
      <c r="A307" s="9"/>
      <c r="B307" s="10"/>
      <c r="C307" s="10"/>
      <c r="D307" s="10"/>
      <c r="E307" s="10"/>
      <c r="F307" s="10"/>
      <c r="G307" s="10"/>
      <c r="H307" s="10"/>
      <c r="I307" s="18" t="n">
        <v>2</v>
      </c>
      <c r="J307" s="18"/>
      <c r="K307" s="19" t="n">
        <f aca="false">41.46</f>
        <v>41.46</v>
      </c>
      <c r="L307" s="19" t="n">
        <f aca="false">146.39</f>
        <v>146.39</v>
      </c>
      <c r="M307" s="18" t="n">
        <v>12</v>
      </c>
      <c r="N307" s="18" t="n">
        <v>36</v>
      </c>
      <c r="O307" s="18" t="n">
        <v>119.7</v>
      </c>
      <c r="P307" s="19" t="n">
        <f aca="false">24.65</f>
        <v>24.65</v>
      </c>
      <c r="Q307" s="19" t="n">
        <f aca="false">165.58</f>
        <v>165.58</v>
      </c>
      <c r="R307" s="18" t="n">
        <v>13.45</v>
      </c>
      <c r="S307" s="18" t="n">
        <v>25</v>
      </c>
      <c r="T307" s="18" t="n">
        <v>426</v>
      </c>
      <c r="U307" s="20" t="s">
        <v>97</v>
      </c>
      <c r="V307" s="21"/>
      <c r="W307" s="16"/>
      <c r="X307" s="16"/>
      <c r="Y307" s="16"/>
    </row>
    <row r="308" customFormat="false" ht="15.75" hidden="false" customHeight="false" outlineLevel="0" collapsed="false">
      <c r="A308" s="9"/>
      <c r="B308" s="10"/>
      <c r="C308" s="10"/>
      <c r="D308" s="10"/>
      <c r="E308" s="10"/>
      <c r="F308" s="10"/>
      <c r="G308" s="10"/>
      <c r="H308" s="10"/>
      <c r="I308" s="22" t="n">
        <v>3</v>
      </c>
      <c r="J308" s="22" t="s">
        <v>47</v>
      </c>
      <c r="K308" s="23" t="n">
        <f aca="false">43.37</f>
        <v>43.37</v>
      </c>
      <c r="L308" s="23" t="n">
        <f aca="false">136.84</f>
        <v>136.84</v>
      </c>
      <c r="M308" s="22" t="n">
        <v>14</v>
      </c>
      <c r="N308" s="22" t="n">
        <v>30</v>
      </c>
      <c r="O308" s="22" t="n">
        <v>124.6</v>
      </c>
      <c r="P308" s="23" t="n">
        <f aca="false">24.19</f>
        <v>24.19</v>
      </c>
      <c r="Q308" s="23" t="n">
        <f aca="false">157.31</f>
        <v>157.31</v>
      </c>
      <c r="R308" s="22" t="n">
        <v>14.4</v>
      </c>
      <c r="S308" s="22" t="n">
        <v>26.65</v>
      </c>
      <c r="T308" s="22" t="n">
        <v>418</v>
      </c>
      <c r="U308" s="24" t="s">
        <v>29</v>
      </c>
      <c r="V308" s="15"/>
      <c r="W308" s="16"/>
      <c r="X308" s="16"/>
      <c r="Y308" s="16"/>
    </row>
    <row r="309" customFormat="false" ht="15.75" hidden="false" customHeight="false" outlineLevel="0" collapsed="false">
      <c r="A309" s="9"/>
      <c r="B309" s="10"/>
      <c r="C309" s="10"/>
      <c r="D309" s="10"/>
      <c r="E309" s="10"/>
      <c r="F309" s="10"/>
      <c r="G309" s="10"/>
      <c r="H309" s="10"/>
      <c r="I309" s="25" t="n">
        <v>4</v>
      </c>
      <c r="J309" s="25" t="s">
        <v>35</v>
      </c>
      <c r="K309" s="26" t="n">
        <f aca="false">43.32</f>
        <v>43.32</v>
      </c>
      <c r="L309" s="26" t="n">
        <f aca="false">112.53</f>
        <v>112.53</v>
      </c>
      <c r="M309" s="25" t="n">
        <v>16</v>
      </c>
      <c r="N309" s="25" t="n">
        <v>28</v>
      </c>
      <c r="O309" s="25" t="n">
        <v>103.45</v>
      </c>
      <c r="P309" s="26" t="n">
        <f aca="false">24.34</f>
        <v>24.34</v>
      </c>
      <c r="Q309" s="26" t="n">
        <f aca="false">141.81</f>
        <v>141.81</v>
      </c>
      <c r="R309" s="25" t="n">
        <v>11.35</v>
      </c>
      <c r="S309" s="25" t="n">
        <v>23.3</v>
      </c>
      <c r="T309" s="25" t="n">
        <v>398</v>
      </c>
      <c r="U309" s="27" t="s">
        <v>97</v>
      </c>
      <c r="V309" s="21"/>
      <c r="W309" s="16"/>
      <c r="X309" s="16"/>
      <c r="Y309" s="16"/>
    </row>
    <row r="310" customFormat="false" ht="15.75" hidden="false" customHeight="true" outlineLevel="0" collapsed="false">
      <c r="A310" s="9" t="s">
        <v>25</v>
      </c>
      <c r="B310" s="10" t="s">
        <v>26</v>
      </c>
      <c r="C310" s="11" t="s">
        <v>134</v>
      </c>
      <c r="D310" s="10" t="s">
        <v>28</v>
      </c>
      <c r="E310" s="10" t="s">
        <v>28</v>
      </c>
      <c r="F310" s="10"/>
      <c r="G310" s="10" t="n">
        <v>10</v>
      </c>
      <c r="H310" s="10" t="n">
        <v>1.8</v>
      </c>
      <c r="I310" s="12" t="n">
        <v>1</v>
      </c>
      <c r="J310" s="12"/>
      <c r="K310" s="13" t="n">
        <f aca="false">42.82</f>
        <v>42.82</v>
      </c>
      <c r="L310" s="13" t="n">
        <f aca="false">163.91</f>
        <v>163.91</v>
      </c>
      <c r="M310" s="12" t="n">
        <v>12</v>
      </c>
      <c r="N310" s="12" t="n">
        <v>36</v>
      </c>
      <c r="O310" s="12" t="n">
        <v>153.55</v>
      </c>
      <c r="P310" s="13" t="n">
        <f aca="false">24.52</f>
        <v>24.52</v>
      </c>
      <c r="Q310" s="13" t="n">
        <f aca="false">173.92</f>
        <v>173.92</v>
      </c>
      <c r="R310" s="12" t="n">
        <v>17.5</v>
      </c>
      <c r="S310" s="12" t="n">
        <v>32.6</v>
      </c>
      <c r="T310" s="12" t="n">
        <v>426</v>
      </c>
      <c r="U310" s="14" t="s">
        <v>29</v>
      </c>
      <c r="V310" s="15"/>
      <c r="W310" s="16" t="str">
        <f aca="false">A310</f>
        <v>KL</v>
      </c>
      <c r="X310" s="17" t="e">
        <f aca="false">ifs(C310="","",X310="",NOW(),TRUE(),X310)</f>
        <v>#VALUE!</v>
      </c>
      <c r="Y310" s="17" t="e">
        <f aca="false">ifs(COUNTA(K310:U313)&lt;44,"",Y310="",NOW(),TRUE(),Y310)</f>
        <v>#VALUE!</v>
      </c>
    </row>
    <row r="311" customFormat="false" ht="15.75" hidden="false" customHeight="false" outlineLevel="0" collapsed="false">
      <c r="A311" s="9"/>
      <c r="B311" s="10"/>
      <c r="C311" s="10"/>
      <c r="D311" s="10"/>
      <c r="E311" s="10"/>
      <c r="F311" s="10"/>
      <c r="G311" s="10"/>
      <c r="H311" s="10"/>
      <c r="I311" s="18" t="n">
        <v>2</v>
      </c>
      <c r="J311" s="18"/>
      <c r="K311" s="19" t="n">
        <f aca="false">42.01</f>
        <v>42.01</v>
      </c>
      <c r="L311" s="19" t="n">
        <f aca="false">154.27</f>
        <v>154.27</v>
      </c>
      <c r="M311" s="18" t="n">
        <v>12</v>
      </c>
      <c r="N311" s="18" t="n">
        <v>34</v>
      </c>
      <c r="O311" s="18" t="n">
        <v>137.7</v>
      </c>
      <c r="P311" s="19" t="n">
        <f aca="false">23.73</f>
        <v>23.73</v>
      </c>
      <c r="Q311" s="19" t="n">
        <f aca="false">168.65</f>
        <v>168.65</v>
      </c>
      <c r="R311" s="18" t="n">
        <v>15.05</v>
      </c>
      <c r="S311" s="18" t="n">
        <v>30.95</v>
      </c>
      <c r="T311" s="18" t="n">
        <v>422</v>
      </c>
      <c r="U311" s="20" t="s">
        <v>29</v>
      </c>
      <c r="V311" s="21"/>
      <c r="W311" s="16"/>
      <c r="X311" s="16"/>
      <c r="Y311" s="16"/>
    </row>
    <row r="312" customFormat="false" ht="15.75" hidden="false" customHeight="false" outlineLevel="0" collapsed="false">
      <c r="A312" s="9"/>
      <c r="B312" s="10"/>
      <c r="C312" s="10"/>
      <c r="D312" s="10"/>
      <c r="E312" s="10"/>
      <c r="F312" s="10"/>
      <c r="G312" s="10"/>
      <c r="H312" s="10"/>
      <c r="I312" s="22" t="n">
        <v>3</v>
      </c>
      <c r="J312" s="22"/>
      <c r="K312" s="23" t="n">
        <f aca="false">41.64</f>
        <v>41.64</v>
      </c>
      <c r="L312" s="23" t="n">
        <f aca="false">138.03</f>
        <v>138.03</v>
      </c>
      <c r="M312" s="22" t="n">
        <v>16</v>
      </c>
      <c r="N312" s="22" t="n">
        <v>30</v>
      </c>
      <c r="O312" s="22" t="n">
        <v>112.35</v>
      </c>
      <c r="P312" s="23" t="n">
        <f aca="false">24.32</f>
        <v>24.32</v>
      </c>
      <c r="Q312" s="23" t="n">
        <f aca="false">149.48</f>
        <v>149.48</v>
      </c>
      <c r="R312" s="22" t="n">
        <v>11.4</v>
      </c>
      <c r="S312" s="22" t="n">
        <v>22.1</v>
      </c>
      <c r="T312" s="22" t="n">
        <v>462</v>
      </c>
      <c r="U312" s="24" t="s">
        <v>29</v>
      </c>
      <c r="V312" s="15"/>
      <c r="W312" s="16"/>
      <c r="X312" s="16"/>
      <c r="Y312" s="16"/>
    </row>
    <row r="313" customFormat="false" ht="15.75" hidden="false" customHeight="false" outlineLevel="0" collapsed="false">
      <c r="A313" s="9"/>
      <c r="B313" s="10"/>
      <c r="C313" s="10"/>
      <c r="D313" s="10"/>
      <c r="E313" s="10"/>
      <c r="F313" s="10"/>
      <c r="G313" s="10"/>
      <c r="H313" s="10"/>
      <c r="I313" s="25" t="n">
        <v>4</v>
      </c>
      <c r="J313" s="25"/>
      <c r="K313" s="26" t="n">
        <f aca="false">40.6</f>
        <v>40.6</v>
      </c>
      <c r="L313" s="26" t="n">
        <f aca="false">139.94</f>
        <v>139.94</v>
      </c>
      <c r="M313" s="25" t="n">
        <v>14</v>
      </c>
      <c r="N313" s="25" t="n">
        <v>30</v>
      </c>
      <c r="O313" s="25" t="n">
        <v>105.8</v>
      </c>
      <c r="P313" s="26" t="n">
        <f aca="false">24.32</f>
        <v>24.32</v>
      </c>
      <c r="Q313" s="26" t="n">
        <f aca="false">150.21</f>
        <v>150.21</v>
      </c>
      <c r="R313" s="25" t="n">
        <v>10.75</v>
      </c>
      <c r="S313" s="25" t="n">
        <v>23.95</v>
      </c>
      <c r="T313" s="25" t="n">
        <v>427</v>
      </c>
      <c r="U313" s="27" t="s">
        <v>29</v>
      </c>
      <c r="V313" s="21"/>
      <c r="W313" s="16"/>
      <c r="X313" s="16"/>
      <c r="Y313" s="16"/>
    </row>
    <row r="314" customFormat="false" ht="15.75" hidden="false" customHeight="true" outlineLevel="0" collapsed="false">
      <c r="A314" s="9" t="s">
        <v>25</v>
      </c>
      <c r="B314" s="10" t="s">
        <v>26</v>
      </c>
      <c r="C314" s="11" t="s">
        <v>135</v>
      </c>
      <c r="D314" s="10" t="s">
        <v>28</v>
      </c>
      <c r="E314" s="10" t="s">
        <v>28</v>
      </c>
      <c r="F314" s="10"/>
      <c r="G314" s="10" t="n">
        <v>46</v>
      </c>
      <c r="H314" s="10" t="n">
        <v>11.5</v>
      </c>
      <c r="I314" s="12" t="n">
        <v>1</v>
      </c>
      <c r="J314" s="12" t="s">
        <v>47</v>
      </c>
      <c r="K314" s="13" t="n">
        <f aca="false">45.79</f>
        <v>45.79</v>
      </c>
      <c r="L314" s="13" t="n">
        <f aca="false">111.53</f>
        <v>111.53</v>
      </c>
      <c r="M314" s="12" t="n">
        <v>14</v>
      </c>
      <c r="N314" s="12" t="n">
        <v>26</v>
      </c>
      <c r="O314" s="12" t="n">
        <v>110.35</v>
      </c>
      <c r="P314" s="13" t="n">
        <f aca="false">27.04</f>
        <v>27.04</v>
      </c>
      <c r="Q314" s="13" t="n">
        <f aca="false">114.96</f>
        <v>114.96</v>
      </c>
      <c r="R314" s="12" t="n">
        <v>17.1</v>
      </c>
      <c r="S314" s="12" t="n">
        <v>26.75</v>
      </c>
      <c r="T314" s="12" t="n">
        <v>352</v>
      </c>
      <c r="U314" s="14" t="s">
        <v>29</v>
      </c>
      <c r="V314" s="15"/>
      <c r="W314" s="16" t="str">
        <f aca="false">A314</f>
        <v>KL</v>
      </c>
      <c r="X314" s="17" t="e">
        <f aca="false">ifs(C314="","",X314="",NOW(),TRUE(),X314)</f>
        <v>#VALUE!</v>
      </c>
      <c r="Y314" s="17" t="e">
        <f aca="false">ifs(COUNTA(K314:U317)&lt;44,"",Y314="",NOW(),TRUE(),Y314)</f>
        <v>#VALUE!</v>
      </c>
    </row>
    <row r="315" customFormat="false" ht="15.75" hidden="false" customHeight="false" outlineLevel="0" collapsed="false">
      <c r="A315" s="9"/>
      <c r="B315" s="10"/>
      <c r="C315" s="10"/>
      <c r="D315" s="10"/>
      <c r="E315" s="10"/>
      <c r="F315" s="10"/>
      <c r="G315" s="10"/>
      <c r="H315" s="10"/>
      <c r="I315" s="18" t="n">
        <v>2</v>
      </c>
      <c r="J315" s="18"/>
      <c r="K315" s="19" t="n">
        <f aca="false">47.13</f>
        <v>47.13</v>
      </c>
      <c r="L315" s="19" t="n">
        <f aca="false">112.29</f>
        <v>112.29</v>
      </c>
      <c r="M315" s="18" t="n">
        <v>14</v>
      </c>
      <c r="N315" s="18" t="n">
        <v>26</v>
      </c>
      <c r="O315" s="18" t="n">
        <v>115.6</v>
      </c>
      <c r="P315" s="19" t="n">
        <f aca="false">30.49</f>
        <v>30.49</v>
      </c>
      <c r="Q315" s="19" t="n">
        <f aca="false">112.78</f>
        <v>112.78</v>
      </c>
      <c r="R315" s="18" t="n">
        <v>17.65</v>
      </c>
      <c r="S315" s="18" t="n">
        <v>29</v>
      </c>
      <c r="T315" s="18" t="n">
        <v>349</v>
      </c>
      <c r="U315" s="20" t="s">
        <v>29</v>
      </c>
      <c r="V315" s="21"/>
      <c r="W315" s="16"/>
      <c r="X315" s="16"/>
      <c r="Y315" s="16"/>
    </row>
    <row r="316" customFormat="false" ht="15.75" hidden="false" customHeight="false" outlineLevel="0" collapsed="false">
      <c r="A316" s="9"/>
      <c r="B316" s="10"/>
      <c r="C316" s="10"/>
      <c r="D316" s="10"/>
      <c r="E316" s="10"/>
      <c r="F316" s="10"/>
      <c r="G316" s="10"/>
      <c r="H316" s="10"/>
      <c r="I316" s="22" t="n">
        <v>3</v>
      </c>
      <c r="J316" s="22" t="s">
        <v>47</v>
      </c>
      <c r="K316" s="23" t="n">
        <f aca="false">47.12</f>
        <v>47.12</v>
      </c>
      <c r="L316" s="23" t="n">
        <f aca="false">80.1</f>
        <v>80.1</v>
      </c>
      <c r="M316" s="22" t="n">
        <v>18</v>
      </c>
      <c r="N316" s="22" t="n">
        <v>18</v>
      </c>
      <c r="O316" s="22" t="n">
        <v>91.8</v>
      </c>
      <c r="P316" s="23" t="n">
        <f aca="false">30.96</f>
        <v>30.96</v>
      </c>
      <c r="Q316" s="23" t="n">
        <f aca="false">109.9</f>
        <v>109.9</v>
      </c>
      <c r="R316" s="22" t="n">
        <v>16.1</v>
      </c>
      <c r="S316" s="22" t="n">
        <v>24.75</v>
      </c>
      <c r="T316" s="22" t="n">
        <v>319</v>
      </c>
      <c r="U316" s="24" t="s">
        <v>29</v>
      </c>
      <c r="V316" s="15"/>
      <c r="W316" s="16"/>
      <c r="X316" s="16"/>
      <c r="Y316" s="16"/>
    </row>
    <row r="317" customFormat="false" ht="15.75" hidden="false" customHeight="false" outlineLevel="0" collapsed="false">
      <c r="A317" s="9"/>
      <c r="B317" s="10"/>
      <c r="C317" s="10"/>
      <c r="D317" s="10"/>
      <c r="E317" s="10"/>
      <c r="F317" s="10"/>
      <c r="G317" s="10"/>
      <c r="H317" s="10"/>
      <c r="I317" s="25" t="n">
        <v>4</v>
      </c>
      <c r="J317" s="25"/>
      <c r="K317" s="26" t="n">
        <f aca="false">43.45</f>
        <v>43.45</v>
      </c>
      <c r="L317" s="26" t="n">
        <f aca="false">92.1</f>
        <v>92.1</v>
      </c>
      <c r="M317" s="25" t="n">
        <v>16</v>
      </c>
      <c r="N317" s="25" t="n">
        <v>18</v>
      </c>
      <c r="O317" s="25" t="n">
        <v>79.35</v>
      </c>
      <c r="P317" s="26" t="n">
        <f aca="false">27.56</f>
        <v>27.56</v>
      </c>
      <c r="Q317" s="26" t="n">
        <f aca="false">128.6</f>
        <v>128.6</v>
      </c>
      <c r="R317" s="25" t="n">
        <v>16.3</v>
      </c>
      <c r="S317" s="25" t="n">
        <v>27.3</v>
      </c>
      <c r="T317" s="25" t="n">
        <v>242</v>
      </c>
      <c r="U317" s="27" t="s">
        <v>29</v>
      </c>
      <c r="V317" s="21"/>
      <c r="W317" s="16"/>
      <c r="X317" s="16"/>
      <c r="Y317" s="16"/>
    </row>
    <row r="318" customFormat="false" ht="15.75" hidden="false" customHeight="true" outlineLevel="0" collapsed="false">
      <c r="A318" s="9" t="s">
        <v>25</v>
      </c>
      <c r="B318" s="10" t="s">
        <v>26</v>
      </c>
      <c r="C318" s="11" t="s">
        <v>136</v>
      </c>
      <c r="D318" s="10" t="s">
        <v>28</v>
      </c>
      <c r="E318" s="10" t="s">
        <v>28</v>
      </c>
      <c r="F318" s="10"/>
      <c r="G318" s="10" t="n">
        <v>9</v>
      </c>
      <c r="H318" s="10" t="n">
        <v>2.2</v>
      </c>
      <c r="I318" s="12" t="n">
        <v>1</v>
      </c>
      <c r="J318" s="12"/>
      <c r="K318" s="13" t="n">
        <f aca="false">48.18</f>
        <v>48.18</v>
      </c>
      <c r="L318" s="13" t="n">
        <f aca="false">170.3</f>
        <v>170.3</v>
      </c>
      <c r="M318" s="12" t="n">
        <v>14</v>
      </c>
      <c r="N318" s="12" t="n">
        <v>36</v>
      </c>
      <c r="O318" s="12" t="n">
        <v>206.4</v>
      </c>
      <c r="P318" s="13" t="n">
        <f aca="false">28.09</f>
        <v>28.09</v>
      </c>
      <c r="Q318" s="13" t="n">
        <f aca="false">172.53</f>
        <v>172.53</v>
      </c>
      <c r="R318" s="12" t="n">
        <v>30.65</v>
      </c>
      <c r="S318" s="12" t="n">
        <v>34.8</v>
      </c>
      <c r="T318" s="12" t="n">
        <v>539</v>
      </c>
      <c r="U318" s="14" t="s">
        <v>29</v>
      </c>
      <c r="V318" s="15"/>
      <c r="W318" s="16" t="str">
        <f aca="false">A318</f>
        <v>KL</v>
      </c>
      <c r="X318" s="17" t="e">
        <f aca="false">ifs(C318="","",X318="",NOW(),TRUE(),X318)</f>
        <v>#VALUE!</v>
      </c>
      <c r="Y318" s="17" t="e">
        <f aca="false">ifs(COUNTA(K318:U321)&lt;44,"",Y318="",NOW(),TRUE(),Y318)</f>
        <v>#VALUE!</v>
      </c>
    </row>
    <row r="319" customFormat="false" ht="15.75" hidden="false" customHeight="false" outlineLevel="0" collapsed="false">
      <c r="A319" s="9"/>
      <c r="B319" s="10"/>
      <c r="C319" s="10"/>
      <c r="D319" s="10"/>
      <c r="E319" s="10"/>
      <c r="F319" s="10"/>
      <c r="G319" s="10"/>
      <c r="H319" s="10"/>
      <c r="I319" s="18" t="n">
        <v>2</v>
      </c>
      <c r="J319" s="18" t="s">
        <v>36</v>
      </c>
      <c r="K319" s="19" t="n">
        <f aca="false">46.64</f>
        <v>46.64</v>
      </c>
      <c r="L319" s="19" t="n">
        <f aca="false">165.34</f>
        <v>165.34</v>
      </c>
      <c r="M319" s="18" t="n">
        <v>18</v>
      </c>
      <c r="N319" s="18" t="n">
        <v>34</v>
      </c>
      <c r="O319" s="18" t="n">
        <v>180.1</v>
      </c>
      <c r="P319" s="19" t="n">
        <f aca="false">28.15</f>
        <v>28.15</v>
      </c>
      <c r="Q319" s="19" t="n">
        <f aca="false">169.23</f>
        <v>169.23</v>
      </c>
      <c r="R319" s="18" t="n">
        <v>23.05</v>
      </c>
      <c r="S319" s="18" t="n">
        <v>25.1</v>
      </c>
      <c r="T319" s="18" t="n">
        <v>641</v>
      </c>
      <c r="U319" s="20" t="s">
        <v>29</v>
      </c>
      <c r="V319" s="21"/>
      <c r="W319" s="16"/>
      <c r="X319" s="16"/>
      <c r="Y319" s="16"/>
    </row>
    <row r="320" customFormat="false" ht="15.75" hidden="false" customHeight="false" outlineLevel="0" collapsed="false">
      <c r="A320" s="9"/>
      <c r="B320" s="10"/>
      <c r="C320" s="10"/>
      <c r="D320" s="10"/>
      <c r="E320" s="10"/>
      <c r="F320" s="10"/>
      <c r="G320" s="10"/>
      <c r="H320" s="10"/>
      <c r="I320" s="22" t="n">
        <v>3</v>
      </c>
      <c r="J320" s="22"/>
      <c r="K320" s="23" t="n">
        <f aca="false">44.28</f>
        <v>44.28</v>
      </c>
      <c r="L320" s="23" t="n">
        <f aca="false">160.36</f>
        <v>160.36</v>
      </c>
      <c r="M320" s="22" t="n">
        <v>14</v>
      </c>
      <c r="N320" s="22" t="n">
        <v>38</v>
      </c>
      <c r="O320" s="22" t="n">
        <v>162.4</v>
      </c>
      <c r="P320" s="23" t="n">
        <f aca="false">25.01</f>
        <v>25.01</v>
      </c>
      <c r="Q320" s="23" t="n">
        <f aca="false">161</f>
        <v>161</v>
      </c>
      <c r="R320" s="22" t="n">
        <v>18.7</v>
      </c>
      <c r="S320" s="22" t="n">
        <v>26.45</v>
      </c>
      <c r="T320" s="22" t="n">
        <v>530</v>
      </c>
      <c r="U320" s="24" t="s">
        <v>29</v>
      </c>
      <c r="V320" s="15"/>
      <c r="W320" s="16"/>
      <c r="X320" s="16"/>
      <c r="Y320" s="16"/>
    </row>
    <row r="321" customFormat="false" ht="15.75" hidden="false" customHeight="false" outlineLevel="0" collapsed="false">
      <c r="A321" s="9"/>
      <c r="B321" s="10"/>
      <c r="C321" s="10"/>
      <c r="D321" s="10"/>
      <c r="E321" s="10"/>
      <c r="F321" s="10"/>
      <c r="G321" s="10"/>
      <c r="H321" s="10"/>
      <c r="I321" s="25" t="n">
        <v>4</v>
      </c>
      <c r="J321" s="25"/>
      <c r="K321" s="26" t="n">
        <f aca="false">43.39</f>
        <v>43.39</v>
      </c>
      <c r="L321" s="26" t="n">
        <f aca="false">138.13</f>
        <v>138.13</v>
      </c>
      <c r="M321" s="25" t="n">
        <v>18</v>
      </c>
      <c r="N321" s="25" t="n">
        <v>30</v>
      </c>
      <c r="O321" s="25" t="n">
        <v>135.95</v>
      </c>
      <c r="P321" s="26" t="n">
        <f aca="false">24.74</f>
        <v>24.74</v>
      </c>
      <c r="Q321" s="26" t="n">
        <f aca="false">147.88</f>
        <v>147.88</v>
      </c>
      <c r="R321" s="25" t="n">
        <v>13.55</v>
      </c>
      <c r="S321" s="25" t="n">
        <v>23.05</v>
      </c>
      <c r="T321" s="25" t="n">
        <v>512</v>
      </c>
      <c r="U321" s="27" t="s">
        <v>29</v>
      </c>
      <c r="V321" s="21"/>
      <c r="W321" s="16"/>
      <c r="X321" s="16"/>
      <c r="Y321" s="16"/>
    </row>
    <row r="322" customFormat="false" ht="15.75" hidden="false" customHeight="true" outlineLevel="0" collapsed="false">
      <c r="A322" s="9" t="s">
        <v>25</v>
      </c>
      <c r="B322" s="10" t="s">
        <v>26</v>
      </c>
      <c r="C322" s="11" t="s">
        <v>137</v>
      </c>
      <c r="D322" s="10" t="s">
        <v>28</v>
      </c>
      <c r="E322" s="10" t="s">
        <v>28</v>
      </c>
      <c r="F322" s="10"/>
      <c r="G322" s="10" t="n">
        <v>49</v>
      </c>
      <c r="H322" s="10" t="n">
        <v>9.4</v>
      </c>
      <c r="I322" s="12" t="n">
        <v>1</v>
      </c>
      <c r="J322" s="12" t="s">
        <v>35</v>
      </c>
      <c r="K322" s="13" t="n">
        <f aca="false">44.7</f>
        <v>44.7</v>
      </c>
      <c r="L322" s="13" t="n">
        <f aca="false">132.37</f>
        <v>132.37</v>
      </c>
      <c r="M322" s="12" t="n">
        <v>16</v>
      </c>
      <c r="N322" s="12" t="n">
        <v>24</v>
      </c>
      <c r="O322" s="12" t="n">
        <v>124.8</v>
      </c>
      <c r="P322" s="13" t="n">
        <f aca="false">27.88</f>
        <v>27.88</v>
      </c>
      <c r="Q322" s="13" t="n">
        <f aca="false">129.91</f>
        <v>129.91</v>
      </c>
      <c r="R322" s="12" t="n">
        <v>15.65</v>
      </c>
      <c r="S322" s="12" t="n">
        <v>33.65</v>
      </c>
      <c r="T322" s="12" t="n">
        <v>339</v>
      </c>
      <c r="U322" s="14" t="s">
        <v>29</v>
      </c>
      <c r="V322" s="15"/>
      <c r="W322" s="16" t="str">
        <f aca="false">A322</f>
        <v>KL</v>
      </c>
      <c r="X322" s="17" t="e">
        <f aca="false">ifs(C322="","",X322="",NOW(),TRUE(),X322)</f>
        <v>#VALUE!</v>
      </c>
      <c r="Y322" s="17" t="e">
        <f aca="false">ifs(COUNTA(K322:U325)&lt;44,"",Y322="",NOW(),TRUE(),Y322)</f>
        <v>#VALUE!</v>
      </c>
    </row>
    <row r="323" customFormat="false" ht="15.75" hidden="false" customHeight="false" outlineLevel="0" collapsed="false">
      <c r="A323" s="9"/>
      <c r="B323" s="10"/>
      <c r="C323" s="10"/>
      <c r="D323" s="10"/>
      <c r="E323" s="10"/>
      <c r="F323" s="10"/>
      <c r="G323" s="10"/>
      <c r="H323" s="10"/>
      <c r="I323" s="18" t="n">
        <v>2</v>
      </c>
      <c r="J323" s="18" t="s">
        <v>49</v>
      </c>
      <c r="K323" s="19" t="n">
        <f aca="false">38.85</f>
        <v>38.85</v>
      </c>
      <c r="L323" s="19" t="n">
        <f aca="false">113.66</f>
        <v>113.66</v>
      </c>
      <c r="M323" s="18" t="n">
        <v>18</v>
      </c>
      <c r="N323" s="18" t="n">
        <v>26</v>
      </c>
      <c r="O323" s="18" t="n">
        <v>89.4</v>
      </c>
      <c r="P323" s="19" t="n">
        <f aca="false">23.15</f>
        <v>23.15</v>
      </c>
      <c r="Q323" s="19" t="n">
        <f aca="false">129.16</f>
        <v>129.16</v>
      </c>
      <c r="R323" s="18" t="n">
        <v>7.8</v>
      </c>
      <c r="S323" s="18" t="n">
        <v>17.2</v>
      </c>
      <c r="T323" s="18" t="n">
        <v>472</v>
      </c>
      <c r="U323" s="20" t="s">
        <v>29</v>
      </c>
      <c r="V323" s="21"/>
      <c r="W323" s="16"/>
      <c r="X323" s="16"/>
      <c r="Y323" s="16"/>
    </row>
    <row r="324" customFormat="false" ht="15.75" hidden="false" customHeight="false" outlineLevel="0" collapsed="false">
      <c r="A324" s="9"/>
      <c r="B324" s="10"/>
      <c r="C324" s="10"/>
      <c r="D324" s="10"/>
      <c r="E324" s="10"/>
      <c r="F324" s="10"/>
      <c r="G324" s="10"/>
      <c r="H324" s="10"/>
      <c r="I324" s="22" t="n">
        <v>3</v>
      </c>
      <c r="J324" s="22" t="s">
        <v>49</v>
      </c>
      <c r="K324" s="23" t="n">
        <f aca="false">41.68</f>
        <v>41.68</v>
      </c>
      <c r="L324" s="23" t="n">
        <f aca="false">113.75</f>
        <v>113.75</v>
      </c>
      <c r="M324" s="22" t="n">
        <v>16</v>
      </c>
      <c r="N324" s="22" t="n">
        <v>26</v>
      </c>
      <c r="O324" s="22" t="n">
        <v>100</v>
      </c>
      <c r="P324" s="23" t="n">
        <f aca="false">24.42</f>
        <v>24.42</v>
      </c>
      <c r="Q324" s="23" t="n">
        <f aca="false">139.43</f>
        <v>139.43</v>
      </c>
      <c r="R324" s="22" t="n">
        <v>9.05</v>
      </c>
      <c r="S324" s="22" t="n">
        <v>22.2</v>
      </c>
      <c r="T324" s="22" t="n">
        <v>422</v>
      </c>
      <c r="U324" s="24" t="s">
        <v>29</v>
      </c>
      <c r="V324" s="15"/>
      <c r="W324" s="16"/>
      <c r="X324" s="16"/>
      <c r="Y324" s="16"/>
    </row>
    <row r="325" customFormat="false" ht="15.75" hidden="false" customHeight="false" outlineLevel="0" collapsed="false">
      <c r="A325" s="9"/>
      <c r="B325" s="10"/>
      <c r="C325" s="10"/>
      <c r="D325" s="10"/>
      <c r="E325" s="10"/>
      <c r="F325" s="10"/>
      <c r="G325" s="10"/>
      <c r="H325" s="10"/>
      <c r="I325" s="25" t="n">
        <v>4</v>
      </c>
      <c r="J325" s="25" t="s">
        <v>49</v>
      </c>
      <c r="K325" s="26" t="n">
        <f aca="false">35.5</f>
        <v>35.5</v>
      </c>
      <c r="L325" s="26" t="n">
        <f aca="false">107.33</f>
        <v>107.33</v>
      </c>
      <c r="M325" s="25" t="n">
        <v>16</v>
      </c>
      <c r="N325" s="25" t="n">
        <v>24</v>
      </c>
      <c r="O325" s="25" t="n">
        <v>81.3</v>
      </c>
      <c r="P325" s="26" t="n">
        <f aca="false">22.01</f>
        <v>22.01</v>
      </c>
      <c r="Q325" s="26" t="n">
        <f aca="false">133.48</f>
        <v>133.48</v>
      </c>
      <c r="R325" s="25" t="n">
        <v>7.55</v>
      </c>
      <c r="S325" s="25" t="n">
        <v>18.45</v>
      </c>
      <c r="T325" s="25" t="n">
        <v>395</v>
      </c>
      <c r="U325" s="27" t="s">
        <v>29</v>
      </c>
      <c r="V325" s="21"/>
      <c r="W325" s="16"/>
      <c r="X325" s="16"/>
      <c r="Y325" s="16"/>
    </row>
    <row r="326" customFormat="false" ht="15.75" hidden="false" customHeight="true" outlineLevel="0" collapsed="false">
      <c r="A326" s="9" t="s">
        <v>25</v>
      </c>
      <c r="B326" s="10" t="s">
        <v>26</v>
      </c>
      <c r="C326" s="11" t="s">
        <v>138</v>
      </c>
      <c r="D326" s="10" t="s">
        <v>28</v>
      </c>
      <c r="E326" s="10" t="s">
        <v>28</v>
      </c>
      <c r="F326" s="10"/>
      <c r="G326" s="10" t="n">
        <v>42</v>
      </c>
      <c r="H326" s="10" t="n">
        <v>7.75</v>
      </c>
      <c r="I326" s="12" t="n">
        <v>1</v>
      </c>
      <c r="J326" s="12"/>
      <c r="K326" s="13" t="n">
        <f aca="false">43.89</f>
        <v>43.89</v>
      </c>
      <c r="L326" s="13" t="n">
        <f aca="false">171.66</f>
        <v>171.66</v>
      </c>
      <c r="M326" s="12" t="n">
        <v>14</v>
      </c>
      <c r="N326" s="12" t="n">
        <v>38</v>
      </c>
      <c r="O326" s="12" t="n">
        <v>172.7</v>
      </c>
      <c r="P326" s="13" t="n">
        <f aca="false">25.48</f>
        <v>25.48</v>
      </c>
      <c r="Q326" s="13" t="n">
        <f aca="false">185.7</f>
        <v>185.7</v>
      </c>
      <c r="R326" s="12" t="n">
        <v>23.9</v>
      </c>
      <c r="S326" s="12" t="n">
        <v>27</v>
      </c>
      <c r="T326" s="12" t="n">
        <v>566</v>
      </c>
      <c r="U326" s="14" t="s">
        <v>29</v>
      </c>
      <c r="V326" s="15"/>
      <c r="W326" s="16" t="str">
        <f aca="false">A326</f>
        <v>KL</v>
      </c>
      <c r="X326" s="17" t="e">
        <f aca="false">ifs(C326="","",X326="",NOW(),TRUE(),X326)</f>
        <v>#VALUE!</v>
      </c>
      <c r="Y326" s="17" t="e">
        <f aca="false">ifs(COUNTA(K326:U329)&lt;44,"",Y326="",NOW(),TRUE(),Y326)</f>
        <v>#VALUE!</v>
      </c>
    </row>
    <row r="327" customFormat="false" ht="15.75" hidden="false" customHeight="false" outlineLevel="0" collapsed="false">
      <c r="A327" s="9"/>
      <c r="B327" s="10"/>
      <c r="C327" s="10"/>
      <c r="D327" s="10"/>
      <c r="E327" s="10"/>
      <c r="F327" s="10"/>
      <c r="G327" s="10"/>
      <c r="H327" s="10"/>
      <c r="I327" s="18" t="n">
        <v>2</v>
      </c>
      <c r="J327" s="18"/>
      <c r="K327" s="19" t="n">
        <f aca="false">43.87</f>
        <v>43.87</v>
      </c>
      <c r="L327" s="19" t="n">
        <f aca="false">154.08</f>
        <v>154.08</v>
      </c>
      <c r="M327" s="18" t="n">
        <v>16</v>
      </c>
      <c r="N327" s="18" t="n">
        <v>34</v>
      </c>
      <c r="O327" s="18" t="n">
        <v>148.4</v>
      </c>
      <c r="P327" s="19" t="n">
        <f aca="false">25.44</f>
        <v>25.44</v>
      </c>
      <c r="Q327" s="19" t="n">
        <f aca="false">165.19</f>
        <v>165.19</v>
      </c>
      <c r="R327" s="18" t="n">
        <v>19.3</v>
      </c>
      <c r="S327" s="18" t="n">
        <v>23.55</v>
      </c>
      <c r="T327" s="18" t="n">
        <v>554</v>
      </c>
      <c r="U327" s="20" t="s">
        <v>29</v>
      </c>
      <c r="V327" s="21"/>
      <c r="W327" s="16"/>
      <c r="X327" s="16"/>
      <c r="Y327" s="16"/>
    </row>
    <row r="328" customFormat="false" ht="15.75" hidden="false" customHeight="false" outlineLevel="0" collapsed="false">
      <c r="A328" s="9"/>
      <c r="B328" s="10"/>
      <c r="C328" s="10"/>
      <c r="D328" s="10"/>
      <c r="E328" s="10"/>
      <c r="F328" s="10"/>
      <c r="G328" s="10"/>
      <c r="H328" s="10"/>
      <c r="I328" s="22" t="n">
        <v>3</v>
      </c>
      <c r="J328" s="22"/>
      <c r="K328" s="23" t="n">
        <f aca="false">43.4</f>
        <v>43.4</v>
      </c>
      <c r="L328" s="23" t="n">
        <f aca="false">147.9</f>
        <v>147.9</v>
      </c>
      <c r="M328" s="22" t="n">
        <v>16</v>
      </c>
      <c r="N328" s="22" t="n">
        <v>34</v>
      </c>
      <c r="O328" s="22" t="n">
        <v>139.45</v>
      </c>
      <c r="P328" s="23" t="n">
        <f aca="false">24.87</f>
        <v>24.87</v>
      </c>
      <c r="Q328" s="23" t="n">
        <f aca="false">168.24</f>
        <v>168.24</v>
      </c>
      <c r="R328" s="22" t="n">
        <v>19.45</v>
      </c>
      <c r="S328" s="22" t="n">
        <v>22.95</v>
      </c>
      <c r="T328" s="22" t="n">
        <v>530</v>
      </c>
      <c r="U328" s="24" t="s">
        <v>29</v>
      </c>
      <c r="V328" s="15"/>
      <c r="W328" s="16"/>
      <c r="X328" s="16"/>
      <c r="Y328" s="16"/>
    </row>
    <row r="329" customFormat="false" ht="15.75" hidden="false" customHeight="false" outlineLevel="0" collapsed="false">
      <c r="A329" s="9"/>
      <c r="B329" s="10"/>
      <c r="C329" s="10"/>
      <c r="D329" s="10"/>
      <c r="E329" s="10"/>
      <c r="F329" s="10"/>
      <c r="G329" s="10"/>
      <c r="H329" s="10"/>
      <c r="I329" s="25" t="n">
        <v>4</v>
      </c>
      <c r="J329" s="25"/>
      <c r="K329" s="26" t="n">
        <f aca="false">42.45</f>
        <v>42.45</v>
      </c>
      <c r="L329" s="26" t="n">
        <f aca="false">115.35</f>
        <v>115.35</v>
      </c>
      <c r="M329" s="25" t="n">
        <v>16</v>
      </c>
      <c r="N329" s="25" t="n">
        <v>26</v>
      </c>
      <c r="O329" s="25" t="n">
        <v>102.05</v>
      </c>
      <c r="P329" s="26" t="n">
        <f aca="false">25.07</f>
        <v>25.07</v>
      </c>
      <c r="Q329" s="26" t="n">
        <f aca="false">123.28</f>
        <v>123.28</v>
      </c>
      <c r="R329" s="25" t="n">
        <v>13.8</v>
      </c>
      <c r="S329" s="25" t="n">
        <v>25.05</v>
      </c>
      <c r="T329" s="25" t="n">
        <v>365</v>
      </c>
      <c r="U329" s="27" t="s">
        <v>29</v>
      </c>
      <c r="V329" s="21"/>
      <c r="W329" s="16"/>
      <c r="X329" s="16"/>
      <c r="Y329" s="16"/>
    </row>
    <row r="330" customFormat="false" ht="15.75" hidden="false" customHeight="true" outlineLevel="0" collapsed="false">
      <c r="A330" s="9" t="s">
        <v>25</v>
      </c>
      <c r="B330" s="10" t="s">
        <v>26</v>
      </c>
      <c r="C330" s="11" t="s">
        <v>139</v>
      </c>
      <c r="D330" s="10" t="s">
        <v>28</v>
      </c>
      <c r="E330" s="10" t="s">
        <v>28</v>
      </c>
      <c r="F330" s="10"/>
      <c r="G330" s="10" t="n">
        <v>45</v>
      </c>
      <c r="H330" s="10" t="n">
        <v>11.95</v>
      </c>
      <c r="I330" s="12" t="n">
        <v>1</v>
      </c>
      <c r="J330" s="12"/>
      <c r="K330" s="13" t="n">
        <f aca="false">44.13</f>
        <v>44.13</v>
      </c>
      <c r="L330" s="13" t="n">
        <f aca="false">112.73</f>
        <v>112.73</v>
      </c>
      <c r="M330" s="12" t="n">
        <v>14</v>
      </c>
      <c r="N330" s="12" t="n">
        <v>24</v>
      </c>
      <c r="O330" s="12" t="n">
        <v>126.4</v>
      </c>
      <c r="P330" s="13" t="n">
        <f aca="false">27.38</f>
        <v>27.38</v>
      </c>
      <c r="Q330" s="13" t="n">
        <f aca="false">138.83</f>
        <v>138.83</v>
      </c>
      <c r="R330" s="12" t="n">
        <v>15.7</v>
      </c>
      <c r="S330" s="12" t="n">
        <v>32.5</v>
      </c>
      <c r="T330" s="12" t="n">
        <v>357</v>
      </c>
      <c r="U330" s="14" t="s">
        <v>58</v>
      </c>
      <c r="V330" s="15"/>
      <c r="W330" s="16" t="str">
        <f aca="false">A330</f>
        <v>KL</v>
      </c>
      <c r="X330" s="17" t="e">
        <f aca="false">ifs(C330="","",X330="",NOW(),TRUE(),X330)</f>
        <v>#VALUE!</v>
      </c>
      <c r="Y330" s="17" t="e">
        <f aca="false">ifs(COUNTA(K330:U333)&lt;44,"",Y330="",NOW(),TRUE(),Y330)</f>
        <v>#VALUE!</v>
      </c>
    </row>
    <row r="331" customFormat="false" ht="15.75" hidden="false" customHeight="false" outlineLevel="0" collapsed="false">
      <c r="A331" s="9"/>
      <c r="B331" s="10"/>
      <c r="C331" s="10"/>
      <c r="D331" s="10"/>
      <c r="E331" s="10"/>
      <c r="F331" s="10"/>
      <c r="G331" s="10"/>
      <c r="H331" s="10"/>
      <c r="I331" s="18" t="n">
        <v>2</v>
      </c>
      <c r="J331" s="18"/>
      <c r="K331" s="19" t="n">
        <f aca="false">43.21</f>
        <v>43.21</v>
      </c>
      <c r="L331" s="19" t="n">
        <f aca="false">111.82</f>
        <v>111.82</v>
      </c>
      <c r="M331" s="18" t="n">
        <v>12</v>
      </c>
      <c r="N331" s="18" t="n">
        <v>26</v>
      </c>
      <c r="O331" s="18" t="n">
        <v>124.75</v>
      </c>
      <c r="P331" s="19" t="n">
        <f aca="false">25.31</f>
        <v>25.31</v>
      </c>
      <c r="Q331" s="19" t="n">
        <f aca="false">147.91</f>
        <v>147.91</v>
      </c>
      <c r="R331" s="18" t="n">
        <v>18.9</v>
      </c>
      <c r="S331" s="18" t="n">
        <v>36.2</v>
      </c>
      <c r="T331" s="18" t="n">
        <v>295</v>
      </c>
      <c r="U331" s="20" t="s">
        <v>58</v>
      </c>
      <c r="V331" s="21"/>
      <c r="W331" s="16"/>
      <c r="X331" s="16"/>
      <c r="Y331" s="16"/>
    </row>
    <row r="332" customFormat="false" ht="15.75" hidden="false" customHeight="false" outlineLevel="0" collapsed="false">
      <c r="A332" s="9"/>
      <c r="B332" s="10"/>
      <c r="C332" s="10"/>
      <c r="D332" s="10"/>
      <c r="E332" s="10"/>
      <c r="F332" s="10"/>
      <c r="G332" s="10"/>
      <c r="H332" s="10"/>
      <c r="I332" s="22" t="n">
        <v>3</v>
      </c>
      <c r="J332" s="22"/>
      <c r="K332" s="23" t="n">
        <f aca="false">41.16</f>
        <v>41.16</v>
      </c>
      <c r="L332" s="23" t="n">
        <f aca="false">105.65</f>
        <v>105.65</v>
      </c>
      <c r="M332" s="22" t="n">
        <v>14</v>
      </c>
      <c r="N332" s="22" t="n">
        <v>24</v>
      </c>
      <c r="O332" s="22" t="n">
        <v>103.25</v>
      </c>
      <c r="P332" s="23" t="n">
        <f aca="false">24.66</f>
        <v>24.66</v>
      </c>
      <c r="Q332" s="23" t="n">
        <f aca="false">129.66</f>
        <v>129.66</v>
      </c>
      <c r="R332" s="22" t="n">
        <v>12.7</v>
      </c>
      <c r="S332" s="22" t="n">
        <v>27.1</v>
      </c>
      <c r="T332" s="22" t="n">
        <v>333</v>
      </c>
      <c r="U332" s="24" t="s">
        <v>58</v>
      </c>
      <c r="V332" s="15"/>
      <c r="W332" s="16"/>
      <c r="X332" s="16"/>
      <c r="Y332" s="16"/>
    </row>
    <row r="333" customFormat="false" ht="15.75" hidden="false" customHeight="false" outlineLevel="0" collapsed="false">
      <c r="A333" s="9"/>
      <c r="B333" s="10"/>
      <c r="C333" s="10"/>
      <c r="D333" s="10"/>
      <c r="E333" s="10"/>
      <c r="F333" s="10"/>
      <c r="G333" s="10"/>
      <c r="H333" s="10"/>
      <c r="I333" s="25" t="n">
        <v>4</v>
      </c>
      <c r="J333" s="25"/>
      <c r="K333" s="26" t="n">
        <f aca="false">36.35</f>
        <v>36.35</v>
      </c>
      <c r="L333" s="26" t="n">
        <f aca="false">75.92</f>
        <v>75.92</v>
      </c>
      <c r="M333" s="25" t="n">
        <v>12</v>
      </c>
      <c r="N333" s="25" t="n">
        <v>18</v>
      </c>
      <c r="O333" s="25" t="n">
        <v>53.15</v>
      </c>
      <c r="P333" s="26" t="n">
        <f aca="false">21.16</f>
        <v>21.16</v>
      </c>
      <c r="Q333" s="26" t="n">
        <f aca="false">107.69</f>
        <v>107.69</v>
      </c>
      <c r="R333" s="25" t="n">
        <v>5.6</v>
      </c>
      <c r="S333" s="25" t="n">
        <v>32.65</v>
      </c>
      <c r="T333" s="25" t="n">
        <v>145</v>
      </c>
      <c r="U333" s="27" t="s">
        <v>58</v>
      </c>
      <c r="V333" s="21"/>
      <c r="W333" s="16"/>
      <c r="X333" s="16"/>
      <c r="Y333" s="16"/>
    </row>
    <row r="334" customFormat="false" ht="15.75" hidden="false" customHeight="true" outlineLevel="0" collapsed="false">
      <c r="A334" s="9" t="s">
        <v>25</v>
      </c>
      <c r="B334" s="10" t="s">
        <v>26</v>
      </c>
      <c r="C334" s="11" t="s">
        <v>140</v>
      </c>
      <c r="D334" s="10" t="s">
        <v>28</v>
      </c>
      <c r="E334" s="10" t="s">
        <v>28</v>
      </c>
      <c r="F334" s="10"/>
      <c r="G334" s="10" t="n">
        <v>0</v>
      </c>
      <c r="H334" s="10"/>
      <c r="I334" s="12" t="n">
        <v>1</v>
      </c>
      <c r="J334" s="12"/>
      <c r="K334" s="13" t="n">
        <f aca="false">44.45</f>
        <v>44.45</v>
      </c>
      <c r="L334" s="13" t="n">
        <f aca="false">177.72</f>
        <v>177.72</v>
      </c>
      <c r="M334" s="12" t="n">
        <v>14</v>
      </c>
      <c r="N334" s="12" t="n">
        <v>44</v>
      </c>
      <c r="O334" s="12" t="n">
        <v>190.45</v>
      </c>
      <c r="P334" s="13" t="n">
        <f aca="false">27.77</f>
        <v>27.77</v>
      </c>
      <c r="Q334" s="13" t="n">
        <f aca="false">186.35</f>
        <v>186.35</v>
      </c>
      <c r="R334" s="12" t="n">
        <v>26.85</v>
      </c>
      <c r="S334" s="12" t="n">
        <v>26.25</v>
      </c>
      <c r="T334" s="12" t="n">
        <v>638</v>
      </c>
      <c r="U334" s="14" t="s">
        <v>29</v>
      </c>
      <c r="V334" s="15"/>
      <c r="W334" s="16" t="str">
        <f aca="false">A334</f>
        <v>KL</v>
      </c>
      <c r="X334" s="17" t="e">
        <f aca="false">ifs(C334="","",X334="",NOW(),TRUE(),X334)</f>
        <v>#VALUE!</v>
      </c>
      <c r="Y334" s="17" t="e">
        <f aca="false">ifs(COUNTA(K334:U337)&lt;44,"",Y334="",NOW(),TRUE(),Y334)</f>
        <v>#VALUE!</v>
      </c>
    </row>
    <row r="335" customFormat="false" ht="15.75" hidden="false" customHeight="false" outlineLevel="0" collapsed="false">
      <c r="A335" s="9"/>
      <c r="B335" s="10"/>
      <c r="C335" s="10"/>
      <c r="D335" s="10"/>
      <c r="E335" s="10"/>
      <c r="F335" s="10"/>
      <c r="G335" s="10"/>
      <c r="H335" s="10"/>
      <c r="I335" s="18" t="n">
        <v>2</v>
      </c>
      <c r="J335" s="18"/>
      <c r="K335" s="19" t="n">
        <f aca="false">45.42</f>
        <v>45.42</v>
      </c>
      <c r="L335" s="19" t="n">
        <f aca="false">152.46</f>
        <v>152.46</v>
      </c>
      <c r="M335" s="18" t="n">
        <v>14</v>
      </c>
      <c r="N335" s="18" t="n">
        <v>38</v>
      </c>
      <c r="O335" s="18" t="n">
        <v>173.9</v>
      </c>
      <c r="P335" s="19" t="n">
        <f aca="false">28.24</f>
        <v>28.24</v>
      </c>
      <c r="Q335" s="19" t="n">
        <f aca="false">166.13</f>
        <v>166.13</v>
      </c>
      <c r="R335" s="18" t="n">
        <v>24.45</v>
      </c>
      <c r="S335" s="18" t="n">
        <v>28.2</v>
      </c>
      <c r="T335" s="18" t="n">
        <v>554</v>
      </c>
      <c r="U335" s="20" t="s">
        <v>29</v>
      </c>
      <c r="V335" s="21"/>
      <c r="W335" s="16"/>
      <c r="X335" s="16"/>
      <c r="Y335" s="16"/>
    </row>
    <row r="336" customFormat="false" ht="15.75" hidden="false" customHeight="false" outlineLevel="0" collapsed="false">
      <c r="A336" s="9"/>
      <c r="B336" s="10"/>
      <c r="C336" s="10"/>
      <c r="D336" s="10"/>
      <c r="E336" s="10"/>
      <c r="F336" s="10"/>
      <c r="G336" s="10"/>
      <c r="H336" s="10"/>
      <c r="I336" s="22" t="n">
        <v>3</v>
      </c>
      <c r="J336" s="22"/>
      <c r="K336" s="23" t="n">
        <f aca="false">44.82</f>
        <v>44.82</v>
      </c>
      <c r="L336" s="23" t="n">
        <f aca="false">149.24</f>
        <v>149.24</v>
      </c>
      <c r="M336" s="22" t="n">
        <v>14</v>
      </c>
      <c r="N336" s="22" t="n">
        <v>36</v>
      </c>
      <c r="O336" s="22" t="n">
        <v>161.2</v>
      </c>
      <c r="P336" s="23" t="n">
        <f aca="false">27.15</f>
        <v>27.15</v>
      </c>
      <c r="Q336" s="23" t="n">
        <f aca="false">158.65</f>
        <v>158.65</v>
      </c>
      <c r="R336" s="22" t="n">
        <v>23.55</v>
      </c>
      <c r="S336" s="22" t="n">
        <v>28.4</v>
      </c>
      <c r="T336" s="22" t="n">
        <v>478</v>
      </c>
      <c r="U336" s="24" t="s">
        <v>29</v>
      </c>
      <c r="V336" s="15"/>
      <c r="W336" s="16"/>
      <c r="X336" s="16"/>
      <c r="Y336" s="16"/>
    </row>
    <row r="337" customFormat="false" ht="15.75" hidden="false" customHeight="false" outlineLevel="0" collapsed="false">
      <c r="A337" s="9"/>
      <c r="B337" s="10"/>
      <c r="C337" s="10"/>
      <c r="D337" s="10"/>
      <c r="E337" s="10"/>
      <c r="F337" s="10"/>
      <c r="G337" s="10"/>
      <c r="H337" s="10"/>
      <c r="I337" s="25" t="n">
        <v>4</v>
      </c>
      <c r="J337" s="25"/>
      <c r="K337" s="26" t="n">
        <f aca="false">43.19</f>
        <v>43.19</v>
      </c>
      <c r="L337" s="26" t="n">
        <f aca="false">128.89</f>
        <v>128.89</v>
      </c>
      <c r="M337" s="25" t="n">
        <v>12</v>
      </c>
      <c r="N337" s="25" t="n">
        <v>32</v>
      </c>
      <c r="O337" s="25" t="n">
        <v>129.65</v>
      </c>
      <c r="P337" s="26" t="n">
        <f aca="false">26.58</f>
        <v>26.58</v>
      </c>
      <c r="Q337" s="26" t="n">
        <f aca="false">139.32</f>
        <v>139.32</v>
      </c>
      <c r="R337" s="25" t="n">
        <v>16.9</v>
      </c>
      <c r="S337" s="25" t="n">
        <v>27.55</v>
      </c>
      <c r="T337" s="25"/>
      <c r="U337" s="27" t="s">
        <v>29</v>
      </c>
      <c r="V337" s="21"/>
      <c r="W337" s="16"/>
      <c r="X337" s="16"/>
      <c r="Y337" s="16"/>
    </row>
    <row r="338" customFormat="false" ht="15.75" hidden="false" customHeight="true" outlineLevel="0" collapsed="false">
      <c r="A338" s="9" t="s">
        <v>25</v>
      </c>
      <c r="B338" s="10" t="s">
        <v>26</v>
      </c>
      <c r="C338" s="11" t="s">
        <v>141</v>
      </c>
      <c r="D338" s="10" t="s">
        <v>28</v>
      </c>
      <c r="E338" s="10" t="s">
        <v>28</v>
      </c>
      <c r="F338" s="10"/>
      <c r="G338" s="10" t="n">
        <v>20</v>
      </c>
      <c r="H338" s="10" t="n">
        <v>5</v>
      </c>
      <c r="I338" s="12" t="n">
        <v>1</v>
      </c>
      <c r="J338" s="12" t="s">
        <v>46</v>
      </c>
      <c r="K338" s="13" t="n">
        <f aca="false">45.3</f>
        <v>45.3</v>
      </c>
      <c r="L338" s="13" t="n">
        <f aca="false">143.72</f>
        <v>143.72</v>
      </c>
      <c r="M338" s="12" t="n">
        <v>14</v>
      </c>
      <c r="N338" s="12" t="n">
        <v>32</v>
      </c>
      <c r="O338" s="12" t="n">
        <v>163.1</v>
      </c>
      <c r="P338" s="13" t="n">
        <f aca="false">26.71</f>
        <v>26.71</v>
      </c>
      <c r="Q338" s="13" t="n">
        <f aca="false">179.11</f>
        <v>179.11</v>
      </c>
      <c r="R338" s="12" t="n">
        <v>20.55</v>
      </c>
      <c r="S338" s="12" t="n">
        <v>28.7</v>
      </c>
      <c r="T338" s="12" t="n">
        <v>493</v>
      </c>
      <c r="U338" s="14" t="s">
        <v>97</v>
      </c>
      <c r="V338" s="15"/>
      <c r="W338" s="16" t="str">
        <f aca="false">A338</f>
        <v>KL</v>
      </c>
      <c r="X338" s="17" t="e">
        <f aca="false">ifs(C338="","",X338="",NOW(),TRUE(),X338)</f>
        <v>#VALUE!</v>
      </c>
      <c r="Y338" s="17" t="e">
        <f aca="false">ifs(COUNTA(K338:U341)&lt;44,"",Y338="",NOW(),TRUE(),Y338)</f>
        <v>#VALUE!</v>
      </c>
    </row>
    <row r="339" customFormat="false" ht="15.75" hidden="false" customHeight="false" outlineLevel="0" collapsed="false">
      <c r="A339" s="9"/>
      <c r="B339" s="10"/>
      <c r="C339" s="10"/>
      <c r="D339" s="10"/>
      <c r="E339" s="10"/>
      <c r="F339" s="10"/>
      <c r="G339" s="10"/>
      <c r="H339" s="10"/>
      <c r="I339" s="18" t="n">
        <v>2</v>
      </c>
      <c r="J339" s="18" t="s">
        <v>49</v>
      </c>
      <c r="K339" s="19" t="n">
        <f aca="false">45.63</f>
        <v>45.63</v>
      </c>
      <c r="L339" s="19" t="n">
        <f aca="false">123.06</f>
        <v>123.06</v>
      </c>
      <c r="M339" s="18" t="n">
        <v>16</v>
      </c>
      <c r="N339" s="18" t="n">
        <v>28</v>
      </c>
      <c r="O339" s="18" t="n">
        <v>142.1</v>
      </c>
      <c r="P339" s="19" t="n">
        <f aca="false">26.43</f>
        <v>26.43</v>
      </c>
      <c r="Q339" s="19" t="n">
        <f aca="false">153.44</f>
        <v>153.44</v>
      </c>
      <c r="R339" s="18" t="n">
        <v>15.85</v>
      </c>
      <c r="S339" s="18" t="n">
        <v>28.45</v>
      </c>
      <c r="T339" s="18" t="n">
        <v>437</v>
      </c>
      <c r="U339" s="20" t="s">
        <v>97</v>
      </c>
      <c r="V339" s="21"/>
      <c r="W339" s="16"/>
      <c r="X339" s="16"/>
      <c r="Y339" s="16"/>
    </row>
    <row r="340" customFormat="false" ht="15.75" hidden="false" customHeight="false" outlineLevel="0" collapsed="false">
      <c r="A340" s="9"/>
      <c r="B340" s="10"/>
      <c r="C340" s="10"/>
      <c r="D340" s="10"/>
      <c r="E340" s="10"/>
      <c r="F340" s="10"/>
      <c r="G340" s="10"/>
      <c r="H340" s="10"/>
      <c r="I340" s="22" t="n">
        <v>3</v>
      </c>
      <c r="J340" s="22" t="s">
        <v>49</v>
      </c>
      <c r="K340" s="23" t="n">
        <f aca="false">43.34</f>
        <v>43.34</v>
      </c>
      <c r="L340" s="23" t="n">
        <f aca="false">121.41</f>
        <v>121.41</v>
      </c>
      <c r="M340" s="22" t="n">
        <v>14</v>
      </c>
      <c r="N340" s="22" t="n">
        <v>28</v>
      </c>
      <c r="O340" s="22" t="n">
        <v>123.95</v>
      </c>
      <c r="P340" s="23" t="n">
        <f aca="false">25.68</f>
        <v>25.68</v>
      </c>
      <c r="Q340" s="23" t="n">
        <f aca="false">151.46</f>
        <v>151.46</v>
      </c>
      <c r="R340" s="22" t="n">
        <v>16.45</v>
      </c>
      <c r="S340" s="22" t="n">
        <v>29.35</v>
      </c>
      <c r="T340" s="22" t="n">
        <v>376</v>
      </c>
      <c r="U340" s="24" t="s">
        <v>97</v>
      </c>
      <c r="V340" s="15"/>
      <c r="W340" s="16"/>
      <c r="X340" s="16"/>
      <c r="Y340" s="16"/>
    </row>
    <row r="341" customFormat="false" ht="15.75" hidden="false" customHeight="false" outlineLevel="0" collapsed="false">
      <c r="A341" s="9"/>
      <c r="B341" s="10"/>
      <c r="C341" s="10"/>
      <c r="D341" s="10"/>
      <c r="E341" s="10"/>
      <c r="F341" s="10"/>
      <c r="G341" s="10"/>
      <c r="H341" s="10"/>
      <c r="I341" s="25" t="n">
        <v>4</v>
      </c>
      <c r="J341" s="25" t="s">
        <v>57</v>
      </c>
      <c r="K341" s="26" t="n">
        <f aca="false">43.56</f>
        <v>43.56</v>
      </c>
      <c r="L341" s="26" t="n">
        <f aca="false">113.07</f>
        <v>113.07</v>
      </c>
      <c r="M341" s="25" t="n">
        <v>14</v>
      </c>
      <c r="N341" s="25" t="n">
        <v>26</v>
      </c>
      <c r="O341" s="25" t="n">
        <v>132.4</v>
      </c>
      <c r="P341" s="26" t="n">
        <f aca="false">25.09</f>
        <v>25.09</v>
      </c>
      <c r="Q341" s="26" t="n">
        <f aca="false">155.42</f>
        <v>155.42</v>
      </c>
      <c r="R341" s="25" t="n">
        <v>15.7</v>
      </c>
      <c r="S341" s="25" t="n">
        <v>30.65</v>
      </c>
      <c r="T341" s="25" t="n">
        <v>384</v>
      </c>
      <c r="U341" s="27" t="s">
        <v>97</v>
      </c>
      <c r="V341" s="21"/>
      <c r="W341" s="16"/>
      <c r="X341" s="16"/>
      <c r="Y341" s="16"/>
    </row>
    <row r="342" customFormat="false" ht="15.75" hidden="false" customHeight="true" outlineLevel="0" collapsed="false">
      <c r="A342" s="9" t="s">
        <v>43</v>
      </c>
      <c r="B342" s="10" t="s">
        <v>44</v>
      </c>
      <c r="C342" s="11" t="s">
        <v>142</v>
      </c>
      <c r="D342" s="10" t="s">
        <v>28</v>
      </c>
      <c r="E342" s="10" t="s">
        <v>28</v>
      </c>
      <c r="F342" s="10"/>
      <c r="G342" s="10" t="n">
        <v>39</v>
      </c>
      <c r="H342" s="10" t="n">
        <v>6.6</v>
      </c>
      <c r="I342" s="12" t="n">
        <v>1</v>
      </c>
      <c r="J342" s="12" t="s">
        <v>50</v>
      </c>
      <c r="K342" s="13" t="n">
        <f aca="false">44.65</f>
        <v>44.65</v>
      </c>
      <c r="L342" s="13" t="n">
        <f aca="false">161.96</f>
        <v>161.96</v>
      </c>
      <c r="M342" s="12" t="n">
        <v>12</v>
      </c>
      <c r="N342" s="12" t="n">
        <v>36</v>
      </c>
      <c r="O342" s="12" t="n">
        <v>158.5</v>
      </c>
      <c r="P342" s="13" t="n">
        <f aca="false">28.54</f>
        <v>28.54</v>
      </c>
      <c r="Q342" s="13" t="n">
        <f aca="false">180.71</f>
        <v>180.71</v>
      </c>
      <c r="R342" s="12" t="n">
        <v>23</v>
      </c>
      <c r="S342" s="12" t="n">
        <v>28.2</v>
      </c>
      <c r="T342" s="12" t="n">
        <v>559</v>
      </c>
      <c r="U342" s="14" t="s">
        <v>97</v>
      </c>
      <c r="V342" s="15"/>
      <c r="W342" s="16" t="str">
        <f aca="false">A342</f>
        <v>JB</v>
      </c>
      <c r="X342" s="17" t="e">
        <f aca="false">ifs(C342="","",X342="",NOW(),TRUE(),X342)</f>
        <v>#VALUE!</v>
      </c>
      <c r="Y342" s="17" t="e">
        <f aca="false">ifs(COUNTA(K342:U345)&lt;44,"",Y342="",NOW(),TRUE(),Y342)</f>
        <v>#VALUE!</v>
      </c>
    </row>
    <row r="343" customFormat="false" ht="15.75" hidden="false" customHeight="false" outlineLevel="0" collapsed="false">
      <c r="A343" s="9"/>
      <c r="B343" s="10"/>
      <c r="C343" s="10"/>
      <c r="D343" s="10"/>
      <c r="E343" s="10"/>
      <c r="F343" s="10"/>
      <c r="G343" s="10"/>
      <c r="H343" s="10"/>
      <c r="I343" s="18" t="n">
        <v>2</v>
      </c>
      <c r="J343" s="18" t="s">
        <v>50</v>
      </c>
      <c r="K343" s="19" t="n">
        <f aca="false">43.62</f>
        <v>43.62</v>
      </c>
      <c r="L343" s="19" t="n">
        <f aca="false">167.6</f>
        <v>167.6</v>
      </c>
      <c r="M343" s="18" t="n">
        <v>16</v>
      </c>
      <c r="N343" s="18" t="n">
        <v>36</v>
      </c>
      <c r="O343" s="18" t="n">
        <v>148.1</v>
      </c>
      <c r="P343" s="19" t="n">
        <f aca="false">27.46</f>
        <v>27.46</v>
      </c>
      <c r="Q343" s="19" t="n">
        <f aca="false">193.9</f>
        <v>193.9</v>
      </c>
      <c r="R343" s="18" t="n">
        <v>19.3</v>
      </c>
      <c r="S343" s="18" t="n">
        <v>21.1</v>
      </c>
      <c r="T343" s="18" t="n">
        <v>625</v>
      </c>
      <c r="U343" s="20" t="s">
        <v>97</v>
      </c>
      <c r="V343" s="21"/>
      <c r="W343" s="16"/>
      <c r="X343" s="16"/>
      <c r="Y343" s="16"/>
    </row>
    <row r="344" customFormat="false" ht="15.75" hidden="false" customHeight="false" outlineLevel="0" collapsed="false">
      <c r="A344" s="9"/>
      <c r="B344" s="10"/>
      <c r="C344" s="10"/>
      <c r="D344" s="10"/>
      <c r="E344" s="10"/>
      <c r="F344" s="10"/>
      <c r="G344" s="10"/>
      <c r="H344" s="10"/>
      <c r="I344" s="22" t="n">
        <v>3</v>
      </c>
      <c r="J344" s="22" t="s">
        <v>50</v>
      </c>
      <c r="K344" s="23" t="n">
        <f aca="false">41.89</f>
        <v>41.89</v>
      </c>
      <c r="L344" s="23" t="n">
        <f aca="false">168.81</f>
        <v>168.81</v>
      </c>
      <c r="M344" s="22" t="n">
        <v>12</v>
      </c>
      <c r="N344" s="22" t="n">
        <v>36</v>
      </c>
      <c r="O344" s="22" t="n">
        <v>146.3</v>
      </c>
      <c r="P344" s="23" t="n">
        <f aca="false">25.6</f>
        <v>25.6</v>
      </c>
      <c r="Q344" s="23" t="n">
        <f aca="false">183.38</f>
        <v>183.38</v>
      </c>
      <c r="R344" s="22" t="n">
        <v>19.1</v>
      </c>
      <c r="S344" s="22" t="n">
        <v>22.9</v>
      </c>
      <c r="T344" s="22" t="n">
        <v>460</v>
      </c>
      <c r="U344" s="24" t="s">
        <v>97</v>
      </c>
      <c r="V344" s="15"/>
      <c r="W344" s="16"/>
      <c r="X344" s="16"/>
      <c r="Y344" s="16"/>
    </row>
    <row r="345" customFormat="false" ht="15.75" hidden="false" customHeight="false" outlineLevel="0" collapsed="false">
      <c r="A345" s="9"/>
      <c r="B345" s="10"/>
      <c r="C345" s="10"/>
      <c r="D345" s="10"/>
      <c r="E345" s="10"/>
      <c r="F345" s="10"/>
      <c r="G345" s="10"/>
      <c r="H345" s="10"/>
      <c r="I345" s="25" t="n">
        <v>4</v>
      </c>
      <c r="J345" s="25" t="s">
        <v>33</v>
      </c>
      <c r="K345" s="26" t="n">
        <f aca="false">44.65</f>
        <v>44.65</v>
      </c>
      <c r="L345" s="26" t="n">
        <f aca="false">200.66</f>
        <v>200.66</v>
      </c>
      <c r="M345" s="25" t="n">
        <v>14</v>
      </c>
      <c r="N345" s="25" t="n">
        <v>46</v>
      </c>
      <c r="O345" s="25" t="n">
        <v>198.7</v>
      </c>
      <c r="P345" s="26" t="n">
        <f aca="false">27.19</f>
        <v>27.19</v>
      </c>
      <c r="Q345" s="26" t="n">
        <f aca="false">208.61</f>
        <v>208.61</v>
      </c>
      <c r="R345" s="25" t="n">
        <v>26.1</v>
      </c>
      <c r="S345" s="25" t="n">
        <v>25</v>
      </c>
      <c r="T345" s="25" t="n">
        <v>732</v>
      </c>
      <c r="U345" s="27" t="s">
        <v>97</v>
      </c>
      <c r="V345" s="21"/>
      <c r="W345" s="16"/>
      <c r="X345" s="16"/>
      <c r="Y345" s="16"/>
    </row>
    <row r="346" customFormat="false" ht="15.75" hidden="false" customHeight="true" outlineLevel="0" collapsed="false">
      <c r="A346" s="9" t="s">
        <v>43</v>
      </c>
      <c r="B346" s="10" t="s">
        <v>44</v>
      </c>
      <c r="C346" s="11" t="s">
        <v>143</v>
      </c>
      <c r="D346" s="10" t="s">
        <v>28</v>
      </c>
      <c r="E346" s="10" t="s">
        <v>28</v>
      </c>
      <c r="F346" s="10"/>
      <c r="G346" s="10" t="n">
        <v>65</v>
      </c>
      <c r="H346" s="10" t="n">
        <v>13.5</v>
      </c>
      <c r="I346" s="12" t="n">
        <v>1</v>
      </c>
      <c r="J346" s="12" t="s">
        <v>49</v>
      </c>
      <c r="K346" s="13" t="n">
        <f aca="false">47.1</f>
        <v>47.1</v>
      </c>
      <c r="L346" s="13" t="n">
        <f aca="false">173.04</f>
        <v>173.04</v>
      </c>
      <c r="M346" s="12" t="n">
        <v>16</v>
      </c>
      <c r="N346" s="12" t="n">
        <v>34</v>
      </c>
      <c r="O346" s="12" t="n">
        <v>189</v>
      </c>
      <c r="P346" s="13" t="n">
        <f aca="false">29.38</f>
        <v>29.38</v>
      </c>
      <c r="Q346" s="13" t="n">
        <f aca="false">189.68</f>
        <v>189.68</v>
      </c>
      <c r="R346" s="12" t="n">
        <v>24.5</v>
      </c>
      <c r="S346" s="12" t="n">
        <v>21.5</v>
      </c>
      <c r="T346" s="12" t="n">
        <v>697</v>
      </c>
      <c r="U346" s="14" t="s">
        <v>29</v>
      </c>
      <c r="V346" s="15"/>
      <c r="W346" s="16" t="str">
        <f aca="false">A346</f>
        <v>JB</v>
      </c>
      <c r="X346" s="17" t="e">
        <f aca="false">ifs(C346="","",X346="",NOW(),TRUE(),X346)</f>
        <v>#VALUE!</v>
      </c>
      <c r="Y346" s="17" t="e">
        <f aca="false">ifs(COUNTA(K346:U349)&lt;44,"",Y346="",NOW(),TRUE(),Y346)</f>
        <v>#VALUE!</v>
      </c>
    </row>
    <row r="347" customFormat="false" ht="15.75" hidden="false" customHeight="false" outlineLevel="0" collapsed="false">
      <c r="A347" s="9"/>
      <c r="B347" s="10"/>
      <c r="C347" s="10"/>
      <c r="D347" s="10"/>
      <c r="E347" s="10"/>
      <c r="F347" s="10"/>
      <c r="G347" s="10"/>
      <c r="H347" s="10"/>
      <c r="I347" s="18" t="n">
        <v>2</v>
      </c>
      <c r="J347" s="18" t="s">
        <v>49</v>
      </c>
      <c r="K347" s="19" t="n">
        <f aca="false">44.82</f>
        <v>44.82</v>
      </c>
      <c r="L347" s="19" t="n">
        <f aca="false">147.74</f>
        <v>147.74</v>
      </c>
      <c r="M347" s="18" t="n">
        <v>16</v>
      </c>
      <c r="N347" s="18" t="n">
        <v>34</v>
      </c>
      <c r="O347" s="18" t="n">
        <v>149.8</v>
      </c>
      <c r="P347" s="19" t="n">
        <f aca="false">28</f>
        <v>28</v>
      </c>
      <c r="Q347" s="19" t="n">
        <f aca="false">168.5</f>
        <v>168.5</v>
      </c>
      <c r="R347" s="18" t="n">
        <v>19.5</v>
      </c>
      <c r="S347" s="18" t="n">
        <v>22.1</v>
      </c>
      <c r="T347" s="18" t="n">
        <v>555</v>
      </c>
      <c r="U347" s="20" t="s">
        <v>29</v>
      </c>
      <c r="V347" s="21"/>
      <c r="W347" s="16"/>
      <c r="X347" s="16"/>
      <c r="Y347" s="16"/>
    </row>
    <row r="348" customFormat="false" ht="15.75" hidden="false" customHeight="false" outlineLevel="0" collapsed="false">
      <c r="A348" s="9"/>
      <c r="B348" s="10"/>
      <c r="C348" s="10"/>
      <c r="D348" s="10"/>
      <c r="E348" s="10"/>
      <c r="F348" s="10"/>
      <c r="G348" s="10"/>
      <c r="H348" s="10"/>
      <c r="I348" s="22" t="n">
        <v>3</v>
      </c>
      <c r="J348" s="22" t="s">
        <v>49</v>
      </c>
      <c r="K348" s="23" t="n">
        <f aca="false">43.82</f>
        <v>43.82</v>
      </c>
      <c r="L348" s="23" t="n">
        <f aca="false">133.95</f>
        <v>133.95</v>
      </c>
      <c r="M348" s="22" t="n">
        <v>14</v>
      </c>
      <c r="N348" s="22" t="n">
        <v>32</v>
      </c>
      <c r="O348" s="22" t="n">
        <v>128.6</v>
      </c>
      <c r="P348" s="23" t="n">
        <f aca="false">26.58</f>
        <v>26.58</v>
      </c>
      <c r="Q348" s="23" t="n">
        <f aca="false">159.21</f>
        <v>159.21</v>
      </c>
      <c r="R348" s="22" t="n">
        <v>17</v>
      </c>
      <c r="S348" s="22" t="n">
        <v>24.3</v>
      </c>
      <c r="T348" s="22" t="n">
        <v>458</v>
      </c>
      <c r="U348" s="24" t="s">
        <v>29</v>
      </c>
      <c r="V348" s="15"/>
      <c r="W348" s="16"/>
      <c r="X348" s="16"/>
      <c r="Y348" s="16"/>
    </row>
    <row r="349" customFormat="false" ht="15.75" hidden="false" customHeight="false" outlineLevel="0" collapsed="false">
      <c r="A349" s="9"/>
      <c r="B349" s="10"/>
      <c r="C349" s="10"/>
      <c r="D349" s="10"/>
      <c r="E349" s="10"/>
      <c r="F349" s="10"/>
      <c r="G349" s="10"/>
      <c r="H349" s="10"/>
      <c r="I349" s="25" t="n">
        <v>4</v>
      </c>
      <c r="J349" s="25" t="s">
        <v>36</v>
      </c>
      <c r="K349" s="26" t="n">
        <f aca="false">40.47</f>
        <v>40.47</v>
      </c>
      <c r="L349" s="26" t="n">
        <f aca="false">157.13</f>
        <v>157.13</v>
      </c>
      <c r="M349" s="25" t="n">
        <v>14</v>
      </c>
      <c r="N349" s="25" t="n">
        <v>28</v>
      </c>
      <c r="O349" s="25" t="n">
        <v>88.5</v>
      </c>
      <c r="P349" s="26" t="n">
        <f aca="false">27.98</f>
        <v>27.98</v>
      </c>
      <c r="Q349" s="26" t="n">
        <f aca="false">174.43</f>
        <v>174.43</v>
      </c>
      <c r="R349" s="25" t="n">
        <v>23.2</v>
      </c>
      <c r="S349" s="25" t="n">
        <v>17.7</v>
      </c>
      <c r="T349" s="25" t="n">
        <v>370</v>
      </c>
      <c r="U349" s="27" t="s">
        <v>29</v>
      </c>
      <c r="V349" s="21"/>
      <c r="W349" s="16"/>
      <c r="X349" s="16"/>
      <c r="Y349" s="16"/>
    </row>
    <row r="350" customFormat="false" ht="15.75" hidden="false" customHeight="true" outlineLevel="0" collapsed="false">
      <c r="A350" s="9" t="s">
        <v>43</v>
      </c>
      <c r="B350" s="10" t="s">
        <v>44</v>
      </c>
      <c r="C350" s="11" t="s">
        <v>144</v>
      </c>
      <c r="D350" s="10" t="s">
        <v>28</v>
      </c>
      <c r="E350" s="10" t="s">
        <v>28</v>
      </c>
      <c r="F350" s="10"/>
      <c r="G350" s="10" t="n">
        <v>4</v>
      </c>
      <c r="H350" s="10" t="n">
        <v>0.5</v>
      </c>
      <c r="I350" s="12" t="n">
        <v>1</v>
      </c>
      <c r="J350" s="12" t="s">
        <v>50</v>
      </c>
      <c r="K350" s="13" t="n">
        <f aca="false">41.77</f>
        <v>41.77</v>
      </c>
      <c r="L350" s="13" t="n">
        <f aca="false">133.84</f>
        <v>133.84</v>
      </c>
      <c r="M350" s="12" t="n">
        <v>14</v>
      </c>
      <c r="N350" s="12" t="n">
        <v>34</v>
      </c>
      <c r="O350" s="12" t="n">
        <v>115.1</v>
      </c>
      <c r="P350" s="13" t="n">
        <f aca="false">25.53</f>
        <v>25.53</v>
      </c>
      <c r="Q350" s="13" t="n">
        <f aca="false">154.83</f>
        <v>154.83</v>
      </c>
      <c r="R350" s="12" t="n">
        <v>18.9</v>
      </c>
      <c r="S350" s="12" t="n">
        <v>19.8</v>
      </c>
      <c r="T350" s="12" t="n">
        <v>506</v>
      </c>
      <c r="U350" s="14" t="s">
        <v>29</v>
      </c>
      <c r="V350" s="15"/>
      <c r="W350" s="16" t="str">
        <f aca="false">A350</f>
        <v>JB</v>
      </c>
      <c r="X350" s="17" t="e">
        <f aca="false">ifs(C350="","",X350="",NOW(),TRUE(),X350)</f>
        <v>#VALUE!</v>
      </c>
      <c r="Y350" s="17" t="e">
        <f aca="false">ifs(COUNTA(K350:U353)&lt;44,"",Y350="",NOW(),TRUE(),Y350)</f>
        <v>#VALUE!</v>
      </c>
    </row>
    <row r="351" customFormat="false" ht="15.75" hidden="false" customHeight="false" outlineLevel="0" collapsed="false">
      <c r="A351" s="9"/>
      <c r="B351" s="10"/>
      <c r="C351" s="10"/>
      <c r="D351" s="10"/>
      <c r="E351" s="10"/>
      <c r="F351" s="10"/>
      <c r="G351" s="10"/>
      <c r="H351" s="10"/>
      <c r="I351" s="18" t="n">
        <v>2</v>
      </c>
      <c r="J351" s="18" t="s">
        <v>33</v>
      </c>
      <c r="K351" s="19" t="n">
        <f aca="false">37.95</f>
        <v>37.95</v>
      </c>
      <c r="L351" s="19" t="n">
        <f aca="false">120.09</f>
        <v>120.09</v>
      </c>
      <c r="M351" s="18" t="n">
        <v>12</v>
      </c>
      <c r="N351" s="18" t="n">
        <v>30</v>
      </c>
      <c r="O351" s="18" t="n">
        <v>83.8</v>
      </c>
      <c r="P351" s="19" t="n">
        <f aca="false">25.08</f>
        <v>25.08</v>
      </c>
      <c r="Q351" s="19" t="n">
        <f aca="false">145.91</f>
        <v>145.91</v>
      </c>
      <c r="R351" s="18" t="n">
        <v>17</v>
      </c>
      <c r="S351" s="18" t="n">
        <v>13.6</v>
      </c>
      <c r="T351" s="18" t="n">
        <v>442</v>
      </c>
      <c r="U351" s="20" t="s">
        <v>29</v>
      </c>
      <c r="V351" s="21"/>
      <c r="W351" s="16"/>
      <c r="X351" s="16"/>
      <c r="Y351" s="16"/>
    </row>
    <row r="352" customFormat="false" ht="15.75" hidden="false" customHeight="false" outlineLevel="0" collapsed="false">
      <c r="A352" s="9"/>
      <c r="B352" s="10"/>
      <c r="C352" s="10"/>
      <c r="D352" s="10"/>
      <c r="E352" s="10"/>
      <c r="F352" s="10"/>
      <c r="G352" s="10"/>
      <c r="H352" s="10"/>
      <c r="I352" s="22" t="n">
        <v>3</v>
      </c>
      <c r="J352" s="22" t="s">
        <v>46</v>
      </c>
      <c r="K352" s="23" t="n">
        <f aca="false">37.74</f>
        <v>37.74</v>
      </c>
      <c r="L352" s="23" t="n">
        <f aca="false">124.95</f>
        <v>124.95</v>
      </c>
      <c r="M352" s="22" t="n">
        <v>12</v>
      </c>
      <c r="N352" s="22" t="n">
        <v>32</v>
      </c>
      <c r="O352" s="22" t="n">
        <v>81.5</v>
      </c>
      <c r="P352" s="23" t="n">
        <f aca="false">24.23</f>
        <v>24.23</v>
      </c>
      <c r="Q352" s="23" t="n">
        <f aca="false">141.21</f>
        <v>141.21</v>
      </c>
      <c r="R352" s="22" t="n">
        <v>16.1</v>
      </c>
      <c r="S352" s="22" t="n">
        <v>14.9</v>
      </c>
      <c r="T352" s="22" t="n">
        <v>409</v>
      </c>
      <c r="U352" s="24" t="s">
        <v>29</v>
      </c>
      <c r="V352" s="15"/>
      <c r="W352" s="16"/>
      <c r="X352" s="16"/>
      <c r="Y352" s="16"/>
    </row>
    <row r="353" customFormat="false" ht="15.75" hidden="false" customHeight="false" outlineLevel="0" collapsed="false">
      <c r="A353" s="9"/>
      <c r="B353" s="10"/>
      <c r="C353" s="10"/>
      <c r="D353" s="10"/>
      <c r="E353" s="10"/>
      <c r="F353" s="10"/>
      <c r="G353" s="10"/>
      <c r="H353" s="10"/>
      <c r="I353" s="25" t="n">
        <v>4</v>
      </c>
      <c r="J353" s="25" t="s">
        <v>33</v>
      </c>
      <c r="K353" s="26" t="n">
        <f aca="false">42.45</f>
        <v>42.45</v>
      </c>
      <c r="L353" s="26" t="n">
        <f aca="false">165.58</f>
        <v>165.58</v>
      </c>
      <c r="M353" s="25" t="n">
        <v>14</v>
      </c>
      <c r="N353" s="25" t="n">
        <v>44</v>
      </c>
      <c r="O353" s="25" t="n">
        <v>151.9</v>
      </c>
      <c r="P353" s="26" t="n">
        <f aca="false">28.11</f>
        <v>28.11</v>
      </c>
      <c r="Q353" s="26" t="n">
        <f aca="false">188.56</f>
        <v>188.56</v>
      </c>
      <c r="R353" s="25" t="n">
        <v>26.8</v>
      </c>
      <c r="S353" s="25" t="n">
        <v>18.8</v>
      </c>
      <c r="T353" s="25" t="n">
        <v>658</v>
      </c>
      <c r="U353" s="27" t="s">
        <v>29</v>
      </c>
      <c r="V353" s="21"/>
      <c r="W353" s="16"/>
      <c r="X353" s="16"/>
      <c r="Y353" s="16"/>
    </row>
    <row r="354" customFormat="false" ht="15.75" hidden="false" customHeight="true" outlineLevel="0" collapsed="false">
      <c r="A354" s="9" t="s">
        <v>43</v>
      </c>
      <c r="B354" s="10" t="s">
        <v>44</v>
      </c>
      <c r="C354" s="11" t="s">
        <v>145</v>
      </c>
      <c r="D354" s="10" t="s">
        <v>28</v>
      </c>
      <c r="E354" s="10" t="s">
        <v>28</v>
      </c>
      <c r="F354" s="10"/>
      <c r="G354" s="10" t="n">
        <v>26</v>
      </c>
      <c r="H354" s="10" t="n">
        <v>4.7</v>
      </c>
      <c r="I354" s="12" t="n">
        <v>1</v>
      </c>
      <c r="J354" s="12" t="s">
        <v>36</v>
      </c>
      <c r="K354" s="13" t="n">
        <f aca="false">45.8</f>
        <v>45.8</v>
      </c>
      <c r="L354" s="13" t="n">
        <f aca="false">161.64</f>
        <v>161.64</v>
      </c>
      <c r="M354" s="12" t="n">
        <v>16</v>
      </c>
      <c r="N354" s="12" t="n">
        <v>36</v>
      </c>
      <c r="O354" s="12" t="n">
        <v>165.7</v>
      </c>
      <c r="P354" s="13" t="n">
        <f aca="false">30.68</f>
        <v>30.68</v>
      </c>
      <c r="Q354" s="13" t="n">
        <f aca="false">172.37</f>
        <v>172.37</v>
      </c>
      <c r="R354" s="12" t="n">
        <v>30.5</v>
      </c>
      <c r="S354" s="12" t="n">
        <v>18.2</v>
      </c>
      <c r="T354" s="12" t="n">
        <v>633</v>
      </c>
      <c r="U354" s="14" t="s">
        <v>29</v>
      </c>
      <c r="V354" s="15"/>
      <c r="W354" s="16" t="str">
        <f aca="false">A354</f>
        <v>JB</v>
      </c>
      <c r="X354" s="17" t="e">
        <f aca="false">ifs(C354="","",X354="",NOW(),TRUE(),X354)</f>
        <v>#VALUE!</v>
      </c>
      <c r="Y354" s="17" t="e">
        <f aca="false">ifs(COUNTA(K354:U357)&lt;44,"",Y354="",NOW(),TRUE(),Y354)</f>
        <v>#VALUE!</v>
      </c>
    </row>
    <row r="355" customFormat="false" ht="15.75" hidden="false" customHeight="false" outlineLevel="0" collapsed="false">
      <c r="A355" s="9"/>
      <c r="B355" s="10"/>
      <c r="C355" s="10"/>
      <c r="D355" s="10"/>
      <c r="E355" s="10"/>
      <c r="F355" s="10"/>
      <c r="G355" s="10"/>
      <c r="H355" s="10"/>
      <c r="I355" s="18" t="n">
        <v>2</v>
      </c>
      <c r="J355" s="18" t="s">
        <v>47</v>
      </c>
      <c r="K355" s="19" t="n">
        <f aca="false">44.85</f>
        <v>44.85</v>
      </c>
      <c r="L355" s="19" t="n">
        <f aca="false">124.28</f>
        <v>124.28</v>
      </c>
      <c r="M355" s="18" t="n">
        <v>16</v>
      </c>
      <c r="N355" s="18" t="n">
        <v>28</v>
      </c>
      <c r="O355" s="18" t="n">
        <v>136.7</v>
      </c>
      <c r="P355" s="19" t="n">
        <f aca="false">29.47</f>
        <v>29.47</v>
      </c>
      <c r="Q355" s="19" t="n">
        <f aca="false">157.65</f>
        <v>157.65</v>
      </c>
      <c r="R355" s="18" t="n">
        <v>22.8</v>
      </c>
      <c r="S355" s="18" t="n">
        <v>23.9</v>
      </c>
      <c r="T355" s="18" t="n">
        <v>501</v>
      </c>
      <c r="U355" s="20" t="s">
        <v>29</v>
      </c>
      <c r="V355" s="21"/>
      <c r="W355" s="16"/>
      <c r="X355" s="16"/>
      <c r="Y355" s="16"/>
    </row>
    <row r="356" customFormat="false" ht="15.75" hidden="false" customHeight="false" outlineLevel="0" collapsed="false">
      <c r="A356" s="9"/>
      <c r="B356" s="10"/>
      <c r="C356" s="10"/>
      <c r="D356" s="10"/>
      <c r="E356" s="10"/>
      <c r="F356" s="10"/>
      <c r="G356" s="10"/>
      <c r="H356" s="10"/>
      <c r="I356" s="22" t="n">
        <v>3</v>
      </c>
      <c r="J356" s="22" t="s">
        <v>49</v>
      </c>
      <c r="K356" s="23" t="n">
        <f aca="false">42.98</f>
        <v>42.98</v>
      </c>
      <c r="L356" s="23" t="n">
        <f aca="false">141.35</f>
        <v>141.35</v>
      </c>
      <c r="M356" s="22" t="n">
        <v>14</v>
      </c>
      <c r="N356" s="22" t="n">
        <v>30</v>
      </c>
      <c r="O356" s="22" t="n">
        <v>134</v>
      </c>
      <c r="P356" s="23" t="n">
        <f aca="false">28.29</f>
        <v>28.29</v>
      </c>
      <c r="Q356" s="23" t="n">
        <f aca="false">159.01</f>
        <v>159.01</v>
      </c>
      <c r="R356" s="22" t="n">
        <v>22.8</v>
      </c>
      <c r="S356" s="22" t="n">
        <v>20.4</v>
      </c>
      <c r="T356" s="22" t="n">
        <v>481</v>
      </c>
      <c r="U356" s="24" t="s">
        <v>29</v>
      </c>
      <c r="V356" s="15"/>
      <c r="W356" s="16"/>
      <c r="X356" s="16"/>
      <c r="Y356" s="16"/>
    </row>
    <row r="357" customFormat="false" ht="15.75" hidden="false" customHeight="false" outlineLevel="0" collapsed="false">
      <c r="A357" s="9"/>
      <c r="B357" s="10"/>
      <c r="C357" s="10"/>
      <c r="D357" s="10"/>
      <c r="E357" s="10"/>
      <c r="F357" s="10"/>
      <c r="G357" s="10"/>
      <c r="H357" s="10"/>
      <c r="I357" s="25" t="n">
        <v>4</v>
      </c>
      <c r="J357" s="25" t="s">
        <v>35</v>
      </c>
      <c r="K357" s="26" t="n">
        <f aca="false">43.85</f>
        <v>43.85</v>
      </c>
      <c r="L357" s="26" t="n">
        <f aca="false">150.28</f>
        <v>150.28</v>
      </c>
      <c r="M357" s="25" t="n">
        <v>12</v>
      </c>
      <c r="N357" s="25" t="n">
        <v>38</v>
      </c>
      <c r="O357" s="25" t="n">
        <v>158.2</v>
      </c>
      <c r="P357" s="26" t="n">
        <f aca="false">27.71</f>
        <v>27.71</v>
      </c>
      <c r="Q357" s="26" t="n">
        <f aca="false">176.8</f>
        <v>176.8</v>
      </c>
      <c r="R357" s="25" t="n">
        <v>26.5</v>
      </c>
      <c r="S357" s="25" t="n">
        <v>25.1</v>
      </c>
      <c r="T357" s="25" t="n">
        <v>513</v>
      </c>
      <c r="U357" s="27" t="s">
        <v>29</v>
      </c>
      <c r="V357" s="21"/>
      <c r="W357" s="16"/>
      <c r="X357" s="16"/>
      <c r="Y357" s="16"/>
    </row>
    <row r="358" customFormat="false" ht="15.75" hidden="false" customHeight="true" outlineLevel="0" collapsed="false">
      <c r="A358" s="9" t="s">
        <v>43</v>
      </c>
      <c r="B358" s="10" t="s">
        <v>44</v>
      </c>
      <c r="C358" s="11" t="s">
        <v>146</v>
      </c>
      <c r="D358" s="10" t="s">
        <v>28</v>
      </c>
      <c r="E358" s="10" t="s">
        <v>28</v>
      </c>
      <c r="F358" s="10"/>
      <c r="G358" s="10" t="n">
        <v>21</v>
      </c>
      <c r="H358" s="10" t="n">
        <v>6.5</v>
      </c>
      <c r="I358" s="12" t="n">
        <v>1</v>
      </c>
      <c r="J358" s="12" t="s">
        <v>49</v>
      </c>
      <c r="K358" s="13" t="n">
        <f aca="false">36.8</f>
        <v>36.8</v>
      </c>
      <c r="L358" s="13" t="n">
        <f aca="false">104.89</f>
        <v>104.89</v>
      </c>
      <c r="M358" s="12" t="n">
        <v>14</v>
      </c>
      <c r="N358" s="12" t="n">
        <v>26</v>
      </c>
      <c r="O358" s="12" t="n">
        <v>87.2</v>
      </c>
      <c r="P358" s="13" t="n">
        <f aca="false">24.38</f>
        <v>24.38</v>
      </c>
      <c r="Q358" s="13" t="n">
        <f aca="false">134.76</f>
        <v>134.76</v>
      </c>
      <c r="R358" s="12" t="n">
        <v>13.1</v>
      </c>
      <c r="S358" s="12" t="n">
        <v>19.9</v>
      </c>
      <c r="T358" s="12" t="n">
        <v>363</v>
      </c>
      <c r="U358" s="14" t="s">
        <v>29</v>
      </c>
      <c r="V358" s="15"/>
      <c r="W358" s="16" t="str">
        <f aca="false">A358</f>
        <v>JB</v>
      </c>
      <c r="X358" s="17" t="e">
        <f aca="false">ifs(C358="","",X358="",NOW(),TRUE(),X358)</f>
        <v>#VALUE!</v>
      </c>
      <c r="Y358" s="17" t="e">
        <f aca="false">ifs(COUNTA(K358:U361)&lt;44,"",Y358="",NOW(),TRUE(),Y358)</f>
        <v>#VALUE!</v>
      </c>
    </row>
    <row r="359" customFormat="false" ht="15.75" hidden="false" customHeight="false" outlineLevel="0" collapsed="false">
      <c r="A359" s="9"/>
      <c r="B359" s="10"/>
      <c r="C359" s="10"/>
      <c r="D359" s="10"/>
      <c r="E359" s="10"/>
      <c r="F359" s="10"/>
      <c r="G359" s="10"/>
      <c r="H359" s="10"/>
      <c r="I359" s="18" t="n">
        <v>2</v>
      </c>
      <c r="J359" s="18" t="s">
        <v>49</v>
      </c>
      <c r="K359" s="19" t="n">
        <f aca="false">35.67</f>
        <v>35.67</v>
      </c>
      <c r="L359" s="19" t="n">
        <f aca="false">133.88</f>
        <v>133.88</v>
      </c>
      <c r="M359" s="18" t="n">
        <v>12</v>
      </c>
      <c r="N359" s="18" t="n">
        <v>34</v>
      </c>
      <c r="O359" s="18" t="n">
        <v>97.5</v>
      </c>
      <c r="P359" s="19" t="n">
        <f aca="false">23.38</f>
        <v>23.38</v>
      </c>
      <c r="Q359" s="19" t="n">
        <f aca="false">152.69</f>
        <v>152.69</v>
      </c>
      <c r="R359" s="18" t="n">
        <v>14.1</v>
      </c>
      <c r="S359" s="18" t="n">
        <v>20.7</v>
      </c>
      <c r="T359" s="18" t="n">
        <v>415</v>
      </c>
      <c r="U359" s="20" t="s">
        <v>58</v>
      </c>
      <c r="V359" s="21"/>
      <c r="W359" s="16"/>
      <c r="X359" s="16"/>
      <c r="Y359" s="16"/>
    </row>
    <row r="360" customFormat="false" ht="15.75" hidden="false" customHeight="false" outlineLevel="0" collapsed="false">
      <c r="A360" s="9"/>
      <c r="B360" s="10"/>
      <c r="C360" s="10"/>
      <c r="D360" s="10"/>
      <c r="E360" s="10"/>
      <c r="F360" s="10"/>
      <c r="G360" s="10"/>
      <c r="H360" s="10"/>
      <c r="I360" s="22" t="n">
        <v>3</v>
      </c>
      <c r="J360" s="22" t="s">
        <v>147</v>
      </c>
      <c r="K360" s="23" t="n">
        <f aca="false">39.01</f>
        <v>39.01</v>
      </c>
      <c r="L360" s="23" t="n">
        <f aca="false">43.69</f>
        <v>43.69</v>
      </c>
      <c r="M360" s="22" t="n">
        <v>14</v>
      </c>
      <c r="N360" s="22" t="n">
        <v>8</v>
      </c>
      <c r="O360" s="22" t="n">
        <v>32.8</v>
      </c>
      <c r="P360" s="23" t="n">
        <f aca="false">29.43</f>
        <v>29.43</v>
      </c>
      <c r="Q360" s="23" t="n">
        <f aca="false">111.21</f>
        <v>111.21</v>
      </c>
      <c r="R360" s="22" t="n">
        <v>13.1</v>
      </c>
      <c r="S360" s="22"/>
      <c r="T360" s="22" t="n">
        <v>54</v>
      </c>
      <c r="U360" s="24" t="s">
        <v>58</v>
      </c>
      <c r="V360" s="15"/>
      <c r="W360" s="16"/>
      <c r="X360" s="16"/>
      <c r="Y360" s="16"/>
    </row>
    <row r="361" customFormat="false" ht="15.75" hidden="false" customHeight="false" outlineLevel="0" collapsed="false">
      <c r="A361" s="9"/>
      <c r="B361" s="10"/>
      <c r="C361" s="10"/>
      <c r="D361" s="10"/>
      <c r="E361" s="10"/>
      <c r="F361" s="10"/>
      <c r="G361" s="10"/>
      <c r="H361" s="10"/>
      <c r="I361" s="25" t="n">
        <v>4</v>
      </c>
      <c r="J361" s="25" t="s">
        <v>111</v>
      </c>
      <c r="K361" s="26" t="n">
        <f aca="false">36.73</f>
        <v>36.73</v>
      </c>
      <c r="L361" s="26" t="n">
        <f aca="false">58.15</f>
        <v>58.15</v>
      </c>
      <c r="M361" s="25" t="n">
        <v>10</v>
      </c>
      <c r="N361" s="25" t="n">
        <v>12</v>
      </c>
      <c r="O361" s="25" t="n">
        <v>34.7</v>
      </c>
      <c r="P361" s="26" t="n">
        <f aca="false">23.43</f>
        <v>23.43</v>
      </c>
      <c r="Q361" s="26" t="n">
        <f aca="false">95.24</f>
        <v>95.24</v>
      </c>
      <c r="R361" s="25" t="n">
        <v>7.9</v>
      </c>
      <c r="S361" s="25"/>
      <c r="T361" s="25" t="n">
        <v>72</v>
      </c>
      <c r="U361" s="27" t="s">
        <v>58</v>
      </c>
      <c r="V361" s="21"/>
      <c r="W361" s="16"/>
      <c r="X361" s="16"/>
      <c r="Y361" s="16"/>
    </row>
    <row r="362" customFormat="false" ht="15.75" hidden="false" customHeight="true" outlineLevel="0" collapsed="false">
      <c r="A362" s="9" t="s">
        <v>43</v>
      </c>
      <c r="B362" s="10" t="s">
        <v>44</v>
      </c>
      <c r="C362" s="11" t="s">
        <v>148</v>
      </c>
      <c r="D362" s="10" t="s">
        <v>28</v>
      </c>
      <c r="E362" s="10" t="s">
        <v>28</v>
      </c>
      <c r="F362" s="10"/>
      <c r="G362" s="10" t="n">
        <v>6</v>
      </c>
      <c r="H362" s="10" t="n">
        <v>1.7</v>
      </c>
      <c r="I362" s="12" t="n">
        <v>1</v>
      </c>
      <c r="J362" s="12" t="s">
        <v>47</v>
      </c>
      <c r="K362" s="13" t="n">
        <f aca="false">43.55</f>
        <v>43.55</v>
      </c>
      <c r="L362" s="13" t="n">
        <f aca="false">135.45</f>
        <v>135.45</v>
      </c>
      <c r="M362" s="12" t="n">
        <v>14</v>
      </c>
      <c r="N362" s="12" t="n">
        <v>34</v>
      </c>
      <c r="O362" s="12" t="n">
        <v>130.7</v>
      </c>
      <c r="P362" s="13" t="n">
        <f aca="false">27.83</f>
        <v>27.83</v>
      </c>
      <c r="Q362" s="13" t="n">
        <f aca="false">163.04</f>
        <v>163.04</v>
      </c>
      <c r="R362" s="12" t="n">
        <v>23.6</v>
      </c>
      <c r="S362" s="12" t="n">
        <v>24.4</v>
      </c>
      <c r="T362" s="12" t="n">
        <v>460</v>
      </c>
      <c r="U362" s="14" t="s">
        <v>29</v>
      </c>
      <c r="V362" s="15"/>
      <c r="W362" s="16" t="str">
        <f aca="false">A362</f>
        <v>JB</v>
      </c>
      <c r="X362" s="17" t="e">
        <f aca="false">ifs(C362="","",X362="",NOW(),TRUE(),X362)</f>
        <v>#VALUE!</v>
      </c>
      <c r="Y362" s="17" t="e">
        <f aca="false">ifs(COUNTA(K362:U365)&lt;44,"",Y362="",NOW(),TRUE(),Y362)</f>
        <v>#VALUE!</v>
      </c>
    </row>
    <row r="363" customFormat="false" ht="15.75" hidden="false" customHeight="false" outlineLevel="0" collapsed="false">
      <c r="A363" s="9"/>
      <c r="B363" s="10"/>
      <c r="C363" s="10"/>
      <c r="D363" s="10"/>
      <c r="E363" s="10"/>
      <c r="F363" s="10"/>
      <c r="G363" s="10"/>
      <c r="H363" s="10"/>
      <c r="I363" s="18" t="n">
        <v>2</v>
      </c>
      <c r="J363" s="18" t="s">
        <v>35</v>
      </c>
      <c r="K363" s="19" t="n">
        <f aca="false">43.64</f>
        <v>43.64</v>
      </c>
      <c r="L363" s="19" t="n">
        <f aca="false">170.85</f>
        <v>170.85</v>
      </c>
      <c r="M363" s="18" t="n">
        <v>16</v>
      </c>
      <c r="N363" s="18" t="n">
        <v>38</v>
      </c>
      <c r="O363" s="18" t="n">
        <v>169.4</v>
      </c>
      <c r="P363" s="19" t="n">
        <f aca="false">27.23</f>
        <v>27.23</v>
      </c>
      <c r="Q363" s="19" t="n">
        <f aca="false">188.37</f>
        <v>188.37</v>
      </c>
      <c r="R363" s="18" t="n">
        <v>25.9</v>
      </c>
      <c r="S363" s="18" t="n">
        <v>21.6</v>
      </c>
      <c r="T363" s="18" t="n">
        <v>609</v>
      </c>
      <c r="U363" s="20" t="s">
        <v>29</v>
      </c>
      <c r="V363" s="21"/>
      <c r="W363" s="16"/>
      <c r="X363" s="16"/>
      <c r="Y363" s="16"/>
    </row>
    <row r="364" customFormat="false" ht="15.75" hidden="false" customHeight="false" outlineLevel="0" collapsed="false">
      <c r="A364" s="9"/>
      <c r="B364" s="10"/>
      <c r="C364" s="10"/>
      <c r="D364" s="10"/>
      <c r="E364" s="10"/>
      <c r="F364" s="10"/>
      <c r="G364" s="10"/>
      <c r="H364" s="10"/>
      <c r="I364" s="22" t="n">
        <v>3</v>
      </c>
      <c r="J364" s="22" t="s">
        <v>50</v>
      </c>
      <c r="K364" s="23" t="n">
        <f aca="false">42.48</f>
        <v>42.48</v>
      </c>
      <c r="L364" s="23" t="n">
        <f aca="false">178.38</f>
        <v>178.38</v>
      </c>
      <c r="M364" s="22" t="n">
        <v>12</v>
      </c>
      <c r="N364" s="22" t="n">
        <v>36</v>
      </c>
      <c r="O364" s="22" t="n">
        <v>166.4</v>
      </c>
      <c r="P364" s="23" t="n">
        <f aca="false">27.38</f>
        <v>27.38</v>
      </c>
      <c r="Q364" s="23" t="n">
        <f aca="false">186</f>
        <v>186</v>
      </c>
      <c r="R364" s="22" t="n">
        <v>27.7</v>
      </c>
      <c r="S364" s="22" t="n">
        <v>25.4</v>
      </c>
      <c r="T364" s="22" t="n">
        <v>538</v>
      </c>
      <c r="U364" s="24" t="s">
        <v>29</v>
      </c>
      <c r="V364" s="15"/>
      <c r="W364" s="16"/>
      <c r="X364" s="16"/>
      <c r="Y364" s="16"/>
    </row>
    <row r="365" customFormat="false" ht="15.75" hidden="false" customHeight="false" outlineLevel="0" collapsed="false">
      <c r="A365" s="9"/>
      <c r="B365" s="10"/>
      <c r="C365" s="10"/>
      <c r="D365" s="10"/>
      <c r="E365" s="10"/>
      <c r="F365" s="10"/>
      <c r="G365" s="10"/>
      <c r="H365" s="10"/>
      <c r="I365" s="25" t="n">
        <v>4</v>
      </c>
      <c r="J365" s="25" t="s">
        <v>33</v>
      </c>
      <c r="K365" s="26" t="n">
        <f aca="false">39.32</f>
        <v>39.32</v>
      </c>
      <c r="L365" s="26" t="n">
        <f aca="false">135.06</f>
        <v>135.06</v>
      </c>
      <c r="M365" s="25" t="n">
        <v>12</v>
      </c>
      <c r="N365" s="25" t="n">
        <v>32</v>
      </c>
      <c r="O365" s="25" t="n">
        <v>112.2</v>
      </c>
      <c r="P365" s="26" t="n">
        <f aca="false">26.09</f>
        <v>26.09</v>
      </c>
      <c r="Q365" s="26" t="n">
        <f aca="false">167.53</f>
        <v>167.53</v>
      </c>
      <c r="R365" s="25" t="n">
        <v>20.3</v>
      </c>
      <c r="S365" s="25" t="n">
        <v>22.9</v>
      </c>
      <c r="T365" s="25" t="n">
        <v>416</v>
      </c>
      <c r="U365" s="27" t="s">
        <v>29</v>
      </c>
      <c r="V365" s="21"/>
      <c r="W365" s="16"/>
      <c r="X365" s="16"/>
      <c r="Y365" s="16"/>
    </row>
    <row r="366" customFormat="false" ht="15.75" hidden="false" customHeight="true" outlineLevel="0" collapsed="false">
      <c r="A366" s="9" t="s">
        <v>43</v>
      </c>
      <c r="B366" s="10" t="s">
        <v>44</v>
      </c>
      <c r="C366" s="11" t="s">
        <v>149</v>
      </c>
      <c r="D366" s="10" t="s">
        <v>28</v>
      </c>
      <c r="E366" s="10" t="s">
        <v>28</v>
      </c>
      <c r="F366" s="10"/>
      <c r="G366" s="10" t="n">
        <v>22</v>
      </c>
      <c r="H366" s="10" t="n">
        <v>6.2</v>
      </c>
      <c r="I366" s="12" t="n">
        <v>1</v>
      </c>
      <c r="J366" s="12" t="s">
        <v>49</v>
      </c>
      <c r="K366" s="13" t="n">
        <f aca="false">42.11</f>
        <v>42.11</v>
      </c>
      <c r="L366" s="13" t="n">
        <f aca="false">103.08</f>
        <v>103.08</v>
      </c>
      <c r="M366" s="12" t="n">
        <v>14</v>
      </c>
      <c r="N366" s="12" t="n">
        <v>24</v>
      </c>
      <c r="O366" s="12" t="n">
        <v>97.9</v>
      </c>
      <c r="P366" s="13" t="n">
        <f aca="false">27.96</f>
        <v>27.96</v>
      </c>
      <c r="Q366" s="13" t="n">
        <f aca="false">120.7</f>
        <v>120.7</v>
      </c>
      <c r="R366" s="12" t="n">
        <v>13.2</v>
      </c>
      <c r="S366" s="12" t="n">
        <v>27.9</v>
      </c>
      <c r="T366" s="12" t="n">
        <v>309</v>
      </c>
      <c r="U366" s="14" t="s">
        <v>97</v>
      </c>
      <c r="V366" s="15"/>
      <c r="W366" s="16" t="str">
        <f aca="false">A366</f>
        <v>JB</v>
      </c>
      <c r="X366" s="17" t="e">
        <f aca="false">ifs(C366="","",X366="",NOW(),TRUE(),X366)</f>
        <v>#VALUE!</v>
      </c>
      <c r="Y366" s="17" t="e">
        <f aca="false">ifs(COUNTA(K366:U369)&lt;44,"",Y366="",NOW(),TRUE(),Y366)</f>
        <v>#VALUE!</v>
      </c>
    </row>
    <row r="367" customFormat="false" ht="15.75" hidden="false" customHeight="false" outlineLevel="0" collapsed="false">
      <c r="A367" s="9"/>
      <c r="B367" s="10"/>
      <c r="C367" s="10"/>
      <c r="D367" s="10"/>
      <c r="E367" s="10"/>
      <c r="F367" s="10"/>
      <c r="G367" s="10"/>
      <c r="H367" s="10"/>
      <c r="I367" s="18" t="n">
        <v>2</v>
      </c>
      <c r="J367" s="18" t="s">
        <v>33</v>
      </c>
      <c r="K367" s="19" t="n">
        <f aca="false">48.75</f>
        <v>48.75</v>
      </c>
      <c r="L367" s="19" t="n">
        <f aca="false">144.83</f>
        <v>144.83</v>
      </c>
      <c r="M367" s="18" t="n">
        <v>16</v>
      </c>
      <c r="N367" s="18" t="n">
        <v>32</v>
      </c>
      <c r="O367" s="18" t="n">
        <v>137.6</v>
      </c>
      <c r="P367" s="19" t="n">
        <f aca="false">31.38</f>
        <v>31.38</v>
      </c>
      <c r="Q367" s="19" t="n">
        <f aca="false">153.14</f>
        <v>153.14</v>
      </c>
      <c r="R367" s="18" t="n">
        <v>22.2</v>
      </c>
      <c r="S367" s="18" t="n">
        <v>23.3</v>
      </c>
      <c r="T367" s="18" t="n">
        <v>469</v>
      </c>
      <c r="U367" s="20" t="s">
        <v>97</v>
      </c>
      <c r="V367" s="21"/>
      <c r="W367" s="16"/>
      <c r="X367" s="16"/>
      <c r="Y367" s="16"/>
    </row>
    <row r="368" customFormat="false" ht="15.75" hidden="false" customHeight="false" outlineLevel="0" collapsed="false">
      <c r="A368" s="9"/>
      <c r="B368" s="10"/>
      <c r="C368" s="10"/>
      <c r="D368" s="10"/>
      <c r="E368" s="10"/>
      <c r="F368" s="10"/>
      <c r="G368" s="10"/>
      <c r="H368" s="10"/>
      <c r="I368" s="22" t="n">
        <v>3</v>
      </c>
      <c r="J368" s="22" t="s">
        <v>33</v>
      </c>
      <c r="K368" s="23" t="n">
        <f aca="false">46.07</f>
        <v>46.07</v>
      </c>
      <c r="L368" s="23" t="n">
        <f aca="false">155.39</f>
        <v>155.39</v>
      </c>
      <c r="M368" s="22" t="n">
        <v>16</v>
      </c>
      <c r="N368" s="22" t="n">
        <v>34</v>
      </c>
      <c r="O368" s="22" t="n">
        <v>155.7</v>
      </c>
      <c r="P368" s="23" t="n">
        <f aca="false">26.56</f>
        <v>26.56</v>
      </c>
      <c r="Q368" s="23" t="n">
        <f aca="false">165.67</f>
        <v>165.67</v>
      </c>
      <c r="R368" s="22" t="n">
        <v>21.1</v>
      </c>
      <c r="S368" s="22" t="n">
        <v>22.5</v>
      </c>
      <c r="T368" s="22" t="n">
        <v>570</v>
      </c>
      <c r="U368" s="24" t="s">
        <v>97</v>
      </c>
      <c r="V368" s="15"/>
      <c r="W368" s="16"/>
      <c r="X368" s="16"/>
      <c r="Y368" s="16"/>
    </row>
    <row r="369" customFormat="false" ht="15.75" hidden="false" customHeight="false" outlineLevel="0" collapsed="false">
      <c r="A369" s="9"/>
      <c r="B369" s="10"/>
      <c r="C369" s="10"/>
      <c r="D369" s="10"/>
      <c r="E369" s="10"/>
      <c r="F369" s="10"/>
      <c r="G369" s="10"/>
      <c r="H369" s="10"/>
      <c r="I369" s="25" t="n">
        <v>4</v>
      </c>
      <c r="J369" s="25" t="s">
        <v>33</v>
      </c>
      <c r="K369" s="26" t="n">
        <f aca="false">44.85</f>
        <v>44.85</v>
      </c>
      <c r="L369" s="26" t="n">
        <f aca="false">138.8</f>
        <v>138.8</v>
      </c>
      <c r="M369" s="25" t="n">
        <v>14</v>
      </c>
      <c r="N369" s="25" t="n">
        <v>32</v>
      </c>
      <c r="O369" s="25" t="n">
        <v>151.9</v>
      </c>
      <c r="P369" s="26" t="n">
        <f aca="false">26.54</f>
        <v>26.54</v>
      </c>
      <c r="Q369" s="26" t="n">
        <f aca="false">162.83</f>
        <v>162.83</v>
      </c>
      <c r="R369" s="25" t="n">
        <v>19.4</v>
      </c>
      <c r="S369" s="25" t="n">
        <v>27.4</v>
      </c>
      <c r="T369" s="25" t="n">
        <v>476</v>
      </c>
      <c r="U369" s="27" t="s">
        <v>97</v>
      </c>
      <c r="V369" s="21"/>
      <c r="W369" s="16"/>
      <c r="X369" s="16"/>
      <c r="Y369" s="16"/>
    </row>
    <row r="370" customFormat="false" ht="15.75" hidden="false" customHeight="true" outlineLevel="0" collapsed="false">
      <c r="A370" s="9" t="s">
        <v>43</v>
      </c>
      <c r="B370" s="10" t="s">
        <v>44</v>
      </c>
      <c r="C370" s="11" t="s">
        <v>150</v>
      </c>
      <c r="D370" s="10" t="s">
        <v>28</v>
      </c>
      <c r="E370" s="10" t="s">
        <v>28</v>
      </c>
      <c r="F370" s="10"/>
      <c r="G370" s="10" t="n">
        <v>16</v>
      </c>
      <c r="H370" s="10" t="n">
        <v>4</v>
      </c>
      <c r="I370" s="12" t="n">
        <v>1</v>
      </c>
      <c r="J370" s="12" t="s">
        <v>50</v>
      </c>
      <c r="K370" s="13" t="n">
        <f aca="false">42.8</f>
        <v>42.8</v>
      </c>
      <c r="L370" s="13" t="n">
        <f aca="false">158.5</f>
        <v>158.5</v>
      </c>
      <c r="M370" s="12" t="n">
        <v>12</v>
      </c>
      <c r="N370" s="12" t="n">
        <v>40</v>
      </c>
      <c r="O370" s="12" t="n">
        <v>168.2</v>
      </c>
      <c r="P370" s="13" t="n">
        <f aca="false">25.16</f>
        <v>25.16</v>
      </c>
      <c r="Q370" s="13" t="n">
        <f aca="false">170.11</f>
        <v>170.11</v>
      </c>
      <c r="R370" s="12" t="n">
        <v>23</v>
      </c>
      <c r="S370" s="12" t="n">
        <v>27.4</v>
      </c>
      <c r="T370" s="12" t="n">
        <v>530</v>
      </c>
      <c r="U370" s="14" t="s">
        <v>58</v>
      </c>
      <c r="V370" s="15"/>
      <c r="W370" s="16" t="str">
        <f aca="false">A370</f>
        <v>JB</v>
      </c>
      <c r="X370" s="17" t="e">
        <f aca="false">ifs(C370="","",X370="",NOW(),TRUE(),X370)</f>
        <v>#VALUE!</v>
      </c>
      <c r="Y370" s="17" t="e">
        <f aca="false">ifs(COUNTA(K370:U373)&lt;44,"",Y370="",NOW(),TRUE(),Y370)</f>
        <v>#VALUE!</v>
      </c>
    </row>
    <row r="371" customFormat="false" ht="15.75" hidden="false" customHeight="false" outlineLevel="0" collapsed="false">
      <c r="A371" s="9"/>
      <c r="B371" s="10"/>
      <c r="C371" s="10"/>
      <c r="D371" s="10"/>
      <c r="E371" s="10"/>
      <c r="F371" s="10"/>
      <c r="G371" s="10"/>
      <c r="H371" s="10"/>
      <c r="I371" s="18" t="n">
        <v>2</v>
      </c>
      <c r="J371" s="18" t="s">
        <v>50</v>
      </c>
      <c r="K371" s="19" t="n">
        <f aca="false">42.88</f>
        <v>42.88</v>
      </c>
      <c r="L371" s="19" t="n">
        <f aca="false">148.45</f>
        <v>148.45</v>
      </c>
      <c r="M371" s="18" t="n">
        <v>12</v>
      </c>
      <c r="N371" s="18" t="n">
        <v>38</v>
      </c>
      <c r="O371" s="18" t="n">
        <v>154.5</v>
      </c>
      <c r="P371" s="19" t="n">
        <f aca="false">24.13</f>
        <v>24.13</v>
      </c>
      <c r="Q371" s="19" t="n">
        <f aca="false">150.35</f>
        <v>150.35</v>
      </c>
      <c r="R371" s="18" t="n">
        <v>20.7</v>
      </c>
      <c r="S371" s="18" t="n">
        <v>22.7</v>
      </c>
      <c r="T371" s="18" t="n">
        <v>494</v>
      </c>
      <c r="U371" s="20" t="s">
        <v>58</v>
      </c>
      <c r="V371" s="21"/>
      <c r="W371" s="16"/>
      <c r="X371" s="16"/>
      <c r="Y371" s="16"/>
    </row>
    <row r="372" customFormat="false" ht="15.75" hidden="false" customHeight="false" outlineLevel="0" collapsed="false">
      <c r="A372" s="9"/>
      <c r="B372" s="10"/>
      <c r="C372" s="10"/>
      <c r="D372" s="10"/>
      <c r="E372" s="10"/>
      <c r="F372" s="10"/>
      <c r="G372" s="10"/>
      <c r="H372" s="10"/>
      <c r="I372" s="22" t="n">
        <v>3</v>
      </c>
      <c r="J372" s="22" t="s">
        <v>49</v>
      </c>
      <c r="K372" s="23" t="n">
        <f aca="false">42.13</f>
        <v>42.13</v>
      </c>
      <c r="L372" s="23" t="n">
        <f aca="false">129.02</f>
        <v>129.02</v>
      </c>
      <c r="M372" s="22" t="n">
        <v>14</v>
      </c>
      <c r="N372" s="22" t="n">
        <v>34</v>
      </c>
      <c r="O372" s="22" t="n">
        <v>112</v>
      </c>
      <c r="P372" s="23" t="n">
        <f aca="false">24.52</f>
        <v>24.52</v>
      </c>
      <c r="Q372" s="23" t="n">
        <f aca="false">134.08</f>
        <v>134.08</v>
      </c>
      <c r="R372" s="22" t="n">
        <v>15.7</v>
      </c>
      <c r="S372" s="22" t="n">
        <v>22</v>
      </c>
      <c r="T372" s="22" t="n">
        <v>427</v>
      </c>
      <c r="U372" s="24" t="s">
        <v>58</v>
      </c>
      <c r="V372" s="15"/>
      <c r="W372" s="16"/>
      <c r="X372" s="16"/>
      <c r="Y372" s="16"/>
    </row>
    <row r="373" customFormat="false" ht="15.75" hidden="false" customHeight="false" outlineLevel="0" collapsed="false">
      <c r="A373" s="9"/>
      <c r="B373" s="10"/>
      <c r="C373" s="10"/>
      <c r="D373" s="10"/>
      <c r="E373" s="10"/>
      <c r="F373" s="10"/>
      <c r="G373" s="10"/>
      <c r="H373" s="10"/>
      <c r="I373" s="25" t="n">
        <v>4</v>
      </c>
      <c r="J373" s="25" t="s">
        <v>49</v>
      </c>
      <c r="K373" s="26" t="n">
        <f aca="false">45.84</f>
        <v>45.84</v>
      </c>
      <c r="L373" s="26" t="n">
        <f aca="false">128.1</f>
        <v>128.1</v>
      </c>
      <c r="M373" s="25" t="n">
        <v>18</v>
      </c>
      <c r="N373" s="25" t="n">
        <v>32</v>
      </c>
      <c r="O373" s="25" t="n">
        <v>152.5</v>
      </c>
      <c r="P373" s="26" t="n">
        <f aca="false">27.61</f>
        <v>27.61</v>
      </c>
      <c r="Q373" s="26" t="n">
        <f aca="false">144.04</f>
        <v>144.04</v>
      </c>
      <c r="R373" s="25" t="n">
        <v>19.5</v>
      </c>
      <c r="S373" s="25" t="n">
        <v>22.6</v>
      </c>
      <c r="T373" s="25" t="n">
        <v>600</v>
      </c>
      <c r="U373" s="27" t="s">
        <v>58</v>
      </c>
      <c r="V373" s="21"/>
      <c r="W373" s="16"/>
      <c r="X373" s="16"/>
      <c r="Y373" s="16"/>
    </row>
    <row r="374" customFormat="false" ht="15.75" hidden="false" customHeight="true" outlineLevel="0" collapsed="false">
      <c r="A374" s="9" t="s">
        <v>43</v>
      </c>
      <c r="B374" s="10" t="s">
        <v>44</v>
      </c>
      <c r="C374" s="11" t="s">
        <v>151</v>
      </c>
      <c r="D374" s="10" t="s">
        <v>28</v>
      </c>
      <c r="E374" s="10" t="s">
        <v>28</v>
      </c>
      <c r="F374" s="10"/>
      <c r="G374" s="10" t="n">
        <v>11</v>
      </c>
      <c r="H374" s="10" t="n">
        <v>1.9</v>
      </c>
      <c r="I374" s="12" t="n">
        <v>1</v>
      </c>
      <c r="J374" s="12" t="s">
        <v>47</v>
      </c>
      <c r="K374" s="13" t="n">
        <f aca="false">47.58</f>
        <v>47.58</v>
      </c>
      <c r="L374" s="13" t="n">
        <f aca="false">160.46</f>
        <v>160.46</v>
      </c>
      <c r="M374" s="12" t="n">
        <v>18</v>
      </c>
      <c r="N374" s="12" t="n">
        <v>36</v>
      </c>
      <c r="O374" s="12" t="n">
        <v>195.2</v>
      </c>
      <c r="P374" s="13" t="n">
        <f aca="false">30.11</f>
        <v>30.11</v>
      </c>
      <c r="Q374" s="13" t="n">
        <f aca="false">173.87</f>
        <v>173.87</v>
      </c>
      <c r="R374" s="12" t="n">
        <v>32</v>
      </c>
      <c r="S374" s="12" t="n">
        <v>22.8</v>
      </c>
      <c r="T374" s="12" t="n">
        <v>748</v>
      </c>
      <c r="U374" s="14" t="s">
        <v>29</v>
      </c>
      <c r="V374" s="15"/>
      <c r="W374" s="16" t="str">
        <f aca="false">A374</f>
        <v>JB</v>
      </c>
      <c r="X374" s="17" t="e">
        <f aca="false">ifs(C374="","",X374="",NOW(),TRUE(),X374)</f>
        <v>#VALUE!</v>
      </c>
      <c r="Y374" s="17" t="e">
        <f aca="false">ifs(COUNTA(K374:U377)&lt;44,"",Y374="",NOW(),TRUE(),Y374)</f>
        <v>#VALUE!</v>
      </c>
    </row>
    <row r="375" customFormat="false" ht="15.75" hidden="false" customHeight="false" outlineLevel="0" collapsed="false">
      <c r="A375" s="9"/>
      <c r="B375" s="10"/>
      <c r="C375" s="10"/>
      <c r="D375" s="10"/>
      <c r="E375" s="10"/>
      <c r="F375" s="10"/>
      <c r="G375" s="10"/>
      <c r="H375" s="10"/>
      <c r="I375" s="18" t="n">
        <v>2</v>
      </c>
      <c r="J375" s="18" t="s">
        <v>47</v>
      </c>
      <c r="K375" s="19" t="n">
        <f aca="false">44.25</f>
        <v>44.25</v>
      </c>
      <c r="L375" s="19" t="n">
        <f aca="false">148.37</f>
        <v>148.37</v>
      </c>
      <c r="M375" s="18" t="n">
        <v>14</v>
      </c>
      <c r="N375" s="18" t="n">
        <v>36</v>
      </c>
      <c r="O375" s="18" t="n">
        <v>150.2</v>
      </c>
      <c r="P375" s="19" t="n">
        <f aca="false">29.42</f>
        <v>29.42</v>
      </c>
      <c r="Q375" s="19" t="n">
        <f aca="false">165.88</f>
        <v>165.88</v>
      </c>
      <c r="R375" s="18" t="n">
        <v>26.2</v>
      </c>
      <c r="S375" s="18" t="n">
        <v>23.4</v>
      </c>
      <c r="T375" s="18" t="n">
        <v>548</v>
      </c>
      <c r="U375" s="20" t="s">
        <v>29</v>
      </c>
      <c r="V375" s="21"/>
      <c r="W375" s="16"/>
      <c r="X375" s="16"/>
      <c r="Y375" s="16"/>
    </row>
    <row r="376" customFormat="false" ht="15.75" hidden="false" customHeight="false" outlineLevel="0" collapsed="false">
      <c r="A376" s="9"/>
      <c r="B376" s="10"/>
      <c r="C376" s="10"/>
      <c r="D376" s="10"/>
      <c r="E376" s="10"/>
      <c r="F376" s="10"/>
      <c r="G376" s="10"/>
      <c r="H376" s="10"/>
      <c r="I376" s="22" t="n">
        <v>3</v>
      </c>
      <c r="J376" s="22" t="s">
        <v>35</v>
      </c>
      <c r="K376" s="23" t="n">
        <f aca="false">45.84</f>
        <v>45.84</v>
      </c>
      <c r="L376" s="23" t="n">
        <f aca="false">149.69</f>
        <v>149.69</v>
      </c>
      <c r="M376" s="22" t="n">
        <v>16</v>
      </c>
      <c r="N376" s="22" t="n">
        <v>34</v>
      </c>
      <c r="O376" s="22" t="n">
        <v>168.5</v>
      </c>
      <c r="P376" s="23" t="n">
        <f aca="false">29.36</f>
        <v>29.36</v>
      </c>
      <c r="Q376" s="23" t="n">
        <f aca="false">159.32</f>
        <v>159.32</v>
      </c>
      <c r="R376" s="22" t="n">
        <v>29.6</v>
      </c>
      <c r="S376" s="22" t="n">
        <v>21.2</v>
      </c>
      <c r="T376" s="22" t="n">
        <v>620</v>
      </c>
      <c r="U376" s="24" t="s">
        <v>29</v>
      </c>
      <c r="V376" s="15"/>
      <c r="W376" s="16"/>
      <c r="X376" s="16"/>
      <c r="Y376" s="16"/>
    </row>
    <row r="377" customFormat="false" ht="15.75" hidden="false" customHeight="false" outlineLevel="0" collapsed="false">
      <c r="A377" s="9"/>
      <c r="B377" s="10"/>
      <c r="C377" s="10"/>
      <c r="D377" s="10"/>
      <c r="E377" s="10"/>
      <c r="F377" s="10"/>
      <c r="G377" s="10"/>
      <c r="H377" s="10"/>
      <c r="I377" s="25" t="n">
        <v>4</v>
      </c>
      <c r="J377" s="25" t="s">
        <v>35</v>
      </c>
      <c r="K377" s="26" t="n">
        <f aca="false">42.64</f>
        <v>42.64</v>
      </c>
      <c r="L377" s="26" t="n">
        <f aca="false">121.74</f>
        <v>121.74</v>
      </c>
      <c r="M377" s="25" t="n">
        <v>14</v>
      </c>
      <c r="N377" s="25" t="n">
        <v>28</v>
      </c>
      <c r="O377" s="25" t="n">
        <v>108.2</v>
      </c>
      <c r="P377" s="26" t="n">
        <f aca="false">26.52</f>
        <v>26.52</v>
      </c>
      <c r="Q377" s="26" t="n">
        <f aca="false">143.62</f>
        <v>143.62</v>
      </c>
      <c r="R377" s="25" t="n">
        <v>21</v>
      </c>
      <c r="S377" s="25" t="n">
        <v>23</v>
      </c>
      <c r="T377" s="25" t="n">
        <v>383</v>
      </c>
      <c r="U377" s="27" t="s">
        <v>29</v>
      </c>
      <c r="V377" s="21"/>
      <c r="W377" s="16"/>
      <c r="X377" s="16"/>
      <c r="Y377" s="16"/>
    </row>
    <row r="378" customFormat="false" ht="15.75" hidden="false" customHeight="true" outlineLevel="0" collapsed="false">
      <c r="A378" s="9" t="s">
        <v>43</v>
      </c>
      <c r="B378" s="10" t="s">
        <v>44</v>
      </c>
      <c r="C378" s="11" t="s">
        <v>152</v>
      </c>
      <c r="D378" s="10" t="s">
        <v>28</v>
      </c>
      <c r="E378" s="10" t="s">
        <v>28</v>
      </c>
      <c r="F378" s="10"/>
      <c r="G378" s="10" t="n">
        <v>66</v>
      </c>
      <c r="H378" s="10" t="n">
        <v>13.5</v>
      </c>
      <c r="I378" s="12" t="n">
        <v>1</v>
      </c>
      <c r="J378" s="12" t="s">
        <v>33</v>
      </c>
      <c r="K378" s="13" t="n">
        <f aca="false">45.6</f>
        <v>45.6</v>
      </c>
      <c r="L378" s="13" t="n">
        <f aca="false">176.06</f>
        <v>176.06</v>
      </c>
      <c r="M378" s="12" t="n">
        <v>12</v>
      </c>
      <c r="N378" s="12" t="n">
        <v>48</v>
      </c>
      <c r="O378" s="12" t="n">
        <v>167.3</v>
      </c>
      <c r="P378" s="13" t="n">
        <f aca="false">29.31</f>
        <v>29.31</v>
      </c>
      <c r="Q378" s="13" t="n">
        <f aca="false">182.36</f>
        <v>182.36</v>
      </c>
      <c r="R378" s="12" t="n">
        <v>31.4</v>
      </c>
      <c r="S378" s="12" t="n">
        <v>24.3</v>
      </c>
      <c r="T378" s="12" t="n">
        <v>656</v>
      </c>
      <c r="U378" s="14" t="s">
        <v>58</v>
      </c>
      <c r="V378" s="15"/>
      <c r="W378" s="16" t="str">
        <f aca="false">A378</f>
        <v>JB</v>
      </c>
      <c r="X378" s="17" t="e">
        <f aca="false">ifs(C378="","",X378="",NOW(),TRUE(),X378)</f>
        <v>#VALUE!</v>
      </c>
      <c r="Y378" s="17" t="e">
        <f aca="false">ifs(COUNTA(K378:U381)&lt;44,"",Y378="",NOW(),TRUE(),Y378)</f>
        <v>#VALUE!</v>
      </c>
    </row>
    <row r="379" customFormat="false" ht="15.75" hidden="false" customHeight="false" outlineLevel="0" collapsed="false">
      <c r="A379" s="9"/>
      <c r="B379" s="10"/>
      <c r="C379" s="10"/>
      <c r="D379" s="10"/>
      <c r="E379" s="10"/>
      <c r="F379" s="10"/>
      <c r="G379" s="10"/>
      <c r="H379" s="10"/>
      <c r="I379" s="18" t="n">
        <v>2</v>
      </c>
      <c r="J379" s="18"/>
      <c r="K379" s="19" t="n">
        <f aca="false">45.93</f>
        <v>45.93</v>
      </c>
      <c r="L379" s="19" t="n">
        <f aca="false">185.81</f>
        <v>185.81</v>
      </c>
      <c r="M379" s="18" t="n">
        <v>14</v>
      </c>
      <c r="N379" s="18" t="n">
        <v>42</v>
      </c>
      <c r="O379" s="18" t="n">
        <v>172.7</v>
      </c>
      <c r="P379" s="19" t="n">
        <f aca="false">28.99</f>
        <v>28.99</v>
      </c>
      <c r="Q379" s="19" t="n">
        <f aca="false">192.91</f>
        <v>192.91</v>
      </c>
      <c r="R379" s="18" t="n">
        <v>32.9</v>
      </c>
      <c r="S379" s="18" t="n">
        <v>23.1</v>
      </c>
      <c r="T379" s="18" t="n">
        <v>645</v>
      </c>
      <c r="U379" s="20" t="s">
        <v>58</v>
      </c>
      <c r="V379" s="21"/>
      <c r="W379" s="16"/>
      <c r="X379" s="16"/>
      <c r="Y379" s="16"/>
    </row>
    <row r="380" customFormat="false" ht="15.75" hidden="false" customHeight="false" outlineLevel="0" collapsed="false">
      <c r="A380" s="9"/>
      <c r="B380" s="10"/>
      <c r="C380" s="10"/>
      <c r="D380" s="10"/>
      <c r="E380" s="10"/>
      <c r="F380" s="10"/>
      <c r="G380" s="10"/>
      <c r="H380" s="10"/>
      <c r="I380" s="22" t="n">
        <v>3</v>
      </c>
      <c r="J380" s="22" t="s">
        <v>35</v>
      </c>
      <c r="K380" s="23" t="n">
        <f aca="false">42.51</f>
        <v>42.51</v>
      </c>
      <c r="L380" s="23" t="n">
        <f aca="false">136.79</f>
        <v>136.79</v>
      </c>
      <c r="M380" s="22" t="n">
        <v>12</v>
      </c>
      <c r="N380" s="22" t="n">
        <v>30</v>
      </c>
      <c r="O380" s="22" t="n">
        <v>104</v>
      </c>
      <c r="P380" s="23" t="n">
        <f aca="false">28.49</f>
        <v>28.49</v>
      </c>
      <c r="Q380" s="23" t="n">
        <f aca="false">155.2</f>
        <v>155.2</v>
      </c>
      <c r="R380" s="22" t="n">
        <v>23.8</v>
      </c>
      <c r="S380" s="22" t="n">
        <v>21.8</v>
      </c>
      <c r="T380" s="22" t="n">
        <v>375</v>
      </c>
      <c r="U380" s="24" t="s">
        <v>58</v>
      </c>
      <c r="V380" s="15"/>
      <c r="W380" s="16"/>
      <c r="X380" s="16"/>
      <c r="Y380" s="16"/>
    </row>
    <row r="381" customFormat="false" ht="15.75" hidden="false" customHeight="false" outlineLevel="0" collapsed="false">
      <c r="A381" s="9"/>
      <c r="B381" s="10"/>
      <c r="C381" s="10"/>
      <c r="D381" s="10"/>
      <c r="E381" s="10"/>
      <c r="F381" s="10"/>
      <c r="G381" s="10"/>
      <c r="H381" s="10"/>
      <c r="I381" s="25" t="n">
        <v>4</v>
      </c>
      <c r="J381" s="25" t="s">
        <v>50</v>
      </c>
      <c r="K381" s="26" t="n">
        <f aca="false">46.3</f>
        <v>46.3</v>
      </c>
      <c r="L381" s="26" t="n">
        <f aca="false">147.38</f>
        <v>147.38</v>
      </c>
      <c r="M381" s="25" t="n">
        <v>14</v>
      </c>
      <c r="N381" s="25" t="n">
        <v>38</v>
      </c>
      <c r="O381" s="25" t="n">
        <v>141.4</v>
      </c>
      <c r="P381" s="26" t="n">
        <f aca="false">29.8</f>
        <v>29.8</v>
      </c>
      <c r="Q381" s="26" t="n">
        <f aca="false">156.02</f>
        <v>156.02</v>
      </c>
      <c r="R381" s="25" t="n">
        <v>24.8</v>
      </c>
      <c r="S381" s="25" t="n">
        <v>21.1</v>
      </c>
      <c r="T381" s="25" t="n">
        <v>546</v>
      </c>
      <c r="U381" s="27" t="s">
        <v>29</v>
      </c>
      <c r="V381" s="21"/>
      <c r="W381" s="16"/>
      <c r="X381" s="16"/>
      <c r="Y381" s="16"/>
    </row>
    <row r="382" customFormat="false" ht="15.75" hidden="false" customHeight="true" outlineLevel="0" collapsed="false">
      <c r="A382" s="9" t="s">
        <v>43</v>
      </c>
      <c r="B382" s="10" t="s">
        <v>44</v>
      </c>
      <c r="C382" s="11" t="s">
        <v>153</v>
      </c>
      <c r="D382" s="10" t="s">
        <v>28</v>
      </c>
      <c r="E382" s="10" t="s">
        <v>28</v>
      </c>
      <c r="F382" s="10"/>
      <c r="G382" s="10" t="n">
        <v>30</v>
      </c>
      <c r="H382" s="10" t="n">
        <v>12.8</v>
      </c>
      <c r="I382" s="12" t="n">
        <v>1</v>
      </c>
      <c r="J382" s="12" t="s">
        <v>49</v>
      </c>
      <c r="K382" s="13" t="n">
        <f aca="false">40.06</f>
        <v>40.06</v>
      </c>
      <c r="L382" s="13" t="n">
        <f aca="false">221.97</f>
        <v>221.97</v>
      </c>
      <c r="M382" s="12" t="n">
        <v>12</v>
      </c>
      <c r="N382" s="12" t="n">
        <v>24</v>
      </c>
      <c r="O382" s="12" t="n">
        <v>139.2</v>
      </c>
      <c r="P382" s="13" t="n">
        <f aca="false">27</f>
        <v>27</v>
      </c>
      <c r="Q382" s="13" t="n">
        <f aca="false">221.49</f>
        <v>221.49</v>
      </c>
      <c r="R382" s="12" t="n">
        <v>35.6</v>
      </c>
      <c r="S382" s="12" t="n">
        <v>40.3</v>
      </c>
      <c r="T382" s="12" t="n">
        <v>268</v>
      </c>
      <c r="U382" s="14" t="s">
        <v>58</v>
      </c>
      <c r="V382" s="15"/>
      <c r="W382" s="16" t="str">
        <f aca="false">A382</f>
        <v>JB</v>
      </c>
      <c r="X382" s="17" t="e">
        <f aca="false">ifs(C382="","",X382="",NOW(),TRUE(),X382)</f>
        <v>#VALUE!</v>
      </c>
      <c r="Y382" s="17" t="e">
        <f aca="false">ifs(COUNTA(K382:U385)&lt;44,"",Y382="",NOW(),TRUE(),Y382)</f>
        <v>#VALUE!</v>
      </c>
    </row>
    <row r="383" customFormat="false" ht="15.75" hidden="false" customHeight="false" outlineLevel="0" collapsed="false">
      <c r="A383" s="9"/>
      <c r="B383" s="10"/>
      <c r="C383" s="10"/>
      <c r="D383" s="10"/>
      <c r="E383" s="10"/>
      <c r="F383" s="10"/>
      <c r="G383" s="10"/>
      <c r="H383" s="10"/>
      <c r="I383" s="18" t="n">
        <v>2</v>
      </c>
      <c r="J383" s="18" t="s">
        <v>33</v>
      </c>
      <c r="K383" s="19" t="n">
        <f aca="false">44.55</f>
        <v>44.55</v>
      </c>
      <c r="L383" s="19" t="n">
        <f aca="false">130.91</f>
        <v>130.91</v>
      </c>
      <c r="M383" s="18" t="n">
        <v>12</v>
      </c>
      <c r="N383" s="18" t="n">
        <v>28</v>
      </c>
      <c r="O383" s="18" t="n">
        <v>130.2</v>
      </c>
      <c r="P383" s="19" t="n">
        <f aca="false">25.94</f>
        <v>25.94</v>
      </c>
      <c r="Q383" s="19" t="n">
        <f aca="false">144.23</f>
        <v>144.23</v>
      </c>
      <c r="R383" s="18" t="n">
        <v>15</v>
      </c>
      <c r="S383" s="18" t="n">
        <v>27.9</v>
      </c>
      <c r="T383" s="18" t="n">
        <v>305</v>
      </c>
      <c r="U383" s="20" t="s">
        <v>58</v>
      </c>
      <c r="V383" s="21"/>
      <c r="W383" s="16"/>
      <c r="X383" s="16"/>
      <c r="Y383" s="16"/>
    </row>
    <row r="384" customFormat="false" ht="15.75" hidden="false" customHeight="false" outlineLevel="0" collapsed="false">
      <c r="A384" s="9"/>
      <c r="B384" s="10"/>
      <c r="C384" s="10"/>
      <c r="D384" s="10"/>
      <c r="E384" s="10"/>
      <c r="F384" s="10"/>
      <c r="G384" s="10"/>
      <c r="H384" s="10"/>
      <c r="I384" s="22" t="n">
        <v>3</v>
      </c>
      <c r="J384" s="22" t="s">
        <v>35</v>
      </c>
      <c r="K384" s="23" t="n">
        <f aca="false">46.94</f>
        <v>46.94</v>
      </c>
      <c r="L384" s="23" t="n">
        <f aca="false">170.8</f>
        <v>170.8</v>
      </c>
      <c r="M384" s="22" t="n">
        <v>14</v>
      </c>
      <c r="N384" s="22" t="n">
        <v>38</v>
      </c>
      <c r="O384" s="22" t="n">
        <v>186.1</v>
      </c>
      <c r="P384" s="23" t="n">
        <f aca="false">27.96</f>
        <v>27.96</v>
      </c>
      <c r="Q384" s="23" t="n">
        <f aca="false">177.75</f>
        <v>177.75</v>
      </c>
      <c r="R384" s="22" t="n">
        <v>22.6</v>
      </c>
      <c r="S384" s="22" t="n">
        <v>29.5</v>
      </c>
      <c r="T384" s="22" t="n">
        <v>569</v>
      </c>
      <c r="U384" s="24" t="s">
        <v>58</v>
      </c>
      <c r="V384" s="15"/>
      <c r="W384" s="16"/>
      <c r="X384" s="16"/>
      <c r="Y384" s="16"/>
    </row>
    <row r="385" customFormat="false" ht="15.75" hidden="false" customHeight="false" outlineLevel="0" collapsed="false">
      <c r="A385" s="9"/>
      <c r="B385" s="10"/>
      <c r="C385" s="10"/>
      <c r="D385" s="10"/>
      <c r="E385" s="10"/>
      <c r="F385" s="10"/>
      <c r="G385" s="10"/>
      <c r="H385" s="10"/>
      <c r="I385" s="25" t="n">
        <v>4</v>
      </c>
      <c r="J385" s="25" t="s">
        <v>33</v>
      </c>
      <c r="K385" s="26" t="n">
        <f aca="false">43.94</f>
        <v>43.94</v>
      </c>
      <c r="L385" s="26" t="n">
        <f aca="false">110.62</f>
        <v>110.62</v>
      </c>
      <c r="M385" s="25" t="n">
        <v>12</v>
      </c>
      <c r="N385" s="25" t="n">
        <v>28</v>
      </c>
      <c r="O385" s="25" t="n">
        <v>116.9</v>
      </c>
      <c r="P385" s="26" t="n">
        <f aca="false">25.67</f>
        <v>25.67</v>
      </c>
      <c r="Q385" s="26" t="n">
        <f aca="false">134.59</f>
        <v>134.59</v>
      </c>
      <c r="R385" s="25" t="n">
        <v>14.6</v>
      </c>
      <c r="S385" s="25" t="n">
        <v>27.9</v>
      </c>
      <c r="T385" s="25" t="n">
        <v>365</v>
      </c>
      <c r="U385" s="27" t="s">
        <v>58</v>
      </c>
      <c r="V385" s="21"/>
      <c r="W385" s="16"/>
      <c r="X385" s="16"/>
      <c r="Y385" s="16"/>
    </row>
    <row r="386" customFormat="false" ht="15.75" hidden="false" customHeight="true" outlineLevel="0" collapsed="false">
      <c r="A386" s="9" t="s">
        <v>43</v>
      </c>
      <c r="B386" s="10" t="s">
        <v>44</v>
      </c>
      <c r="C386" s="11" t="s">
        <v>154</v>
      </c>
      <c r="D386" s="10" t="s">
        <v>28</v>
      </c>
      <c r="E386" s="10" t="s">
        <v>28</v>
      </c>
      <c r="F386" s="10"/>
      <c r="G386" s="10" t="n">
        <v>4</v>
      </c>
      <c r="H386" s="10" t="n">
        <v>0.9</v>
      </c>
      <c r="I386" s="12" t="n">
        <v>1</v>
      </c>
      <c r="J386" s="12" t="s">
        <v>33</v>
      </c>
      <c r="K386" s="13" t="n">
        <f aca="false">42.61</f>
        <v>42.61</v>
      </c>
      <c r="L386" s="13" t="n">
        <f aca="false">150.56</f>
        <v>150.56</v>
      </c>
      <c r="M386" s="12" t="n">
        <v>14</v>
      </c>
      <c r="N386" s="12" t="n">
        <v>36</v>
      </c>
      <c r="O386" s="12" t="n">
        <v>137.5</v>
      </c>
      <c r="P386" s="13" t="n">
        <f aca="false">27.22</f>
        <v>27.22</v>
      </c>
      <c r="Q386" s="13" t="n">
        <f aca="false">163.1</f>
        <v>163.1</v>
      </c>
      <c r="R386" s="12" t="n">
        <v>23.3</v>
      </c>
      <c r="S386" s="12" t="n">
        <v>20.2</v>
      </c>
      <c r="T386" s="12" t="n">
        <v>530</v>
      </c>
      <c r="U386" s="14" t="s">
        <v>29</v>
      </c>
      <c r="V386" s="15"/>
      <c r="W386" s="16" t="str">
        <f aca="false">A386</f>
        <v>JB</v>
      </c>
      <c r="X386" s="17" t="e">
        <f aca="false">ifs(C386="","",X386="",NOW(),TRUE(),X386)</f>
        <v>#VALUE!</v>
      </c>
      <c r="Y386" s="17" t="e">
        <f aca="false">ifs(COUNTA(K386:U389)&lt;44,"",Y386="",NOW(),TRUE(),Y386)</f>
        <v>#VALUE!</v>
      </c>
    </row>
    <row r="387" customFormat="false" ht="15.75" hidden="false" customHeight="false" outlineLevel="0" collapsed="false">
      <c r="A387" s="9"/>
      <c r="B387" s="10"/>
      <c r="C387" s="10"/>
      <c r="D387" s="10"/>
      <c r="E387" s="10"/>
      <c r="F387" s="10"/>
      <c r="G387" s="10"/>
      <c r="H387" s="10"/>
      <c r="I387" s="18" t="n">
        <v>2</v>
      </c>
      <c r="J387" s="18" t="s">
        <v>33</v>
      </c>
      <c r="K387" s="19" t="n">
        <f aca="false">43.23</f>
        <v>43.23</v>
      </c>
      <c r="L387" s="19" t="n">
        <f aca="false">167.81</f>
        <v>167.81</v>
      </c>
      <c r="M387" s="18" t="n">
        <v>14</v>
      </c>
      <c r="N387" s="18" t="n">
        <v>44</v>
      </c>
      <c r="O387" s="18" t="n">
        <v>162.3</v>
      </c>
      <c r="P387" s="19" t="n">
        <f aca="false">27.73</f>
        <v>27.73</v>
      </c>
      <c r="Q387" s="19" t="n">
        <f aca="false">195.33</f>
        <v>195.33</v>
      </c>
      <c r="R387" s="18" t="n">
        <v>30</v>
      </c>
      <c r="S387" s="18" t="n">
        <v>20.4</v>
      </c>
      <c r="T387" s="18" t="n">
        <v>615</v>
      </c>
      <c r="U387" s="20" t="s">
        <v>29</v>
      </c>
      <c r="V387" s="21"/>
      <c r="W387" s="16"/>
      <c r="X387" s="16"/>
      <c r="Y387" s="16"/>
    </row>
    <row r="388" customFormat="false" ht="15.75" hidden="false" customHeight="false" outlineLevel="0" collapsed="false">
      <c r="A388" s="9"/>
      <c r="B388" s="10"/>
      <c r="C388" s="10"/>
      <c r="D388" s="10"/>
      <c r="E388" s="10"/>
      <c r="F388" s="10"/>
      <c r="G388" s="10"/>
      <c r="H388" s="10"/>
      <c r="I388" s="22" t="n">
        <v>3</v>
      </c>
      <c r="J388" s="22" t="s">
        <v>35</v>
      </c>
      <c r="K388" s="23" t="n">
        <f aca="false">41.92</f>
        <v>41.92</v>
      </c>
      <c r="L388" s="23" t="n">
        <f aca="false">162.96</f>
        <v>162.96</v>
      </c>
      <c r="M388" s="22" t="n">
        <v>12</v>
      </c>
      <c r="N388" s="22" t="n">
        <v>36</v>
      </c>
      <c r="O388" s="22" t="n">
        <v>148.7</v>
      </c>
      <c r="P388" s="23" t="n">
        <f aca="false">26.48</f>
        <v>26.48</v>
      </c>
      <c r="Q388" s="23" t="n">
        <f aca="false">173.34</f>
        <v>173.34</v>
      </c>
      <c r="R388" s="22" t="n">
        <v>27.3</v>
      </c>
      <c r="S388" s="22" t="n">
        <v>15</v>
      </c>
      <c r="T388" s="22" t="n">
        <v>596</v>
      </c>
      <c r="U388" s="24" t="s">
        <v>29</v>
      </c>
      <c r="V388" s="15"/>
      <c r="W388" s="16"/>
      <c r="X388" s="16"/>
      <c r="Y388" s="16"/>
    </row>
    <row r="389" customFormat="false" ht="15.75" hidden="false" customHeight="false" outlineLevel="0" collapsed="false">
      <c r="A389" s="9"/>
      <c r="B389" s="10"/>
      <c r="C389" s="10"/>
      <c r="D389" s="10"/>
      <c r="E389" s="10"/>
      <c r="F389" s="10"/>
      <c r="G389" s="10"/>
      <c r="H389" s="10"/>
      <c r="I389" s="25" t="n">
        <v>4</v>
      </c>
      <c r="J389" s="25" t="s">
        <v>35</v>
      </c>
      <c r="K389" s="26" t="n">
        <f aca="false">40.94</f>
        <v>40.94</v>
      </c>
      <c r="L389" s="26" t="n">
        <f aca="false">139.59</f>
        <v>139.59</v>
      </c>
      <c r="M389" s="25" t="n">
        <v>12</v>
      </c>
      <c r="N389" s="25" t="n">
        <v>30</v>
      </c>
      <c r="O389" s="25" t="n">
        <v>113.8</v>
      </c>
      <c r="P389" s="26" t="n">
        <f aca="false">26.54</f>
        <v>26.54</v>
      </c>
      <c r="Q389" s="26" t="n">
        <f aca="false">155.06</f>
        <v>155.06</v>
      </c>
      <c r="R389" s="25" t="n">
        <v>20.7</v>
      </c>
      <c r="S389" s="25" t="n">
        <v>22</v>
      </c>
      <c r="T389" s="25" t="n">
        <v>407</v>
      </c>
      <c r="U389" s="27" t="s">
        <v>29</v>
      </c>
      <c r="V389" s="21"/>
      <c r="W389" s="16"/>
      <c r="X389" s="16"/>
      <c r="Y389" s="16"/>
    </row>
    <row r="390" customFormat="false" ht="15.75" hidden="false" customHeight="true" outlineLevel="0" collapsed="false">
      <c r="A390" s="9" t="s">
        <v>25</v>
      </c>
      <c r="B390" s="10" t="s">
        <v>26</v>
      </c>
      <c r="C390" s="11" t="s">
        <v>155</v>
      </c>
      <c r="D390" s="10" t="s">
        <v>28</v>
      </c>
      <c r="E390" s="10" t="s">
        <v>28</v>
      </c>
      <c r="F390" s="10"/>
      <c r="G390" s="10" t="n">
        <v>10</v>
      </c>
      <c r="H390" s="10" t="n">
        <v>2</v>
      </c>
      <c r="I390" s="12" t="n">
        <v>1</v>
      </c>
      <c r="J390" s="12"/>
      <c r="K390" s="13" t="n">
        <f aca="false">46.88</f>
        <v>46.88</v>
      </c>
      <c r="L390" s="13" t="n">
        <f aca="false">159.71</f>
        <v>159.71</v>
      </c>
      <c r="M390" s="12" t="n">
        <v>18</v>
      </c>
      <c r="N390" s="12" t="n">
        <v>38</v>
      </c>
      <c r="O390" s="12" t="n">
        <v>190.75</v>
      </c>
      <c r="P390" s="13" t="n">
        <f aca="false">28.21</f>
        <v>28.21</v>
      </c>
      <c r="Q390" s="13" t="n">
        <f aca="false">169.54</f>
        <v>169.54</v>
      </c>
      <c r="R390" s="12" t="n">
        <v>21.2</v>
      </c>
      <c r="S390" s="12" t="n">
        <v>25.95</v>
      </c>
      <c r="T390" s="12" t="n">
        <v>777</v>
      </c>
      <c r="U390" s="14" t="s">
        <v>29</v>
      </c>
      <c r="V390" s="15"/>
      <c r="W390" s="16" t="str">
        <f aca="false">A390</f>
        <v>KL</v>
      </c>
      <c r="X390" s="17" t="e">
        <f aca="false">ifs(C390="","",X390="",NOW(),TRUE(),X390)</f>
        <v>#VALUE!</v>
      </c>
      <c r="Y390" s="17" t="e">
        <f aca="false">ifs(COUNTA(K390:U393)&lt;44,"",Y390="",NOW(),TRUE(),Y390)</f>
        <v>#VALUE!</v>
      </c>
    </row>
    <row r="391" customFormat="false" ht="15.75" hidden="false" customHeight="false" outlineLevel="0" collapsed="false">
      <c r="A391" s="9"/>
      <c r="B391" s="10"/>
      <c r="C391" s="10"/>
      <c r="D391" s="10"/>
      <c r="E391" s="10"/>
      <c r="F391" s="10"/>
      <c r="G391" s="10"/>
      <c r="H391" s="10"/>
      <c r="I391" s="18" t="n">
        <v>2</v>
      </c>
      <c r="J391" s="18"/>
      <c r="K391" s="19" t="n">
        <f aca="false">43.45</f>
        <v>43.45</v>
      </c>
      <c r="L391" s="19" t="n">
        <f aca="false">152.71</f>
        <v>152.71</v>
      </c>
      <c r="M391" s="18" t="n">
        <v>16</v>
      </c>
      <c r="N391" s="18" t="n">
        <v>34</v>
      </c>
      <c r="O391" s="18" t="n">
        <v>159.85</v>
      </c>
      <c r="P391" s="19" t="n">
        <f aca="false">25.24</f>
        <v>25.24</v>
      </c>
      <c r="Q391" s="19" t="n">
        <f aca="false">162</f>
        <v>162</v>
      </c>
      <c r="R391" s="18" t="n">
        <v>17.15</v>
      </c>
      <c r="S391" s="18" t="n">
        <v>24.8</v>
      </c>
      <c r="T391" s="18" t="n">
        <v>604</v>
      </c>
      <c r="U391" s="20" t="s">
        <v>29</v>
      </c>
      <c r="V391" s="21"/>
      <c r="W391" s="16"/>
      <c r="X391" s="16"/>
      <c r="Y391" s="16"/>
    </row>
    <row r="392" customFormat="false" ht="15.75" hidden="false" customHeight="false" outlineLevel="0" collapsed="false">
      <c r="A392" s="9"/>
      <c r="B392" s="10"/>
      <c r="C392" s="10"/>
      <c r="D392" s="10"/>
      <c r="E392" s="10"/>
      <c r="F392" s="10"/>
      <c r="G392" s="10"/>
      <c r="H392" s="10"/>
      <c r="I392" s="22" t="n">
        <v>3</v>
      </c>
      <c r="J392" s="22"/>
      <c r="K392" s="23" t="n">
        <f aca="false">42.86</f>
        <v>42.86</v>
      </c>
      <c r="L392" s="23" t="n">
        <f aca="false">153.02</f>
        <v>153.02</v>
      </c>
      <c r="M392" s="22" t="n">
        <v>16</v>
      </c>
      <c r="N392" s="22" t="n">
        <v>36</v>
      </c>
      <c r="O392" s="22" t="n">
        <v>154.05</v>
      </c>
      <c r="P392" s="23" t="n">
        <f aca="false">25.64</f>
        <v>25.64</v>
      </c>
      <c r="Q392" s="23" t="n">
        <f aca="false">171.45</f>
        <v>171.45</v>
      </c>
      <c r="R392" s="22" t="n">
        <v>17.15</v>
      </c>
      <c r="S392" s="22" t="n">
        <v>23.65</v>
      </c>
      <c r="T392" s="22" t="n">
        <v>583</v>
      </c>
      <c r="U392" s="24" t="s">
        <v>29</v>
      </c>
      <c r="V392" s="15"/>
      <c r="W392" s="16"/>
      <c r="X392" s="16"/>
      <c r="Y392" s="16"/>
    </row>
    <row r="393" customFormat="false" ht="15.75" hidden="false" customHeight="false" outlineLevel="0" collapsed="false">
      <c r="A393" s="9"/>
      <c r="B393" s="10"/>
      <c r="C393" s="10"/>
      <c r="D393" s="10"/>
      <c r="E393" s="10"/>
      <c r="F393" s="10"/>
      <c r="G393" s="10"/>
      <c r="H393" s="10"/>
      <c r="I393" s="25" t="n">
        <v>4</v>
      </c>
      <c r="J393" s="25" t="s">
        <v>49</v>
      </c>
      <c r="K393" s="26" t="n">
        <f aca="false">42.54</f>
        <v>42.54</v>
      </c>
      <c r="L393" s="26" t="n">
        <f aca="false">133.55</f>
        <v>133.55</v>
      </c>
      <c r="M393" s="25" t="n">
        <v>16</v>
      </c>
      <c r="N393" s="25" t="n">
        <v>30</v>
      </c>
      <c r="O393" s="25" t="n">
        <v>130.85</v>
      </c>
      <c r="P393" s="26" t="n">
        <f aca="false">25.74</f>
        <v>25.74</v>
      </c>
      <c r="Q393" s="26" t="n">
        <f aca="false">154.32</f>
        <v>154.32</v>
      </c>
      <c r="R393" s="25" t="n">
        <v>14.9</v>
      </c>
      <c r="S393" s="25" t="n">
        <v>23.85</v>
      </c>
      <c r="T393" s="25" t="n">
        <v>502</v>
      </c>
      <c r="U393" s="27" t="s">
        <v>97</v>
      </c>
      <c r="V393" s="21"/>
      <c r="W393" s="16"/>
      <c r="X393" s="16"/>
      <c r="Y393" s="16"/>
    </row>
    <row r="394" customFormat="false" ht="15.75" hidden="false" customHeight="true" outlineLevel="0" collapsed="false">
      <c r="A394" s="9" t="s">
        <v>25</v>
      </c>
      <c r="B394" s="10" t="s">
        <v>26</v>
      </c>
      <c r="C394" s="11" t="s">
        <v>156</v>
      </c>
      <c r="D394" s="10" t="s">
        <v>28</v>
      </c>
      <c r="E394" s="10" t="s">
        <v>28</v>
      </c>
      <c r="F394" s="10"/>
      <c r="G394" s="10" t="n">
        <v>6</v>
      </c>
      <c r="H394" s="10" t="n">
        <v>1.8</v>
      </c>
      <c r="I394" s="12" t="n">
        <v>1</v>
      </c>
      <c r="J394" s="12"/>
      <c r="K394" s="13" t="n">
        <f aca="false">49.07</f>
        <v>49.07</v>
      </c>
      <c r="L394" s="13" t="n">
        <f aca="false">177.84</f>
        <v>177.84</v>
      </c>
      <c r="M394" s="12" t="n">
        <v>14</v>
      </c>
      <c r="N394" s="12" t="n">
        <v>43</v>
      </c>
      <c r="O394" s="12" t="n">
        <v>222.65</v>
      </c>
      <c r="P394" s="13" t="n">
        <f aca="false">27.4</f>
        <v>27.4</v>
      </c>
      <c r="Q394" s="13" t="n">
        <f aca="false">192.94</f>
        <v>192.94</v>
      </c>
      <c r="R394" s="12" t="n">
        <v>27.15</v>
      </c>
      <c r="S394" s="12" t="n">
        <v>36.4</v>
      </c>
      <c r="T394" s="12" t="n">
        <v>573</v>
      </c>
      <c r="U394" s="14" t="s">
        <v>29</v>
      </c>
      <c r="V394" s="15"/>
      <c r="W394" s="16" t="str">
        <f aca="false">A394</f>
        <v>KL</v>
      </c>
      <c r="X394" s="17" t="e">
        <f aca="false">ifs(C394="","",X394="",NOW(),TRUE(),X394)</f>
        <v>#VALUE!</v>
      </c>
      <c r="Y394" s="17" t="e">
        <f aca="false">ifs(COUNTA(K394:U397)&lt;44,"",Y394="",NOW(),TRUE(),Y394)</f>
        <v>#VALUE!</v>
      </c>
    </row>
    <row r="395" customFormat="false" ht="15.75" hidden="false" customHeight="false" outlineLevel="0" collapsed="false">
      <c r="A395" s="9"/>
      <c r="B395" s="10"/>
      <c r="C395" s="10"/>
      <c r="D395" s="10"/>
      <c r="E395" s="10"/>
      <c r="F395" s="10"/>
      <c r="G395" s="10"/>
      <c r="H395" s="10"/>
      <c r="I395" s="18" t="n">
        <v>2</v>
      </c>
      <c r="J395" s="18"/>
      <c r="K395" s="19" t="n">
        <f aca="false">47.29</f>
        <v>47.29</v>
      </c>
      <c r="L395" s="19" t="n">
        <f aca="false">127.06</f>
        <v>127.06</v>
      </c>
      <c r="M395" s="18" t="n">
        <v>14</v>
      </c>
      <c r="N395" s="18" t="n">
        <v>28</v>
      </c>
      <c r="O395" s="18" t="n">
        <v>136.85</v>
      </c>
      <c r="P395" s="19" t="n">
        <f aca="false">26.32</f>
        <v>26.32</v>
      </c>
      <c r="Q395" s="19" t="n">
        <f aca="false">132.76</f>
        <v>132.76</v>
      </c>
      <c r="R395" s="18" t="n">
        <v>18.6</v>
      </c>
      <c r="S395" s="18" t="n">
        <v>31.65</v>
      </c>
      <c r="T395" s="18" t="n">
        <v>382</v>
      </c>
      <c r="U395" s="20" t="s">
        <v>29</v>
      </c>
      <c r="V395" s="21"/>
      <c r="W395" s="16"/>
      <c r="X395" s="16"/>
      <c r="Y395" s="16"/>
    </row>
    <row r="396" customFormat="false" ht="15.75" hidden="false" customHeight="false" outlineLevel="0" collapsed="false">
      <c r="A396" s="9"/>
      <c r="B396" s="10"/>
      <c r="C396" s="10"/>
      <c r="D396" s="10"/>
      <c r="E396" s="10"/>
      <c r="F396" s="10"/>
      <c r="G396" s="10"/>
      <c r="H396" s="10"/>
      <c r="I396" s="22" t="n">
        <v>3</v>
      </c>
      <c r="J396" s="22" t="s">
        <v>46</v>
      </c>
      <c r="K396" s="23" t="n">
        <f aca="false">46.36</f>
        <v>46.36</v>
      </c>
      <c r="L396" s="23" t="n">
        <f aca="false">110.12</f>
        <v>110.12</v>
      </c>
      <c r="M396" s="22" t="n">
        <v>16</v>
      </c>
      <c r="N396" s="22" t="n">
        <v>28</v>
      </c>
      <c r="O396" s="22" t="n">
        <v>121.25</v>
      </c>
      <c r="P396" s="23" t="n">
        <f aca="false">25.93</f>
        <v>25.93</v>
      </c>
      <c r="Q396" s="23" t="n">
        <f aca="false">130.78</f>
        <v>130.78</v>
      </c>
      <c r="R396" s="22" t="n">
        <v>14.3</v>
      </c>
      <c r="S396" s="22" t="n">
        <v>24.35</v>
      </c>
      <c r="T396" s="22" t="n">
        <v>424</v>
      </c>
      <c r="U396" s="24" t="s">
        <v>29</v>
      </c>
      <c r="V396" s="15"/>
      <c r="W396" s="16"/>
      <c r="X396" s="16"/>
      <c r="Y396" s="16"/>
    </row>
    <row r="397" customFormat="false" ht="15.75" hidden="false" customHeight="false" outlineLevel="0" collapsed="false">
      <c r="A397" s="9"/>
      <c r="B397" s="10"/>
      <c r="C397" s="10"/>
      <c r="D397" s="10"/>
      <c r="E397" s="10"/>
      <c r="F397" s="10"/>
      <c r="G397" s="10"/>
      <c r="H397" s="10"/>
      <c r="I397" s="25" t="n">
        <v>4</v>
      </c>
      <c r="J397" s="25" t="s">
        <v>49</v>
      </c>
      <c r="K397" s="26" t="n">
        <f aca="false">43.2</f>
        <v>43.2</v>
      </c>
      <c r="L397" s="26" t="n">
        <f aca="false">103.55</f>
        <v>103.55</v>
      </c>
      <c r="M397" s="25" t="n">
        <v>14</v>
      </c>
      <c r="N397" s="25" t="n">
        <v>24</v>
      </c>
      <c r="O397" s="25" t="n">
        <v>109.25</v>
      </c>
      <c r="P397" s="26" t="n">
        <f aca="false">24.54</f>
        <v>24.54</v>
      </c>
      <c r="Q397" s="26" t="n">
        <f aca="false">134.15</f>
        <v>134.15</v>
      </c>
      <c r="R397" s="25" t="n">
        <v>13.35</v>
      </c>
      <c r="S397" s="25" t="n">
        <v>30.55</v>
      </c>
      <c r="T397" s="25" t="n">
        <v>312</v>
      </c>
      <c r="U397" s="27" t="s">
        <v>29</v>
      </c>
      <c r="V397" s="21"/>
      <c r="W397" s="16"/>
      <c r="X397" s="16"/>
      <c r="Y397" s="16"/>
    </row>
    <row r="398" customFormat="false" ht="15.75" hidden="false" customHeight="true" outlineLevel="0" collapsed="false">
      <c r="A398" s="9" t="s">
        <v>25</v>
      </c>
      <c r="B398" s="10" t="s">
        <v>26</v>
      </c>
      <c r="C398" s="11" t="s">
        <v>157</v>
      </c>
      <c r="D398" s="10" t="s">
        <v>28</v>
      </c>
      <c r="E398" s="10" t="s">
        <v>28</v>
      </c>
      <c r="F398" s="10"/>
      <c r="G398" s="10" t="n">
        <v>26</v>
      </c>
      <c r="H398" s="10" t="n">
        <v>6.25</v>
      </c>
      <c r="I398" s="12" t="n">
        <v>1</v>
      </c>
      <c r="J398" s="12" t="s">
        <v>47</v>
      </c>
      <c r="K398" s="13" t="n">
        <f aca="false">44.4</f>
        <v>44.4</v>
      </c>
      <c r="L398" s="13" t="n">
        <f aca="false">142.83</f>
        <v>142.83</v>
      </c>
      <c r="M398" s="12" t="n">
        <v>16</v>
      </c>
      <c r="N398" s="12" t="n">
        <v>32</v>
      </c>
      <c r="O398" s="12" t="n">
        <v>140.6</v>
      </c>
      <c r="P398" s="13" t="n">
        <f aca="false">28.44</f>
        <v>28.44</v>
      </c>
      <c r="Q398" s="13" t="n">
        <f aca="false">156.59</f>
        <v>156.59</v>
      </c>
      <c r="R398" s="12" t="n">
        <v>19</v>
      </c>
      <c r="S398" s="12" t="n">
        <v>24.35</v>
      </c>
      <c r="T398" s="12" t="n">
        <v>496</v>
      </c>
      <c r="U398" s="14" t="s">
        <v>29</v>
      </c>
      <c r="V398" s="15"/>
      <c r="W398" s="16" t="str">
        <f aca="false">A398</f>
        <v>KL</v>
      </c>
      <c r="X398" s="17" t="e">
        <f aca="false">ifs(C398="","",X398="",NOW(),TRUE(),X398)</f>
        <v>#VALUE!</v>
      </c>
      <c r="Y398" s="17" t="e">
        <f aca="false">ifs(COUNTA(K398:U401)&lt;44,"",Y398="",NOW(),TRUE(),Y398)</f>
        <v>#VALUE!</v>
      </c>
    </row>
    <row r="399" customFormat="false" ht="15.75" hidden="false" customHeight="false" outlineLevel="0" collapsed="false">
      <c r="A399" s="9"/>
      <c r="B399" s="10"/>
      <c r="C399" s="10"/>
      <c r="D399" s="10"/>
      <c r="E399" s="10"/>
      <c r="F399" s="10"/>
      <c r="G399" s="10"/>
      <c r="H399" s="10"/>
      <c r="I399" s="18" t="n">
        <v>2</v>
      </c>
      <c r="J399" s="18" t="s">
        <v>46</v>
      </c>
      <c r="K399" s="19" t="n">
        <f aca="false">42.92</f>
        <v>42.92</v>
      </c>
      <c r="L399" s="19" t="n">
        <f aca="false">131.13</f>
        <v>131.13</v>
      </c>
      <c r="M399" s="18" t="n">
        <v>14</v>
      </c>
      <c r="N399" s="18" t="n">
        <v>30</v>
      </c>
      <c r="O399" s="18" t="n">
        <v>129.4</v>
      </c>
      <c r="P399" s="19" t="n">
        <f aca="false">26.29</f>
        <v>26.29</v>
      </c>
      <c r="Q399" s="19" t="n">
        <f aca="false">163.2</f>
        <v>163.2</v>
      </c>
      <c r="R399" s="18" t="n">
        <v>18.65</v>
      </c>
      <c r="S399" s="18" t="n">
        <v>27.5</v>
      </c>
      <c r="T399" s="18" t="n">
        <v>416</v>
      </c>
      <c r="U399" s="20" t="s">
        <v>29</v>
      </c>
      <c r="V399" s="21"/>
      <c r="W399" s="16"/>
      <c r="X399" s="16"/>
      <c r="Y399" s="16"/>
    </row>
    <row r="400" customFormat="false" ht="15.75" hidden="false" customHeight="false" outlineLevel="0" collapsed="false">
      <c r="A400" s="9"/>
      <c r="B400" s="10"/>
      <c r="C400" s="10"/>
      <c r="D400" s="10"/>
      <c r="E400" s="10"/>
      <c r="F400" s="10"/>
      <c r="G400" s="10"/>
      <c r="H400" s="10"/>
      <c r="I400" s="22" t="n">
        <v>3</v>
      </c>
      <c r="J400" s="22" t="s">
        <v>35</v>
      </c>
      <c r="K400" s="23" t="n">
        <f aca="false">42.33</f>
        <v>42.33</v>
      </c>
      <c r="L400" s="23" t="n">
        <f aca="false">121.04</f>
        <v>121.04</v>
      </c>
      <c r="M400" s="22" t="n">
        <v>14</v>
      </c>
      <c r="N400" s="22" t="n">
        <v>25</v>
      </c>
      <c r="O400" s="22" t="n">
        <v>98.3</v>
      </c>
      <c r="P400" s="23" t="n">
        <f aca="false">26.56</f>
        <v>26.56</v>
      </c>
      <c r="Q400" s="23" t="n">
        <f aca="false">137.76</f>
        <v>137.76</v>
      </c>
      <c r="R400" s="22" t="n">
        <v>14.3</v>
      </c>
      <c r="S400" s="22" t="n">
        <v>26.8</v>
      </c>
      <c r="T400" s="22" t="n">
        <v>312</v>
      </c>
      <c r="U400" s="24" t="s">
        <v>29</v>
      </c>
      <c r="V400" s="15"/>
      <c r="W400" s="16"/>
      <c r="X400" s="16"/>
      <c r="Y400" s="16"/>
    </row>
    <row r="401" customFormat="false" ht="15.75" hidden="false" customHeight="false" outlineLevel="0" collapsed="false">
      <c r="A401" s="9"/>
      <c r="B401" s="10"/>
      <c r="C401" s="10"/>
      <c r="D401" s="10"/>
      <c r="E401" s="10"/>
      <c r="F401" s="10"/>
      <c r="G401" s="10"/>
      <c r="H401" s="10"/>
      <c r="I401" s="25" t="n">
        <v>4</v>
      </c>
      <c r="J401" s="25" t="s">
        <v>35</v>
      </c>
      <c r="K401" s="26" t="n">
        <f aca="false">39.75</f>
        <v>39.75</v>
      </c>
      <c r="L401" s="26" t="n">
        <f aca="false">116.93</f>
        <v>116.93</v>
      </c>
      <c r="M401" s="25" t="n">
        <v>14</v>
      </c>
      <c r="N401" s="25" t="n">
        <v>28</v>
      </c>
      <c r="O401" s="25" t="n">
        <v>86.4</v>
      </c>
      <c r="P401" s="26" t="n">
        <f aca="false">25.77</f>
        <v>25.77</v>
      </c>
      <c r="Q401" s="26" t="n">
        <f aca="false">142.96</f>
        <v>142.96</v>
      </c>
      <c r="R401" s="25" t="n">
        <v>13.75</v>
      </c>
      <c r="S401" s="25" t="n">
        <v>24.2</v>
      </c>
      <c r="T401" s="25" t="n">
        <v>300</v>
      </c>
      <c r="U401" s="27" t="s">
        <v>29</v>
      </c>
      <c r="V401" s="21"/>
      <c r="W401" s="16"/>
      <c r="X401" s="16"/>
      <c r="Y401" s="16"/>
    </row>
    <row r="402" customFormat="false" ht="15.75" hidden="false" customHeight="true" outlineLevel="0" collapsed="false">
      <c r="A402" s="9" t="s">
        <v>158</v>
      </c>
      <c r="B402" s="10" t="s">
        <v>26</v>
      </c>
      <c r="C402" s="11" t="s">
        <v>159</v>
      </c>
      <c r="D402" s="10" t="s">
        <v>28</v>
      </c>
      <c r="E402" s="10" t="s">
        <v>73</v>
      </c>
      <c r="F402" s="10"/>
      <c r="G402" s="10" t="n">
        <v>35</v>
      </c>
      <c r="H402" s="10" t="n">
        <v>6.25</v>
      </c>
      <c r="I402" s="12" t="n">
        <v>1</v>
      </c>
      <c r="J402" s="12" t="s">
        <v>35</v>
      </c>
      <c r="K402" s="13" t="n">
        <f aca="false">45.32</f>
        <v>45.32</v>
      </c>
      <c r="L402" s="13" t="n">
        <f aca="false">162.88</f>
        <v>162.88</v>
      </c>
      <c r="M402" s="12" t="n">
        <v>14</v>
      </c>
      <c r="N402" s="12" t="n">
        <v>38</v>
      </c>
      <c r="O402" s="12" t="n">
        <v>180.25</v>
      </c>
      <c r="P402" s="13" t="n">
        <f aca="false">26.54</f>
        <v>26.54</v>
      </c>
      <c r="Q402" s="13" t="n">
        <f aca="false">166.96</f>
        <v>166.96</v>
      </c>
      <c r="R402" s="12" t="n">
        <v>23.9</v>
      </c>
      <c r="S402" s="12" t="n">
        <v>30.9</v>
      </c>
      <c r="T402" s="12" t="n">
        <v>515</v>
      </c>
      <c r="U402" s="14" t="s">
        <v>29</v>
      </c>
      <c r="V402" s="15"/>
      <c r="W402" s="16" t="str">
        <f aca="false">A402</f>
        <v>AK</v>
      </c>
      <c r="X402" s="17" t="e">
        <f aca="false">ifs(C402="","",X402="",NOW(),TRUE(),X402)</f>
        <v>#VALUE!</v>
      </c>
      <c r="Y402" s="17" t="e">
        <f aca="false">ifs(COUNTA(K402:U405)&lt;44,"",Y402="",NOW(),TRUE(),Y402)</f>
        <v>#VALUE!</v>
      </c>
    </row>
    <row r="403" customFormat="false" ht="15.75" hidden="false" customHeight="false" outlineLevel="0" collapsed="false">
      <c r="A403" s="9"/>
      <c r="B403" s="10"/>
      <c r="C403" s="10"/>
      <c r="D403" s="10"/>
      <c r="E403" s="10"/>
      <c r="F403" s="10"/>
      <c r="G403" s="10"/>
      <c r="H403" s="10"/>
      <c r="I403" s="18" t="n">
        <v>2</v>
      </c>
      <c r="J403" s="18" t="s">
        <v>47</v>
      </c>
      <c r="K403" s="19" t="n">
        <f aca="false">45.53</f>
        <v>45.53</v>
      </c>
      <c r="L403" s="19" t="n">
        <f aca="false">166.26</f>
        <v>166.26</v>
      </c>
      <c r="M403" s="18" t="n">
        <v>14</v>
      </c>
      <c r="N403" s="18" t="n">
        <v>35</v>
      </c>
      <c r="O403" s="18" t="n">
        <v>175.05</v>
      </c>
      <c r="P403" s="19" t="n">
        <f aca="false">27.65</f>
        <v>27.65</v>
      </c>
      <c r="Q403" s="19" t="n">
        <f aca="false">161.91</f>
        <v>161.91</v>
      </c>
      <c r="R403" s="18" t="n">
        <v>19.05</v>
      </c>
      <c r="S403" s="18" t="n">
        <v>32.4</v>
      </c>
      <c r="T403" s="18" t="n">
        <v>491</v>
      </c>
      <c r="U403" s="20" t="s">
        <v>29</v>
      </c>
      <c r="V403" s="21"/>
      <c r="W403" s="16"/>
      <c r="X403" s="16"/>
      <c r="Y403" s="16"/>
    </row>
    <row r="404" customFormat="false" ht="15.75" hidden="false" customHeight="false" outlineLevel="0" collapsed="false">
      <c r="A404" s="9"/>
      <c r="B404" s="10"/>
      <c r="C404" s="10"/>
      <c r="D404" s="10"/>
      <c r="E404" s="10"/>
      <c r="F404" s="10"/>
      <c r="G404" s="10"/>
      <c r="H404" s="10"/>
      <c r="I404" s="22" t="n">
        <v>3</v>
      </c>
      <c r="J404" s="22"/>
      <c r="K404" s="23" t="n">
        <f aca="false">36.53</f>
        <v>36.53</v>
      </c>
      <c r="L404" s="23" t="n">
        <f aca="false">120.08</f>
        <v>120.08</v>
      </c>
      <c r="M404" s="22" t="n">
        <v>14</v>
      </c>
      <c r="N404" s="22" t="n">
        <v>32</v>
      </c>
      <c r="O404" s="22" t="n">
        <v>70.05</v>
      </c>
      <c r="P404" s="23" t="n">
        <f aca="false">23.67</f>
        <v>23.67</v>
      </c>
      <c r="Q404" s="23" t="n">
        <f aca="false">125.11</f>
        <v>125.11</v>
      </c>
      <c r="R404" s="22" t="n">
        <v>10.05</v>
      </c>
      <c r="S404" s="22" t="n">
        <v>14.3</v>
      </c>
      <c r="T404" s="22" t="n">
        <v>414</v>
      </c>
      <c r="U404" s="24" t="s">
        <v>29</v>
      </c>
      <c r="V404" s="15"/>
      <c r="W404" s="16"/>
      <c r="X404" s="16"/>
      <c r="Y404" s="16"/>
    </row>
    <row r="405" customFormat="false" ht="15.75" hidden="false" customHeight="false" outlineLevel="0" collapsed="false">
      <c r="A405" s="9"/>
      <c r="B405" s="10"/>
      <c r="C405" s="10"/>
      <c r="D405" s="10"/>
      <c r="E405" s="10"/>
      <c r="F405" s="10"/>
      <c r="G405" s="10"/>
      <c r="H405" s="10"/>
      <c r="I405" s="25" t="n">
        <v>4</v>
      </c>
      <c r="J405" s="25" t="s">
        <v>104</v>
      </c>
      <c r="K405" s="26" t="n">
        <f aca="false">35.59</f>
        <v>35.59</v>
      </c>
      <c r="L405" s="26" t="n">
        <f aca="false">96.93</f>
        <v>96.93</v>
      </c>
      <c r="M405" s="25" t="n">
        <v>10</v>
      </c>
      <c r="N405" s="25" t="n">
        <v>22</v>
      </c>
      <c r="O405" s="25" t="n">
        <v>54.5</v>
      </c>
      <c r="P405" s="26" t="n">
        <f aca="false">20.91</f>
        <v>20.91</v>
      </c>
      <c r="Q405" s="26" t="n">
        <f aca="false">107.2</f>
        <v>107.2</v>
      </c>
      <c r="R405" s="25" t="n">
        <v>7.35</v>
      </c>
      <c r="S405" s="25" t="n">
        <v>22.2</v>
      </c>
      <c r="T405" s="25" t="n">
        <v>214</v>
      </c>
      <c r="U405" s="27" t="s">
        <v>29</v>
      </c>
      <c r="V405" s="21"/>
      <c r="W405" s="16"/>
      <c r="X405" s="16"/>
      <c r="Y405" s="16"/>
    </row>
    <row r="406" customFormat="false" ht="15.75" hidden="false" customHeight="true" outlineLevel="0" collapsed="false">
      <c r="A406" s="9" t="s">
        <v>158</v>
      </c>
      <c r="B406" s="10" t="s">
        <v>26</v>
      </c>
      <c r="C406" s="11" t="s">
        <v>160</v>
      </c>
      <c r="D406" s="10" t="s">
        <v>28</v>
      </c>
      <c r="E406" s="10" t="s">
        <v>28</v>
      </c>
      <c r="F406" s="10"/>
      <c r="G406" s="10" t="n">
        <v>43</v>
      </c>
      <c r="H406" s="10" t="n">
        <v>7.5</v>
      </c>
      <c r="I406" s="12" t="n">
        <v>1</v>
      </c>
      <c r="J406" s="12" t="s">
        <v>49</v>
      </c>
      <c r="K406" s="13" t="n">
        <f aca="false">42.62</f>
        <v>42.62</v>
      </c>
      <c r="L406" s="13" t="n">
        <f aca="false">133.93</f>
        <v>133.93</v>
      </c>
      <c r="M406" s="12" t="n">
        <v>16</v>
      </c>
      <c r="N406" s="12" t="n">
        <v>28</v>
      </c>
      <c r="O406" s="12" t="n">
        <v>123.35</v>
      </c>
      <c r="P406" s="13" t="n">
        <f aca="false">26.99</f>
        <v>26.99</v>
      </c>
      <c r="Q406" s="13" t="n">
        <f aca="false">161.22</f>
        <v>161.22</v>
      </c>
      <c r="R406" s="12" t="n">
        <v>19</v>
      </c>
      <c r="S406" s="12" t="n">
        <v>25.65</v>
      </c>
      <c r="T406" s="12" t="n">
        <v>445</v>
      </c>
      <c r="U406" s="14" t="s">
        <v>29</v>
      </c>
      <c r="V406" s="15"/>
      <c r="W406" s="16" t="str">
        <f aca="false">A406</f>
        <v>AK</v>
      </c>
      <c r="X406" s="17" t="e">
        <f aca="false">ifs(C406="","",X406="",NOW(),TRUE(),X406)</f>
        <v>#VALUE!</v>
      </c>
      <c r="Y406" s="17" t="e">
        <f aca="false">ifs(COUNTA(K406:U409)&lt;44,"",Y406="",NOW(),TRUE(),Y406)</f>
        <v>#VALUE!</v>
      </c>
    </row>
    <row r="407" customFormat="false" ht="15.75" hidden="false" customHeight="false" outlineLevel="0" collapsed="false">
      <c r="A407" s="9"/>
      <c r="B407" s="10"/>
      <c r="C407" s="10"/>
      <c r="D407" s="10"/>
      <c r="E407" s="10"/>
      <c r="F407" s="10"/>
      <c r="G407" s="10"/>
      <c r="H407" s="10"/>
      <c r="I407" s="18" t="n">
        <v>2</v>
      </c>
      <c r="J407" s="18" t="s">
        <v>46</v>
      </c>
      <c r="K407" s="19" t="n">
        <f aca="false">42.1</f>
        <v>42.1</v>
      </c>
      <c r="L407" s="19" t="n">
        <f aca="false">120.6</f>
        <v>120.6</v>
      </c>
      <c r="M407" s="18" t="n">
        <v>16</v>
      </c>
      <c r="N407" s="18" t="n">
        <v>26</v>
      </c>
      <c r="O407" s="18" t="n">
        <v>101.2</v>
      </c>
      <c r="P407" s="19" t="n">
        <f aca="false">26.5</f>
        <v>26.5</v>
      </c>
      <c r="Q407" s="19" t="n">
        <f aca="false">137.33</f>
        <v>137.33</v>
      </c>
      <c r="R407" s="18" t="n">
        <v>15.1</v>
      </c>
      <c r="S407" s="18" t="n">
        <v>22.3</v>
      </c>
      <c r="T407" s="18" t="n">
        <v>402</v>
      </c>
      <c r="U407" s="20" t="s">
        <v>29</v>
      </c>
      <c r="V407" s="21"/>
      <c r="W407" s="16"/>
      <c r="X407" s="16"/>
      <c r="Y407" s="16"/>
    </row>
    <row r="408" customFormat="false" ht="15.75" hidden="false" customHeight="false" outlineLevel="0" collapsed="false">
      <c r="A408" s="9"/>
      <c r="B408" s="10"/>
      <c r="C408" s="10"/>
      <c r="D408" s="10"/>
      <c r="E408" s="10"/>
      <c r="F408" s="10"/>
      <c r="G408" s="10"/>
      <c r="H408" s="10"/>
      <c r="I408" s="22" t="n">
        <v>3</v>
      </c>
      <c r="J408" s="22"/>
      <c r="K408" s="23" t="n">
        <f aca="false">39.91</f>
        <v>39.91</v>
      </c>
      <c r="L408" s="23" t="n">
        <f aca="false">136.01</f>
        <v>136.01</v>
      </c>
      <c r="M408" s="22" t="n">
        <v>14</v>
      </c>
      <c r="N408" s="22" t="n">
        <v>32</v>
      </c>
      <c r="O408" s="22" t="n">
        <v>111.8</v>
      </c>
      <c r="P408" s="23" t="n">
        <f aca="false">23.44</f>
        <v>23.44</v>
      </c>
      <c r="Q408" s="23" t="n">
        <f aca="false">141.63</f>
        <v>141.63</v>
      </c>
      <c r="R408" s="22" t="n">
        <v>15.15</v>
      </c>
      <c r="S408" s="22" t="n">
        <v>23.6</v>
      </c>
      <c r="T408" s="22" t="n">
        <v>431</v>
      </c>
      <c r="U408" s="24" t="s">
        <v>29</v>
      </c>
      <c r="V408" s="15"/>
      <c r="W408" s="16"/>
      <c r="X408" s="16"/>
      <c r="Y408" s="16"/>
    </row>
    <row r="409" customFormat="false" ht="15.75" hidden="false" customHeight="false" outlineLevel="0" collapsed="false">
      <c r="A409" s="9"/>
      <c r="B409" s="10"/>
      <c r="C409" s="10"/>
      <c r="D409" s="10"/>
      <c r="E409" s="10"/>
      <c r="F409" s="10"/>
      <c r="G409" s="10"/>
      <c r="H409" s="10"/>
      <c r="I409" s="25" t="n">
        <v>4</v>
      </c>
      <c r="J409" s="25" t="s">
        <v>50</v>
      </c>
      <c r="K409" s="26" t="n">
        <f aca="false">37.61</f>
        <v>37.61</v>
      </c>
      <c r="L409" s="26" t="n">
        <f aca="false">106.89</f>
        <v>106.89</v>
      </c>
      <c r="M409" s="25" t="n">
        <v>14</v>
      </c>
      <c r="N409" s="25" t="n">
        <v>28</v>
      </c>
      <c r="O409" s="25" t="n">
        <v>76.85</v>
      </c>
      <c r="P409" s="26" t="n">
        <f aca="false">22.01</f>
        <v>22.01</v>
      </c>
      <c r="Q409" s="26" t="n">
        <f aca="false">107.6</f>
        <v>107.6</v>
      </c>
      <c r="R409" s="25" t="n">
        <v>8.85</v>
      </c>
      <c r="S409" s="25" t="n">
        <v>22.15</v>
      </c>
      <c r="T409" s="25" t="n">
        <v>308</v>
      </c>
      <c r="U409" s="27" t="s">
        <v>29</v>
      </c>
      <c r="V409" s="21"/>
      <c r="W409" s="16"/>
      <c r="X409" s="16"/>
      <c r="Y409" s="16"/>
    </row>
    <row r="410" customFormat="false" ht="15.75" hidden="false" customHeight="true" outlineLevel="0" collapsed="false">
      <c r="A410" s="9" t="s">
        <v>43</v>
      </c>
      <c r="B410" s="10" t="s">
        <v>44</v>
      </c>
      <c r="C410" s="11" t="s">
        <v>161</v>
      </c>
      <c r="D410" s="10" t="s">
        <v>28</v>
      </c>
      <c r="E410" s="10" t="s">
        <v>28</v>
      </c>
      <c r="F410" s="10"/>
      <c r="G410" s="10" t="n">
        <v>18</v>
      </c>
      <c r="H410" s="10" t="n">
        <v>5</v>
      </c>
      <c r="I410" s="12" t="n">
        <v>1</v>
      </c>
      <c r="J410" s="12" t="s">
        <v>35</v>
      </c>
      <c r="K410" s="13" t="n">
        <f aca="false">54.26</f>
        <v>54.26</v>
      </c>
      <c r="L410" s="13" t="n">
        <f aca="false">110.66</f>
        <v>110.66</v>
      </c>
      <c r="M410" s="12" t="n">
        <v>18</v>
      </c>
      <c r="N410" s="12" t="n">
        <v>22</v>
      </c>
      <c r="O410" s="12" t="n">
        <v>142.1</v>
      </c>
      <c r="P410" s="13" t="n">
        <f aca="false">33.77</f>
        <v>33.77</v>
      </c>
      <c r="Q410" s="13" t="n">
        <f aca="false">118.35</f>
        <v>118.35</v>
      </c>
      <c r="R410" s="12" t="n">
        <v>22.1</v>
      </c>
      <c r="S410" s="12" t="n">
        <v>29.3</v>
      </c>
      <c r="T410" s="12" t="n">
        <v>376</v>
      </c>
      <c r="U410" s="14" t="s">
        <v>58</v>
      </c>
      <c r="V410" s="15"/>
      <c r="W410" s="16" t="str">
        <f aca="false">A410</f>
        <v>JB</v>
      </c>
      <c r="X410" s="17" t="e">
        <f aca="false">ifs(C410="","",X410="",NOW(),TRUE(),X410)</f>
        <v>#VALUE!</v>
      </c>
      <c r="Y410" s="17" t="e">
        <f aca="false">ifs(COUNTA(K410:U413)&lt;44,"",Y410="",NOW(),TRUE(),Y410)</f>
        <v>#VALUE!</v>
      </c>
    </row>
    <row r="411" customFormat="false" ht="15.75" hidden="false" customHeight="false" outlineLevel="0" collapsed="false">
      <c r="A411" s="9"/>
      <c r="B411" s="10"/>
      <c r="C411" s="10"/>
      <c r="D411" s="10"/>
      <c r="E411" s="10"/>
      <c r="F411" s="10"/>
      <c r="G411" s="10"/>
      <c r="H411" s="10"/>
      <c r="I411" s="18" t="n">
        <v>2</v>
      </c>
      <c r="J411" s="18" t="s">
        <v>33</v>
      </c>
      <c r="K411" s="19" t="n">
        <f aca="false">49.78</f>
        <v>49.78</v>
      </c>
      <c r="L411" s="19" t="n">
        <f aca="false">96.07</f>
        <v>96.07</v>
      </c>
      <c r="M411" s="18" t="n">
        <v>13</v>
      </c>
      <c r="N411" s="18" t="n">
        <v>18</v>
      </c>
      <c r="O411" s="18" t="n">
        <v>93.2</v>
      </c>
      <c r="P411" s="19" t="n">
        <f aca="false">33.18</f>
        <v>33.18</v>
      </c>
      <c r="Q411" s="19" t="n">
        <f aca="false">112.74</f>
        <v>112.74</v>
      </c>
      <c r="R411" s="18" t="n">
        <v>20.5</v>
      </c>
      <c r="S411" s="18" t="n">
        <v>30.9</v>
      </c>
      <c r="T411" s="18" t="n">
        <v>238</v>
      </c>
      <c r="U411" s="20" t="s">
        <v>58</v>
      </c>
      <c r="V411" s="21"/>
      <c r="W411" s="16"/>
      <c r="X411" s="16"/>
      <c r="Y411" s="16"/>
    </row>
    <row r="412" customFormat="false" ht="15.75" hidden="false" customHeight="false" outlineLevel="0" collapsed="false">
      <c r="A412" s="9"/>
      <c r="B412" s="10"/>
      <c r="C412" s="10"/>
      <c r="D412" s="10"/>
      <c r="E412" s="10"/>
      <c r="F412" s="10"/>
      <c r="G412" s="10"/>
      <c r="H412" s="10"/>
      <c r="I412" s="22" t="n">
        <v>3</v>
      </c>
      <c r="J412" s="22" t="s">
        <v>50</v>
      </c>
      <c r="K412" s="23" t="n">
        <f aca="false">50.59</f>
        <v>50.59</v>
      </c>
      <c r="L412" s="23" t="n">
        <f aca="false">164.09</f>
        <v>164.09</v>
      </c>
      <c r="M412" s="22" t="n">
        <v>14</v>
      </c>
      <c r="N412" s="22" t="n">
        <v>40</v>
      </c>
      <c r="O412" s="22" t="n">
        <v>211</v>
      </c>
      <c r="P412" s="23" t="n">
        <f aca="false">27.28</f>
        <v>27.28</v>
      </c>
      <c r="Q412" s="23" t="n">
        <f aca="false">171.57</f>
        <v>171.57</v>
      </c>
      <c r="R412" s="22" t="n">
        <v>22.2</v>
      </c>
      <c r="S412" s="22" t="n">
        <v>28.8</v>
      </c>
      <c r="T412" s="22" t="n">
        <v>673</v>
      </c>
      <c r="U412" s="24" t="s">
        <v>58</v>
      </c>
      <c r="V412" s="15"/>
      <c r="W412" s="16"/>
      <c r="X412" s="16"/>
      <c r="Y412" s="16"/>
    </row>
    <row r="413" customFormat="false" ht="15.75" hidden="false" customHeight="false" outlineLevel="0" collapsed="false">
      <c r="A413" s="9"/>
      <c r="B413" s="10"/>
      <c r="C413" s="10"/>
      <c r="D413" s="10"/>
      <c r="E413" s="10"/>
      <c r="F413" s="10"/>
      <c r="G413" s="10"/>
      <c r="H413" s="10"/>
      <c r="I413" s="25" t="n">
        <v>4</v>
      </c>
      <c r="J413" s="25" t="s">
        <v>35</v>
      </c>
      <c r="K413" s="26" t="n">
        <f aca="false">51.71</f>
        <v>51.71</v>
      </c>
      <c r="L413" s="26" t="n">
        <f aca="false">183.55</f>
        <v>183.55</v>
      </c>
      <c r="M413" s="25" t="n">
        <v>14</v>
      </c>
      <c r="N413" s="25" t="n">
        <v>44</v>
      </c>
      <c r="O413" s="25" t="n">
        <v>247.4</v>
      </c>
      <c r="P413" s="26" t="n">
        <f aca="false">31.27</f>
        <v>31.27</v>
      </c>
      <c r="Q413" s="26" t="n">
        <f aca="false">188.99</f>
        <v>188.99</v>
      </c>
      <c r="R413" s="25" t="n">
        <v>30.8</v>
      </c>
      <c r="S413" s="25" t="n">
        <v>27</v>
      </c>
      <c r="T413" s="25" t="n">
        <v>744</v>
      </c>
      <c r="U413" s="27" t="s">
        <v>58</v>
      </c>
      <c r="V413" s="21"/>
      <c r="W413" s="16"/>
      <c r="X413" s="16"/>
      <c r="Y413" s="16"/>
    </row>
    <row r="414" customFormat="false" ht="15.75" hidden="false" customHeight="true" outlineLevel="0" collapsed="false">
      <c r="A414" s="9" t="s">
        <v>43</v>
      </c>
      <c r="B414" s="10" t="s">
        <v>44</v>
      </c>
      <c r="C414" s="11" t="s">
        <v>162</v>
      </c>
      <c r="D414" s="10" t="s">
        <v>28</v>
      </c>
      <c r="E414" s="10" t="s">
        <v>73</v>
      </c>
      <c r="F414" s="10"/>
      <c r="G414" s="10" t="n">
        <v>21</v>
      </c>
      <c r="H414" s="10" t="n">
        <v>4.9</v>
      </c>
      <c r="I414" s="12" t="n">
        <v>1</v>
      </c>
      <c r="J414" s="12" t="s">
        <v>50</v>
      </c>
      <c r="K414" s="13" t="n">
        <f aca="false">41.55</f>
        <v>41.55</v>
      </c>
      <c r="L414" s="13" t="n">
        <f aca="false">122.93</f>
        <v>122.93</v>
      </c>
      <c r="M414" s="12" t="n">
        <v>12</v>
      </c>
      <c r="N414" s="12" t="n">
        <v>28</v>
      </c>
      <c r="O414" s="12" t="n">
        <v>115.9</v>
      </c>
      <c r="P414" s="13" t="n">
        <f aca="false">29.93</f>
        <v>29.93</v>
      </c>
      <c r="Q414" s="13" t="n">
        <f aca="false">135.97</f>
        <v>135.97</v>
      </c>
      <c r="R414" s="12" t="n">
        <v>19.9</v>
      </c>
      <c r="S414" s="12" t="n">
        <v>22.6</v>
      </c>
      <c r="T414" s="12" t="n">
        <v>404</v>
      </c>
      <c r="U414" s="14" t="s">
        <v>29</v>
      </c>
      <c r="V414" s="15"/>
      <c r="W414" s="16" t="str">
        <f aca="false">A414</f>
        <v>JB</v>
      </c>
      <c r="X414" s="17" t="e">
        <f aca="false">ifs(C414="","",X414="",NOW(),TRUE(),X414)</f>
        <v>#VALUE!</v>
      </c>
      <c r="Y414" s="17" t="e">
        <f aca="false">ifs(COUNTA(K414:U417)&lt;44,"",Y414="",NOW(),TRUE(),Y414)</f>
        <v>#VALUE!</v>
      </c>
    </row>
    <row r="415" customFormat="false" ht="15.75" hidden="false" customHeight="false" outlineLevel="0" collapsed="false">
      <c r="A415" s="9"/>
      <c r="B415" s="10"/>
      <c r="C415" s="10"/>
      <c r="D415" s="10"/>
      <c r="E415" s="10"/>
      <c r="F415" s="10"/>
      <c r="G415" s="10"/>
      <c r="H415" s="10"/>
      <c r="I415" s="18" t="n">
        <v>2</v>
      </c>
      <c r="J415" s="18" t="s">
        <v>50</v>
      </c>
      <c r="K415" s="19" t="n">
        <f aca="false">44.89</f>
        <v>44.89</v>
      </c>
      <c r="L415" s="19" t="n">
        <f aca="false">140.33</f>
        <v>140.33</v>
      </c>
      <c r="M415" s="18" t="n">
        <v>14</v>
      </c>
      <c r="N415" s="18" t="n">
        <v>34</v>
      </c>
      <c r="O415" s="18" t="n">
        <v>150.7</v>
      </c>
      <c r="P415" s="19" t="n">
        <f aca="false">28.54</f>
        <v>28.54</v>
      </c>
      <c r="Q415" s="19" t="n">
        <f aca="false">147.49</f>
        <v>147.49</v>
      </c>
      <c r="R415" s="18" t="n">
        <v>23.4</v>
      </c>
      <c r="S415" s="18" t="n">
        <v>22.6</v>
      </c>
      <c r="T415" s="18" t="n">
        <v>511</v>
      </c>
      <c r="U415" s="20" t="s">
        <v>29</v>
      </c>
      <c r="V415" s="21"/>
      <c r="W415" s="16"/>
      <c r="X415" s="16"/>
      <c r="Y415" s="16"/>
    </row>
    <row r="416" customFormat="false" ht="15.75" hidden="false" customHeight="false" outlineLevel="0" collapsed="false">
      <c r="A416" s="9"/>
      <c r="B416" s="10"/>
      <c r="C416" s="10"/>
      <c r="D416" s="10"/>
      <c r="E416" s="10"/>
      <c r="F416" s="10"/>
      <c r="G416" s="10"/>
      <c r="H416" s="10"/>
      <c r="I416" s="22" t="n">
        <v>3</v>
      </c>
      <c r="J416" s="22"/>
      <c r="K416" s="23"/>
      <c r="L416" s="23"/>
      <c r="M416" s="22"/>
      <c r="N416" s="22"/>
      <c r="O416" s="22"/>
      <c r="P416" s="23"/>
      <c r="Q416" s="23"/>
      <c r="R416" s="22"/>
      <c r="S416" s="22"/>
      <c r="T416" s="22"/>
      <c r="U416" s="24"/>
      <c r="V416" s="15"/>
      <c r="W416" s="16"/>
      <c r="X416" s="16"/>
      <c r="Y416" s="16"/>
    </row>
    <row r="417" customFormat="false" ht="15.75" hidden="false" customHeight="false" outlineLevel="0" collapsed="false">
      <c r="A417" s="9"/>
      <c r="B417" s="10"/>
      <c r="C417" s="10"/>
      <c r="D417" s="10"/>
      <c r="E417" s="10"/>
      <c r="F417" s="10"/>
      <c r="G417" s="10"/>
      <c r="H417" s="10"/>
      <c r="I417" s="25" t="n">
        <v>4</v>
      </c>
      <c r="J417" s="25"/>
      <c r="K417" s="26"/>
      <c r="L417" s="26"/>
      <c r="M417" s="25"/>
      <c r="N417" s="25"/>
      <c r="O417" s="25"/>
      <c r="P417" s="26"/>
      <c r="Q417" s="26"/>
      <c r="R417" s="25"/>
      <c r="S417" s="25"/>
      <c r="T417" s="25"/>
      <c r="U417" s="27"/>
      <c r="V417" s="21"/>
      <c r="W417" s="16"/>
      <c r="X417" s="16"/>
      <c r="Y417" s="16"/>
    </row>
    <row r="418" customFormat="false" ht="15.75" hidden="false" customHeight="true" outlineLevel="0" collapsed="false">
      <c r="A418" s="9" t="s">
        <v>43</v>
      </c>
      <c r="B418" s="10" t="s">
        <v>44</v>
      </c>
      <c r="C418" s="11" t="s">
        <v>163</v>
      </c>
      <c r="D418" s="10" t="s">
        <v>28</v>
      </c>
      <c r="E418" s="10" t="s">
        <v>28</v>
      </c>
      <c r="F418" s="10"/>
      <c r="G418" s="10" t="n">
        <v>10</v>
      </c>
      <c r="H418" s="10" t="n">
        <v>1.9</v>
      </c>
      <c r="I418" s="12" t="n">
        <v>1</v>
      </c>
      <c r="J418" s="12" t="s">
        <v>103</v>
      </c>
      <c r="K418" s="13" t="n">
        <f aca="false">39.68</f>
        <v>39.68</v>
      </c>
      <c r="L418" s="13" t="n">
        <f aca="false">79.53</f>
        <v>79.53</v>
      </c>
      <c r="M418" s="12" t="n">
        <v>16</v>
      </c>
      <c r="N418" s="12" t="n">
        <v>18</v>
      </c>
      <c r="O418" s="12" t="n">
        <v>59.7</v>
      </c>
      <c r="P418" s="13" t="n">
        <f aca="false">26.71</f>
        <v>26.71</v>
      </c>
      <c r="Q418" s="13" t="n">
        <f aca="false">88.53</f>
        <v>88.53</v>
      </c>
      <c r="R418" s="12" t="n">
        <v>7.4</v>
      </c>
      <c r="S418" s="12" t="n">
        <v>17.8</v>
      </c>
      <c r="T418" s="12" t="n">
        <v>291</v>
      </c>
      <c r="U418" s="14" t="s">
        <v>29</v>
      </c>
      <c r="V418" s="15"/>
      <c r="W418" s="16" t="str">
        <f aca="false">A418</f>
        <v>JB</v>
      </c>
      <c r="X418" s="17" t="e">
        <f aca="false">ifs(C418="","",X418="",NOW(),TRUE(),X418)</f>
        <v>#VALUE!</v>
      </c>
      <c r="Y418" s="17" t="e">
        <f aca="false">ifs(COUNTA(K418:U421)&lt;44,"",Y418="",NOW(),TRUE(),Y418)</f>
        <v>#VALUE!</v>
      </c>
    </row>
    <row r="419" customFormat="false" ht="15.75" hidden="false" customHeight="false" outlineLevel="0" collapsed="false">
      <c r="A419" s="9"/>
      <c r="B419" s="10"/>
      <c r="C419" s="10"/>
      <c r="D419" s="10"/>
      <c r="E419" s="10"/>
      <c r="F419" s="10"/>
      <c r="G419" s="10"/>
      <c r="H419" s="10"/>
      <c r="I419" s="18" t="n">
        <v>2</v>
      </c>
      <c r="J419" s="18" t="s">
        <v>103</v>
      </c>
      <c r="K419" s="19" t="n">
        <f aca="false">37.94</f>
        <v>37.94</v>
      </c>
      <c r="L419" s="19" t="n">
        <f aca="false">81.67</f>
        <v>81.67</v>
      </c>
      <c r="M419" s="18" t="n">
        <v>12</v>
      </c>
      <c r="N419" s="18" t="n">
        <v>22</v>
      </c>
      <c r="O419" s="18" t="n">
        <v>48.5</v>
      </c>
      <c r="P419" s="19" t="n">
        <f aca="false">27.19</f>
        <v>27.19</v>
      </c>
      <c r="Q419" s="19" t="n">
        <f aca="false">105.28</f>
        <v>105.28</v>
      </c>
      <c r="R419" s="18" t="n">
        <v>9.8</v>
      </c>
      <c r="S419" s="18" t="n">
        <v>19.2</v>
      </c>
      <c r="T419" s="18" t="n">
        <v>219</v>
      </c>
      <c r="U419" s="20" t="s">
        <v>29</v>
      </c>
      <c r="V419" s="21"/>
      <c r="W419" s="16"/>
      <c r="X419" s="16"/>
      <c r="Y419" s="16"/>
    </row>
    <row r="420" customFormat="false" ht="15.75" hidden="false" customHeight="false" outlineLevel="0" collapsed="false">
      <c r="A420" s="9"/>
      <c r="B420" s="10"/>
      <c r="C420" s="10"/>
      <c r="D420" s="10"/>
      <c r="E420" s="10"/>
      <c r="F420" s="10"/>
      <c r="G420" s="10"/>
      <c r="H420" s="10"/>
      <c r="I420" s="22" t="n">
        <v>3</v>
      </c>
      <c r="J420" s="22" t="s">
        <v>103</v>
      </c>
      <c r="K420" s="23" t="n">
        <f aca="false">37.84</f>
        <v>37.84</v>
      </c>
      <c r="L420" s="23" t="n">
        <f aca="false">70.72</f>
        <v>70.72</v>
      </c>
      <c r="M420" s="22" t="n">
        <v>14</v>
      </c>
      <c r="N420" s="22" t="n">
        <v>16</v>
      </c>
      <c r="O420" s="22" t="n">
        <v>47.2</v>
      </c>
      <c r="P420" s="23" t="n">
        <f aca="false">24.98</f>
        <v>24.98</v>
      </c>
      <c r="Q420" s="23" t="n">
        <f aca="false">108.94</f>
        <v>108.94</v>
      </c>
      <c r="R420" s="22" t="n">
        <v>8.3</v>
      </c>
      <c r="S420" s="22" t="n">
        <v>19.2</v>
      </c>
      <c r="T420" s="22" t="n">
        <v>200</v>
      </c>
      <c r="U420" s="24" t="s">
        <v>58</v>
      </c>
      <c r="V420" s="15"/>
      <c r="W420" s="16"/>
      <c r="X420" s="16"/>
      <c r="Y420" s="16"/>
    </row>
    <row r="421" customFormat="false" ht="15.75" hidden="false" customHeight="false" outlineLevel="0" collapsed="false">
      <c r="A421" s="9"/>
      <c r="B421" s="10"/>
      <c r="C421" s="10"/>
      <c r="D421" s="10"/>
      <c r="E421" s="10"/>
      <c r="F421" s="10"/>
      <c r="G421" s="10"/>
      <c r="H421" s="10"/>
      <c r="I421" s="25" t="n">
        <v>4</v>
      </c>
      <c r="J421" s="25" t="s">
        <v>103</v>
      </c>
      <c r="K421" s="26" t="n">
        <f aca="false">37.77</f>
        <v>37.77</v>
      </c>
      <c r="L421" s="26" t="n">
        <f aca="false">83.82</f>
        <v>83.82</v>
      </c>
      <c r="M421" s="25" t="n">
        <v>14</v>
      </c>
      <c r="N421" s="25" t="n">
        <v>18</v>
      </c>
      <c r="O421" s="25" t="n">
        <v>59.3</v>
      </c>
      <c r="P421" s="26" t="n">
        <f aca="false">28.17</f>
        <v>28.17</v>
      </c>
      <c r="Q421" s="26" t="n">
        <f aca="false">104.89</f>
        <v>104.89</v>
      </c>
      <c r="R421" s="25" t="n">
        <v>11.4</v>
      </c>
      <c r="S421" s="25" t="n">
        <v>18.9</v>
      </c>
      <c r="T421" s="25" t="n">
        <v>256</v>
      </c>
      <c r="U421" s="27" t="s">
        <v>29</v>
      </c>
      <c r="V421" s="21"/>
      <c r="W421" s="16"/>
      <c r="X421" s="16"/>
      <c r="Y421" s="16"/>
    </row>
    <row r="422" customFormat="false" ht="15.75" hidden="false" customHeight="true" outlineLevel="0" collapsed="false">
      <c r="A422" s="9" t="s">
        <v>43</v>
      </c>
      <c r="B422" s="10" t="s">
        <v>44</v>
      </c>
      <c r="C422" s="11" t="s">
        <v>164</v>
      </c>
      <c r="D422" s="10" t="s">
        <v>28</v>
      </c>
      <c r="E422" s="10" t="s">
        <v>28</v>
      </c>
      <c r="F422" s="10"/>
      <c r="G422" s="10" t="n">
        <v>26</v>
      </c>
      <c r="H422" s="10" t="n">
        <v>6.8</v>
      </c>
      <c r="I422" s="12" t="n">
        <v>1</v>
      </c>
      <c r="J422" s="12" t="s">
        <v>49</v>
      </c>
      <c r="K422" s="13" t="n">
        <f aca="false">43.66</f>
        <v>43.66</v>
      </c>
      <c r="L422" s="13" t="n">
        <f aca="false">144.86</f>
        <v>144.86</v>
      </c>
      <c r="M422" s="12" t="n">
        <v>14</v>
      </c>
      <c r="N422" s="12" t="n">
        <v>34</v>
      </c>
      <c r="O422" s="12" t="n">
        <v>135.7</v>
      </c>
      <c r="P422" s="13" t="n">
        <f aca="false">28.38</f>
        <v>28.38</v>
      </c>
      <c r="Q422" s="13" t="n">
        <f aca="false">164.45</f>
        <v>164.45</v>
      </c>
      <c r="R422" s="12" t="n">
        <v>18.7</v>
      </c>
      <c r="S422" s="12" t="n">
        <v>21.6</v>
      </c>
      <c r="T422" s="12" t="n">
        <v>511</v>
      </c>
      <c r="U422" s="14" t="s">
        <v>29</v>
      </c>
      <c r="V422" s="15"/>
      <c r="W422" s="16" t="str">
        <f aca="false">A422</f>
        <v>JB</v>
      </c>
      <c r="X422" s="17" t="e">
        <f aca="false">ifs(C422="","",X422="",NOW(),TRUE(),X422)</f>
        <v>#VALUE!</v>
      </c>
      <c r="Y422" s="17" t="e">
        <f aca="false">ifs(COUNTA(K422:U425)&lt;44,"",Y422="",NOW(),TRUE(),Y422)</f>
        <v>#VALUE!</v>
      </c>
    </row>
    <row r="423" customFormat="false" ht="15.75" hidden="false" customHeight="false" outlineLevel="0" collapsed="false">
      <c r="A423" s="9"/>
      <c r="B423" s="10"/>
      <c r="C423" s="10"/>
      <c r="D423" s="10"/>
      <c r="E423" s="10"/>
      <c r="F423" s="10"/>
      <c r="G423" s="10"/>
      <c r="H423" s="10"/>
      <c r="I423" s="18" t="n">
        <v>2</v>
      </c>
      <c r="J423" s="18" t="s">
        <v>46</v>
      </c>
      <c r="K423" s="19" t="n">
        <f aca="false">41.76</f>
        <v>41.76</v>
      </c>
      <c r="L423" s="19" t="n">
        <f aca="false">125.78</f>
        <v>125.78</v>
      </c>
      <c r="M423" s="18" t="n">
        <v>16</v>
      </c>
      <c r="N423" s="18" t="n">
        <v>30</v>
      </c>
      <c r="O423" s="18" t="n">
        <v>111.7</v>
      </c>
      <c r="P423" s="19" t="n">
        <f aca="false">26.05</f>
        <v>26.05</v>
      </c>
      <c r="Q423" s="19" t="n">
        <f aca="false">160.38</f>
        <v>160.38</v>
      </c>
      <c r="R423" s="18" t="n">
        <v>14.8</v>
      </c>
      <c r="S423" s="18" t="n">
        <v>21.4</v>
      </c>
      <c r="T423" s="18" t="n">
        <v>443</v>
      </c>
      <c r="U423" s="20" t="s">
        <v>29</v>
      </c>
      <c r="V423" s="21"/>
      <c r="W423" s="16"/>
      <c r="X423" s="16"/>
      <c r="Y423" s="16"/>
    </row>
    <row r="424" customFormat="false" ht="15.75" hidden="false" customHeight="false" outlineLevel="0" collapsed="false">
      <c r="A424" s="9"/>
      <c r="B424" s="10"/>
      <c r="C424" s="10"/>
      <c r="D424" s="10"/>
      <c r="E424" s="10"/>
      <c r="F424" s="10"/>
      <c r="G424" s="10"/>
      <c r="H424" s="10"/>
      <c r="I424" s="22" t="n">
        <v>3</v>
      </c>
      <c r="J424" s="22" t="s">
        <v>57</v>
      </c>
      <c r="K424" s="23" t="n">
        <f aca="false">41.5</f>
        <v>41.5</v>
      </c>
      <c r="L424" s="23" t="n">
        <f aca="false">131.69</f>
        <v>131.69</v>
      </c>
      <c r="M424" s="22" t="n">
        <v>14</v>
      </c>
      <c r="N424" s="22" t="n">
        <v>30</v>
      </c>
      <c r="O424" s="22" t="n">
        <v>110.1</v>
      </c>
      <c r="P424" s="23" t="n">
        <f aca="false">29.44</f>
        <v>29.44</v>
      </c>
      <c r="Q424" s="23" t="n">
        <f aca="false">167.51</f>
        <v>167.51</v>
      </c>
      <c r="R424" s="22" t="n">
        <v>19.1</v>
      </c>
      <c r="S424" s="22" t="n">
        <v>23</v>
      </c>
      <c r="T424" s="22" t="n">
        <v>380</v>
      </c>
      <c r="U424" s="24" t="s">
        <v>29</v>
      </c>
      <c r="V424" s="15"/>
      <c r="W424" s="16"/>
      <c r="X424" s="16"/>
      <c r="Y424" s="16"/>
    </row>
    <row r="425" customFormat="false" ht="15.75" hidden="false" customHeight="false" outlineLevel="0" collapsed="false">
      <c r="A425" s="9"/>
      <c r="B425" s="10"/>
      <c r="C425" s="10"/>
      <c r="D425" s="10"/>
      <c r="E425" s="10"/>
      <c r="F425" s="10"/>
      <c r="G425" s="10"/>
      <c r="H425" s="10"/>
      <c r="I425" s="25" t="n">
        <v>4</v>
      </c>
      <c r="J425" s="25" t="s">
        <v>46</v>
      </c>
      <c r="K425" s="26" t="n">
        <f aca="false">40.95</f>
        <v>40.95</v>
      </c>
      <c r="L425" s="26" t="n">
        <f aca="false">135.02</f>
        <v>135.02</v>
      </c>
      <c r="M425" s="25" t="n">
        <v>16</v>
      </c>
      <c r="N425" s="25" t="n">
        <v>26</v>
      </c>
      <c r="O425" s="25" t="n">
        <v>106.8</v>
      </c>
      <c r="P425" s="26" t="n">
        <f aca="false">26.75</f>
        <v>26.75</v>
      </c>
      <c r="Q425" s="26" t="n">
        <f aca="false">172.93</f>
        <v>172.93</v>
      </c>
      <c r="R425" s="25" t="n">
        <v>13.5</v>
      </c>
      <c r="S425" s="25" t="n">
        <v>20.2</v>
      </c>
      <c r="T425" s="25" t="n">
        <v>453</v>
      </c>
      <c r="U425" s="27" t="s">
        <v>29</v>
      </c>
      <c r="V425" s="21"/>
      <c r="W425" s="16"/>
      <c r="X425" s="16"/>
      <c r="Y425" s="16"/>
    </row>
    <row r="426" customFormat="false" ht="15.75" hidden="false" customHeight="true" outlineLevel="0" collapsed="false">
      <c r="A426" s="9" t="s">
        <v>43</v>
      </c>
      <c r="B426" s="10" t="s">
        <v>44</v>
      </c>
      <c r="C426" s="11" t="s">
        <v>165</v>
      </c>
      <c r="D426" s="10" t="s">
        <v>28</v>
      </c>
      <c r="E426" s="10" t="s">
        <v>28</v>
      </c>
      <c r="F426" s="10"/>
      <c r="G426" s="10" t="n">
        <v>9</v>
      </c>
      <c r="H426" s="10" t="n">
        <v>2</v>
      </c>
      <c r="I426" s="12" t="n">
        <v>1</v>
      </c>
      <c r="J426" s="12" t="s">
        <v>49</v>
      </c>
      <c r="K426" s="13" t="n">
        <f aca="false">40.68</f>
        <v>40.68</v>
      </c>
      <c r="L426" s="13" t="n">
        <f aca="false">80.06</f>
        <v>80.06</v>
      </c>
      <c r="M426" s="12" t="n">
        <v>14</v>
      </c>
      <c r="N426" s="12" t="n">
        <v>20</v>
      </c>
      <c r="O426" s="12" t="n">
        <v>86.9</v>
      </c>
      <c r="P426" s="13" t="n">
        <f aca="false">27.05</f>
        <v>27.05</v>
      </c>
      <c r="Q426" s="13" t="n">
        <f aca="false">124.69</f>
        <v>124.69</v>
      </c>
      <c r="R426" s="12" t="n">
        <v>15.4</v>
      </c>
      <c r="S426" s="12" t="n">
        <v>21.3</v>
      </c>
      <c r="T426" s="12" t="n">
        <v>322</v>
      </c>
      <c r="U426" s="14" t="s">
        <v>58</v>
      </c>
      <c r="V426" s="15"/>
      <c r="W426" s="16" t="str">
        <f aca="false">A426</f>
        <v>JB</v>
      </c>
      <c r="X426" s="17" t="e">
        <f aca="false">ifs(C426="","",X426="",NOW(),TRUE(),X426)</f>
        <v>#VALUE!</v>
      </c>
      <c r="Y426" s="17" t="e">
        <f aca="false">ifs(COUNTA(K426:U429)&lt;44,"",Y426="",NOW(),TRUE(),Y426)</f>
        <v>#VALUE!</v>
      </c>
    </row>
    <row r="427" customFormat="false" ht="15.75" hidden="false" customHeight="false" outlineLevel="0" collapsed="false">
      <c r="A427" s="9"/>
      <c r="B427" s="10"/>
      <c r="C427" s="10"/>
      <c r="D427" s="10"/>
      <c r="E427" s="10"/>
      <c r="F427" s="10"/>
      <c r="G427" s="10"/>
      <c r="H427" s="10"/>
      <c r="I427" s="18" t="n">
        <v>2</v>
      </c>
      <c r="J427" s="18" t="s">
        <v>147</v>
      </c>
      <c r="K427" s="19" t="n">
        <f aca="false">36.81</f>
        <v>36.81</v>
      </c>
      <c r="L427" s="19" t="n">
        <f aca="false">86.01</f>
        <v>86.01</v>
      </c>
      <c r="M427" s="18" t="n">
        <v>10</v>
      </c>
      <c r="N427" s="18" t="n">
        <v>20</v>
      </c>
      <c r="O427" s="18" t="n">
        <v>48.9</v>
      </c>
      <c r="P427" s="19" t="n">
        <f aca="false">26.98</f>
        <v>26.98</v>
      </c>
      <c r="Q427" s="19" t="n">
        <f aca="false">100.12</f>
        <v>100.12</v>
      </c>
      <c r="R427" s="18" t="n">
        <v>11.6</v>
      </c>
      <c r="S427" s="18" t="n">
        <v>25.6</v>
      </c>
      <c r="T427" s="18" t="n">
        <v>146</v>
      </c>
      <c r="U427" s="20" t="s">
        <v>58</v>
      </c>
      <c r="V427" s="21"/>
      <c r="W427" s="16"/>
      <c r="X427" s="16"/>
      <c r="Y427" s="16"/>
    </row>
    <row r="428" customFormat="false" ht="15.75" hidden="false" customHeight="false" outlineLevel="0" collapsed="false">
      <c r="A428" s="9"/>
      <c r="B428" s="10"/>
      <c r="C428" s="10"/>
      <c r="D428" s="10"/>
      <c r="E428" s="10"/>
      <c r="F428" s="10"/>
      <c r="G428" s="10"/>
      <c r="H428" s="10"/>
      <c r="I428" s="22" t="n">
        <v>3</v>
      </c>
      <c r="J428" s="22" t="s">
        <v>49</v>
      </c>
      <c r="K428" s="23" t="n">
        <f aca="false">42.16</f>
        <v>42.16</v>
      </c>
      <c r="L428" s="23" t="n">
        <f aca="false">112.69</f>
        <v>112.69</v>
      </c>
      <c r="M428" s="22" t="n">
        <v>14</v>
      </c>
      <c r="N428" s="22" t="n">
        <v>28</v>
      </c>
      <c r="O428" s="22" t="n">
        <v>122.8</v>
      </c>
      <c r="P428" s="23" t="n">
        <f aca="false">26.81</f>
        <v>26.81</v>
      </c>
      <c r="Q428" s="23" t="n">
        <f aca="false">136.11</f>
        <v>136.11</v>
      </c>
      <c r="R428" s="22" t="n">
        <v>19.5</v>
      </c>
      <c r="S428" s="22" t="n">
        <v>23.9</v>
      </c>
      <c r="T428" s="22" t="n">
        <v>426</v>
      </c>
      <c r="U428" s="24" t="s">
        <v>29</v>
      </c>
      <c r="V428" s="15"/>
      <c r="W428" s="16"/>
      <c r="X428" s="16"/>
      <c r="Y428" s="16"/>
    </row>
    <row r="429" customFormat="false" ht="15.75" hidden="false" customHeight="false" outlineLevel="0" collapsed="false">
      <c r="A429" s="9"/>
      <c r="B429" s="10"/>
      <c r="C429" s="10"/>
      <c r="D429" s="10"/>
      <c r="E429" s="10"/>
      <c r="F429" s="10"/>
      <c r="G429" s="10"/>
      <c r="H429" s="10"/>
      <c r="I429" s="25" t="n">
        <v>4</v>
      </c>
      <c r="J429" s="25" t="s">
        <v>49</v>
      </c>
      <c r="K429" s="26" t="n">
        <f aca="false">42.62</f>
        <v>42.62</v>
      </c>
      <c r="L429" s="26" t="n">
        <f aca="false">110.76</f>
        <v>110.76</v>
      </c>
      <c r="M429" s="25" t="n">
        <v>16</v>
      </c>
      <c r="N429" s="25" t="n">
        <v>30</v>
      </c>
      <c r="O429" s="25" t="n">
        <v>122.9</v>
      </c>
      <c r="P429" s="26" t="n">
        <f aca="false">29.36</f>
        <v>29.36</v>
      </c>
      <c r="Q429" s="26" t="n">
        <f aca="false">129.38</f>
        <v>129.38</v>
      </c>
      <c r="R429" s="25" t="n">
        <v>24.9</v>
      </c>
      <c r="S429" s="25" t="n">
        <v>14.7</v>
      </c>
      <c r="T429" s="25" t="n">
        <v>474</v>
      </c>
      <c r="U429" s="27" t="s">
        <v>29</v>
      </c>
      <c r="V429" s="21"/>
      <c r="W429" s="16"/>
      <c r="X429" s="16"/>
      <c r="Y429" s="16"/>
    </row>
    <row r="430" customFormat="false" ht="15.75" hidden="false" customHeight="true" outlineLevel="0" collapsed="false">
      <c r="A430" s="9" t="s">
        <v>43</v>
      </c>
      <c r="B430" s="10" t="s">
        <v>44</v>
      </c>
      <c r="C430" s="11" t="s">
        <v>166</v>
      </c>
      <c r="D430" s="10" t="s">
        <v>28</v>
      </c>
      <c r="E430" s="10" t="s">
        <v>28</v>
      </c>
      <c r="F430" s="10"/>
      <c r="G430" s="10" t="n">
        <v>24</v>
      </c>
      <c r="H430" s="10" t="n">
        <v>6.2</v>
      </c>
      <c r="I430" s="12" t="n">
        <v>1</v>
      </c>
      <c r="J430" s="12" t="s">
        <v>147</v>
      </c>
      <c r="K430" s="13" t="n">
        <f aca="false">38.16</f>
        <v>38.16</v>
      </c>
      <c r="L430" s="13" t="n">
        <f aca="false">163.18</f>
        <v>163.18</v>
      </c>
      <c r="M430" s="12" t="n">
        <v>12</v>
      </c>
      <c r="N430" s="12" t="n">
        <v>36</v>
      </c>
      <c r="O430" s="12" t="n">
        <v>126.2</v>
      </c>
      <c r="P430" s="13" t="n">
        <f aca="false">26.22</f>
        <v>26.22</v>
      </c>
      <c r="Q430" s="13" t="n">
        <f aca="false">172.04</f>
        <v>172.04</v>
      </c>
      <c r="R430" s="12" t="n">
        <v>24.3</v>
      </c>
      <c r="S430" s="12" t="n">
        <v>25.5</v>
      </c>
      <c r="T430" s="12" t="n">
        <v>422</v>
      </c>
      <c r="U430" s="14" t="s">
        <v>29</v>
      </c>
      <c r="V430" s="15"/>
      <c r="W430" s="16" t="str">
        <f aca="false">A430</f>
        <v>JB</v>
      </c>
      <c r="X430" s="17" t="e">
        <f aca="false">ifs(C430="","",X430="",NOW(),TRUE(),X430)</f>
        <v>#VALUE!</v>
      </c>
      <c r="Y430" s="17" t="e">
        <f aca="false">ifs(COUNTA(K430:U433)&lt;44,"",Y430="",NOW(),TRUE(),Y430)</f>
        <v>#VALUE!</v>
      </c>
    </row>
    <row r="431" customFormat="false" ht="15.75" hidden="false" customHeight="false" outlineLevel="0" collapsed="false">
      <c r="A431" s="9"/>
      <c r="B431" s="10"/>
      <c r="C431" s="10"/>
      <c r="D431" s="10"/>
      <c r="E431" s="10"/>
      <c r="F431" s="10"/>
      <c r="G431" s="10"/>
      <c r="H431" s="10"/>
      <c r="I431" s="18" t="n">
        <v>2</v>
      </c>
      <c r="J431" s="18" t="s">
        <v>33</v>
      </c>
      <c r="K431" s="19" t="n">
        <f aca="false">37.38</f>
        <v>37.38</v>
      </c>
      <c r="L431" s="19" t="n">
        <f aca="false">144.75</f>
        <v>144.75</v>
      </c>
      <c r="M431" s="18" t="n">
        <v>14</v>
      </c>
      <c r="N431" s="18" t="n">
        <v>32</v>
      </c>
      <c r="O431" s="18" t="n">
        <v>121.8</v>
      </c>
      <c r="P431" s="19" t="n">
        <f aca="false">23.57</f>
        <v>23.57</v>
      </c>
      <c r="Q431" s="19" t="n">
        <f aca="false">176.96</f>
        <v>176.96</v>
      </c>
      <c r="R431" s="18" t="n">
        <v>19.4</v>
      </c>
      <c r="S431" s="18" t="n">
        <v>24.7</v>
      </c>
      <c r="T431" s="18" t="n">
        <v>393</v>
      </c>
      <c r="U431" s="20" t="s">
        <v>58</v>
      </c>
      <c r="V431" s="21"/>
      <c r="W431" s="16"/>
      <c r="X431" s="16"/>
      <c r="Y431" s="16"/>
    </row>
    <row r="432" customFormat="false" ht="15.75" hidden="false" customHeight="false" outlineLevel="0" collapsed="false">
      <c r="A432" s="9"/>
      <c r="B432" s="10"/>
      <c r="C432" s="10"/>
      <c r="D432" s="10"/>
      <c r="E432" s="10"/>
      <c r="F432" s="10"/>
      <c r="G432" s="10"/>
      <c r="H432" s="10"/>
      <c r="I432" s="22" t="n">
        <v>3</v>
      </c>
      <c r="J432" s="22" t="s">
        <v>49</v>
      </c>
      <c r="K432" s="23" t="n">
        <f aca="false">37.35</f>
        <v>37.35</v>
      </c>
      <c r="L432" s="23" t="n">
        <f aca="false">130.42</f>
        <v>130.42</v>
      </c>
      <c r="M432" s="22" t="n">
        <v>12</v>
      </c>
      <c r="N432" s="22" t="n">
        <v>36</v>
      </c>
      <c r="O432" s="22" t="n">
        <v>89.1</v>
      </c>
      <c r="P432" s="23" t="n">
        <f aca="false">24.7</f>
        <v>24.7</v>
      </c>
      <c r="Q432" s="23" t="n">
        <f aca="false">155.99</f>
        <v>155.99</v>
      </c>
      <c r="R432" s="22" t="n">
        <v>16</v>
      </c>
      <c r="S432" s="22" t="n">
        <v>20.9</v>
      </c>
      <c r="T432" s="22" t="n">
        <v>357</v>
      </c>
      <c r="U432" s="24" t="s">
        <v>29</v>
      </c>
      <c r="V432" s="15"/>
      <c r="W432" s="16"/>
      <c r="X432" s="16"/>
      <c r="Y432" s="16"/>
    </row>
    <row r="433" customFormat="false" ht="15.75" hidden="false" customHeight="false" outlineLevel="0" collapsed="false">
      <c r="A433" s="9"/>
      <c r="B433" s="10"/>
      <c r="C433" s="10"/>
      <c r="D433" s="10"/>
      <c r="E433" s="10"/>
      <c r="F433" s="10"/>
      <c r="G433" s="10"/>
      <c r="H433" s="10"/>
      <c r="I433" s="25" t="n">
        <v>4</v>
      </c>
      <c r="J433" s="25" t="s">
        <v>46</v>
      </c>
      <c r="K433" s="26" t="n">
        <f aca="false">38.89</f>
        <v>38.89</v>
      </c>
      <c r="L433" s="26" t="n">
        <f aca="false">77.17</f>
        <v>77.17</v>
      </c>
      <c r="M433" s="25" t="n">
        <v>14</v>
      </c>
      <c r="N433" s="25" t="n">
        <v>20</v>
      </c>
      <c r="O433" s="25" t="n">
        <v>72.2</v>
      </c>
      <c r="P433" s="26" t="n">
        <f aca="false">26.4</f>
        <v>26.4</v>
      </c>
      <c r="Q433" s="26" t="n">
        <f aca="false">118.12</f>
        <v>118.12</v>
      </c>
      <c r="R433" s="25" t="n">
        <v>13.9</v>
      </c>
      <c r="S433" s="25" t="n">
        <v>22.3</v>
      </c>
      <c r="T433" s="25" t="n">
        <v>260</v>
      </c>
      <c r="U433" s="27" t="s">
        <v>29</v>
      </c>
      <c r="V433" s="21"/>
      <c r="W433" s="16"/>
      <c r="X433" s="16"/>
      <c r="Y433" s="16"/>
    </row>
    <row r="434" customFormat="false" ht="15.75" hidden="false" customHeight="true" outlineLevel="0" collapsed="false">
      <c r="A434" s="9" t="s">
        <v>43</v>
      </c>
      <c r="B434" s="10" t="s">
        <v>44</v>
      </c>
      <c r="C434" s="11" t="s">
        <v>167</v>
      </c>
      <c r="D434" s="10" t="s">
        <v>28</v>
      </c>
      <c r="E434" s="10" t="s">
        <v>28</v>
      </c>
      <c r="F434" s="10"/>
      <c r="G434" s="10" t="n">
        <v>6</v>
      </c>
      <c r="H434" s="10" t="n">
        <v>1.4</v>
      </c>
      <c r="I434" s="12" t="n">
        <v>1</v>
      </c>
      <c r="J434" s="12" t="s">
        <v>49</v>
      </c>
      <c r="K434" s="13" t="n">
        <f aca="false">46.15</f>
        <v>46.15</v>
      </c>
      <c r="L434" s="13" t="n">
        <f aca="false">165.89</f>
        <v>165.89</v>
      </c>
      <c r="M434" s="12" t="n">
        <v>16</v>
      </c>
      <c r="N434" s="12" t="n">
        <v>34</v>
      </c>
      <c r="O434" s="12" t="n">
        <v>195.5</v>
      </c>
      <c r="P434" s="13" t="n">
        <f aca="false">30.75</f>
        <v>30.75</v>
      </c>
      <c r="Q434" s="13" t="n">
        <f aca="false">183.65</f>
        <v>183.65</v>
      </c>
      <c r="R434" s="12" t="n">
        <v>26.2</v>
      </c>
      <c r="S434" s="12" t="n">
        <v>21.3</v>
      </c>
      <c r="T434" s="12" t="n">
        <v>748</v>
      </c>
      <c r="U434" s="14" t="s">
        <v>97</v>
      </c>
      <c r="V434" s="15"/>
      <c r="W434" s="16" t="str">
        <f aca="false">A434</f>
        <v>JB</v>
      </c>
      <c r="X434" s="17" t="e">
        <f aca="false">ifs(C434="","",X434="",NOW(),TRUE(),X434)</f>
        <v>#VALUE!</v>
      </c>
      <c r="Y434" s="17" t="e">
        <f aca="false">ifs(COUNTA(K434:U437)&lt;44,"",Y434="",NOW(),TRUE(),Y434)</f>
        <v>#VALUE!</v>
      </c>
    </row>
    <row r="435" customFormat="false" ht="15.75" hidden="false" customHeight="false" outlineLevel="0" collapsed="false">
      <c r="A435" s="9"/>
      <c r="B435" s="10"/>
      <c r="C435" s="10"/>
      <c r="D435" s="10"/>
      <c r="E435" s="10"/>
      <c r="F435" s="10"/>
      <c r="G435" s="10"/>
      <c r="H435" s="10"/>
      <c r="I435" s="18" t="n">
        <v>2</v>
      </c>
      <c r="J435" s="18" t="s">
        <v>49</v>
      </c>
      <c r="K435" s="19" t="n">
        <f aca="false">43.96</f>
        <v>43.96</v>
      </c>
      <c r="L435" s="19" t="n">
        <f aca="false">90.87</f>
        <v>90.87</v>
      </c>
      <c r="M435" s="18" t="n">
        <v>16</v>
      </c>
      <c r="N435" s="18" t="n">
        <v>20</v>
      </c>
      <c r="O435" s="18" t="n">
        <v>94.7</v>
      </c>
      <c r="P435" s="19" t="n">
        <f aca="false">29.53</f>
        <v>29.53</v>
      </c>
      <c r="Q435" s="19" t="n">
        <f aca="false">132.92</f>
        <v>132.92</v>
      </c>
      <c r="R435" s="18" t="n">
        <v>14.4</v>
      </c>
      <c r="S435" s="18" t="n">
        <v>23.3</v>
      </c>
      <c r="T435" s="18" t="n">
        <v>336</v>
      </c>
      <c r="U435" s="20" t="s">
        <v>97</v>
      </c>
      <c r="V435" s="21"/>
      <c r="W435" s="16"/>
      <c r="X435" s="16"/>
      <c r="Y435" s="16"/>
    </row>
    <row r="436" customFormat="false" ht="15.75" hidden="false" customHeight="false" outlineLevel="0" collapsed="false">
      <c r="A436" s="9"/>
      <c r="B436" s="10"/>
      <c r="C436" s="10"/>
      <c r="D436" s="10"/>
      <c r="E436" s="10"/>
      <c r="F436" s="10"/>
      <c r="G436" s="10"/>
      <c r="H436" s="10"/>
      <c r="I436" s="22" t="n">
        <v>3</v>
      </c>
      <c r="J436" s="22" t="s">
        <v>46</v>
      </c>
      <c r="K436" s="23" t="n">
        <f aca="false">38.09</f>
        <v>38.09</v>
      </c>
      <c r="L436" s="23" t="n">
        <f aca="false">83.91</f>
        <v>83.91</v>
      </c>
      <c r="M436" s="22" t="n">
        <v>12</v>
      </c>
      <c r="N436" s="22" t="n">
        <v>20</v>
      </c>
      <c r="O436" s="22" t="n">
        <v>44.8</v>
      </c>
      <c r="P436" s="23" t="n">
        <f aca="false">26.42</f>
        <v>26.42</v>
      </c>
      <c r="Q436" s="23" t="n">
        <f aca="false">93.66</f>
        <v>93.66</v>
      </c>
      <c r="R436" s="22" t="n">
        <v>8</v>
      </c>
      <c r="S436" s="22" t="n">
        <v>21.5</v>
      </c>
      <c r="T436" s="22" t="n">
        <v>170</v>
      </c>
      <c r="U436" s="24" t="s">
        <v>58</v>
      </c>
      <c r="V436" s="15"/>
      <c r="W436" s="16"/>
      <c r="X436" s="16"/>
      <c r="Y436" s="16"/>
    </row>
    <row r="437" customFormat="false" ht="15.75" hidden="false" customHeight="false" outlineLevel="0" collapsed="false">
      <c r="A437" s="9"/>
      <c r="B437" s="10"/>
      <c r="C437" s="10"/>
      <c r="D437" s="10"/>
      <c r="E437" s="10"/>
      <c r="F437" s="10"/>
      <c r="G437" s="10"/>
      <c r="H437" s="10"/>
      <c r="I437" s="25" t="n">
        <v>4</v>
      </c>
      <c r="J437" s="25" t="s">
        <v>46</v>
      </c>
      <c r="K437" s="26" t="n">
        <f aca="false">36.67</f>
        <v>36.67</v>
      </c>
      <c r="L437" s="26" t="n">
        <f aca="false">81.26</f>
        <v>81.26</v>
      </c>
      <c r="M437" s="25" t="n">
        <v>12</v>
      </c>
      <c r="N437" s="25" t="n">
        <v>24</v>
      </c>
      <c r="O437" s="25" t="n">
        <v>56.1</v>
      </c>
      <c r="P437" s="26" t="n">
        <f aca="false">25.81</f>
        <v>25.81</v>
      </c>
      <c r="Q437" s="26" t="n">
        <f aca="false">126.24</f>
        <v>126.24</v>
      </c>
      <c r="R437" s="25" t="n">
        <v>9.3</v>
      </c>
      <c r="S437" s="25" t="n">
        <v>20.6</v>
      </c>
      <c r="T437" s="25" t="n">
        <v>218</v>
      </c>
      <c r="U437" s="27" t="s">
        <v>58</v>
      </c>
      <c r="V437" s="21"/>
      <c r="W437" s="16"/>
      <c r="X437" s="16"/>
      <c r="Y437" s="16"/>
    </row>
    <row r="438" customFormat="false" ht="15.75" hidden="false" customHeight="true" outlineLevel="0" collapsed="false">
      <c r="A438" s="9" t="s">
        <v>43</v>
      </c>
      <c r="B438" s="10" t="s">
        <v>44</v>
      </c>
      <c r="C438" s="11" t="s">
        <v>168</v>
      </c>
      <c r="D438" s="10" t="s">
        <v>28</v>
      </c>
      <c r="E438" s="10" t="s">
        <v>28</v>
      </c>
      <c r="F438" s="10"/>
      <c r="G438" s="10" t="n">
        <v>1</v>
      </c>
      <c r="H438" s="10" t="n">
        <v>0.3</v>
      </c>
      <c r="I438" s="12" t="n">
        <v>1</v>
      </c>
      <c r="J438" s="12" t="s">
        <v>35</v>
      </c>
      <c r="K438" s="13" t="n">
        <f aca="false">41.99</f>
        <v>41.99</v>
      </c>
      <c r="L438" s="13" t="n">
        <f aca="false">168.33</f>
        <v>168.33</v>
      </c>
      <c r="M438" s="12" t="n">
        <v>16</v>
      </c>
      <c r="N438" s="12" t="n">
        <v>42</v>
      </c>
      <c r="O438" s="12" t="n">
        <v>174.1</v>
      </c>
      <c r="P438" s="13" t="n">
        <f aca="false">27.54</f>
        <v>27.54</v>
      </c>
      <c r="Q438" s="13" t="n">
        <f aca="false">170.37</f>
        <v>170.37</v>
      </c>
      <c r="R438" s="12" t="n">
        <v>20.3</v>
      </c>
      <c r="S438" s="12" t="n">
        <v>22.1</v>
      </c>
      <c r="T438" s="12" t="n">
        <v>675</v>
      </c>
      <c r="U438" s="14" t="s">
        <v>29</v>
      </c>
      <c r="V438" s="15"/>
      <c r="W438" s="16" t="str">
        <f aca="false">A438</f>
        <v>JB</v>
      </c>
      <c r="X438" s="17" t="e">
        <f aca="false">ifs(C438="","",X438="",NOW(),TRUE(),X438)</f>
        <v>#VALUE!</v>
      </c>
      <c r="Y438" s="17" t="e">
        <f aca="false">ifs(COUNTA(K438:U441)&lt;44,"",Y438="",NOW(),TRUE(),Y438)</f>
        <v>#VALUE!</v>
      </c>
    </row>
    <row r="439" customFormat="false" ht="15.75" hidden="false" customHeight="false" outlineLevel="0" collapsed="false">
      <c r="A439" s="9"/>
      <c r="B439" s="10"/>
      <c r="C439" s="10"/>
      <c r="D439" s="10"/>
      <c r="E439" s="10"/>
      <c r="F439" s="10"/>
      <c r="G439" s="10"/>
      <c r="H439" s="10"/>
      <c r="I439" s="18" t="n">
        <v>2</v>
      </c>
      <c r="J439" s="18"/>
      <c r="K439" s="19"/>
      <c r="L439" s="19"/>
      <c r="M439" s="18"/>
      <c r="N439" s="18"/>
      <c r="O439" s="18"/>
      <c r="P439" s="19"/>
      <c r="Q439" s="19"/>
      <c r="R439" s="18"/>
      <c r="S439" s="18"/>
      <c r="T439" s="18"/>
      <c r="U439" s="20"/>
      <c r="V439" s="21"/>
      <c r="W439" s="16"/>
      <c r="X439" s="16"/>
      <c r="Y439" s="16"/>
    </row>
    <row r="440" customFormat="false" ht="15.75" hidden="false" customHeight="false" outlineLevel="0" collapsed="false">
      <c r="A440" s="9"/>
      <c r="B440" s="10"/>
      <c r="C440" s="10"/>
      <c r="D440" s="10"/>
      <c r="E440" s="10"/>
      <c r="F440" s="10"/>
      <c r="G440" s="10"/>
      <c r="H440" s="10"/>
      <c r="I440" s="22" t="n">
        <v>3</v>
      </c>
      <c r="J440" s="22"/>
      <c r="K440" s="23"/>
      <c r="L440" s="23"/>
      <c r="M440" s="22"/>
      <c r="N440" s="22"/>
      <c r="O440" s="22"/>
      <c r="P440" s="23"/>
      <c r="Q440" s="23"/>
      <c r="R440" s="22"/>
      <c r="S440" s="22"/>
      <c r="T440" s="22"/>
      <c r="U440" s="24"/>
      <c r="V440" s="15"/>
      <c r="W440" s="16"/>
      <c r="X440" s="16"/>
      <c r="Y440" s="16"/>
    </row>
    <row r="441" customFormat="false" ht="15.75" hidden="false" customHeight="false" outlineLevel="0" collapsed="false">
      <c r="A441" s="9"/>
      <c r="B441" s="10"/>
      <c r="C441" s="10"/>
      <c r="D441" s="10"/>
      <c r="E441" s="10"/>
      <c r="F441" s="10"/>
      <c r="G441" s="10"/>
      <c r="H441" s="10"/>
      <c r="I441" s="25" t="n">
        <v>4</v>
      </c>
      <c r="J441" s="25"/>
      <c r="K441" s="26"/>
      <c r="L441" s="26"/>
      <c r="M441" s="25"/>
      <c r="N441" s="25"/>
      <c r="O441" s="25"/>
      <c r="P441" s="26"/>
      <c r="Q441" s="26"/>
      <c r="R441" s="25"/>
      <c r="S441" s="25"/>
      <c r="T441" s="25"/>
      <c r="U441" s="27"/>
      <c r="V441" s="21"/>
      <c r="W441" s="16"/>
      <c r="X441" s="16"/>
      <c r="Y441" s="16"/>
    </row>
    <row r="442" customFormat="false" ht="15.75" hidden="false" customHeight="true" outlineLevel="0" collapsed="false">
      <c r="A442" s="9" t="s">
        <v>43</v>
      </c>
      <c r="B442" s="10" t="s">
        <v>44</v>
      </c>
      <c r="C442" s="11" t="s">
        <v>169</v>
      </c>
      <c r="D442" s="10" t="s">
        <v>28</v>
      </c>
      <c r="E442" s="10" t="s">
        <v>28</v>
      </c>
      <c r="F442" s="10"/>
      <c r="G442" s="10" t="n">
        <v>23</v>
      </c>
      <c r="H442" s="10" t="n">
        <v>7</v>
      </c>
      <c r="I442" s="12" t="n">
        <v>1</v>
      </c>
      <c r="J442" s="12" t="s">
        <v>111</v>
      </c>
      <c r="K442" s="13" t="n">
        <f aca="false">42.11</f>
        <v>42.11</v>
      </c>
      <c r="L442" s="13" t="n">
        <f aca="false">115.62</f>
        <v>115.62</v>
      </c>
      <c r="M442" s="12" t="n">
        <v>14</v>
      </c>
      <c r="N442" s="12" t="n">
        <v>22</v>
      </c>
      <c r="O442" s="12" t="n">
        <v>102.4</v>
      </c>
      <c r="P442" s="13" t="n">
        <f aca="false">27.73</f>
        <v>27.73</v>
      </c>
      <c r="Q442" s="13" t="n">
        <f aca="false">121.57</f>
        <v>121.57</v>
      </c>
      <c r="R442" s="12" t="n">
        <v>13.9</v>
      </c>
      <c r="S442" s="12" t="n">
        <v>27.3</v>
      </c>
      <c r="T442" s="12" t="n">
        <v>337</v>
      </c>
      <c r="U442" s="14" t="s">
        <v>29</v>
      </c>
      <c r="V442" s="15"/>
      <c r="W442" s="16" t="str">
        <f aca="false">A442</f>
        <v>JB</v>
      </c>
      <c r="X442" s="17" t="e">
        <f aca="false">ifs(C442="","",X442="",NOW(),TRUE(),X442)</f>
        <v>#VALUE!</v>
      </c>
      <c r="Y442" s="17" t="e">
        <f aca="false">ifs(COUNTA(K442:U445)&lt;44,"",Y442="",NOW(),TRUE(),Y442)</f>
        <v>#VALUE!</v>
      </c>
    </row>
    <row r="443" customFormat="false" ht="15.75" hidden="false" customHeight="false" outlineLevel="0" collapsed="false">
      <c r="A443" s="9"/>
      <c r="B443" s="10"/>
      <c r="C443" s="10"/>
      <c r="D443" s="10"/>
      <c r="E443" s="10"/>
      <c r="F443" s="10"/>
      <c r="G443" s="10"/>
      <c r="H443" s="10"/>
      <c r="I443" s="18" t="n">
        <v>2</v>
      </c>
      <c r="J443" s="18" t="s">
        <v>47</v>
      </c>
      <c r="K443" s="19" t="n">
        <f aca="false">40.14</f>
        <v>40.14</v>
      </c>
      <c r="L443" s="19" t="n">
        <f aca="false">80.54</f>
        <v>80.54</v>
      </c>
      <c r="M443" s="18" t="n">
        <v>13</v>
      </c>
      <c r="N443" s="18" t="n">
        <v>18</v>
      </c>
      <c r="O443" s="18" t="n">
        <v>66.8</v>
      </c>
      <c r="P443" s="19" t="n">
        <f aca="false">26.12</f>
        <v>26.12</v>
      </c>
      <c r="Q443" s="19" t="n">
        <f aca="false">82.96</f>
        <v>82.96</v>
      </c>
      <c r="R443" s="18" t="n">
        <v>8.4</v>
      </c>
      <c r="S443" s="18" t="n">
        <v>24.8</v>
      </c>
      <c r="T443" s="18" t="n">
        <v>229</v>
      </c>
      <c r="U443" s="20" t="s">
        <v>29</v>
      </c>
      <c r="V443" s="21"/>
      <c r="W443" s="16"/>
      <c r="X443" s="16"/>
      <c r="Y443" s="16"/>
    </row>
    <row r="444" customFormat="false" ht="15.75" hidden="false" customHeight="false" outlineLevel="0" collapsed="false">
      <c r="A444" s="9"/>
      <c r="B444" s="10"/>
      <c r="C444" s="10"/>
      <c r="D444" s="10"/>
      <c r="E444" s="10"/>
      <c r="F444" s="10"/>
      <c r="G444" s="10"/>
      <c r="H444" s="10"/>
      <c r="I444" s="22" t="n">
        <v>3</v>
      </c>
      <c r="J444" s="22" t="s">
        <v>111</v>
      </c>
      <c r="K444" s="23" t="n">
        <f aca="false">38.86</f>
        <v>38.86</v>
      </c>
      <c r="L444" s="23" t="n">
        <f aca="false">95.28</f>
        <v>95.28</v>
      </c>
      <c r="M444" s="22" t="n">
        <v>12</v>
      </c>
      <c r="N444" s="22" t="n">
        <v>22</v>
      </c>
      <c r="O444" s="22" t="n">
        <v>66</v>
      </c>
      <c r="P444" s="23" t="n">
        <f aca="false">25.01</f>
        <v>25.01</v>
      </c>
      <c r="Q444" s="23" t="n">
        <f aca="false">98.64</f>
        <v>98.64</v>
      </c>
      <c r="R444" s="22" t="n">
        <v>9.8</v>
      </c>
      <c r="S444" s="22" t="n">
        <v>26.8</v>
      </c>
      <c r="T444" s="22" t="n">
        <v>208</v>
      </c>
      <c r="U444" s="24" t="s">
        <v>29</v>
      </c>
      <c r="V444" s="15"/>
      <c r="W444" s="16"/>
      <c r="X444" s="16"/>
      <c r="Y444" s="16"/>
    </row>
    <row r="445" customFormat="false" ht="15.75" hidden="false" customHeight="false" outlineLevel="0" collapsed="false">
      <c r="A445" s="9"/>
      <c r="B445" s="10"/>
      <c r="C445" s="10"/>
      <c r="D445" s="10"/>
      <c r="E445" s="10"/>
      <c r="F445" s="10"/>
      <c r="G445" s="10"/>
      <c r="H445" s="10"/>
      <c r="I445" s="25" t="n">
        <v>4</v>
      </c>
      <c r="J445" s="25"/>
      <c r="K445" s="26" t="n">
        <f aca="false">40.9</f>
        <v>40.9</v>
      </c>
      <c r="L445" s="26" t="n">
        <f aca="false">120.92</f>
        <v>120.92</v>
      </c>
      <c r="M445" s="25" t="n">
        <v>12</v>
      </c>
      <c r="N445" s="25" t="n">
        <v>24</v>
      </c>
      <c r="O445" s="25" t="n">
        <v>110.4</v>
      </c>
      <c r="P445" s="26" t="n">
        <f aca="false">25.54</f>
        <v>25.54</v>
      </c>
      <c r="Q445" s="26" t="n">
        <f aca="false">133.17</f>
        <v>133.17</v>
      </c>
      <c r="R445" s="25" t="n">
        <v>15.5</v>
      </c>
      <c r="S445" s="25" t="n">
        <v>29.2</v>
      </c>
      <c r="T445" s="25" t="n">
        <v>346</v>
      </c>
      <c r="U445" s="27" t="s">
        <v>29</v>
      </c>
      <c r="V445" s="21"/>
      <c r="W445" s="16"/>
      <c r="X445" s="16"/>
      <c r="Y445" s="16"/>
    </row>
    <row r="446" customFormat="false" ht="15.75" hidden="false" customHeight="true" outlineLevel="0" collapsed="false">
      <c r="A446" s="9" t="s">
        <v>43</v>
      </c>
      <c r="B446" s="10" t="s">
        <v>44</v>
      </c>
      <c r="C446" s="11" t="s">
        <v>170</v>
      </c>
      <c r="D446" s="10" t="s">
        <v>28</v>
      </c>
      <c r="E446" s="10" t="s">
        <v>73</v>
      </c>
      <c r="F446" s="10"/>
      <c r="G446" s="10" t="n">
        <v>2</v>
      </c>
      <c r="H446" s="10" t="n">
        <v>0.4</v>
      </c>
      <c r="I446" s="12" t="n">
        <v>1</v>
      </c>
      <c r="J446" s="12" t="s">
        <v>47</v>
      </c>
      <c r="K446" s="13" t="n">
        <f aca="false">43.07</f>
        <v>43.07</v>
      </c>
      <c r="L446" s="13" t="n">
        <f aca="false">120.72</f>
        <v>120.72</v>
      </c>
      <c r="M446" s="12" t="n">
        <v>14</v>
      </c>
      <c r="N446" s="12" t="n">
        <v>28</v>
      </c>
      <c r="O446" s="12" t="n">
        <v>110.8</v>
      </c>
      <c r="P446" s="13" t="n">
        <f aca="false">26.45</f>
        <v>26.45</v>
      </c>
      <c r="Q446" s="13" t="n">
        <f aca="false">124.1</f>
        <v>124.1</v>
      </c>
      <c r="R446" s="12" t="n">
        <v>17.5</v>
      </c>
      <c r="S446" s="12" t="n">
        <v>21.8</v>
      </c>
      <c r="T446" s="12" t="n">
        <v>398</v>
      </c>
      <c r="U446" s="14" t="s">
        <v>29</v>
      </c>
      <c r="V446" s="15"/>
      <c r="W446" s="16" t="str">
        <f aca="false">A446</f>
        <v>JB</v>
      </c>
      <c r="X446" s="17" t="e">
        <f aca="false">ifs(C446="","",X446="",NOW(),TRUE(),X446)</f>
        <v>#VALUE!</v>
      </c>
      <c r="Y446" s="17" t="e">
        <f aca="false">ifs(COUNTA(K446:U449)&lt;44,"",Y446="",NOW(),TRUE(),Y446)</f>
        <v>#VALUE!</v>
      </c>
    </row>
    <row r="447" customFormat="false" ht="15.75" hidden="false" customHeight="false" outlineLevel="0" collapsed="false">
      <c r="A447" s="9"/>
      <c r="B447" s="10"/>
      <c r="C447" s="10"/>
      <c r="D447" s="10"/>
      <c r="E447" s="10"/>
      <c r="F447" s="10"/>
      <c r="G447" s="10"/>
      <c r="H447" s="10"/>
      <c r="I447" s="18" t="n">
        <v>2</v>
      </c>
      <c r="J447" s="18"/>
      <c r="K447" s="19"/>
      <c r="L447" s="19"/>
      <c r="M447" s="18"/>
      <c r="N447" s="18"/>
      <c r="O447" s="18"/>
      <c r="P447" s="19"/>
      <c r="Q447" s="19"/>
      <c r="R447" s="18"/>
      <c r="S447" s="18"/>
      <c r="T447" s="18"/>
      <c r="U447" s="20"/>
      <c r="V447" s="21"/>
      <c r="W447" s="16"/>
      <c r="X447" s="16"/>
      <c r="Y447" s="16"/>
    </row>
    <row r="448" customFormat="false" ht="15.75" hidden="false" customHeight="false" outlineLevel="0" collapsed="false">
      <c r="A448" s="9"/>
      <c r="B448" s="10"/>
      <c r="C448" s="10"/>
      <c r="D448" s="10"/>
      <c r="E448" s="10"/>
      <c r="F448" s="10"/>
      <c r="G448" s="10"/>
      <c r="H448" s="10"/>
      <c r="I448" s="22" t="n">
        <v>3</v>
      </c>
      <c r="J448" s="22"/>
      <c r="K448" s="23"/>
      <c r="L448" s="23"/>
      <c r="M448" s="22"/>
      <c r="N448" s="22"/>
      <c r="O448" s="22"/>
      <c r="P448" s="23"/>
      <c r="Q448" s="23"/>
      <c r="R448" s="22"/>
      <c r="S448" s="22"/>
      <c r="T448" s="22"/>
      <c r="U448" s="24"/>
      <c r="V448" s="15"/>
      <c r="W448" s="16"/>
      <c r="X448" s="16"/>
      <c r="Y448" s="16"/>
    </row>
    <row r="449" customFormat="false" ht="15.75" hidden="false" customHeight="false" outlineLevel="0" collapsed="false">
      <c r="A449" s="9"/>
      <c r="B449" s="10"/>
      <c r="C449" s="10"/>
      <c r="D449" s="10"/>
      <c r="E449" s="10"/>
      <c r="F449" s="10"/>
      <c r="G449" s="10"/>
      <c r="H449" s="10"/>
      <c r="I449" s="25" t="n">
        <v>4</v>
      </c>
      <c r="J449" s="25"/>
      <c r="K449" s="26"/>
      <c r="L449" s="26"/>
      <c r="M449" s="25"/>
      <c r="N449" s="25"/>
      <c r="O449" s="25"/>
      <c r="P449" s="26"/>
      <c r="Q449" s="26"/>
      <c r="R449" s="25"/>
      <c r="S449" s="25"/>
      <c r="T449" s="25"/>
      <c r="U449" s="27"/>
      <c r="V449" s="21"/>
      <c r="W449" s="16"/>
      <c r="X449" s="16"/>
      <c r="Y449" s="16"/>
    </row>
    <row r="450" customFormat="false" ht="15.75" hidden="false" customHeight="true" outlineLevel="0" collapsed="false">
      <c r="A450" s="9" t="s">
        <v>43</v>
      </c>
      <c r="B450" s="10" t="s">
        <v>44</v>
      </c>
      <c r="C450" s="11" t="s">
        <v>171</v>
      </c>
      <c r="D450" s="10" t="s">
        <v>28</v>
      </c>
      <c r="E450" s="10" t="s">
        <v>28</v>
      </c>
      <c r="F450" s="10"/>
      <c r="G450" s="10" t="n">
        <v>0</v>
      </c>
      <c r="H450" s="10"/>
      <c r="I450" s="12" t="n">
        <v>1</v>
      </c>
      <c r="J450" s="12" t="s">
        <v>46</v>
      </c>
      <c r="K450" s="13" t="n">
        <f aca="false">36.45</f>
        <v>36.45</v>
      </c>
      <c r="L450" s="13" t="n">
        <f aca="false">81.5</f>
        <v>81.5</v>
      </c>
      <c r="M450" s="12" t="n">
        <v>12</v>
      </c>
      <c r="N450" s="12" t="n">
        <v>22</v>
      </c>
      <c r="O450" s="12" t="n">
        <v>45.7</v>
      </c>
      <c r="P450" s="13" t="n">
        <f aca="false">24.19</f>
        <v>24.19</v>
      </c>
      <c r="Q450" s="13" t="n">
        <f aca="false">77.25</f>
        <v>77.25</v>
      </c>
      <c r="R450" s="12" t="n">
        <v>7.7</v>
      </c>
      <c r="S450" s="12" t="n">
        <v>17.8</v>
      </c>
      <c r="T450" s="12" t="n">
        <v>202</v>
      </c>
      <c r="U450" s="14" t="s">
        <v>58</v>
      </c>
      <c r="V450" s="15"/>
      <c r="W450" s="16" t="str">
        <f aca="false">A450</f>
        <v>JB</v>
      </c>
      <c r="X450" s="17" t="e">
        <f aca="false">ifs(C450="","",X450="",NOW(),TRUE(),X450)</f>
        <v>#VALUE!</v>
      </c>
      <c r="Y450" s="17" t="e">
        <f aca="false">ifs(COUNTA(K450:U453)&lt;44,"",Y450="",NOW(),TRUE(),Y450)</f>
        <v>#VALUE!</v>
      </c>
    </row>
    <row r="451" customFormat="false" ht="15.75" hidden="false" customHeight="false" outlineLevel="0" collapsed="false">
      <c r="A451" s="9"/>
      <c r="B451" s="10"/>
      <c r="C451" s="10"/>
      <c r="D451" s="10"/>
      <c r="E451" s="10"/>
      <c r="F451" s="10"/>
      <c r="G451" s="10"/>
      <c r="H451" s="10"/>
      <c r="I451" s="18" t="n">
        <v>2</v>
      </c>
      <c r="J451" s="18" t="s">
        <v>33</v>
      </c>
      <c r="K451" s="19" t="n">
        <f aca="false">38.97</f>
        <v>38.97</v>
      </c>
      <c r="L451" s="19" t="n">
        <f aca="false">105.93</f>
        <v>105.93</v>
      </c>
      <c r="M451" s="18" t="n">
        <v>12</v>
      </c>
      <c r="N451" s="18" t="n">
        <v>26</v>
      </c>
      <c r="O451" s="18" t="n">
        <v>81.1</v>
      </c>
      <c r="P451" s="19" t="n">
        <f aca="false">23.16</f>
        <v>23.16</v>
      </c>
      <c r="Q451" s="19" t="n">
        <f aca="false">115.8</f>
        <v>115.8</v>
      </c>
      <c r="R451" s="18" t="n">
        <v>12.4</v>
      </c>
      <c r="S451" s="18" t="n">
        <v>19.3</v>
      </c>
      <c r="T451" s="18" t="n">
        <v>349</v>
      </c>
      <c r="U451" s="20" t="s">
        <v>58</v>
      </c>
      <c r="V451" s="21"/>
      <c r="W451" s="16"/>
      <c r="X451" s="16"/>
      <c r="Y451" s="16"/>
    </row>
    <row r="452" customFormat="false" ht="15.75" hidden="false" customHeight="false" outlineLevel="0" collapsed="false">
      <c r="A452" s="9"/>
      <c r="B452" s="10"/>
      <c r="C452" s="10"/>
      <c r="D452" s="10"/>
      <c r="E452" s="10"/>
      <c r="F452" s="10"/>
      <c r="G452" s="10"/>
      <c r="H452" s="10"/>
      <c r="I452" s="22" t="n">
        <v>3</v>
      </c>
      <c r="J452" s="22" t="s">
        <v>35</v>
      </c>
      <c r="K452" s="23" t="n">
        <f aca="false">36.98</f>
        <v>36.98</v>
      </c>
      <c r="L452" s="23" t="n">
        <f aca="false">71.86</f>
        <v>71.86</v>
      </c>
      <c r="M452" s="22" t="n">
        <v>12</v>
      </c>
      <c r="N452" s="22" t="n">
        <v>18</v>
      </c>
      <c r="O452" s="22" t="n">
        <v>39.5</v>
      </c>
      <c r="P452" s="23" t="n">
        <f aca="false">22</f>
        <v>22</v>
      </c>
      <c r="Q452" s="23" t="n">
        <f aca="false">65.66</f>
        <v>65.66</v>
      </c>
      <c r="R452" s="22" t="n">
        <v>5.7</v>
      </c>
      <c r="S452" s="22" t="n">
        <v>18.4</v>
      </c>
      <c r="T452" s="22" t="n">
        <v>176</v>
      </c>
      <c r="U452" s="24" t="s">
        <v>58</v>
      </c>
      <c r="V452" s="15"/>
      <c r="W452" s="16"/>
      <c r="X452" s="16"/>
      <c r="Y452" s="16"/>
    </row>
    <row r="453" customFormat="false" ht="15.75" hidden="false" customHeight="false" outlineLevel="0" collapsed="false">
      <c r="A453" s="9"/>
      <c r="B453" s="10"/>
      <c r="C453" s="10"/>
      <c r="D453" s="10"/>
      <c r="E453" s="10"/>
      <c r="F453" s="10"/>
      <c r="G453" s="10"/>
      <c r="H453" s="10"/>
      <c r="I453" s="25" t="n">
        <v>4</v>
      </c>
      <c r="J453" s="25" t="s">
        <v>50</v>
      </c>
      <c r="K453" s="26" t="n">
        <f aca="false">38.02</f>
        <v>38.02</v>
      </c>
      <c r="L453" s="26" t="n">
        <f aca="false">86.8</f>
        <v>86.8</v>
      </c>
      <c r="M453" s="25" t="n">
        <v>14</v>
      </c>
      <c r="N453" s="25" t="n">
        <v>22</v>
      </c>
      <c r="O453" s="25" t="n">
        <v>53.3</v>
      </c>
      <c r="P453" s="26" t="n">
        <f aca="false">24.05</f>
        <v>24.05</v>
      </c>
      <c r="Q453" s="26" t="n">
        <f aca="false">86.07</f>
        <v>86.07</v>
      </c>
      <c r="R453" s="25" t="n">
        <v>9.6</v>
      </c>
      <c r="S453" s="25" t="n">
        <v>18.5</v>
      </c>
      <c r="T453" s="25" t="n">
        <v>241</v>
      </c>
      <c r="U453" s="27" t="s">
        <v>58</v>
      </c>
      <c r="V453" s="21"/>
      <c r="W453" s="16"/>
      <c r="X453" s="16"/>
      <c r="Y453" s="16"/>
    </row>
    <row r="454" customFormat="false" ht="15.75" hidden="false" customHeight="true" outlineLevel="0" collapsed="false">
      <c r="A454" s="9" t="s">
        <v>43</v>
      </c>
      <c r="B454" s="10" t="s">
        <v>44</v>
      </c>
      <c r="C454" s="11" t="s">
        <v>172</v>
      </c>
      <c r="D454" s="10" t="s">
        <v>28</v>
      </c>
      <c r="E454" s="10" t="s">
        <v>28</v>
      </c>
      <c r="F454" s="10"/>
      <c r="G454" s="10" t="n">
        <v>44</v>
      </c>
      <c r="H454" s="10" t="n">
        <v>15</v>
      </c>
      <c r="I454" s="12" t="n">
        <v>1</v>
      </c>
      <c r="J454" s="12" t="s">
        <v>35</v>
      </c>
      <c r="K454" s="13" t="n">
        <f aca="false">41.54</f>
        <v>41.54</v>
      </c>
      <c r="L454" s="13" t="n">
        <f aca="false">183.15</f>
        <v>183.15</v>
      </c>
      <c r="M454" s="12" t="n">
        <v>11</v>
      </c>
      <c r="N454" s="12" t="n">
        <v>36</v>
      </c>
      <c r="O454" s="12" t="n">
        <v>163.5</v>
      </c>
      <c r="P454" s="13" t="n">
        <f aca="false">27.09</f>
        <v>27.09</v>
      </c>
      <c r="Q454" s="13" t="n">
        <f aca="false">185.64</f>
        <v>185.64</v>
      </c>
      <c r="R454" s="12" t="n">
        <v>27.3</v>
      </c>
      <c r="S454" s="12" t="n">
        <v>30.5</v>
      </c>
      <c r="T454" s="12" t="n">
        <v>433</v>
      </c>
      <c r="U454" s="14" t="s">
        <v>58</v>
      </c>
      <c r="V454" s="15"/>
      <c r="W454" s="16" t="str">
        <f aca="false">A454</f>
        <v>JB</v>
      </c>
      <c r="X454" s="17" t="e">
        <f aca="false">ifs(C454="","",X454="",NOW(),TRUE(),X454)</f>
        <v>#VALUE!</v>
      </c>
      <c r="Y454" s="17" t="e">
        <f aca="false">ifs(COUNTA(K454:U457)&lt;44,"",Y454="",NOW(),TRUE(),Y454)</f>
        <v>#VALUE!</v>
      </c>
    </row>
    <row r="455" customFormat="false" ht="15.75" hidden="false" customHeight="false" outlineLevel="0" collapsed="false">
      <c r="A455" s="9"/>
      <c r="B455" s="10"/>
      <c r="C455" s="10"/>
      <c r="D455" s="10"/>
      <c r="E455" s="10"/>
      <c r="F455" s="10"/>
      <c r="G455" s="10"/>
      <c r="H455" s="10"/>
      <c r="I455" s="18" t="n">
        <v>2</v>
      </c>
      <c r="J455" s="18" t="s">
        <v>50</v>
      </c>
      <c r="K455" s="19" t="n">
        <f aca="false">49.02</f>
        <v>49.02</v>
      </c>
      <c r="L455" s="19" t="n">
        <f aca="false">185.31</f>
        <v>185.31</v>
      </c>
      <c r="M455" s="18" t="n">
        <v>14</v>
      </c>
      <c r="N455" s="18" t="n">
        <v>46</v>
      </c>
      <c r="O455" s="18" t="n">
        <v>221.4</v>
      </c>
      <c r="P455" s="19" t="n">
        <f aca="false">29.02</f>
        <v>29.02</v>
      </c>
      <c r="Q455" s="19" t="n">
        <f aca="false">200.46</f>
        <v>200.46</v>
      </c>
      <c r="R455" s="18" t="n">
        <v>27.7</v>
      </c>
      <c r="S455" s="18" t="n">
        <v>24.5</v>
      </c>
      <c r="T455" s="18" t="n">
        <v>749</v>
      </c>
      <c r="U455" s="20" t="s">
        <v>58</v>
      </c>
      <c r="V455" s="21"/>
      <c r="W455" s="16"/>
      <c r="X455" s="16"/>
      <c r="Y455" s="16"/>
    </row>
    <row r="456" customFormat="false" ht="15.75" hidden="false" customHeight="false" outlineLevel="0" collapsed="false">
      <c r="A456" s="9"/>
      <c r="B456" s="10"/>
      <c r="C456" s="10"/>
      <c r="D456" s="10"/>
      <c r="E456" s="10"/>
      <c r="F456" s="10"/>
      <c r="G456" s="10"/>
      <c r="H456" s="10"/>
      <c r="I456" s="22" t="n">
        <v>3</v>
      </c>
      <c r="J456" s="22" t="s">
        <v>35</v>
      </c>
      <c r="K456" s="23" t="n">
        <f aca="false">48.9</f>
        <v>48.9</v>
      </c>
      <c r="L456" s="23" t="n">
        <f aca="false">199.23</f>
        <v>199.23</v>
      </c>
      <c r="M456" s="22" t="n">
        <v>12</v>
      </c>
      <c r="N456" s="22" t="n">
        <v>48</v>
      </c>
      <c r="O456" s="22" t="n">
        <v>237.3</v>
      </c>
      <c r="P456" s="23" t="n">
        <f aca="false">28.78</f>
        <v>28.78</v>
      </c>
      <c r="Q456" s="23" t="n">
        <f aca="false">204.82</f>
        <v>204.82</v>
      </c>
      <c r="R456" s="22" t="n">
        <v>31.1</v>
      </c>
      <c r="S456" s="22" t="n">
        <v>29.6</v>
      </c>
      <c r="T456" s="22" t="n">
        <v>706</v>
      </c>
      <c r="U456" s="24" t="s">
        <v>58</v>
      </c>
      <c r="V456" s="15"/>
      <c r="W456" s="16"/>
      <c r="X456" s="16"/>
      <c r="Y456" s="16"/>
    </row>
    <row r="457" customFormat="false" ht="15.75" hidden="false" customHeight="false" outlineLevel="0" collapsed="false">
      <c r="A457" s="9"/>
      <c r="B457" s="10"/>
      <c r="C457" s="10"/>
      <c r="D457" s="10"/>
      <c r="E457" s="10"/>
      <c r="F457" s="10"/>
      <c r="G457" s="10"/>
      <c r="H457" s="10"/>
      <c r="I457" s="25" t="n">
        <v>4</v>
      </c>
      <c r="J457" s="25"/>
      <c r="K457" s="26"/>
      <c r="L457" s="26"/>
      <c r="M457" s="25"/>
      <c r="N457" s="25"/>
      <c r="O457" s="25"/>
      <c r="P457" s="26"/>
      <c r="Q457" s="26"/>
      <c r="R457" s="25"/>
      <c r="S457" s="25"/>
      <c r="T457" s="25"/>
      <c r="U457" s="27"/>
      <c r="V457" s="21"/>
      <c r="W457" s="16"/>
      <c r="X457" s="16"/>
      <c r="Y457" s="16"/>
    </row>
    <row r="458" customFormat="false" ht="15.75" hidden="false" customHeight="true" outlineLevel="0" collapsed="false">
      <c r="A458" s="9" t="s">
        <v>43</v>
      </c>
      <c r="B458" s="10" t="s">
        <v>44</v>
      </c>
      <c r="C458" s="11" t="s">
        <v>173</v>
      </c>
      <c r="D458" s="10" t="s">
        <v>28</v>
      </c>
      <c r="E458" s="10" t="s">
        <v>28</v>
      </c>
      <c r="F458" s="10"/>
      <c r="G458" s="10" t="n">
        <v>19</v>
      </c>
      <c r="H458" s="10" t="n">
        <v>2.9</v>
      </c>
      <c r="I458" s="12" t="n">
        <v>1</v>
      </c>
      <c r="J458" s="12" t="s">
        <v>35</v>
      </c>
      <c r="K458" s="13" t="n">
        <f aca="false">41.45</f>
        <v>41.45</v>
      </c>
      <c r="L458" s="13" t="n">
        <f aca="false">113.23</f>
        <v>113.23</v>
      </c>
      <c r="M458" s="12" t="n">
        <v>14</v>
      </c>
      <c r="N458" s="12" t="n">
        <v>24</v>
      </c>
      <c r="O458" s="12" t="n">
        <v>100.8</v>
      </c>
      <c r="P458" s="13" t="n">
        <f aca="false">25.95</f>
        <v>25.95</v>
      </c>
      <c r="Q458" s="13" t="n">
        <f aca="false">134.04</f>
        <v>134.04</v>
      </c>
      <c r="R458" s="12" t="n">
        <v>18.7</v>
      </c>
      <c r="S458" s="12" t="n">
        <v>20.1</v>
      </c>
      <c r="T458" s="12" t="n">
        <v>405</v>
      </c>
      <c r="U458" s="14" t="s">
        <v>97</v>
      </c>
      <c r="V458" s="15"/>
      <c r="W458" s="16" t="str">
        <f aca="false">A458</f>
        <v>JB</v>
      </c>
      <c r="X458" s="17" t="e">
        <f aca="false">ifs(C458="","",X458="",NOW(),TRUE(),X458)</f>
        <v>#VALUE!</v>
      </c>
      <c r="Y458" s="17" t="e">
        <f aca="false">ifs(COUNTA(K458:U461)&lt;44,"",Y458="",NOW(),TRUE(),Y458)</f>
        <v>#VALUE!</v>
      </c>
    </row>
    <row r="459" customFormat="false" ht="15.75" hidden="false" customHeight="false" outlineLevel="0" collapsed="false">
      <c r="A459" s="9"/>
      <c r="B459" s="10"/>
      <c r="C459" s="10"/>
      <c r="D459" s="10"/>
      <c r="E459" s="10"/>
      <c r="F459" s="10"/>
      <c r="G459" s="10"/>
      <c r="H459" s="10"/>
      <c r="I459" s="18" t="n">
        <v>2</v>
      </c>
      <c r="J459" s="18"/>
      <c r="K459" s="19" t="n">
        <f aca="false">45.09</f>
        <v>45.09</v>
      </c>
      <c r="L459" s="19" t="n">
        <f aca="false">147.01</f>
        <v>147.01</v>
      </c>
      <c r="M459" s="18" t="n">
        <v>16</v>
      </c>
      <c r="N459" s="18" t="n">
        <v>36</v>
      </c>
      <c r="O459" s="18" t="n">
        <v>155.6</v>
      </c>
      <c r="P459" s="19" t="n">
        <f aca="false">28.95</f>
        <v>28.95</v>
      </c>
      <c r="Q459" s="19" t="n">
        <f aca="false">158.45</f>
        <v>158.45</v>
      </c>
      <c r="R459" s="18" t="n">
        <v>26.8</v>
      </c>
      <c r="S459" s="18" t="n">
        <v>20.6</v>
      </c>
      <c r="T459" s="18" t="n">
        <v>587</v>
      </c>
      <c r="U459" s="20" t="s">
        <v>97</v>
      </c>
      <c r="V459" s="21"/>
      <c r="W459" s="16"/>
      <c r="X459" s="16"/>
      <c r="Y459" s="16"/>
    </row>
    <row r="460" customFormat="false" ht="15.75" hidden="false" customHeight="false" outlineLevel="0" collapsed="false">
      <c r="A460" s="9"/>
      <c r="B460" s="10"/>
      <c r="C460" s="10"/>
      <c r="D460" s="10"/>
      <c r="E460" s="10"/>
      <c r="F460" s="10"/>
      <c r="G460" s="10"/>
      <c r="H460" s="10"/>
      <c r="I460" s="22" t="n">
        <v>3</v>
      </c>
      <c r="J460" s="22" t="s">
        <v>35</v>
      </c>
      <c r="K460" s="23" t="n">
        <f aca="false">41.36</f>
        <v>41.36</v>
      </c>
      <c r="L460" s="23" t="n">
        <f aca="false">116.76</f>
        <v>116.76</v>
      </c>
      <c r="M460" s="22" t="n">
        <v>15</v>
      </c>
      <c r="N460" s="22" t="n">
        <v>24</v>
      </c>
      <c r="O460" s="22" t="n">
        <v>98</v>
      </c>
      <c r="P460" s="23" t="n">
        <f aca="false">28.19</f>
        <v>28.19</v>
      </c>
      <c r="Q460" s="23" t="n">
        <f aca="false">127.62</f>
        <v>127.62</v>
      </c>
      <c r="R460" s="22" t="n">
        <v>17.2</v>
      </c>
      <c r="S460" s="22" t="n">
        <v>22.6</v>
      </c>
      <c r="T460" s="22" t="n">
        <v>342</v>
      </c>
      <c r="U460" s="24" t="s">
        <v>97</v>
      </c>
      <c r="V460" s="15"/>
      <c r="W460" s="16"/>
      <c r="X460" s="16"/>
      <c r="Y460" s="16"/>
    </row>
    <row r="461" customFormat="false" ht="15.75" hidden="false" customHeight="false" outlineLevel="0" collapsed="false">
      <c r="A461" s="9"/>
      <c r="B461" s="10"/>
      <c r="C461" s="10"/>
      <c r="D461" s="10"/>
      <c r="E461" s="10"/>
      <c r="F461" s="10"/>
      <c r="G461" s="10"/>
      <c r="H461" s="10"/>
      <c r="I461" s="25" t="n">
        <v>4</v>
      </c>
      <c r="J461" s="25"/>
      <c r="K461" s="26" t="n">
        <f aca="false">41.65</f>
        <v>41.65</v>
      </c>
      <c r="L461" s="26" t="n">
        <f aca="false">119.77</f>
        <v>119.77</v>
      </c>
      <c r="M461" s="25" t="n">
        <v>14</v>
      </c>
      <c r="N461" s="25" t="n">
        <v>27</v>
      </c>
      <c r="O461" s="25" t="n">
        <v>92.5</v>
      </c>
      <c r="P461" s="26" t="n">
        <f aca="false">29.19</f>
        <v>29.19</v>
      </c>
      <c r="Q461" s="26" t="n">
        <f aca="false">132.23</f>
        <v>132.23</v>
      </c>
      <c r="R461" s="25" t="n">
        <v>19.1</v>
      </c>
      <c r="S461" s="25" t="n">
        <v>19.1</v>
      </c>
      <c r="T461" s="25" t="n">
        <v>374</v>
      </c>
      <c r="U461" s="27" t="s">
        <v>97</v>
      </c>
      <c r="V461" s="21"/>
      <c r="W461" s="16"/>
      <c r="X461" s="16"/>
      <c r="Y461" s="16"/>
    </row>
    <row r="462" customFormat="false" ht="15.75" hidden="false" customHeight="true" outlineLevel="0" collapsed="false">
      <c r="A462" s="9" t="s">
        <v>25</v>
      </c>
      <c r="B462" s="10" t="s">
        <v>26</v>
      </c>
      <c r="C462" s="11" t="s">
        <v>174</v>
      </c>
      <c r="D462" s="10" t="s">
        <v>28</v>
      </c>
      <c r="E462" s="10" t="s">
        <v>28</v>
      </c>
      <c r="F462" s="10"/>
      <c r="G462" s="10" t="n">
        <v>81</v>
      </c>
      <c r="H462" s="10" t="n">
        <v>16.25</v>
      </c>
      <c r="I462" s="12" t="n">
        <v>1</v>
      </c>
      <c r="J462" s="12" t="s">
        <v>47</v>
      </c>
      <c r="K462" s="13" t="n">
        <f aca="false">44.9</f>
        <v>44.9</v>
      </c>
      <c r="L462" s="13" t="n">
        <f aca="false">166.18</f>
        <v>166.18</v>
      </c>
      <c r="M462" s="12" t="n">
        <v>16</v>
      </c>
      <c r="N462" s="12" t="n">
        <v>33</v>
      </c>
      <c r="O462" s="12" t="n">
        <v>162.1</v>
      </c>
      <c r="P462" s="13" t="n">
        <f aca="false">27.26</f>
        <v>27.26</v>
      </c>
      <c r="Q462" s="13" t="n">
        <f aca="false">170.99</f>
        <v>170.99</v>
      </c>
      <c r="R462" s="12" t="n">
        <v>19.3</v>
      </c>
      <c r="S462" s="12" t="n">
        <v>28.35</v>
      </c>
      <c r="T462" s="12" t="n">
        <v>528</v>
      </c>
      <c r="U462" s="14" t="s">
        <v>29</v>
      </c>
      <c r="V462" s="15"/>
      <c r="W462" s="16" t="str">
        <f aca="false">A462</f>
        <v>KL</v>
      </c>
      <c r="X462" s="17" t="e">
        <f aca="false">ifs(C462="","",X462="",NOW(),TRUE(),X462)</f>
        <v>#VALUE!</v>
      </c>
      <c r="Y462" s="17"/>
    </row>
    <row r="463" customFormat="false" ht="15.75" hidden="false" customHeight="false" outlineLevel="0" collapsed="false">
      <c r="A463" s="9"/>
      <c r="B463" s="10"/>
      <c r="C463" s="10"/>
      <c r="D463" s="10"/>
      <c r="E463" s="10"/>
      <c r="F463" s="10"/>
      <c r="G463" s="10"/>
      <c r="H463" s="10"/>
      <c r="I463" s="18" t="n">
        <v>2</v>
      </c>
      <c r="J463" s="18"/>
      <c r="K463" s="19" t="n">
        <f aca="false">41.21</f>
        <v>41.21</v>
      </c>
      <c r="L463" s="19" t="n">
        <f aca="false">162.46</f>
        <v>162.46</v>
      </c>
      <c r="M463" s="18" t="n">
        <v>12</v>
      </c>
      <c r="N463" s="18" t="n">
        <v>37</v>
      </c>
      <c r="O463" s="18" t="n">
        <v>137.1</v>
      </c>
      <c r="P463" s="19" t="n">
        <f aca="false">26.67</f>
        <v>26.67</v>
      </c>
      <c r="Q463" s="19" t="n">
        <f aca="false">166.48</f>
        <v>166.48</v>
      </c>
      <c r="R463" s="18" t="n">
        <v>18.95</v>
      </c>
      <c r="S463" s="18" t="n">
        <v>28.35</v>
      </c>
      <c r="T463" s="18" t="n">
        <v>434</v>
      </c>
      <c r="U463" s="20" t="s">
        <v>29</v>
      </c>
      <c r="V463" s="21"/>
      <c r="W463" s="16"/>
      <c r="X463" s="16"/>
      <c r="Y463" s="16"/>
    </row>
    <row r="464" customFormat="false" ht="15.75" hidden="false" customHeight="false" outlineLevel="0" collapsed="false">
      <c r="A464" s="9"/>
      <c r="B464" s="10"/>
      <c r="C464" s="10"/>
      <c r="D464" s="10"/>
      <c r="E464" s="10"/>
      <c r="F464" s="10"/>
      <c r="G464" s="10"/>
      <c r="H464" s="10"/>
      <c r="I464" s="22" t="n">
        <v>3</v>
      </c>
      <c r="J464" s="22" t="s">
        <v>47</v>
      </c>
      <c r="K464" s="23" t="n">
        <f aca="false">41.45</f>
        <v>41.45</v>
      </c>
      <c r="L464" s="23" t="n">
        <f aca="false">158.65</f>
        <v>158.65</v>
      </c>
      <c r="M464" s="22" t="n">
        <v>14</v>
      </c>
      <c r="N464" s="22" t="n">
        <v>36</v>
      </c>
      <c r="O464" s="22" t="n">
        <v>116.9</v>
      </c>
      <c r="P464" s="23" t="n">
        <f aca="false">24.76</f>
        <v>24.76</v>
      </c>
      <c r="Q464" s="23" t="n">
        <f aca="false">158.97</f>
        <v>158.97</v>
      </c>
      <c r="R464" s="22" t="n">
        <v>14.9</v>
      </c>
      <c r="S464" s="22" t="n">
        <v>26.8</v>
      </c>
      <c r="T464" s="22" t="n">
        <v>400</v>
      </c>
      <c r="U464" s="24" t="s">
        <v>29</v>
      </c>
      <c r="V464" s="15"/>
      <c r="W464" s="16"/>
      <c r="X464" s="16"/>
      <c r="Y464" s="16"/>
    </row>
    <row r="465" customFormat="false" ht="15.75" hidden="false" customHeight="false" outlineLevel="0" collapsed="false">
      <c r="A465" s="9"/>
      <c r="B465" s="10"/>
      <c r="C465" s="10"/>
      <c r="D465" s="10"/>
      <c r="E465" s="10"/>
      <c r="F465" s="10"/>
      <c r="G465" s="10"/>
      <c r="H465" s="10"/>
      <c r="I465" s="25" t="n">
        <v>4</v>
      </c>
      <c r="J465" s="25"/>
      <c r="K465" s="26" t="n">
        <f aca="false">38.35</f>
        <v>38.35</v>
      </c>
      <c r="L465" s="26" t="n">
        <f aca="false">144.31</f>
        <v>144.31</v>
      </c>
      <c r="M465" s="25" t="n">
        <v>12</v>
      </c>
      <c r="N465" s="25" t="n">
        <v>32</v>
      </c>
      <c r="O465" s="25" t="n">
        <v>101.75</v>
      </c>
      <c r="P465" s="26" t="n">
        <f aca="false">24.44</f>
        <v>24.44</v>
      </c>
      <c r="Q465" s="26" t="n">
        <f aca="false">148.15</f>
        <v>148.15</v>
      </c>
      <c r="R465" s="25" t="n">
        <v>12.5</v>
      </c>
      <c r="S465" s="25" t="n">
        <v>24.95</v>
      </c>
      <c r="T465" s="25" t="n">
        <v>364</v>
      </c>
      <c r="U465" s="27" t="s">
        <v>29</v>
      </c>
      <c r="V465" s="21"/>
      <c r="W465" s="16"/>
      <c r="X465" s="16"/>
      <c r="Y465" s="16"/>
    </row>
    <row r="466" customFormat="false" ht="15.75" hidden="false" customHeight="true" outlineLevel="0" collapsed="false">
      <c r="A466" s="9" t="s">
        <v>25</v>
      </c>
      <c r="B466" s="10" t="s">
        <v>26</v>
      </c>
      <c r="C466" s="11" t="s">
        <v>175</v>
      </c>
      <c r="D466" s="10" t="s">
        <v>28</v>
      </c>
      <c r="E466" s="10" t="s">
        <v>28</v>
      </c>
      <c r="F466" s="10"/>
      <c r="G466" s="10" t="n">
        <v>22</v>
      </c>
      <c r="H466" s="10" t="n">
        <v>4.35</v>
      </c>
      <c r="I466" s="12" t="n">
        <v>1</v>
      </c>
      <c r="J466" s="12" t="s">
        <v>49</v>
      </c>
      <c r="K466" s="13" t="n">
        <f aca="false">40.65</f>
        <v>40.65</v>
      </c>
      <c r="L466" s="13" t="n">
        <f aca="false">104.32</f>
        <v>104.32</v>
      </c>
      <c r="M466" s="12" t="n">
        <v>18</v>
      </c>
      <c r="N466" s="12" t="n">
        <v>20</v>
      </c>
      <c r="O466" s="12" t="n">
        <v>91.7</v>
      </c>
      <c r="P466" s="13" t="n">
        <f aca="false">25.54</f>
        <v>25.54</v>
      </c>
      <c r="Q466" s="13" t="n">
        <f aca="false">136.64</f>
        <v>136.64</v>
      </c>
      <c r="R466" s="12" t="n">
        <v>15.85</v>
      </c>
      <c r="S466" s="12" t="n">
        <v>17.95</v>
      </c>
      <c r="T466" s="12" t="n">
        <v>426</v>
      </c>
      <c r="U466" s="14" t="s">
        <v>97</v>
      </c>
      <c r="V466" s="15"/>
      <c r="W466" s="16" t="str">
        <f aca="false">A466</f>
        <v>KL</v>
      </c>
      <c r="X466" s="17" t="e">
        <f aca="false">ifs(C466="","",X466="",NOW(),TRUE(),X466)</f>
        <v>#VALUE!</v>
      </c>
      <c r="Y466" s="17" t="e">
        <f aca="false">ifs(COUNTA(K466:U469)&lt;44,"",Y466="",NOW(),TRUE(),Y466)</f>
        <v>#VALUE!</v>
      </c>
    </row>
    <row r="467" customFormat="false" ht="15.75" hidden="false" customHeight="false" outlineLevel="0" collapsed="false">
      <c r="A467" s="9"/>
      <c r="B467" s="10"/>
      <c r="C467" s="10"/>
      <c r="D467" s="10"/>
      <c r="E467" s="10"/>
      <c r="F467" s="10"/>
      <c r="G467" s="10"/>
      <c r="H467" s="10"/>
      <c r="I467" s="18" t="n">
        <v>2</v>
      </c>
      <c r="J467" s="18" t="s">
        <v>49</v>
      </c>
      <c r="K467" s="19" t="n">
        <f aca="false">39.56</f>
        <v>39.56</v>
      </c>
      <c r="L467" s="19" t="n">
        <f aca="false">91.71</f>
        <v>91.71</v>
      </c>
      <c r="M467" s="18" t="n">
        <v>16</v>
      </c>
      <c r="N467" s="18" t="n">
        <v>22</v>
      </c>
      <c r="O467" s="18" t="n">
        <v>89.6</v>
      </c>
      <c r="P467" s="19" t="n">
        <f aca="false">21.42</f>
        <v>21.42</v>
      </c>
      <c r="Q467" s="19" t="n">
        <f aca="false">130.15</f>
        <v>130.15</v>
      </c>
      <c r="R467" s="18" t="n">
        <v>11.65</v>
      </c>
      <c r="S467" s="18" t="n">
        <v>22.25</v>
      </c>
      <c r="T467" s="18" t="n">
        <v>362</v>
      </c>
      <c r="U467" s="20" t="s">
        <v>29</v>
      </c>
      <c r="V467" s="21"/>
      <c r="W467" s="16"/>
      <c r="X467" s="16"/>
      <c r="Y467" s="16"/>
    </row>
    <row r="468" customFormat="false" ht="15.75" hidden="false" customHeight="false" outlineLevel="0" collapsed="false">
      <c r="A468" s="9"/>
      <c r="B468" s="10"/>
      <c r="C468" s="10"/>
      <c r="D468" s="10"/>
      <c r="E468" s="10"/>
      <c r="F468" s="10"/>
      <c r="G468" s="10"/>
      <c r="H468" s="10"/>
      <c r="I468" s="22" t="n">
        <v>3</v>
      </c>
      <c r="J468" s="22" t="s">
        <v>36</v>
      </c>
      <c r="K468" s="23" t="n">
        <f aca="false">39.89</f>
        <v>39.89</v>
      </c>
      <c r="L468" s="23" t="n">
        <f aca="false">108.13</f>
        <v>108.13</v>
      </c>
      <c r="M468" s="22" t="n">
        <v>18</v>
      </c>
      <c r="N468" s="22" t="n">
        <v>26</v>
      </c>
      <c r="O468" s="22" t="n">
        <v>80.05</v>
      </c>
      <c r="P468" s="23" t="n">
        <f aca="false">22.68</f>
        <v>22.68</v>
      </c>
      <c r="Q468" s="23" t="n">
        <f aca="false">109.6</f>
        <v>109.6</v>
      </c>
      <c r="R468" s="22" t="n">
        <v>9.35</v>
      </c>
      <c r="S468" s="22" t="n">
        <v>17.65</v>
      </c>
      <c r="T468" s="22" t="n">
        <v>410</v>
      </c>
      <c r="U468" s="24" t="s">
        <v>29</v>
      </c>
      <c r="V468" s="15"/>
      <c r="W468" s="16"/>
      <c r="X468" s="16"/>
      <c r="Y468" s="16"/>
    </row>
    <row r="469" customFormat="false" ht="15.75" hidden="false" customHeight="false" outlineLevel="0" collapsed="false">
      <c r="A469" s="9"/>
      <c r="B469" s="10"/>
      <c r="C469" s="10"/>
      <c r="D469" s="10"/>
      <c r="E469" s="10"/>
      <c r="F469" s="10"/>
      <c r="G469" s="10"/>
      <c r="H469" s="10"/>
      <c r="I469" s="25" t="n">
        <v>4</v>
      </c>
      <c r="J469" s="25" t="s">
        <v>50</v>
      </c>
      <c r="K469" s="26" t="n">
        <f aca="false">39.64</f>
        <v>39.64</v>
      </c>
      <c r="L469" s="26" t="n">
        <f aca="false">93.09</f>
        <v>93.09</v>
      </c>
      <c r="M469" s="25" t="n">
        <v>13</v>
      </c>
      <c r="N469" s="25" t="n">
        <v>20</v>
      </c>
      <c r="O469" s="25" t="n">
        <v>59.65</v>
      </c>
      <c r="P469" s="26" t="n">
        <f aca="false">24.03</f>
        <v>24.03</v>
      </c>
      <c r="Q469" s="26" t="n">
        <f aca="false">101.01</f>
        <v>101.01</v>
      </c>
      <c r="R469" s="25" t="n">
        <v>8.15</v>
      </c>
      <c r="S469" s="25" t="n">
        <v>21.35</v>
      </c>
      <c r="T469" s="25" t="n">
        <v>243</v>
      </c>
      <c r="U469" s="27" t="s">
        <v>29</v>
      </c>
      <c r="V469" s="21"/>
      <c r="W469" s="16"/>
      <c r="X469" s="16"/>
      <c r="Y469" s="16"/>
    </row>
    <row r="470" customFormat="false" ht="15.75" hidden="false" customHeight="true" outlineLevel="0" collapsed="false">
      <c r="A470" s="9" t="s">
        <v>25</v>
      </c>
      <c r="B470" s="10" t="s">
        <v>176</v>
      </c>
      <c r="C470" s="11" t="s">
        <v>177</v>
      </c>
      <c r="D470" s="10" t="s">
        <v>28</v>
      </c>
      <c r="E470" s="10" t="s">
        <v>28</v>
      </c>
      <c r="F470" s="10"/>
      <c r="G470" s="10" t="n">
        <v>8</v>
      </c>
      <c r="H470" s="10" t="n">
        <v>1.65</v>
      </c>
      <c r="I470" s="12" t="n">
        <v>1</v>
      </c>
      <c r="J470" s="12"/>
      <c r="K470" s="13" t="n">
        <f aca="false">45.99</f>
        <v>45.99</v>
      </c>
      <c r="L470" s="13" t="n">
        <f aca="false">176.75</f>
        <v>176.75</v>
      </c>
      <c r="M470" s="12" t="n">
        <v>16</v>
      </c>
      <c r="N470" s="12" t="n">
        <v>40</v>
      </c>
      <c r="O470" s="12" t="n">
        <v>209.5</v>
      </c>
      <c r="P470" s="13" t="n">
        <f aca="false">30.66</f>
        <v>30.66</v>
      </c>
      <c r="Q470" s="13" t="n">
        <f aca="false">193.46</f>
        <v>193.46</v>
      </c>
      <c r="R470" s="12" t="n">
        <v>36.49</v>
      </c>
      <c r="S470" s="12" t="n">
        <v>25.23</v>
      </c>
      <c r="T470" s="12" t="n">
        <v>607</v>
      </c>
      <c r="U470" s="14" t="s">
        <v>29</v>
      </c>
      <c r="V470" s="15"/>
      <c r="W470" s="16" t="str">
        <f aca="false">A470</f>
        <v>KL</v>
      </c>
      <c r="X470" s="17" t="e">
        <f aca="false">ifs(C470="","",X470="",NOW(),TRUE(),X470)</f>
        <v>#VALUE!</v>
      </c>
      <c r="Y470" s="17" t="e">
        <f aca="false">ifs(COUNTA(K470:U473)&lt;44,"",Y470="",NOW(),TRUE(),Y470)</f>
        <v>#VALUE!</v>
      </c>
    </row>
    <row r="471" customFormat="false" ht="15.75" hidden="false" customHeight="false" outlineLevel="0" collapsed="false">
      <c r="A471" s="9"/>
      <c r="B471" s="10"/>
      <c r="C471" s="10"/>
      <c r="D471" s="10"/>
      <c r="E471" s="10"/>
      <c r="F471" s="10"/>
      <c r="G471" s="10"/>
      <c r="H471" s="10"/>
      <c r="I471" s="18" t="n">
        <v>2</v>
      </c>
      <c r="J471" s="18"/>
      <c r="K471" s="19" t="n">
        <f aca="false">42.73</f>
        <v>42.73</v>
      </c>
      <c r="L471" s="19" t="n">
        <f aca="false">158.67</f>
        <v>158.67</v>
      </c>
      <c r="M471" s="18" t="n">
        <v>14</v>
      </c>
      <c r="N471" s="18" t="n">
        <v>30</v>
      </c>
      <c r="O471" s="18" t="n">
        <v>163</v>
      </c>
      <c r="P471" s="19" t="n">
        <f aca="false">26.8</f>
        <v>26.8</v>
      </c>
      <c r="Q471" s="19" t="n">
        <f aca="false">176.15</f>
        <v>176.15</v>
      </c>
      <c r="R471" s="18" t="n">
        <v>24.07</v>
      </c>
      <c r="S471" s="18" t="n">
        <v>16.56</v>
      </c>
      <c r="T471" s="18" t="n">
        <v>510</v>
      </c>
      <c r="U471" s="20" t="s">
        <v>29</v>
      </c>
      <c r="V471" s="21"/>
      <c r="W471" s="16"/>
      <c r="X471" s="16"/>
      <c r="Y471" s="16"/>
    </row>
    <row r="472" customFormat="false" ht="15.75" hidden="false" customHeight="false" outlineLevel="0" collapsed="false">
      <c r="A472" s="9"/>
      <c r="B472" s="10"/>
      <c r="C472" s="10"/>
      <c r="D472" s="10"/>
      <c r="E472" s="10"/>
      <c r="F472" s="10"/>
      <c r="G472" s="10"/>
      <c r="H472" s="10"/>
      <c r="I472" s="22" t="n">
        <v>3</v>
      </c>
      <c r="J472" s="22"/>
      <c r="K472" s="23" t="n">
        <f aca="false">44.68</f>
        <v>44.68</v>
      </c>
      <c r="L472" s="23" t="n">
        <f aca="false">140.28</f>
        <v>140.28</v>
      </c>
      <c r="M472" s="22" t="n">
        <v>16</v>
      </c>
      <c r="N472" s="22" t="n">
        <v>34</v>
      </c>
      <c r="O472" s="22" t="n">
        <v>147.27</v>
      </c>
      <c r="P472" s="23" t="n">
        <f aca="false">27.31</f>
        <v>27.31</v>
      </c>
      <c r="Q472" s="23" t="n">
        <f aca="false">166.17</f>
        <v>166.17</v>
      </c>
      <c r="R472" s="22" t="n">
        <v>25.71</v>
      </c>
      <c r="S472" s="22" t="n">
        <v>27.16</v>
      </c>
      <c r="T472" s="22" t="n">
        <v>446</v>
      </c>
      <c r="U472" s="24" t="s">
        <v>29</v>
      </c>
      <c r="V472" s="15"/>
      <c r="W472" s="16"/>
      <c r="X472" s="16"/>
      <c r="Y472" s="16"/>
    </row>
    <row r="473" customFormat="false" ht="15.75" hidden="false" customHeight="false" outlineLevel="0" collapsed="false">
      <c r="A473" s="9"/>
      <c r="B473" s="10"/>
      <c r="C473" s="10"/>
      <c r="D473" s="10"/>
      <c r="E473" s="10"/>
      <c r="F473" s="10"/>
      <c r="G473" s="10"/>
      <c r="H473" s="10"/>
      <c r="I473" s="25" t="n">
        <v>4</v>
      </c>
      <c r="J473" s="25"/>
      <c r="K473" s="26" t="n">
        <f aca="false">43.47</f>
        <v>43.47</v>
      </c>
      <c r="L473" s="26" t="n">
        <f aca="false">176.25</f>
        <v>176.25</v>
      </c>
      <c r="M473" s="25" t="n">
        <v>14</v>
      </c>
      <c r="N473" s="25" t="n">
        <v>40</v>
      </c>
      <c r="O473" s="25" t="n">
        <v>181.72</v>
      </c>
      <c r="P473" s="26" t="n">
        <f aca="false">27.36</f>
        <v>27.36</v>
      </c>
      <c r="Q473" s="26" t="n">
        <f aca="false">184.51</f>
        <v>184.51</v>
      </c>
      <c r="R473" s="25" t="n">
        <v>25.98</v>
      </c>
      <c r="S473" s="25" t="n">
        <v>29.15</v>
      </c>
      <c r="T473" s="25" t="n">
        <v>532</v>
      </c>
      <c r="U473" s="27" t="s">
        <v>29</v>
      </c>
      <c r="V473" s="21"/>
      <c r="W473" s="16"/>
      <c r="X473" s="16"/>
      <c r="Y473" s="16"/>
    </row>
    <row r="474" customFormat="false" ht="15.75" hidden="false" customHeight="true" outlineLevel="0" collapsed="false">
      <c r="A474" s="9" t="s">
        <v>43</v>
      </c>
      <c r="B474" s="10" t="s">
        <v>44</v>
      </c>
      <c r="C474" s="11" t="s">
        <v>178</v>
      </c>
      <c r="D474" s="10" t="s">
        <v>28</v>
      </c>
      <c r="E474" s="10" t="s">
        <v>28</v>
      </c>
      <c r="F474" s="10"/>
      <c r="G474" s="10" t="n">
        <v>29</v>
      </c>
      <c r="H474" s="10" t="n">
        <v>7.2</v>
      </c>
      <c r="I474" s="12" t="n">
        <v>1</v>
      </c>
      <c r="J474" s="12" t="s">
        <v>49</v>
      </c>
      <c r="K474" s="13" t="n">
        <f aca="false">40.6</f>
        <v>40.6</v>
      </c>
      <c r="L474" s="13" t="n">
        <f aca="false">130.78</f>
        <v>130.78</v>
      </c>
      <c r="M474" s="12" t="n">
        <v>14</v>
      </c>
      <c r="N474" s="12" t="n">
        <v>28</v>
      </c>
      <c r="O474" s="12" t="n">
        <v>106.4</v>
      </c>
      <c r="P474" s="13" t="n">
        <f aca="false">28.44</f>
        <v>28.44</v>
      </c>
      <c r="Q474" s="13" t="n">
        <f aca="false">147.68</f>
        <v>147.68</v>
      </c>
      <c r="R474" s="12" t="n">
        <v>18</v>
      </c>
      <c r="S474" s="12" t="n">
        <v>21.1</v>
      </c>
      <c r="T474" s="12" t="n">
        <v>410</v>
      </c>
      <c r="U474" s="14" t="s">
        <v>97</v>
      </c>
      <c r="V474" s="15"/>
      <c r="W474" s="16" t="str">
        <f aca="false">A474</f>
        <v>JB</v>
      </c>
      <c r="X474" s="17" t="e">
        <f aca="false">ifs(C474="","",X474="",NOW(),TRUE(),X474)</f>
        <v>#VALUE!</v>
      </c>
      <c r="Y474" s="17" t="e">
        <f aca="false">ifs(COUNTA(K474:U477)&lt;44,"",Y474="",NOW(),TRUE(),Y474)</f>
        <v>#VALUE!</v>
      </c>
    </row>
    <row r="475" customFormat="false" ht="15.75" hidden="false" customHeight="false" outlineLevel="0" collapsed="false">
      <c r="A475" s="9"/>
      <c r="B475" s="10"/>
      <c r="C475" s="10"/>
      <c r="D475" s="10"/>
      <c r="E475" s="10"/>
      <c r="F475" s="10"/>
      <c r="G475" s="10"/>
      <c r="H475" s="10"/>
      <c r="I475" s="18" t="n">
        <v>2</v>
      </c>
      <c r="J475" s="18" t="s">
        <v>49</v>
      </c>
      <c r="K475" s="19" t="n">
        <f aca="false">36.89</f>
        <v>36.89</v>
      </c>
      <c r="L475" s="19" t="n">
        <f aca="false">153.7</f>
        <v>153.7</v>
      </c>
      <c r="M475" s="18" t="n">
        <v>12</v>
      </c>
      <c r="N475" s="18" t="n">
        <v>36</v>
      </c>
      <c r="O475" s="18" t="n">
        <v>121.5</v>
      </c>
      <c r="P475" s="19" t="n">
        <f aca="false">25.5</f>
        <v>25.5</v>
      </c>
      <c r="Q475" s="19" t="n">
        <f aca="false">173.9</f>
        <v>173.9</v>
      </c>
      <c r="R475" s="18" t="n">
        <v>20.7</v>
      </c>
      <c r="S475" s="18" t="n">
        <v>21.4</v>
      </c>
      <c r="T475" s="18" t="n">
        <v>472</v>
      </c>
      <c r="U475" s="20" t="s">
        <v>97</v>
      </c>
      <c r="V475" s="21"/>
      <c r="W475" s="16"/>
      <c r="X475" s="16"/>
      <c r="Y475" s="16"/>
    </row>
    <row r="476" customFormat="false" ht="15.75" hidden="false" customHeight="false" outlineLevel="0" collapsed="false">
      <c r="A476" s="9"/>
      <c r="B476" s="10"/>
      <c r="C476" s="10"/>
      <c r="D476" s="10"/>
      <c r="E476" s="10"/>
      <c r="F476" s="10"/>
      <c r="G476" s="10"/>
      <c r="H476" s="10"/>
      <c r="I476" s="22" t="n">
        <v>3</v>
      </c>
      <c r="J476" s="22" t="s">
        <v>46</v>
      </c>
      <c r="K476" s="23" t="n">
        <f aca="false">38.77</f>
        <v>38.77</v>
      </c>
      <c r="L476" s="23" t="n">
        <f aca="false">99.75</f>
        <v>99.75</v>
      </c>
      <c r="M476" s="22" t="n">
        <v>12</v>
      </c>
      <c r="N476" s="22" t="n">
        <v>22</v>
      </c>
      <c r="O476" s="22" t="n">
        <v>72.2</v>
      </c>
      <c r="P476" s="23" t="n">
        <f aca="false">25.56</f>
        <v>25.56</v>
      </c>
      <c r="Q476" s="23" t="n">
        <f aca="false">138.47</f>
        <v>138.47</v>
      </c>
      <c r="R476" s="22" t="n">
        <v>13.7</v>
      </c>
      <c r="S476" s="22" t="n">
        <v>22.5</v>
      </c>
      <c r="T476" s="22" t="n">
        <v>256</v>
      </c>
      <c r="U476" s="24" t="s">
        <v>97</v>
      </c>
      <c r="V476" s="15"/>
      <c r="W476" s="16"/>
      <c r="X476" s="16"/>
      <c r="Y476" s="16"/>
    </row>
    <row r="477" customFormat="false" ht="15.75" hidden="false" customHeight="false" outlineLevel="0" collapsed="false">
      <c r="A477" s="9"/>
      <c r="B477" s="10"/>
      <c r="C477" s="10"/>
      <c r="D477" s="10"/>
      <c r="E477" s="10"/>
      <c r="F477" s="10"/>
      <c r="G477" s="10"/>
      <c r="H477" s="10"/>
      <c r="I477" s="25" t="n">
        <v>4</v>
      </c>
      <c r="J477" s="25" t="s">
        <v>49</v>
      </c>
      <c r="K477" s="26" t="n">
        <f aca="false">40.81</f>
        <v>40.81</v>
      </c>
      <c r="L477" s="26" t="n">
        <f aca="false">115.11</f>
        <v>115.11</v>
      </c>
      <c r="M477" s="25" t="n">
        <v>14</v>
      </c>
      <c r="N477" s="25" t="n">
        <v>28</v>
      </c>
      <c r="O477" s="25" t="n">
        <v>97.1</v>
      </c>
      <c r="P477" s="26" t="n">
        <f aca="false">26.55</f>
        <v>26.55</v>
      </c>
      <c r="Q477" s="26" t="n">
        <f aca="false">128.2</f>
        <v>128.2</v>
      </c>
      <c r="R477" s="25" t="n">
        <v>14.3</v>
      </c>
      <c r="S477" s="25" t="n">
        <v>20.9</v>
      </c>
      <c r="T477" s="25" t="n">
        <v>372</v>
      </c>
      <c r="U477" s="27" t="s">
        <v>97</v>
      </c>
      <c r="V477" s="21"/>
      <c r="W477" s="16"/>
      <c r="X477" s="16"/>
      <c r="Y477" s="16"/>
    </row>
    <row r="478" customFormat="false" ht="15.75" hidden="false" customHeight="true" outlineLevel="0" collapsed="false">
      <c r="A478" s="9" t="s">
        <v>43</v>
      </c>
      <c r="B478" s="10" t="s">
        <v>44</v>
      </c>
      <c r="C478" s="11" t="s">
        <v>179</v>
      </c>
      <c r="D478" s="10" t="s">
        <v>28</v>
      </c>
      <c r="E478" s="10" t="s">
        <v>28</v>
      </c>
      <c r="F478" s="10"/>
      <c r="G478" s="10" t="n">
        <v>8</v>
      </c>
      <c r="H478" s="10" t="n">
        <v>1.8</v>
      </c>
      <c r="I478" s="12" t="n">
        <v>1</v>
      </c>
      <c r="J478" s="12" t="s">
        <v>46</v>
      </c>
      <c r="K478" s="13" t="n">
        <f aca="false">41.23</f>
        <v>41.23</v>
      </c>
      <c r="L478" s="13" t="n">
        <f aca="false">107.46</f>
        <v>107.46</v>
      </c>
      <c r="M478" s="12" t="n">
        <v>14</v>
      </c>
      <c r="N478" s="12" t="n">
        <v>32</v>
      </c>
      <c r="O478" s="12" t="n">
        <v>110.9</v>
      </c>
      <c r="P478" s="13" t="n">
        <f aca="false">25.45</f>
        <v>25.45</v>
      </c>
      <c r="Q478" s="13" t="n">
        <f aca="false">139.48</f>
        <v>139.48</v>
      </c>
      <c r="R478" s="12" t="n">
        <v>16.7</v>
      </c>
      <c r="S478" s="12" t="n">
        <v>20.3</v>
      </c>
      <c r="T478" s="12" t="n">
        <v>438</v>
      </c>
      <c r="U478" s="14" t="s">
        <v>58</v>
      </c>
      <c r="V478" s="15"/>
      <c r="W478" s="16" t="str">
        <f aca="false">A478</f>
        <v>JB</v>
      </c>
      <c r="X478" s="17" t="e">
        <f aca="false">ifs(C478="","",X478="",NOW(),TRUE(),X478)</f>
        <v>#VALUE!</v>
      </c>
      <c r="Y478" s="17" t="e">
        <f aca="false">ifs(COUNTA(K478:U481)&lt;44,"",Y478="",NOW(),TRUE(),Y478)</f>
        <v>#VALUE!</v>
      </c>
    </row>
    <row r="479" customFormat="false" ht="15.75" hidden="false" customHeight="false" outlineLevel="0" collapsed="false">
      <c r="A479" s="9"/>
      <c r="B479" s="10"/>
      <c r="C479" s="10"/>
      <c r="D479" s="10"/>
      <c r="E479" s="10"/>
      <c r="F479" s="10"/>
      <c r="G479" s="10"/>
      <c r="H479" s="10"/>
      <c r="I479" s="18" t="n">
        <v>2</v>
      </c>
      <c r="J479" s="18" t="s">
        <v>49</v>
      </c>
      <c r="K479" s="19" t="n">
        <f aca="false">41.43</f>
        <v>41.43</v>
      </c>
      <c r="L479" s="19" t="n">
        <f aca="false">74.49</f>
        <v>74.49</v>
      </c>
      <c r="M479" s="18" t="n">
        <v>16</v>
      </c>
      <c r="N479" s="18" t="n">
        <v>16</v>
      </c>
      <c r="O479" s="18" t="n">
        <v>74.9</v>
      </c>
      <c r="P479" s="19" t="n">
        <f aca="false">27.32</f>
        <v>27.32</v>
      </c>
      <c r="Q479" s="19" t="n">
        <f aca="false">105.32</f>
        <v>105.32</v>
      </c>
      <c r="R479" s="18" t="n">
        <v>12.7</v>
      </c>
      <c r="S479" s="18" t="n">
        <v>21.9</v>
      </c>
      <c r="T479" s="18" t="n">
        <v>295</v>
      </c>
      <c r="U479" s="20" t="s">
        <v>29</v>
      </c>
      <c r="V479" s="21"/>
      <c r="W479" s="16"/>
      <c r="X479" s="16"/>
      <c r="Y479" s="16"/>
    </row>
    <row r="480" customFormat="false" ht="15.75" hidden="false" customHeight="false" outlineLevel="0" collapsed="false">
      <c r="A480" s="9"/>
      <c r="B480" s="10"/>
      <c r="C480" s="10"/>
      <c r="D480" s="10"/>
      <c r="E480" s="10"/>
      <c r="F480" s="10"/>
      <c r="G480" s="10"/>
      <c r="H480" s="10"/>
      <c r="I480" s="22" t="n">
        <v>3</v>
      </c>
      <c r="J480" s="22" t="s">
        <v>46</v>
      </c>
      <c r="K480" s="23" t="n">
        <f aca="false">40.28</f>
        <v>40.28</v>
      </c>
      <c r="L480" s="23" t="n">
        <f aca="false">93.14</f>
        <v>93.14</v>
      </c>
      <c r="M480" s="22" t="n">
        <v>14</v>
      </c>
      <c r="N480" s="22" t="n">
        <v>26</v>
      </c>
      <c r="O480" s="22" t="n">
        <v>81.3</v>
      </c>
      <c r="P480" s="23" t="n">
        <f aca="false">25.53</f>
        <v>25.53</v>
      </c>
      <c r="Q480" s="23" t="n">
        <f aca="false">125.63</f>
        <v>125.63</v>
      </c>
      <c r="R480" s="22" t="n">
        <v>14.2</v>
      </c>
      <c r="S480" s="22" t="n">
        <v>19.7</v>
      </c>
      <c r="T480" s="22" t="n">
        <v>335</v>
      </c>
      <c r="U480" s="24" t="s">
        <v>29</v>
      </c>
      <c r="V480" s="15"/>
      <c r="W480" s="16"/>
      <c r="X480" s="16"/>
      <c r="Y480" s="16"/>
    </row>
    <row r="481" customFormat="false" ht="15.75" hidden="false" customHeight="false" outlineLevel="0" collapsed="false">
      <c r="A481" s="9"/>
      <c r="B481" s="10"/>
      <c r="C481" s="10"/>
      <c r="D481" s="10"/>
      <c r="E481" s="10"/>
      <c r="F481" s="10"/>
      <c r="G481" s="10"/>
      <c r="H481" s="10"/>
      <c r="I481" s="25" t="n">
        <v>4</v>
      </c>
      <c r="J481" s="25" t="s">
        <v>46</v>
      </c>
      <c r="K481" s="26" t="n">
        <f aca="false">42.6</f>
        <v>42.6</v>
      </c>
      <c r="L481" s="26" t="n">
        <f aca="false">110.06</f>
        <v>110.06</v>
      </c>
      <c r="M481" s="25" t="n">
        <v>16</v>
      </c>
      <c r="N481" s="25" t="n">
        <v>30</v>
      </c>
      <c r="O481" s="25" t="n">
        <v>110.9</v>
      </c>
      <c r="P481" s="26" t="n">
        <f aca="false">26.86</f>
        <v>26.86</v>
      </c>
      <c r="Q481" s="26" t="n">
        <f aca="false">137.28</f>
        <v>137.28</v>
      </c>
      <c r="R481" s="25" t="n">
        <v>17.6</v>
      </c>
      <c r="S481" s="25" t="n">
        <v>20</v>
      </c>
      <c r="T481" s="25" t="n">
        <v>454</v>
      </c>
      <c r="U481" s="27" t="s">
        <v>29</v>
      </c>
      <c r="V481" s="21"/>
      <c r="W481" s="16"/>
      <c r="X481" s="16"/>
      <c r="Y481" s="16"/>
    </row>
    <row r="482" customFormat="false" ht="15.75" hidden="false" customHeight="true" outlineLevel="0" collapsed="false">
      <c r="A482" s="9" t="s">
        <v>180</v>
      </c>
      <c r="B482" s="10" t="s">
        <v>26</v>
      </c>
      <c r="C482" s="11" t="s">
        <v>181</v>
      </c>
      <c r="D482" s="10" t="s">
        <v>28</v>
      </c>
      <c r="E482" s="10" t="s">
        <v>28</v>
      </c>
      <c r="F482" s="10"/>
      <c r="G482" s="10" t="n">
        <v>12</v>
      </c>
      <c r="H482" s="10" t="n">
        <v>2.3</v>
      </c>
      <c r="I482" s="12" t="n">
        <v>1</v>
      </c>
      <c r="J482" s="12"/>
      <c r="K482" s="13" t="n">
        <f aca="false">41.96</f>
        <v>41.96</v>
      </c>
      <c r="L482" s="13" t="n">
        <f aca="false">140.78</f>
        <v>140.78</v>
      </c>
      <c r="M482" s="12" t="n">
        <v>14</v>
      </c>
      <c r="N482" s="12" t="n">
        <v>32</v>
      </c>
      <c r="O482" s="12" t="n">
        <v>125.55</v>
      </c>
      <c r="P482" s="13" t="n">
        <f aca="false">27.39</f>
        <v>27.39</v>
      </c>
      <c r="Q482" s="13" t="n">
        <f aca="false">162</f>
        <v>162</v>
      </c>
      <c r="R482" s="12" t="n">
        <v>20</v>
      </c>
      <c r="S482" s="12" t="n">
        <v>23.55</v>
      </c>
      <c r="T482" s="12" t="n">
        <v>454</v>
      </c>
      <c r="U482" s="14" t="s">
        <v>32</v>
      </c>
      <c r="V482" s="15"/>
      <c r="W482" s="16" t="str">
        <f aca="false">A482</f>
        <v>SH</v>
      </c>
      <c r="X482" s="17" t="e">
        <f aca="false">ifs(C482="","",X482="",NOW(),TRUE(),X482)</f>
        <v>#VALUE!</v>
      </c>
      <c r="Y482" s="17" t="e">
        <f aca="false">ifs(COUNTA(K482:U485)&lt;44,"",Y482="",NOW(),TRUE(),Y482)</f>
        <v>#VALUE!</v>
      </c>
    </row>
    <row r="483" customFormat="false" ht="15.75" hidden="false" customHeight="false" outlineLevel="0" collapsed="false">
      <c r="A483" s="9"/>
      <c r="B483" s="10"/>
      <c r="C483" s="10"/>
      <c r="D483" s="10"/>
      <c r="E483" s="10"/>
      <c r="F483" s="10"/>
      <c r="G483" s="10"/>
      <c r="H483" s="10"/>
      <c r="I483" s="18" t="n">
        <v>2</v>
      </c>
      <c r="J483" s="18"/>
      <c r="K483" s="19" t="n">
        <f aca="false">40.78</f>
        <v>40.78</v>
      </c>
      <c r="L483" s="19" t="n">
        <f aca="false">136.87</f>
        <v>136.87</v>
      </c>
      <c r="M483" s="18" t="n">
        <v>14</v>
      </c>
      <c r="N483" s="18" t="n">
        <v>31</v>
      </c>
      <c r="O483" s="18" t="n">
        <v>105.45</v>
      </c>
      <c r="P483" s="19" t="n">
        <f aca="false">27.17</f>
        <v>27.17</v>
      </c>
      <c r="Q483" s="19" t="n">
        <f aca="false">149.53</f>
        <v>149.53</v>
      </c>
      <c r="R483" s="18" t="n">
        <v>14.45</v>
      </c>
      <c r="S483" s="18" t="n">
        <v>22.9</v>
      </c>
      <c r="T483" s="18" t="n">
        <v>415</v>
      </c>
      <c r="U483" s="20" t="s">
        <v>32</v>
      </c>
      <c r="V483" s="21"/>
      <c r="W483" s="16"/>
      <c r="X483" s="16"/>
      <c r="Y483" s="16"/>
    </row>
    <row r="484" customFormat="false" ht="15.75" hidden="false" customHeight="false" outlineLevel="0" collapsed="false">
      <c r="A484" s="9"/>
      <c r="B484" s="10"/>
      <c r="C484" s="10"/>
      <c r="D484" s="10"/>
      <c r="E484" s="10"/>
      <c r="F484" s="10"/>
      <c r="G484" s="10"/>
      <c r="H484" s="10"/>
      <c r="I484" s="22" t="n">
        <v>3</v>
      </c>
      <c r="J484" s="22"/>
      <c r="K484" s="23" t="n">
        <v>38.09</v>
      </c>
      <c r="L484" s="23" t="n">
        <f aca="false">139.67</f>
        <v>139.67</v>
      </c>
      <c r="M484" s="22" t="n">
        <v>12</v>
      </c>
      <c r="N484" s="22" t="n">
        <v>32</v>
      </c>
      <c r="O484" s="22" t="n">
        <v>98.25</v>
      </c>
      <c r="P484" s="23" t="n">
        <f aca="false">25.63</f>
        <v>25.63</v>
      </c>
      <c r="Q484" s="23" t="n">
        <f aca="false">148.47</f>
        <v>148.47</v>
      </c>
      <c r="R484" s="22" t="n">
        <v>13.05</v>
      </c>
      <c r="S484" s="22" t="n">
        <v>23.2</v>
      </c>
      <c r="T484" s="22" t="n">
        <v>380</v>
      </c>
      <c r="U484" s="24" t="s">
        <v>32</v>
      </c>
      <c r="V484" s="15"/>
      <c r="W484" s="16"/>
      <c r="X484" s="16"/>
      <c r="Y484" s="16"/>
    </row>
    <row r="485" customFormat="false" ht="15.75" hidden="false" customHeight="false" outlineLevel="0" collapsed="false">
      <c r="A485" s="9"/>
      <c r="B485" s="10"/>
      <c r="C485" s="10"/>
      <c r="D485" s="10"/>
      <c r="E485" s="10"/>
      <c r="F485" s="10"/>
      <c r="G485" s="10"/>
      <c r="H485" s="10"/>
      <c r="I485" s="25" t="n">
        <v>4</v>
      </c>
      <c r="J485" s="25"/>
      <c r="K485" s="26" t="n">
        <f aca="false">38.45</f>
        <v>38.45</v>
      </c>
      <c r="L485" s="26" t="n">
        <f aca="false">134.07</f>
        <v>134.07</v>
      </c>
      <c r="M485" s="25" t="n">
        <v>10</v>
      </c>
      <c r="N485" s="25" t="n">
        <v>35</v>
      </c>
      <c r="O485" s="25" t="n">
        <v>89.85</v>
      </c>
      <c r="P485" s="26" t="n">
        <f aca="false">24.75</f>
        <v>24.75</v>
      </c>
      <c r="Q485" s="26" t="n">
        <f aca="false">144.92</f>
        <v>144.92</v>
      </c>
      <c r="R485" s="25" t="n">
        <v>12.95</v>
      </c>
      <c r="S485" s="25" t="n">
        <v>22.45</v>
      </c>
      <c r="T485" s="25" t="n">
        <v>348</v>
      </c>
      <c r="U485" s="27" t="s">
        <v>32</v>
      </c>
      <c r="V485" s="21"/>
      <c r="W485" s="16"/>
      <c r="X485" s="16"/>
      <c r="Y485" s="16"/>
    </row>
    <row r="486" customFormat="false" ht="15.75" hidden="false" customHeight="true" outlineLevel="0" collapsed="false">
      <c r="A486" s="9" t="s">
        <v>180</v>
      </c>
      <c r="B486" s="10" t="s">
        <v>26</v>
      </c>
      <c r="C486" s="11" t="s">
        <v>182</v>
      </c>
      <c r="D486" s="10" t="s">
        <v>28</v>
      </c>
      <c r="E486" s="10" t="s">
        <v>28</v>
      </c>
      <c r="F486" s="10"/>
      <c r="G486" s="10" t="n">
        <v>24</v>
      </c>
      <c r="H486" s="10" t="n">
        <v>3.95</v>
      </c>
      <c r="I486" s="12" t="n">
        <v>1</v>
      </c>
      <c r="J486" s="12"/>
      <c r="K486" s="13" t="n">
        <f aca="false">46.03</f>
        <v>46.03</v>
      </c>
      <c r="L486" s="13" t="n">
        <f aca="false">196.15</f>
        <v>196.15</v>
      </c>
      <c r="M486" s="12" t="n">
        <v>14</v>
      </c>
      <c r="N486" s="12" t="n">
        <v>51</v>
      </c>
      <c r="O486" s="12" t="n">
        <v>219.3</v>
      </c>
      <c r="P486" s="13" t="n">
        <f aca="false">27.71</f>
        <v>27.71</v>
      </c>
      <c r="Q486" s="13" t="n">
        <f aca="false">223.49</f>
        <v>223.49</v>
      </c>
      <c r="R486" s="12" t="n">
        <v>31.9</v>
      </c>
      <c r="S486" s="12" t="n">
        <v>27.2</v>
      </c>
      <c r="T486" s="12" t="n">
        <v>690</v>
      </c>
      <c r="U486" s="14" t="s">
        <v>29</v>
      </c>
      <c r="V486" s="15"/>
      <c r="W486" s="16" t="str">
        <f aca="false">A486</f>
        <v>SH</v>
      </c>
      <c r="X486" s="17" t="e">
        <f aca="false">ifs(C486="","",X486="",NOW(),TRUE(),X486)</f>
        <v>#VALUE!</v>
      </c>
      <c r="Y486" s="17" t="e">
        <f aca="false">ifs(COUNTA(K486:U489)&lt;44,"",Y486="",NOW(),TRUE(),Y486)</f>
        <v>#VALUE!</v>
      </c>
    </row>
    <row r="487" customFormat="false" ht="15.75" hidden="false" customHeight="false" outlineLevel="0" collapsed="false">
      <c r="A487" s="9"/>
      <c r="B487" s="10"/>
      <c r="C487" s="10"/>
      <c r="D487" s="10"/>
      <c r="E487" s="10"/>
      <c r="F487" s="10"/>
      <c r="G487" s="10"/>
      <c r="H487" s="10"/>
      <c r="I487" s="18" t="n">
        <v>2</v>
      </c>
      <c r="J487" s="18"/>
      <c r="K487" s="19" t="n">
        <f aca="false">45.43</f>
        <v>45.43</v>
      </c>
      <c r="L487" s="19" t="n">
        <f aca="false">201.46</f>
        <v>201.46</v>
      </c>
      <c r="M487" s="18" t="n">
        <v>14</v>
      </c>
      <c r="N487" s="18" t="n">
        <v>51</v>
      </c>
      <c r="O487" s="18" t="n">
        <v>212.7</v>
      </c>
      <c r="P487" s="19" t="n">
        <f aca="false">26.98</f>
        <v>26.98</v>
      </c>
      <c r="Q487" s="19" t="n">
        <f aca="false">220.24</f>
        <v>220.24</v>
      </c>
      <c r="R487" s="18" t="n">
        <v>31.75</v>
      </c>
      <c r="S487" s="18" t="n">
        <v>26.25</v>
      </c>
      <c r="T487" s="18" t="n">
        <v>705</v>
      </c>
      <c r="U487" s="20" t="s">
        <v>29</v>
      </c>
      <c r="V487" s="21"/>
      <c r="W487" s="16"/>
      <c r="X487" s="16"/>
      <c r="Y487" s="16"/>
    </row>
    <row r="488" customFormat="false" ht="15.75" hidden="false" customHeight="false" outlineLevel="0" collapsed="false">
      <c r="A488" s="9"/>
      <c r="B488" s="10"/>
      <c r="C488" s="10"/>
      <c r="D488" s="10"/>
      <c r="E488" s="10"/>
      <c r="F488" s="10"/>
      <c r="G488" s="10"/>
      <c r="H488" s="10"/>
      <c r="I488" s="22" t="n">
        <v>3</v>
      </c>
      <c r="J488" s="22" t="s">
        <v>47</v>
      </c>
      <c r="K488" s="23" t="n">
        <f aca="false">39.68</f>
        <v>39.68</v>
      </c>
      <c r="L488" s="23" t="n">
        <f aca="false">153.19</f>
        <v>153.19</v>
      </c>
      <c r="M488" s="22" t="n">
        <v>12</v>
      </c>
      <c r="N488" s="22" t="n">
        <v>32</v>
      </c>
      <c r="O488" s="22" t="n">
        <v>116.3</v>
      </c>
      <c r="P488" s="23" t="n">
        <f aca="false">24.5</f>
        <v>24.5</v>
      </c>
      <c r="Q488" s="23" t="n">
        <f aca="false">184.86</f>
        <v>184.86</v>
      </c>
      <c r="R488" s="22" t="n">
        <v>21.75</v>
      </c>
      <c r="S488" s="22" t="n">
        <v>23.75</v>
      </c>
      <c r="T488" s="22" t="n">
        <v>416</v>
      </c>
      <c r="U488" s="24" t="s">
        <v>29</v>
      </c>
      <c r="V488" s="15"/>
      <c r="W488" s="16"/>
      <c r="X488" s="16"/>
      <c r="Y488" s="16"/>
    </row>
    <row r="489" customFormat="false" ht="15.75" hidden="false" customHeight="false" outlineLevel="0" collapsed="false">
      <c r="A489" s="9"/>
      <c r="B489" s="10"/>
      <c r="C489" s="10"/>
      <c r="D489" s="10"/>
      <c r="E489" s="10"/>
      <c r="F489" s="10"/>
      <c r="G489" s="10"/>
      <c r="H489" s="10"/>
      <c r="I489" s="25" t="n">
        <v>4</v>
      </c>
      <c r="J489" s="25"/>
      <c r="K489" s="26" t="n">
        <f aca="false">42.42</f>
        <v>42.42</v>
      </c>
      <c r="L489" s="26" t="n">
        <f aca="false">162.09</f>
        <v>162.09</v>
      </c>
      <c r="M489" s="25" t="n">
        <v>16</v>
      </c>
      <c r="N489" s="25" t="n">
        <v>38</v>
      </c>
      <c r="O489" s="25" t="n">
        <v>148.3</v>
      </c>
      <c r="P489" s="26" t="n">
        <f aca="false">28.22</f>
        <v>28.22</v>
      </c>
      <c r="Q489" s="26" t="n">
        <f aca="false">178.17</f>
        <v>178.17</v>
      </c>
      <c r="R489" s="25" t="n">
        <v>23.9</v>
      </c>
      <c r="S489" s="25" t="n">
        <v>22.4</v>
      </c>
      <c r="T489" s="25" t="n">
        <v>581</v>
      </c>
      <c r="U489" s="27" t="s">
        <v>29</v>
      </c>
      <c r="V489" s="21"/>
      <c r="W489" s="16"/>
      <c r="X489" s="16"/>
      <c r="Y489" s="16"/>
    </row>
    <row r="490" customFormat="false" ht="15.75" hidden="false" customHeight="true" outlineLevel="0" collapsed="false">
      <c r="A490" s="9" t="s">
        <v>180</v>
      </c>
      <c r="B490" s="10" t="s">
        <v>26</v>
      </c>
      <c r="C490" s="11" t="s">
        <v>183</v>
      </c>
      <c r="D490" s="10" t="s">
        <v>28</v>
      </c>
      <c r="E490" s="10" t="s">
        <v>28</v>
      </c>
      <c r="F490" s="10"/>
      <c r="G490" s="10" t="n">
        <v>8</v>
      </c>
      <c r="H490" s="10" t="n">
        <v>2.4</v>
      </c>
      <c r="I490" s="12" t="n">
        <v>1</v>
      </c>
      <c r="J490" s="12" t="s">
        <v>33</v>
      </c>
      <c r="K490" s="13" t="n">
        <f aca="false">40.34</f>
        <v>40.34</v>
      </c>
      <c r="L490" s="13" t="n">
        <f aca="false">94.77</f>
        <v>94.77</v>
      </c>
      <c r="M490" s="12" t="n">
        <v>16</v>
      </c>
      <c r="N490" s="12" t="n">
        <v>23</v>
      </c>
      <c r="O490" s="12" t="n">
        <v>84.55</v>
      </c>
      <c r="P490" s="13" t="n">
        <f aca="false">24.4</f>
        <v>24.4</v>
      </c>
      <c r="Q490" s="13" t="n">
        <f aca="false">124.93</f>
        <v>124.93</v>
      </c>
      <c r="R490" s="12" t="n">
        <v>10.95</v>
      </c>
      <c r="S490" s="12" t="n">
        <v>22.6</v>
      </c>
      <c r="T490" s="12" t="n">
        <v>328</v>
      </c>
      <c r="U490" s="14" t="s">
        <v>29</v>
      </c>
      <c r="V490" s="15"/>
      <c r="W490" s="16" t="str">
        <f aca="false">A490</f>
        <v>SH</v>
      </c>
      <c r="X490" s="17" t="e">
        <f aca="false">ifs(C490="","",X490="",NOW(),TRUE(),X490)</f>
        <v>#VALUE!</v>
      </c>
      <c r="Y490" s="17" t="e">
        <f aca="false">ifs(COUNTA(K490:U493)&lt;44,"",Y490="",NOW(),TRUE(),Y490)</f>
        <v>#VALUE!</v>
      </c>
    </row>
    <row r="491" customFormat="false" ht="15.75" hidden="false" customHeight="false" outlineLevel="0" collapsed="false">
      <c r="A491" s="9"/>
      <c r="B491" s="10"/>
      <c r="C491" s="10"/>
      <c r="D491" s="10"/>
      <c r="E491" s="10"/>
      <c r="F491" s="10"/>
      <c r="G491" s="10"/>
      <c r="H491" s="10"/>
      <c r="I491" s="18" t="n">
        <v>2</v>
      </c>
      <c r="J491" s="18" t="s">
        <v>33</v>
      </c>
      <c r="K491" s="19" t="n">
        <f aca="false">38.82</f>
        <v>38.82</v>
      </c>
      <c r="L491" s="19" t="n">
        <f aca="false">80.26</f>
        <v>80.26</v>
      </c>
      <c r="M491" s="18" t="n">
        <v>12</v>
      </c>
      <c r="N491" s="18" t="n">
        <v>16</v>
      </c>
      <c r="O491" s="18" t="n">
        <v>58.55</v>
      </c>
      <c r="P491" s="19" t="n">
        <f aca="false">22.61</f>
        <v>22.61</v>
      </c>
      <c r="Q491" s="19" t="n">
        <f aca="false">91.45</f>
        <v>91.45</v>
      </c>
      <c r="R491" s="18" t="n">
        <v>7.05</v>
      </c>
      <c r="S491" s="18" t="n">
        <v>27.6</v>
      </c>
      <c r="T491" s="18" t="n">
        <v>192</v>
      </c>
      <c r="U491" s="20" t="s">
        <v>29</v>
      </c>
      <c r="V491" s="21"/>
      <c r="W491" s="16"/>
      <c r="X491" s="16"/>
      <c r="Y491" s="16"/>
    </row>
    <row r="492" customFormat="false" ht="15.75" hidden="false" customHeight="false" outlineLevel="0" collapsed="false">
      <c r="A492" s="9"/>
      <c r="B492" s="10"/>
      <c r="C492" s="10"/>
      <c r="D492" s="10"/>
      <c r="E492" s="10"/>
      <c r="F492" s="10"/>
      <c r="G492" s="10"/>
      <c r="H492" s="10"/>
      <c r="I492" s="22" t="n">
        <v>3</v>
      </c>
      <c r="J492" s="22" t="s">
        <v>33</v>
      </c>
      <c r="K492" s="23" t="n">
        <f aca="false">37.59</f>
        <v>37.59</v>
      </c>
      <c r="L492" s="23" t="n">
        <f aca="false">69.09</f>
        <v>69.09</v>
      </c>
      <c r="M492" s="22" t="n">
        <v>14</v>
      </c>
      <c r="N492" s="22" t="n">
        <v>20</v>
      </c>
      <c r="O492" s="22" t="n">
        <v>72.15</v>
      </c>
      <c r="P492" s="23" t="n">
        <f aca="false">20.64</f>
        <v>20.64</v>
      </c>
      <c r="Q492" s="23" t="n">
        <f aca="false">96.66</f>
        <v>96.66</v>
      </c>
      <c r="R492" s="22" t="n">
        <v>9.45</v>
      </c>
      <c r="S492" s="22" t="n">
        <v>27.9</v>
      </c>
      <c r="T492" s="22" t="n">
        <v>238</v>
      </c>
      <c r="U492" s="24" t="s">
        <v>29</v>
      </c>
      <c r="V492" s="15"/>
      <c r="W492" s="16"/>
      <c r="X492" s="16"/>
      <c r="Y492" s="16"/>
    </row>
    <row r="493" customFormat="false" ht="15.75" hidden="false" customHeight="false" outlineLevel="0" collapsed="false">
      <c r="A493" s="9"/>
      <c r="B493" s="10"/>
      <c r="C493" s="10"/>
      <c r="D493" s="10"/>
      <c r="E493" s="10"/>
      <c r="F493" s="10"/>
      <c r="G493" s="10"/>
      <c r="H493" s="10"/>
      <c r="I493" s="25" t="n">
        <v>4</v>
      </c>
      <c r="J493" s="25" t="s">
        <v>33</v>
      </c>
      <c r="K493" s="26" t="n">
        <f aca="false">41.08</f>
        <v>41.08</v>
      </c>
      <c r="L493" s="26" t="n">
        <f aca="false">75.18</f>
        <v>75.18</v>
      </c>
      <c r="M493" s="25" t="n">
        <v>14</v>
      </c>
      <c r="N493" s="25" t="n">
        <v>17</v>
      </c>
      <c r="O493" s="25" t="n">
        <v>67.65</v>
      </c>
      <c r="P493" s="26" t="n">
        <f aca="false">23.27</f>
        <v>23.27</v>
      </c>
      <c r="Q493" s="26" t="n">
        <f aca="false">91.73</f>
        <v>91.73</v>
      </c>
      <c r="R493" s="25" t="n">
        <v>8.55</v>
      </c>
      <c r="S493" s="25" t="n">
        <v>27.45</v>
      </c>
      <c r="T493" s="25" t="n">
        <v>223</v>
      </c>
      <c r="U493" s="27" t="s">
        <v>29</v>
      </c>
      <c r="V493" s="21"/>
      <c r="W493" s="16"/>
      <c r="X493" s="16"/>
      <c r="Y493" s="16"/>
    </row>
    <row r="494" customFormat="false" ht="15.75" hidden="false" customHeight="true" outlineLevel="0" collapsed="false">
      <c r="A494" s="9" t="s">
        <v>180</v>
      </c>
      <c r="B494" s="10" t="s">
        <v>26</v>
      </c>
      <c r="C494" s="11" t="s">
        <v>184</v>
      </c>
      <c r="D494" s="10" t="s">
        <v>28</v>
      </c>
      <c r="E494" s="10" t="s">
        <v>28</v>
      </c>
      <c r="F494" s="10"/>
      <c r="G494" s="10" t="n">
        <v>13</v>
      </c>
      <c r="H494" s="10" t="n">
        <v>3</v>
      </c>
      <c r="I494" s="12" t="n">
        <v>1</v>
      </c>
      <c r="J494" s="12"/>
      <c r="K494" s="13" t="n">
        <f aca="false">40.19</f>
        <v>40.19</v>
      </c>
      <c r="L494" s="13" t="n">
        <f aca="false">176.3</f>
        <v>176.3</v>
      </c>
      <c r="M494" s="12" t="n">
        <v>14</v>
      </c>
      <c r="N494" s="12" t="n">
        <v>45</v>
      </c>
      <c r="O494" s="12" t="n">
        <v>183.65</v>
      </c>
      <c r="P494" s="13" t="n">
        <f aca="false">23.07</f>
        <v>23.07</v>
      </c>
      <c r="Q494" s="13" t="n">
        <f aca="false">186.02</f>
        <v>186.02</v>
      </c>
      <c r="R494" s="12" t="n">
        <v>22</v>
      </c>
      <c r="S494" s="12" t="n">
        <v>28.1</v>
      </c>
      <c r="T494" s="12" t="n">
        <v>576</v>
      </c>
      <c r="U494" s="14" t="s">
        <v>29</v>
      </c>
      <c r="V494" s="15"/>
      <c r="W494" s="16" t="str">
        <f aca="false">A494</f>
        <v>SH</v>
      </c>
      <c r="X494" s="17" t="e">
        <f aca="false">ifs(C494="","",X494="",NOW(),TRUE(),X494)</f>
        <v>#VALUE!</v>
      </c>
      <c r="Y494" s="17" t="e">
        <f aca="false">ifs(COUNTA(K494:U497)&lt;44,"",Y494="",NOW(),TRUE(),Y494)</f>
        <v>#VALUE!</v>
      </c>
    </row>
    <row r="495" customFormat="false" ht="15.75" hidden="false" customHeight="false" outlineLevel="0" collapsed="false">
      <c r="A495" s="9"/>
      <c r="B495" s="10"/>
      <c r="C495" s="10"/>
      <c r="D495" s="10"/>
      <c r="E495" s="10"/>
      <c r="F495" s="10"/>
      <c r="G495" s="10"/>
      <c r="H495" s="10"/>
      <c r="I495" s="18" t="n">
        <v>2</v>
      </c>
      <c r="J495" s="18"/>
      <c r="K495" s="19" t="n">
        <f aca="false">41.09</f>
        <v>41.09</v>
      </c>
      <c r="L495" s="19" t="n">
        <f aca="false">142.6</f>
        <v>142.6</v>
      </c>
      <c r="M495" s="18" t="n">
        <v>14</v>
      </c>
      <c r="N495" s="18" t="n">
        <v>40</v>
      </c>
      <c r="O495" s="18" t="n">
        <v>139.85</v>
      </c>
      <c r="P495" s="19" t="n">
        <f aca="false">20.86</f>
        <v>20.86</v>
      </c>
      <c r="Q495" s="19" t="n">
        <f aca="false">164.18</f>
        <v>164.18</v>
      </c>
      <c r="R495" s="18" t="n">
        <v>16.1</v>
      </c>
      <c r="S495" s="18" t="n">
        <v>21.7</v>
      </c>
      <c r="T495" s="18" t="n">
        <v>557</v>
      </c>
      <c r="U495" s="20" t="s">
        <v>29</v>
      </c>
      <c r="V495" s="21"/>
      <c r="W495" s="16"/>
      <c r="X495" s="16"/>
      <c r="Y495" s="16"/>
    </row>
    <row r="496" customFormat="false" ht="15.75" hidden="false" customHeight="false" outlineLevel="0" collapsed="false">
      <c r="A496" s="9"/>
      <c r="B496" s="10"/>
      <c r="C496" s="10"/>
      <c r="D496" s="10"/>
      <c r="E496" s="10"/>
      <c r="F496" s="10"/>
      <c r="G496" s="10"/>
      <c r="H496" s="10"/>
      <c r="I496" s="22" t="n">
        <v>3</v>
      </c>
      <c r="J496" s="22"/>
      <c r="K496" s="23" t="n">
        <f aca="false">38.04</f>
        <v>38.04</v>
      </c>
      <c r="L496" s="23" t="n">
        <f aca="false">138.04</f>
        <v>138.04</v>
      </c>
      <c r="M496" s="22" t="n">
        <v>14</v>
      </c>
      <c r="N496" s="22" t="n">
        <v>39</v>
      </c>
      <c r="O496" s="22" t="n">
        <v>121.5</v>
      </c>
      <c r="P496" s="23" t="n">
        <f aca="false">21.35</f>
        <v>21.35</v>
      </c>
      <c r="Q496" s="23" t="n">
        <f aca="false">158.8</f>
        <v>158.8</v>
      </c>
      <c r="R496" s="22" t="n">
        <v>15.05</v>
      </c>
      <c r="S496" s="22" t="n">
        <v>21.85</v>
      </c>
      <c r="T496" s="22" t="n">
        <v>512</v>
      </c>
      <c r="U496" s="24" t="s">
        <v>29</v>
      </c>
      <c r="V496" s="15"/>
      <c r="W496" s="16"/>
      <c r="X496" s="16"/>
      <c r="Y496" s="16"/>
    </row>
    <row r="497" customFormat="false" ht="15.75" hidden="false" customHeight="false" outlineLevel="0" collapsed="false">
      <c r="A497" s="9"/>
      <c r="B497" s="10"/>
      <c r="C497" s="10"/>
      <c r="D497" s="10"/>
      <c r="E497" s="10"/>
      <c r="F497" s="10"/>
      <c r="G497" s="10"/>
      <c r="H497" s="10"/>
      <c r="I497" s="25" t="n">
        <v>4</v>
      </c>
      <c r="J497" s="25"/>
      <c r="K497" s="26" t="n">
        <f aca="false">38.33</f>
        <v>38.33</v>
      </c>
      <c r="L497" s="26" t="n">
        <f aca="false">105.7</f>
        <v>105.7</v>
      </c>
      <c r="M497" s="25" t="n">
        <v>14</v>
      </c>
      <c r="N497" s="25" t="n">
        <v>27</v>
      </c>
      <c r="O497" s="25" t="n">
        <v>92.45</v>
      </c>
      <c r="P497" s="26" t="n">
        <f aca="false">20.53</f>
        <v>20.53</v>
      </c>
      <c r="Q497" s="26" t="n">
        <f aca="false">118.99</f>
        <v>118.99</v>
      </c>
      <c r="R497" s="25" t="n">
        <v>10.5</v>
      </c>
      <c r="S497" s="25" t="n">
        <v>21.4</v>
      </c>
      <c r="T497" s="25" t="n">
        <v>382</v>
      </c>
      <c r="U497" s="27" t="s">
        <v>29</v>
      </c>
      <c r="V497" s="21"/>
      <c r="W497" s="16"/>
      <c r="X497" s="16"/>
      <c r="Y497" s="16"/>
    </row>
    <row r="498" customFormat="false" ht="15.75" hidden="false" customHeight="true" outlineLevel="0" collapsed="false">
      <c r="A498" s="9" t="s">
        <v>180</v>
      </c>
      <c r="B498" s="10" t="s">
        <v>26</v>
      </c>
      <c r="C498" s="11" t="s">
        <v>185</v>
      </c>
      <c r="D498" s="10" t="s">
        <v>28</v>
      </c>
      <c r="E498" s="10" t="s">
        <v>28</v>
      </c>
      <c r="F498" s="10"/>
      <c r="G498" s="10" t="n">
        <v>11</v>
      </c>
      <c r="H498" s="10" t="n">
        <v>3</v>
      </c>
      <c r="I498" s="12" t="n">
        <v>1</v>
      </c>
      <c r="J498" s="12" t="s">
        <v>47</v>
      </c>
      <c r="K498" s="13" t="n">
        <f aca="false">48.41</f>
        <v>48.41</v>
      </c>
      <c r="L498" s="13" t="n">
        <f aca="false">161.12</f>
        <v>161.12</v>
      </c>
      <c r="M498" s="12" t="n">
        <v>16</v>
      </c>
      <c r="N498" s="12" t="n">
        <v>41</v>
      </c>
      <c r="O498" s="12" t="n">
        <v>207.95</v>
      </c>
      <c r="P498" s="13" t="n">
        <f aca="false">27.83</f>
        <v>27.83</v>
      </c>
      <c r="Q498" s="13" t="n">
        <f aca="false">168.37</f>
        <v>168.37</v>
      </c>
      <c r="R498" s="12" t="n">
        <v>28.3</v>
      </c>
      <c r="S498" s="12" t="n">
        <v>26.9</v>
      </c>
      <c r="T498" s="12" t="n">
        <v>661</v>
      </c>
      <c r="U498" s="14" t="s">
        <v>29</v>
      </c>
      <c r="V498" s="15"/>
      <c r="W498" s="16" t="str">
        <f aca="false">A498</f>
        <v>SH</v>
      </c>
      <c r="X498" s="17" t="e">
        <f aca="false">ifs(C498="","",X498="",NOW(),TRUE(),X498)</f>
        <v>#VALUE!</v>
      </c>
      <c r="Y498" s="17" t="e">
        <f aca="false">ifs(COUNTA(K498:U501)&lt;44,"",Y498="",NOW(),TRUE(),Y498)</f>
        <v>#VALUE!</v>
      </c>
    </row>
    <row r="499" customFormat="false" ht="15.75" hidden="false" customHeight="false" outlineLevel="0" collapsed="false">
      <c r="A499" s="9"/>
      <c r="B499" s="10"/>
      <c r="C499" s="10"/>
      <c r="D499" s="10"/>
      <c r="E499" s="10"/>
      <c r="F499" s="10"/>
      <c r="G499" s="10"/>
      <c r="H499" s="10"/>
      <c r="I499" s="18" t="n">
        <v>2</v>
      </c>
      <c r="J499" s="18" t="s">
        <v>47</v>
      </c>
      <c r="K499" s="19" t="n">
        <f aca="false">43.2</f>
        <v>43.2</v>
      </c>
      <c r="L499" s="19" t="n">
        <f aca="false">143.93</f>
        <v>143.93</v>
      </c>
      <c r="M499" s="18" t="n">
        <v>14</v>
      </c>
      <c r="N499" s="18" t="n">
        <v>35</v>
      </c>
      <c r="O499" s="18" t="n">
        <v>165.65</v>
      </c>
      <c r="P499" s="19" t="n">
        <f aca="false">24.49</f>
        <v>24.49</v>
      </c>
      <c r="Q499" s="19" t="n">
        <f aca="false">152.56</f>
        <v>152.56</v>
      </c>
      <c r="R499" s="18" t="n">
        <v>24.1</v>
      </c>
      <c r="S499" s="18" t="n">
        <v>27.25</v>
      </c>
      <c r="T499" s="18" t="n">
        <v>527</v>
      </c>
      <c r="U499" s="20" t="s">
        <v>29</v>
      </c>
      <c r="V499" s="21"/>
      <c r="W499" s="16"/>
      <c r="X499" s="16"/>
      <c r="Y499" s="16"/>
    </row>
    <row r="500" customFormat="false" ht="15.75" hidden="false" customHeight="false" outlineLevel="0" collapsed="false">
      <c r="A500" s="9"/>
      <c r="B500" s="10"/>
      <c r="C500" s="10"/>
      <c r="D500" s="10"/>
      <c r="E500" s="10"/>
      <c r="F500" s="10"/>
      <c r="G500" s="10"/>
      <c r="H500" s="10"/>
      <c r="I500" s="22" t="n">
        <v>3</v>
      </c>
      <c r="J500" s="22"/>
      <c r="K500" s="23" t="n">
        <f aca="false">44.12</f>
        <v>44.12</v>
      </c>
      <c r="L500" s="23" t="n">
        <f aca="false">131.3</f>
        <v>131.3</v>
      </c>
      <c r="M500" s="22" t="n">
        <v>16</v>
      </c>
      <c r="N500" s="22" t="n">
        <v>38</v>
      </c>
      <c r="O500" s="22" t="n">
        <v>159.5</v>
      </c>
      <c r="P500" s="23" t="n">
        <f aca="false">26.08</f>
        <v>26.08</v>
      </c>
      <c r="Q500" s="23" t="n">
        <f aca="false">141.41</f>
        <v>141.41</v>
      </c>
      <c r="R500" s="22" t="n">
        <v>22.95</v>
      </c>
      <c r="S500" s="22" t="n">
        <v>21.8</v>
      </c>
      <c r="T500" s="22" t="n">
        <v>569</v>
      </c>
      <c r="U500" s="24" t="s">
        <v>29</v>
      </c>
      <c r="V500" s="15"/>
      <c r="W500" s="16"/>
      <c r="X500" s="16"/>
      <c r="Y500" s="16"/>
    </row>
    <row r="501" customFormat="false" ht="15.75" hidden="false" customHeight="false" outlineLevel="0" collapsed="false">
      <c r="A501" s="9"/>
      <c r="B501" s="10"/>
      <c r="C501" s="10"/>
      <c r="D501" s="10"/>
      <c r="E501" s="10"/>
      <c r="F501" s="10"/>
      <c r="G501" s="10"/>
      <c r="H501" s="10"/>
      <c r="I501" s="25" t="n">
        <v>4</v>
      </c>
      <c r="J501" s="25" t="s">
        <v>47</v>
      </c>
      <c r="K501" s="26" t="n">
        <f aca="false">48.89</f>
        <v>48.89</v>
      </c>
      <c r="L501" s="26" t="n">
        <f aca="false">130.71</f>
        <v>130.71</v>
      </c>
      <c r="M501" s="25" t="n">
        <v>18</v>
      </c>
      <c r="N501" s="25" t="n">
        <v>31</v>
      </c>
      <c r="O501" s="25" t="n">
        <v>166.1</v>
      </c>
      <c r="P501" s="26" t="n">
        <f aca="false">28.87</f>
        <v>28.87</v>
      </c>
      <c r="Q501" s="26" t="n">
        <f aca="false">142.13</f>
        <v>142.13</v>
      </c>
      <c r="R501" s="25" t="n">
        <v>23</v>
      </c>
      <c r="S501" s="25" t="n">
        <v>26</v>
      </c>
      <c r="T501" s="25" t="n">
        <v>563</v>
      </c>
      <c r="U501" s="27" t="s">
        <v>29</v>
      </c>
      <c r="V501" s="21"/>
      <c r="W501" s="16"/>
      <c r="X501" s="16"/>
      <c r="Y501" s="16"/>
    </row>
    <row r="502" customFormat="false" ht="15.75" hidden="false" customHeight="true" outlineLevel="0" collapsed="false">
      <c r="A502" s="9" t="s">
        <v>180</v>
      </c>
      <c r="B502" s="10" t="s">
        <v>26</v>
      </c>
      <c r="C502" s="11" t="s">
        <v>186</v>
      </c>
      <c r="D502" s="10" t="s">
        <v>28</v>
      </c>
      <c r="E502" s="10" t="s">
        <v>28</v>
      </c>
      <c r="F502" s="10"/>
      <c r="G502" s="10" t="n">
        <v>10</v>
      </c>
      <c r="H502" s="10" t="n">
        <v>1.8</v>
      </c>
      <c r="I502" s="12" t="n">
        <v>1</v>
      </c>
      <c r="J502" s="12" t="s">
        <v>33</v>
      </c>
      <c r="K502" s="13" t="n">
        <f aca="false">47.41</f>
        <v>47.41</v>
      </c>
      <c r="L502" s="13" t="n">
        <f aca="false">138.24</f>
        <v>138.24</v>
      </c>
      <c r="M502" s="12" t="n">
        <v>14</v>
      </c>
      <c r="N502" s="12" t="n">
        <v>32</v>
      </c>
      <c r="O502" s="12" t="n">
        <v>152.65</v>
      </c>
      <c r="P502" s="13" t="n">
        <f aca="false">24.41</f>
        <v>24.41</v>
      </c>
      <c r="Q502" s="13" t="n">
        <f aca="false">150.41</f>
        <v>150.41</v>
      </c>
      <c r="R502" s="12" t="n">
        <v>21.05</v>
      </c>
      <c r="S502" s="12" t="n">
        <v>30.4</v>
      </c>
      <c r="T502" s="12" t="n">
        <v>452</v>
      </c>
      <c r="U502" s="14" t="s">
        <v>29</v>
      </c>
      <c r="V502" s="15"/>
      <c r="W502" s="16" t="str">
        <f aca="false">A502</f>
        <v>SH</v>
      </c>
      <c r="X502" s="17" t="e">
        <f aca="false">ifs(C502="","",X502="",NOW(),TRUE(),X502)</f>
        <v>#VALUE!</v>
      </c>
      <c r="Y502" s="17" t="e">
        <f aca="false">ifs(COUNTA(K502:U505)&lt;44,"",Y502="",NOW(),TRUE(),Y502)</f>
        <v>#VALUE!</v>
      </c>
    </row>
    <row r="503" customFormat="false" ht="15.75" hidden="false" customHeight="false" outlineLevel="0" collapsed="false">
      <c r="A503" s="9"/>
      <c r="B503" s="10"/>
      <c r="C503" s="10"/>
      <c r="D503" s="10"/>
      <c r="E503" s="10"/>
      <c r="F503" s="10"/>
      <c r="G503" s="10"/>
      <c r="H503" s="10"/>
      <c r="I503" s="18" t="n">
        <v>2</v>
      </c>
      <c r="J503" s="18" t="s">
        <v>33</v>
      </c>
      <c r="K503" s="19" t="n">
        <f aca="false">43.82</f>
        <v>43.82</v>
      </c>
      <c r="L503" s="19" t="n">
        <f aca="false">119.11</f>
        <v>119.11</v>
      </c>
      <c r="M503" s="18" t="n">
        <v>14</v>
      </c>
      <c r="N503" s="18" t="n">
        <v>34</v>
      </c>
      <c r="O503" s="18" t="n">
        <v>111.9</v>
      </c>
      <c r="P503" s="19" t="n">
        <f aca="false">26.3</f>
        <v>26.3</v>
      </c>
      <c r="Q503" s="19" t="n">
        <f aca="false">142.16</f>
        <v>142.16</v>
      </c>
      <c r="R503" s="18" t="n">
        <v>14.45</v>
      </c>
      <c r="S503" s="18" t="n">
        <v>24.9</v>
      </c>
      <c r="T503" s="18" t="n">
        <v>388</v>
      </c>
      <c r="U503" s="20" t="s">
        <v>29</v>
      </c>
      <c r="V503" s="21"/>
      <c r="W503" s="16"/>
      <c r="X503" s="16"/>
      <c r="Y503" s="16"/>
    </row>
    <row r="504" customFormat="false" ht="15.75" hidden="false" customHeight="false" outlineLevel="0" collapsed="false">
      <c r="A504" s="9"/>
      <c r="B504" s="10"/>
      <c r="C504" s="10"/>
      <c r="D504" s="10"/>
      <c r="E504" s="10"/>
      <c r="F504" s="10"/>
      <c r="G504" s="10"/>
      <c r="H504" s="10"/>
      <c r="I504" s="22" t="n">
        <v>3</v>
      </c>
      <c r="J504" s="22" t="s">
        <v>33</v>
      </c>
      <c r="K504" s="23" t="n">
        <f aca="false">46.51</f>
        <v>46.51</v>
      </c>
      <c r="L504" s="23" t="n">
        <f aca="false">129.4</f>
        <v>129.4</v>
      </c>
      <c r="M504" s="22" t="n">
        <v>16</v>
      </c>
      <c r="N504" s="22" t="n">
        <v>34</v>
      </c>
      <c r="O504" s="22" t="n">
        <v>144.6</v>
      </c>
      <c r="P504" s="23" t="n">
        <f aca="false">26.12</f>
        <v>26.12</v>
      </c>
      <c r="Q504" s="23" t="n">
        <f aca="false">153.42</f>
        <v>153.42</v>
      </c>
      <c r="R504" s="22" t="n">
        <v>17.5</v>
      </c>
      <c r="S504" s="22" t="n">
        <v>25.55</v>
      </c>
      <c r="T504" s="22" t="n">
        <v>448</v>
      </c>
      <c r="U504" s="24" t="s">
        <v>29</v>
      </c>
      <c r="V504" s="15"/>
      <c r="W504" s="16"/>
      <c r="X504" s="16"/>
      <c r="Y504" s="16"/>
    </row>
    <row r="505" customFormat="false" ht="15.75" hidden="false" customHeight="false" outlineLevel="0" collapsed="false">
      <c r="A505" s="9"/>
      <c r="B505" s="10"/>
      <c r="C505" s="10"/>
      <c r="D505" s="10"/>
      <c r="E505" s="10"/>
      <c r="F505" s="10"/>
      <c r="G505" s="10"/>
      <c r="H505" s="10"/>
      <c r="I505" s="25" t="n">
        <v>4</v>
      </c>
      <c r="J505" s="25" t="s">
        <v>33</v>
      </c>
      <c r="K505" s="26" t="n">
        <f aca="false">47.2</f>
        <v>47.2</v>
      </c>
      <c r="L505" s="26" t="n">
        <f aca="false">132.12</f>
        <v>132.12</v>
      </c>
      <c r="M505" s="25" t="n">
        <v>16</v>
      </c>
      <c r="N505" s="25" t="n">
        <v>33</v>
      </c>
      <c r="O505" s="25" t="n">
        <v>144.6</v>
      </c>
      <c r="P505" s="26" t="n">
        <f aca="false">27.46</f>
        <v>27.46</v>
      </c>
      <c r="Q505" s="26" t="n">
        <f aca="false">145.79</f>
        <v>145.79</v>
      </c>
      <c r="R505" s="25" t="n">
        <v>18.2</v>
      </c>
      <c r="S505" s="25" t="n">
        <v>27.65</v>
      </c>
      <c r="T505" s="25" t="n">
        <v>473</v>
      </c>
      <c r="U505" s="27" t="s">
        <v>29</v>
      </c>
      <c r="V505" s="21"/>
      <c r="W505" s="16"/>
      <c r="X505" s="16"/>
      <c r="Y505" s="16"/>
    </row>
    <row r="506" customFormat="false" ht="15.75" hidden="false" customHeight="true" outlineLevel="0" collapsed="false">
      <c r="A506" s="9" t="s">
        <v>180</v>
      </c>
      <c r="B506" s="10" t="s">
        <v>26</v>
      </c>
      <c r="C506" s="11" t="s">
        <v>187</v>
      </c>
      <c r="D506" s="10" t="s">
        <v>28</v>
      </c>
      <c r="E506" s="10" t="s">
        <v>28</v>
      </c>
      <c r="F506" s="10"/>
      <c r="G506" s="10" t="n">
        <v>9</v>
      </c>
      <c r="H506" s="10" t="n">
        <v>1.8</v>
      </c>
      <c r="I506" s="12" t="n">
        <v>1</v>
      </c>
      <c r="J506" s="12"/>
      <c r="K506" s="13" t="n">
        <f aca="false">43.71</f>
        <v>43.71</v>
      </c>
      <c r="L506" s="13" t="n">
        <f aca="false">149.51</f>
        <v>149.51</v>
      </c>
      <c r="M506" s="12" t="n">
        <v>14</v>
      </c>
      <c r="N506" s="12" t="n">
        <v>37</v>
      </c>
      <c r="O506" s="12" t="n">
        <v>169.35</v>
      </c>
      <c r="P506" s="13" t="n">
        <f aca="false">27.95</f>
        <v>27.95</v>
      </c>
      <c r="Q506" s="13" t="n">
        <f aca="false">173.65</f>
        <v>173.65</v>
      </c>
      <c r="R506" s="12" t="n">
        <v>28.5</v>
      </c>
      <c r="S506" s="12" t="n">
        <v>27.35</v>
      </c>
      <c r="T506" s="12" t="n">
        <v>522</v>
      </c>
      <c r="U506" s="14" t="s">
        <v>97</v>
      </c>
      <c r="V506" s="15"/>
      <c r="W506" s="16" t="str">
        <f aca="false">A506</f>
        <v>SH</v>
      </c>
      <c r="X506" s="17" t="e">
        <f aca="false">ifs(C506="","",X506="",NOW(),TRUE(),X506)</f>
        <v>#VALUE!</v>
      </c>
      <c r="Y506" s="17" t="e">
        <f aca="false">ifs(COUNTA(K506:U509)&lt;44,"",Y506="",NOW(),TRUE(),Y506)</f>
        <v>#VALUE!</v>
      </c>
    </row>
    <row r="507" customFormat="false" ht="15.75" hidden="false" customHeight="false" outlineLevel="0" collapsed="false">
      <c r="A507" s="9"/>
      <c r="B507" s="10"/>
      <c r="C507" s="10"/>
      <c r="D507" s="10"/>
      <c r="E507" s="10"/>
      <c r="F507" s="10"/>
      <c r="G507" s="10"/>
      <c r="H507" s="10"/>
      <c r="I507" s="18" t="n">
        <v>2</v>
      </c>
      <c r="J507" s="18" t="s">
        <v>47</v>
      </c>
      <c r="K507" s="19" t="n">
        <f aca="false">42.14</f>
        <v>42.14</v>
      </c>
      <c r="L507" s="19" t="n">
        <f aca="false">142.38</f>
        <v>142.38</v>
      </c>
      <c r="M507" s="18" t="n">
        <v>12</v>
      </c>
      <c r="N507" s="18" t="n">
        <v>34</v>
      </c>
      <c r="O507" s="18" t="n">
        <v>144.7</v>
      </c>
      <c r="P507" s="19" t="n">
        <f aca="false">25.15</f>
        <v>25.15</v>
      </c>
      <c r="Q507" s="19" t="n">
        <f aca="false">165.4</f>
        <v>165.4</v>
      </c>
      <c r="R507" s="18" t="n">
        <v>24.8</v>
      </c>
      <c r="S507" s="18" t="n">
        <v>28.3</v>
      </c>
      <c r="T507" s="18" t="n">
        <v>419</v>
      </c>
      <c r="U507" s="20" t="s">
        <v>29</v>
      </c>
      <c r="V507" s="21"/>
      <c r="W507" s="16"/>
      <c r="X507" s="16"/>
      <c r="Y507" s="16"/>
    </row>
    <row r="508" customFormat="false" ht="15.75" hidden="false" customHeight="false" outlineLevel="0" collapsed="false">
      <c r="A508" s="9"/>
      <c r="B508" s="10"/>
      <c r="C508" s="10"/>
      <c r="D508" s="10"/>
      <c r="E508" s="10"/>
      <c r="F508" s="10"/>
      <c r="G508" s="10"/>
      <c r="H508" s="10"/>
      <c r="I508" s="22" t="n">
        <v>3</v>
      </c>
      <c r="J508" s="22"/>
      <c r="K508" s="23" t="n">
        <v>41.25</v>
      </c>
      <c r="L508" s="23" t="n">
        <f aca="false">137.05</f>
        <v>137.05</v>
      </c>
      <c r="M508" s="22" t="n">
        <v>12</v>
      </c>
      <c r="N508" s="22" t="n">
        <v>31</v>
      </c>
      <c r="O508" s="22" t="n">
        <v>126.2</v>
      </c>
      <c r="P508" s="23" t="n">
        <f aca="false">26.48</f>
        <v>26.48</v>
      </c>
      <c r="Q508" s="23" t="n">
        <f aca="false">151.86</f>
        <v>151.86</v>
      </c>
      <c r="R508" s="22" t="n">
        <v>22.7</v>
      </c>
      <c r="S508" s="22" t="n">
        <v>26.6</v>
      </c>
      <c r="T508" s="22" t="n">
        <v>387</v>
      </c>
      <c r="U508" s="24" t="s">
        <v>97</v>
      </c>
      <c r="V508" s="15"/>
      <c r="W508" s="16"/>
      <c r="X508" s="16"/>
      <c r="Y508" s="16"/>
    </row>
    <row r="509" customFormat="false" ht="15.75" hidden="false" customHeight="false" outlineLevel="0" collapsed="false">
      <c r="A509" s="9"/>
      <c r="B509" s="10"/>
      <c r="C509" s="10"/>
      <c r="D509" s="10"/>
      <c r="E509" s="10"/>
      <c r="F509" s="10"/>
      <c r="G509" s="10"/>
      <c r="H509" s="10"/>
      <c r="I509" s="25" t="n">
        <v>4</v>
      </c>
      <c r="J509" s="25"/>
      <c r="K509" s="26" t="n">
        <f aca="false">43.03</f>
        <v>43.03</v>
      </c>
      <c r="L509" s="26" t="n">
        <f aca="false">117.18</f>
        <v>117.18</v>
      </c>
      <c r="M509" s="25" t="n">
        <v>14</v>
      </c>
      <c r="N509" s="25" t="n">
        <v>28</v>
      </c>
      <c r="O509" s="28" t="n">
        <v>123.7</v>
      </c>
      <c r="P509" s="26" t="n">
        <f aca="false">26.77</f>
        <v>26.77</v>
      </c>
      <c r="Q509" s="26" t="n">
        <f aca="false">142.78</f>
        <v>142.78</v>
      </c>
      <c r="R509" s="25" t="n">
        <v>21.7</v>
      </c>
      <c r="S509" s="25" t="n">
        <v>26.3</v>
      </c>
      <c r="T509" s="25" t="n">
        <v>389</v>
      </c>
      <c r="U509" s="27" t="s">
        <v>29</v>
      </c>
      <c r="V509" s="21"/>
      <c r="W509" s="16"/>
      <c r="X509" s="16"/>
      <c r="Y509" s="16"/>
    </row>
    <row r="510" customFormat="false" ht="15.75" hidden="false" customHeight="true" outlineLevel="0" collapsed="false">
      <c r="A510" s="9" t="s">
        <v>180</v>
      </c>
      <c r="B510" s="10" t="s">
        <v>176</v>
      </c>
      <c r="C510" s="11" t="s">
        <v>188</v>
      </c>
      <c r="D510" s="10" t="s">
        <v>28</v>
      </c>
      <c r="E510" s="10" t="s">
        <v>28</v>
      </c>
      <c r="F510" s="10"/>
      <c r="G510" s="10" t="n">
        <v>4</v>
      </c>
      <c r="H510" s="10" t="n">
        <v>0.62</v>
      </c>
      <c r="I510" s="12" t="n">
        <v>1</v>
      </c>
      <c r="J510" s="12" t="s">
        <v>120</v>
      </c>
      <c r="K510" s="13" t="n">
        <f aca="false">49.54</f>
        <v>49.54</v>
      </c>
      <c r="L510" s="13" t="n">
        <f aca="false">180.79</f>
        <v>180.79</v>
      </c>
      <c r="M510" s="12" t="n">
        <v>16</v>
      </c>
      <c r="N510" s="12" t="n">
        <v>42</v>
      </c>
      <c r="O510" s="12" t="n">
        <v>217.05</v>
      </c>
      <c r="P510" s="13" t="n">
        <f aca="false">27.88</f>
        <v>27.88</v>
      </c>
      <c r="Q510" s="13" t="n">
        <f aca="false">201.6</f>
        <v>201.6</v>
      </c>
      <c r="R510" s="12" t="n">
        <v>32.57</v>
      </c>
      <c r="S510" s="12" t="n">
        <v>24.24</v>
      </c>
      <c r="T510" s="12" t="n">
        <v>753</v>
      </c>
      <c r="U510" s="14" t="s">
        <v>97</v>
      </c>
      <c r="V510" s="15"/>
      <c r="W510" s="16" t="str">
        <f aca="false">A510</f>
        <v>SH</v>
      </c>
      <c r="X510" s="17" t="e">
        <f aca="false">ifs(C510="","",X510="",NOW(),TRUE(),X510)</f>
        <v>#VALUE!</v>
      </c>
      <c r="Y510" s="17" t="e">
        <f aca="false">ifs(COUNTA(K510:U513)&lt;44,"",Y510="",NOW(),TRUE(),Y510)</f>
        <v>#VALUE!</v>
      </c>
    </row>
    <row r="511" customFormat="false" ht="15.75" hidden="false" customHeight="false" outlineLevel="0" collapsed="false">
      <c r="A511" s="9"/>
      <c r="B511" s="10"/>
      <c r="C511" s="10"/>
      <c r="D511" s="10"/>
      <c r="E511" s="10"/>
      <c r="F511" s="10"/>
      <c r="G511" s="10"/>
      <c r="H511" s="10"/>
      <c r="I511" s="18" t="n">
        <v>2</v>
      </c>
      <c r="J511" s="18" t="s">
        <v>46</v>
      </c>
      <c r="K511" s="19" t="n">
        <f aca="false">49.93</f>
        <v>49.93</v>
      </c>
      <c r="L511" s="19" t="n">
        <f aca="false">177.05</f>
        <v>177.05</v>
      </c>
      <c r="M511" s="18" t="n">
        <v>18</v>
      </c>
      <c r="N511" s="18" t="n">
        <v>45</v>
      </c>
      <c r="O511" s="18" t="n">
        <v>206.01</v>
      </c>
      <c r="P511" s="19" t="n">
        <f aca="false">29.04</f>
        <v>29.04</v>
      </c>
      <c r="Q511" s="19" t="n">
        <f aca="false">198.05</f>
        <v>198.05</v>
      </c>
      <c r="R511" s="18" t="n">
        <v>31.23</v>
      </c>
      <c r="S511" s="18" t="n">
        <v>23.7</v>
      </c>
      <c r="T511" s="18" t="n">
        <v>732</v>
      </c>
      <c r="U511" s="20" t="s">
        <v>97</v>
      </c>
      <c r="V511" s="21"/>
      <c r="W511" s="16"/>
      <c r="X511" s="16"/>
      <c r="Y511" s="16"/>
    </row>
    <row r="512" customFormat="false" ht="15.75" hidden="false" customHeight="false" outlineLevel="0" collapsed="false">
      <c r="A512" s="9"/>
      <c r="B512" s="10"/>
      <c r="C512" s="10"/>
      <c r="D512" s="10"/>
      <c r="E512" s="10"/>
      <c r="F512" s="10"/>
      <c r="G512" s="10"/>
      <c r="H512" s="10"/>
      <c r="I512" s="22" t="n">
        <v>3</v>
      </c>
      <c r="J512" s="22" t="s">
        <v>49</v>
      </c>
      <c r="K512" s="23" t="n">
        <f aca="false">46.08</f>
        <v>46.08</v>
      </c>
      <c r="L512" s="23" t="n">
        <f aca="false">156.03</f>
        <v>156.03</v>
      </c>
      <c r="M512" s="22" t="n">
        <v>14</v>
      </c>
      <c r="N512" s="22" t="n">
        <v>43</v>
      </c>
      <c r="O512" s="22" t="n">
        <v>164.71</v>
      </c>
      <c r="P512" s="23" t="n">
        <f aca="false">26.8</f>
        <v>26.8</v>
      </c>
      <c r="Q512" s="23" t="n">
        <f aca="false">178.37</f>
        <v>178.37</v>
      </c>
      <c r="R512" s="22" t="n">
        <v>24.06</v>
      </c>
      <c r="S512" s="22" t="n">
        <v>22.49</v>
      </c>
      <c r="T512" s="22" t="n">
        <v>588</v>
      </c>
      <c r="U512" s="24" t="s">
        <v>97</v>
      </c>
      <c r="V512" s="15"/>
      <c r="W512" s="16"/>
      <c r="X512" s="16"/>
      <c r="Y512" s="16"/>
    </row>
    <row r="513" customFormat="false" ht="15.75" hidden="false" customHeight="false" outlineLevel="0" collapsed="false">
      <c r="A513" s="9"/>
      <c r="B513" s="10"/>
      <c r="C513" s="10"/>
      <c r="D513" s="10"/>
      <c r="E513" s="10"/>
      <c r="F513" s="10"/>
      <c r="G513" s="10"/>
      <c r="H513" s="10"/>
      <c r="I513" s="25" t="n">
        <v>4</v>
      </c>
      <c r="J513" s="25" t="s">
        <v>49</v>
      </c>
      <c r="K513" s="26" t="n">
        <f aca="false">42.93</f>
        <v>42.93</v>
      </c>
      <c r="L513" s="26" t="n">
        <f aca="false">161.3</f>
        <v>161.3</v>
      </c>
      <c r="M513" s="25" t="n">
        <v>14</v>
      </c>
      <c r="N513" s="25" t="n">
        <v>42</v>
      </c>
      <c r="O513" s="25" t="n">
        <v>138.02</v>
      </c>
      <c r="P513" s="26" t="n">
        <f aca="false">27.03</f>
        <v>27.03</v>
      </c>
      <c r="Q513" s="26" t="n">
        <f aca="false">182.91</f>
        <v>182.91</v>
      </c>
      <c r="R513" s="25" t="n">
        <v>23.07</v>
      </c>
      <c r="S513" s="25" t="n">
        <v>20.87</v>
      </c>
      <c r="T513" s="25" t="n">
        <v>543</v>
      </c>
      <c r="U513" s="27" t="s">
        <v>97</v>
      </c>
      <c r="V513" s="21"/>
      <c r="W513" s="16"/>
      <c r="X513" s="16"/>
      <c r="Y513" s="16"/>
    </row>
    <row r="514" customFormat="false" ht="15.75" hidden="false" customHeight="true" outlineLevel="0" collapsed="false">
      <c r="A514" s="9" t="s">
        <v>158</v>
      </c>
      <c r="B514" s="10" t="s">
        <v>44</v>
      </c>
      <c r="C514" s="11" t="s">
        <v>189</v>
      </c>
      <c r="D514" s="10" t="s">
        <v>28</v>
      </c>
      <c r="E514" s="10" t="s">
        <v>28</v>
      </c>
      <c r="F514" s="10"/>
      <c r="G514" s="10" t="n">
        <v>21</v>
      </c>
      <c r="H514" s="10" t="n">
        <v>6.3</v>
      </c>
      <c r="I514" s="12" t="n">
        <v>1</v>
      </c>
      <c r="J514" s="12" t="s">
        <v>50</v>
      </c>
      <c r="K514" s="13" t="n">
        <f aca="false">44.81</f>
        <v>44.81</v>
      </c>
      <c r="L514" s="13" t="n">
        <f aca="false">158.11</f>
        <v>158.11</v>
      </c>
      <c r="M514" s="12" t="n">
        <v>16</v>
      </c>
      <c r="N514" s="12" t="n">
        <v>36</v>
      </c>
      <c r="O514" s="12" t="n">
        <v>171.5</v>
      </c>
      <c r="P514" s="13" t="n">
        <f aca="false">26.46</f>
        <v>26.46</v>
      </c>
      <c r="Q514" s="13" t="n">
        <f aca="false">168.43</f>
        <v>168.43</v>
      </c>
      <c r="R514" s="12" t="n">
        <v>21.7</v>
      </c>
      <c r="S514" s="12" t="n">
        <v>26.5</v>
      </c>
      <c r="T514" s="12" t="n">
        <v>585</v>
      </c>
      <c r="U514" s="14" t="s">
        <v>29</v>
      </c>
      <c r="V514" s="15"/>
      <c r="W514" s="16" t="str">
        <f aca="false">A514</f>
        <v>AK</v>
      </c>
      <c r="X514" s="17" t="e">
        <f aca="false">ifs(C514="","",X514="",NOW(),TRUE(),X514)</f>
        <v>#VALUE!</v>
      </c>
      <c r="Y514" s="17" t="e">
        <f aca="false">ifs(COUNTA(K514:U517)&lt;44,"",Y514="",NOW(),TRUE(),Y514)</f>
        <v>#VALUE!</v>
      </c>
    </row>
    <row r="515" customFormat="false" ht="15.75" hidden="false" customHeight="false" outlineLevel="0" collapsed="false">
      <c r="A515" s="9"/>
      <c r="B515" s="10"/>
      <c r="C515" s="10"/>
      <c r="D515" s="10"/>
      <c r="E515" s="10"/>
      <c r="F515" s="10"/>
      <c r="G515" s="10"/>
      <c r="H515" s="10"/>
      <c r="I515" s="18" t="n">
        <v>2</v>
      </c>
      <c r="J515" s="18" t="s">
        <v>47</v>
      </c>
      <c r="K515" s="19" t="n">
        <f aca="false">43.23</f>
        <v>43.23</v>
      </c>
      <c r="L515" s="19" t="n">
        <f aca="false">162.21</f>
        <v>162.21</v>
      </c>
      <c r="M515" s="18" t="n">
        <v>14</v>
      </c>
      <c r="N515" s="18" t="n">
        <v>37</v>
      </c>
      <c r="O515" s="18" t="n">
        <v>171</v>
      </c>
      <c r="P515" s="19" t="n">
        <f aca="false">26.05</f>
        <v>26.05</v>
      </c>
      <c r="Q515" s="19" t="n">
        <f aca="false">175.72</f>
        <v>175.72</v>
      </c>
      <c r="R515" s="18" t="n">
        <v>23.3</v>
      </c>
      <c r="S515" s="18" t="n">
        <v>26.6</v>
      </c>
      <c r="T515" s="18" t="n">
        <v>570</v>
      </c>
      <c r="U515" s="20" t="s">
        <v>29</v>
      </c>
      <c r="V515" s="21"/>
      <c r="W515" s="16"/>
      <c r="X515" s="16"/>
      <c r="Y515" s="16"/>
    </row>
    <row r="516" customFormat="false" ht="15.75" hidden="false" customHeight="false" outlineLevel="0" collapsed="false">
      <c r="A516" s="9"/>
      <c r="B516" s="10"/>
      <c r="C516" s="10"/>
      <c r="D516" s="10"/>
      <c r="E516" s="10"/>
      <c r="F516" s="10"/>
      <c r="G516" s="10"/>
      <c r="H516" s="10"/>
      <c r="I516" s="22" t="n">
        <v>3</v>
      </c>
      <c r="J516" s="22" t="s">
        <v>50</v>
      </c>
      <c r="K516" s="23" t="n">
        <f aca="false">41.68</f>
        <v>41.68</v>
      </c>
      <c r="L516" s="23" t="n">
        <f aca="false">156.15</f>
        <v>156.15</v>
      </c>
      <c r="M516" s="22" t="n">
        <v>14</v>
      </c>
      <c r="N516" s="22" t="n">
        <v>32</v>
      </c>
      <c r="O516" s="22" t="n">
        <v>151</v>
      </c>
      <c r="P516" s="23" t="n">
        <f aca="false">25.78</f>
        <v>25.78</v>
      </c>
      <c r="Q516" s="23" t="n">
        <f aca="false">168.79</f>
        <v>168.79</v>
      </c>
      <c r="R516" s="22" t="n">
        <v>20.1</v>
      </c>
      <c r="S516" s="22" t="n">
        <v>24.7</v>
      </c>
      <c r="T516" s="22" t="n">
        <v>522</v>
      </c>
      <c r="U516" s="24" t="s">
        <v>29</v>
      </c>
      <c r="V516" s="15"/>
      <c r="W516" s="16"/>
      <c r="X516" s="16"/>
      <c r="Y516" s="16"/>
    </row>
    <row r="517" customFormat="false" ht="15.75" hidden="false" customHeight="false" outlineLevel="0" collapsed="false">
      <c r="A517" s="9"/>
      <c r="B517" s="10"/>
      <c r="C517" s="10"/>
      <c r="D517" s="10"/>
      <c r="E517" s="10"/>
      <c r="F517" s="10"/>
      <c r="G517" s="10"/>
      <c r="H517" s="10"/>
      <c r="I517" s="25" t="n">
        <v>4</v>
      </c>
      <c r="J517" s="25" t="s">
        <v>190</v>
      </c>
      <c r="K517" s="26" t="n">
        <f aca="false">43.31</f>
        <v>43.31</v>
      </c>
      <c r="L517" s="26" t="n">
        <f aca="false">129.77</f>
        <v>129.77</v>
      </c>
      <c r="M517" s="25" t="n">
        <v>14</v>
      </c>
      <c r="N517" s="25" t="n">
        <v>23</v>
      </c>
      <c r="O517" s="25" t="n">
        <v>111.4</v>
      </c>
      <c r="P517" s="26" t="n">
        <f aca="false">26.58</f>
        <v>26.58</v>
      </c>
      <c r="Q517" s="26" t="n">
        <f aca="false">140.5</f>
        <v>140.5</v>
      </c>
      <c r="R517" s="25" t="n">
        <v>13.8</v>
      </c>
      <c r="S517" s="25" t="n">
        <v>24.6</v>
      </c>
      <c r="T517" s="25" t="n">
        <v>365</v>
      </c>
      <c r="U517" s="27" t="s">
        <v>29</v>
      </c>
      <c r="V517" s="21"/>
      <c r="W517" s="16"/>
      <c r="X517" s="16"/>
      <c r="Y517" s="16"/>
    </row>
    <row r="518" customFormat="false" ht="15.75" hidden="false" customHeight="true" outlineLevel="0" collapsed="false">
      <c r="A518" s="9" t="s">
        <v>158</v>
      </c>
      <c r="B518" s="10" t="s">
        <v>44</v>
      </c>
      <c r="C518" s="11" t="s">
        <v>191</v>
      </c>
      <c r="D518" s="10" t="s">
        <v>28</v>
      </c>
      <c r="E518" s="10" t="s">
        <v>28</v>
      </c>
      <c r="F518" s="10"/>
      <c r="G518" s="10" t="n">
        <v>14</v>
      </c>
      <c r="H518" s="10" t="n">
        <v>3.9</v>
      </c>
      <c r="I518" s="12" t="n">
        <v>1</v>
      </c>
      <c r="J518" s="12" t="s">
        <v>47</v>
      </c>
      <c r="K518" s="13" t="n">
        <f aca="false">40.81</f>
        <v>40.81</v>
      </c>
      <c r="L518" s="13" t="n">
        <f aca="false">178.95</f>
        <v>178.95</v>
      </c>
      <c r="M518" s="12" t="n">
        <v>14</v>
      </c>
      <c r="N518" s="12" t="n">
        <v>41</v>
      </c>
      <c r="O518" s="12" t="n">
        <v>171</v>
      </c>
      <c r="P518" s="13" t="n">
        <f aca="false">25.33</f>
        <v>25.33</v>
      </c>
      <c r="Q518" s="13" t="n">
        <f aca="false">181.57</f>
        <v>181.57</v>
      </c>
      <c r="R518" s="12" t="n">
        <v>21.5</v>
      </c>
      <c r="S518" s="12" t="n">
        <v>23</v>
      </c>
      <c r="T518" s="12" t="n">
        <v>650</v>
      </c>
      <c r="U518" s="14" t="s">
        <v>29</v>
      </c>
      <c r="V518" s="15"/>
      <c r="W518" s="16" t="str">
        <f aca="false">A518</f>
        <v>AK</v>
      </c>
      <c r="X518" s="17" t="e">
        <f aca="false">ifs(C518="","",X518="",NOW(),TRUE(),X518)</f>
        <v>#VALUE!</v>
      </c>
      <c r="Y518" s="17" t="e">
        <f aca="false">ifs(COUNTA(K518:U521)&lt;44,"",Y518="",NOW(),TRUE(),Y518)</f>
        <v>#VALUE!</v>
      </c>
    </row>
    <row r="519" customFormat="false" ht="15.75" hidden="false" customHeight="false" outlineLevel="0" collapsed="false">
      <c r="A519" s="9"/>
      <c r="B519" s="10"/>
      <c r="C519" s="10"/>
      <c r="D519" s="10"/>
      <c r="E519" s="10"/>
      <c r="F519" s="10"/>
      <c r="G519" s="10"/>
      <c r="H519" s="10"/>
      <c r="I519" s="18" t="n">
        <v>2</v>
      </c>
      <c r="J519" s="18" t="s">
        <v>49</v>
      </c>
      <c r="K519" s="19" t="n">
        <f aca="false">40.26</f>
        <v>40.26</v>
      </c>
      <c r="L519" s="19" t="n">
        <f aca="false">145.56</f>
        <v>145.56</v>
      </c>
      <c r="M519" s="18" t="n">
        <v>14</v>
      </c>
      <c r="N519" s="18" t="n">
        <v>22</v>
      </c>
      <c r="O519" s="18" t="n">
        <v>156.8</v>
      </c>
      <c r="P519" s="19" t="n">
        <f aca="false">24.73</f>
        <v>24.73</v>
      </c>
      <c r="Q519" s="19" t="n">
        <f aca="false">180.43</f>
        <v>180.43</v>
      </c>
      <c r="R519" s="18" t="n">
        <v>21.3</v>
      </c>
      <c r="S519" s="18" t="n">
        <v>25.3</v>
      </c>
      <c r="T519" s="18" t="n">
        <v>545</v>
      </c>
      <c r="U519" s="20" t="s">
        <v>29</v>
      </c>
      <c r="V519" s="21"/>
      <c r="W519" s="16"/>
      <c r="X519" s="16"/>
      <c r="Y519" s="16"/>
    </row>
    <row r="520" customFormat="false" ht="15.75" hidden="false" customHeight="false" outlineLevel="0" collapsed="false">
      <c r="A520" s="9"/>
      <c r="B520" s="10"/>
      <c r="C520" s="10"/>
      <c r="D520" s="10"/>
      <c r="E520" s="10"/>
      <c r="F520" s="10"/>
      <c r="G520" s="10"/>
      <c r="H520" s="10"/>
      <c r="I520" s="22" t="n">
        <v>3</v>
      </c>
      <c r="J520" s="22" t="s">
        <v>46</v>
      </c>
      <c r="K520" s="23" t="n">
        <f aca="false">40.18</f>
        <v>40.18</v>
      </c>
      <c r="L520" s="23" t="n">
        <f aca="false">151.38</f>
        <v>151.38</v>
      </c>
      <c r="M520" s="22" t="n">
        <v>12</v>
      </c>
      <c r="N520" s="22" t="n">
        <v>36</v>
      </c>
      <c r="O520" s="22" t="n">
        <v>141.2</v>
      </c>
      <c r="P520" s="23" t="n">
        <f aca="false">23.87</f>
        <v>23.87</v>
      </c>
      <c r="Q520" s="23" t="n">
        <f aca="false">173.65</f>
        <v>173.65</v>
      </c>
      <c r="R520" s="22" t="n">
        <v>17.9</v>
      </c>
      <c r="S520" s="22" t="n">
        <v>23.4</v>
      </c>
      <c r="T520" s="22" t="n">
        <v>478</v>
      </c>
      <c r="U520" s="24" t="s">
        <v>29</v>
      </c>
      <c r="V520" s="15"/>
      <c r="W520" s="16"/>
      <c r="X520" s="16"/>
      <c r="Y520" s="16"/>
    </row>
    <row r="521" customFormat="false" ht="15.75" hidden="false" customHeight="false" outlineLevel="0" collapsed="false">
      <c r="A521" s="9"/>
      <c r="B521" s="10"/>
      <c r="C521" s="10"/>
      <c r="D521" s="10"/>
      <c r="E521" s="10"/>
      <c r="F521" s="10"/>
      <c r="G521" s="10"/>
      <c r="H521" s="10"/>
      <c r="I521" s="25" t="n">
        <v>4</v>
      </c>
      <c r="J521" s="25" t="s">
        <v>46</v>
      </c>
      <c r="K521" s="26" t="n">
        <f aca="false">40.79</f>
        <v>40.79</v>
      </c>
      <c r="L521" s="26" t="n">
        <f aca="false">130.74</f>
        <v>130.74</v>
      </c>
      <c r="M521" s="25" t="n">
        <v>14</v>
      </c>
      <c r="N521" s="25" t="n">
        <v>25</v>
      </c>
      <c r="O521" s="25" t="n">
        <v>114.8</v>
      </c>
      <c r="P521" s="26" t="n">
        <f aca="false">26.3</f>
        <v>26.3</v>
      </c>
      <c r="Q521" s="26" t="n">
        <f aca="false">158.39</f>
        <v>158.39</v>
      </c>
      <c r="R521" s="25" t="n">
        <v>15.4</v>
      </c>
      <c r="S521" s="25" t="n">
        <v>22.2</v>
      </c>
      <c r="T521" s="25" t="n">
        <v>414</v>
      </c>
      <c r="U521" s="27" t="s">
        <v>29</v>
      </c>
      <c r="V521" s="21"/>
      <c r="W521" s="16"/>
      <c r="X521" s="16"/>
      <c r="Y521" s="16"/>
    </row>
    <row r="522" customFormat="false" ht="15.75" hidden="false" customHeight="true" outlineLevel="0" collapsed="false">
      <c r="A522" s="9" t="s">
        <v>158</v>
      </c>
      <c r="B522" s="10" t="s">
        <v>44</v>
      </c>
      <c r="C522" s="11" t="s">
        <v>192</v>
      </c>
      <c r="D522" s="10" t="s">
        <v>28</v>
      </c>
      <c r="E522" s="10" t="s">
        <v>28</v>
      </c>
      <c r="F522" s="10"/>
      <c r="G522" s="10" t="n">
        <v>58</v>
      </c>
      <c r="H522" s="10" t="n">
        <v>15.4</v>
      </c>
      <c r="I522" s="12" t="n">
        <v>1</v>
      </c>
      <c r="J522" s="12" t="s">
        <v>35</v>
      </c>
      <c r="K522" s="13" t="n">
        <f aca="false">43.75</f>
        <v>43.75</v>
      </c>
      <c r="L522" s="13" t="n">
        <f aca="false">180.89</f>
        <v>180.89</v>
      </c>
      <c r="M522" s="12" t="n">
        <v>16</v>
      </c>
      <c r="N522" s="12" t="n">
        <v>43</v>
      </c>
      <c r="O522" s="12" t="n">
        <v>184.2</v>
      </c>
      <c r="P522" s="13" t="n">
        <f aca="false">25.43</f>
        <v>25.43</v>
      </c>
      <c r="Q522" s="13" t="n">
        <f aca="false">198.4</f>
        <v>198.4</v>
      </c>
      <c r="R522" s="12" t="n">
        <v>20.6</v>
      </c>
      <c r="S522" s="12" t="n">
        <v>25.4</v>
      </c>
      <c r="T522" s="12" t="n">
        <v>565</v>
      </c>
      <c r="U522" s="14" t="s">
        <v>29</v>
      </c>
      <c r="V522" s="15"/>
      <c r="W522" s="16" t="str">
        <f aca="false">A522</f>
        <v>AK</v>
      </c>
      <c r="X522" s="17" t="e">
        <f aca="false">ifs(C522="","",X522="",NOW(),TRUE(),X522)</f>
        <v>#VALUE!</v>
      </c>
      <c r="Y522" s="17" t="e">
        <f aca="false">ifs(COUNTA(K522:U525)&lt;44,"",Y522="",NOW(),TRUE(),Y522)</f>
        <v>#VALUE!</v>
      </c>
    </row>
    <row r="523" customFormat="false" ht="15.75" hidden="false" customHeight="false" outlineLevel="0" collapsed="false">
      <c r="A523" s="9"/>
      <c r="B523" s="10"/>
      <c r="C523" s="10"/>
      <c r="D523" s="10"/>
      <c r="E523" s="10"/>
      <c r="F523" s="10"/>
      <c r="G523" s="10"/>
      <c r="H523" s="10"/>
      <c r="I523" s="18" t="n">
        <v>2</v>
      </c>
      <c r="J523" s="18" t="s">
        <v>33</v>
      </c>
      <c r="K523" s="19" t="n">
        <f aca="false">43.15</f>
        <v>43.15</v>
      </c>
      <c r="L523" s="19" t="n">
        <f aca="false">171.34</f>
        <v>171.34</v>
      </c>
      <c r="M523" s="18" t="n">
        <v>16</v>
      </c>
      <c r="N523" s="18" t="n">
        <v>42</v>
      </c>
      <c r="O523" s="18" t="n">
        <v>181.8</v>
      </c>
      <c r="P523" s="19" t="n">
        <f aca="false">24.5</f>
        <v>24.5</v>
      </c>
      <c r="Q523" s="19" t="n">
        <f aca="false">195.7</f>
        <v>195.7</v>
      </c>
      <c r="R523" s="18" t="n">
        <v>19.4</v>
      </c>
      <c r="S523" s="18" t="n">
        <v>25.6</v>
      </c>
      <c r="T523" s="18" t="n">
        <v>626</v>
      </c>
      <c r="U523" s="20" t="s">
        <v>29</v>
      </c>
      <c r="V523" s="21"/>
      <c r="W523" s="16"/>
      <c r="X523" s="16"/>
      <c r="Y523" s="16"/>
    </row>
    <row r="524" customFormat="false" ht="15.75" hidden="false" customHeight="false" outlineLevel="0" collapsed="false">
      <c r="A524" s="9"/>
      <c r="B524" s="10"/>
      <c r="C524" s="10"/>
      <c r="D524" s="10"/>
      <c r="E524" s="10"/>
      <c r="F524" s="10"/>
      <c r="G524" s="10"/>
      <c r="H524" s="10"/>
      <c r="I524" s="22" t="n">
        <v>3</v>
      </c>
      <c r="J524" s="22"/>
      <c r="K524" s="23" t="n">
        <f aca="false">40.61</f>
        <v>40.61</v>
      </c>
      <c r="L524" s="23" t="n">
        <f aca="false">167.47</f>
        <v>167.47</v>
      </c>
      <c r="M524" s="22" t="n">
        <v>14</v>
      </c>
      <c r="N524" s="22" t="n">
        <v>40</v>
      </c>
      <c r="O524" s="22" t="n">
        <v>154.9</v>
      </c>
      <c r="P524" s="23" t="n">
        <f aca="false">25.16</f>
        <v>25.16</v>
      </c>
      <c r="Q524" s="23" t="n">
        <f aca="false">185.24</f>
        <v>185.24</v>
      </c>
      <c r="R524" s="22" t="n">
        <v>15.2</v>
      </c>
      <c r="S524" s="22" t="n">
        <v>24.4</v>
      </c>
      <c r="T524" s="22" t="n">
        <v>545</v>
      </c>
      <c r="U524" s="24" t="s">
        <v>29</v>
      </c>
      <c r="V524" s="15"/>
      <c r="W524" s="16"/>
      <c r="X524" s="16"/>
      <c r="Y524" s="16"/>
    </row>
    <row r="525" customFormat="false" ht="15.75" hidden="false" customHeight="false" outlineLevel="0" collapsed="false">
      <c r="A525" s="9"/>
      <c r="B525" s="10"/>
      <c r="C525" s="10"/>
      <c r="D525" s="10"/>
      <c r="E525" s="10"/>
      <c r="F525" s="10"/>
      <c r="G525" s="10"/>
      <c r="H525" s="10"/>
      <c r="I525" s="25" t="n">
        <v>4</v>
      </c>
      <c r="J525" s="25"/>
      <c r="K525" s="26" t="n">
        <f aca="false">41.27</f>
        <v>41.27</v>
      </c>
      <c r="L525" s="26" t="n">
        <f aca="false">176.19</f>
        <v>176.19</v>
      </c>
      <c r="M525" s="25" t="n">
        <v>12</v>
      </c>
      <c r="N525" s="25" t="n">
        <v>41</v>
      </c>
      <c r="O525" s="25" t="n">
        <v>157.5</v>
      </c>
      <c r="P525" s="26" t="n">
        <f aca="false">23.19</f>
        <v>23.19</v>
      </c>
      <c r="Q525" s="26" t="n">
        <f aca="false">185.17</f>
        <v>185.17</v>
      </c>
      <c r="R525" s="25" t="n">
        <v>15.8</v>
      </c>
      <c r="S525" s="25" t="n">
        <v>26.9</v>
      </c>
      <c r="T525" s="25" t="n">
        <v>501</v>
      </c>
      <c r="U525" s="27" t="s">
        <v>29</v>
      </c>
      <c r="V525" s="21"/>
      <c r="W525" s="16"/>
      <c r="X525" s="16"/>
      <c r="Y525" s="16"/>
    </row>
    <row r="526" customFormat="false" ht="15.75" hidden="false" customHeight="true" outlineLevel="0" collapsed="false">
      <c r="A526" s="9" t="s">
        <v>158</v>
      </c>
      <c r="B526" s="10" t="s">
        <v>44</v>
      </c>
      <c r="C526" s="11" t="s">
        <v>193</v>
      </c>
      <c r="D526" s="10" t="s">
        <v>28</v>
      </c>
      <c r="E526" s="10" t="s">
        <v>28</v>
      </c>
      <c r="F526" s="10"/>
      <c r="G526" s="10" t="n">
        <v>15</v>
      </c>
      <c r="H526" s="10" t="n">
        <v>2.1</v>
      </c>
      <c r="I526" s="12" t="n">
        <v>1</v>
      </c>
      <c r="J526" s="12" t="s">
        <v>46</v>
      </c>
      <c r="K526" s="13" t="n">
        <f aca="false">46.93</f>
        <v>46.93</v>
      </c>
      <c r="L526" s="13" t="n">
        <f aca="false">135.46</f>
        <v>135.46</v>
      </c>
      <c r="M526" s="12" t="n">
        <v>20</v>
      </c>
      <c r="N526" s="12" t="n">
        <v>30</v>
      </c>
      <c r="O526" s="12" t="n">
        <v>142.1</v>
      </c>
      <c r="P526" s="13" t="n">
        <f aca="false">27.48</f>
        <v>27.48</v>
      </c>
      <c r="Q526" s="13" t="n">
        <f aca="false">167.82</f>
        <v>167.82</v>
      </c>
      <c r="R526" s="12" t="n">
        <v>17.6</v>
      </c>
      <c r="S526" s="12" t="n">
        <v>19.4</v>
      </c>
      <c r="T526" s="12" t="n">
        <v>586</v>
      </c>
      <c r="U526" s="14" t="s">
        <v>97</v>
      </c>
      <c r="V526" s="15"/>
      <c r="W526" s="16" t="str">
        <f aca="false">A526</f>
        <v>AK</v>
      </c>
      <c r="X526" s="17" t="e">
        <f aca="false">ifs(C526="","",X526="",NOW(),TRUE(),X526)</f>
        <v>#VALUE!</v>
      </c>
      <c r="Y526" s="17" t="e">
        <f aca="false">ifs(COUNTA(K526:U529)&lt;44,"",Y526="",NOW(),TRUE(),Y526)</f>
        <v>#VALUE!</v>
      </c>
    </row>
    <row r="527" customFormat="false" ht="15.75" hidden="false" customHeight="false" outlineLevel="0" collapsed="false">
      <c r="A527" s="9"/>
      <c r="B527" s="10"/>
      <c r="C527" s="10"/>
      <c r="D527" s="10"/>
      <c r="E527" s="10"/>
      <c r="F527" s="10"/>
      <c r="G527" s="10"/>
      <c r="H527" s="10"/>
      <c r="I527" s="18" t="n">
        <v>2</v>
      </c>
      <c r="J527" s="18" t="s">
        <v>46</v>
      </c>
      <c r="K527" s="19" t="n">
        <f aca="false">44.29</f>
        <v>44.29</v>
      </c>
      <c r="L527" s="19" t="n">
        <f aca="false">131.79</f>
        <v>131.79</v>
      </c>
      <c r="M527" s="18" t="n">
        <v>20</v>
      </c>
      <c r="N527" s="18" t="n">
        <v>28</v>
      </c>
      <c r="O527" s="18" t="n">
        <v>114.5</v>
      </c>
      <c r="P527" s="19" t="n">
        <f aca="false">26.91</f>
        <v>26.91</v>
      </c>
      <c r="Q527" s="19" t="n">
        <f aca="false">155.08</f>
        <v>155.08</v>
      </c>
      <c r="R527" s="18" t="n">
        <v>14.2</v>
      </c>
      <c r="S527" s="18" t="n">
        <v>18.7</v>
      </c>
      <c r="T527" s="18" t="n">
        <v>510</v>
      </c>
      <c r="U527" s="20" t="s">
        <v>97</v>
      </c>
      <c r="V527" s="21"/>
      <c r="W527" s="16"/>
      <c r="X527" s="16"/>
      <c r="Y527" s="16"/>
    </row>
    <row r="528" customFormat="false" ht="15.75" hidden="false" customHeight="false" outlineLevel="0" collapsed="false">
      <c r="A528" s="9"/>
      <c r="B528" s="10"/>
      <c r="C528" s="10"/>
      <c r="D528" s="10"/>
      <c r="E528" s="10"/>
      <c r="F528" s="10"/>
      <c r="G528" s="10"/>
      <c r="H528" s="10"/>
      <c r="I528" s="22" t="n">
        <v>3</v>
      </c>
      <c r="J528" s="22" t="s">
        <v>49</v>
      </c>
      <c r="K528" s="23" t="n">
        <f aca="false">42.29</f>
        <v>42.29</v>
      </c>
      <c r="L528" s="23" t="n">
        <f aca="false">118.77</f>
        <v>118.77</v>
      </c>
      <c r="M528" s="22" t="n">
        <v>16</v>
      </c>
      <c r="N528" s="22" t="n">
        <v>30</v>
      </c>
      <c r="O528" s="22" t="n">
        <v>99.4</v>
      </c>
      <c r="P528" s="23" t="n">
        <f aca="false">26</f>
        <v>26</v>
      </c>
      <c r="Q528" s="23" t="n">
        <f aca="false">143.72</f>
        <v>143.72</v>
      </c>
      <c r="R528" s="22" t="n">
        <v>12.7</v>
      </c>
      <c r="S528" s="22" t="n">
        <v>19.7</v>
      </c>
      <c r="T528" s="22" t="n">
        <v>436</v>
      </c>
      <c r="U528" s="24" t="s">
        <v>97</v>
      </c>
      <c r="V528" s="15"/>
      <c r="W528" s="16"/>
      <c r="X528" s="16"/>
      <c r="Y528" s="16"/>
    </row>
    <row r="529" customFormat="false" ht="15.75" hidden="false" customHeight="false" outlineLevel="0" collapsed="false">
      <c r="A529" s="9"/>
      <c r="B529" s="10"/>
      <c r="C529" s="10"/>
      <c r="D529" s="10"/>
      <c r="E529" s="10"/>
      <c r="F529" s="10"/>
      <c r="G529" s="10"/>
      <c r="H529" s="10"/>
      <c r="I529" s="25" t="n">
        <v>4</v>
      </c>
      <c r="J529" s="25" t="s">
        <v>46</v>
      </c>
      <c r="K529" s="26" t="n">
        <f aca="false">44.89</f>
        <v>44.89</v>
      </c>
      <c r="L529" s="26" t="n">
        <f aca="false">149.29</f>
        <v>149.29</v>
      </c>
      <c r="M529" s="25" t="n">
        <v>18</v>
      </c>
      <c r="N529" s="25" t="n">
        <v>36</v>
      </c>
      <c r="O529" s="25" t="n">
        <v>131.5</v>
      </c>
      <c r="P529" s="26" t="n">
        <f aca="false">29.47</f>
        <v>29.47</v>
      </c>
      <c r="Q529" s="26" t="n">
        <f aca="false">166.25</f>
        <v>166.25</v>
      </c>
      <c r="R529" s="25" t="n">
        <v>17</v>
      </c>
      <c r="S529" s="25" t="n">
        <v>19.2</v>
      </c>
      <c r="T529" s="25" t="n">
        <v>586</v>
      </c>
      <c r="U529" s="27" t="s">
        <v>97</v>
      </c>
      <c r="V529" s="21"/>
      <c r="W529" s="16"/>
      <c r="X529" s="16"/>
      <c r="Y529" s="16"/>
    </row>
    <row r="530" customFormat="false" ht="15.75" hidden="false" customHeight="true" outlineLevel="0" collapsed="false">
      <c r="A530" s="9" t="s">
        <v>194</v>
      </c>
      <c r="B530" s="10" t="s">
        <v>176</v>
      </c>
      <c r="C530" s="11" t="s">
        <v>195</v>
      </c>
      <c r="D530" s="10" t="s">
        <v>28</v>
      </c>
      <c r="E530" s="10" t="s">
        <v>28</v>
      </c>
      <c r="F530" s="10"/>
      <c r="G530" s="10" t="n">
        <v>45</v>
      </c>
      <c r="H530" s="10" t="n">
        <v>11.08</v>
      </c>
      <c r="I530" s="12" t="n">
        <v>1</v>
      </c>
      <c r="J530" s="12" t="s">
        <v>47</v>
      </c>
      <c r="K530" s="13" t="n">
        <f aca="false">43.71</f>
        <v>43.71</v>
      </c>
      <c r="L530" s="13" t="n">
        <f aca="false">123.05</f>
        <v>123.05</v>
      </c>
      <c r="M530" s="12" t="n">
        <v>14</v>
      </c>
      <c r="N530" s="12" t="n">
        <v>33</v>
      </c>
      <c r="O530" s="12" t="n">
        <v>119.26</v>
      </c>
      <c r="P530" s="13" t="n">
        <f aca="false">26.52</f>
        <v>26.52</v>
      </c>
      <c r="Q530" s="13" t="n">
        <f aca="false">153.84</f>
        <v>153.84</v>
      </c>
      <c r="R530" s="12" t="n">
        <v>15.57</v>
      </c>
      <c r="S530" s="12" t="n">
        <v>27.75</v>
      </c>
      <c r="T530" s="12" t="n">
        <v>372</v>
      </c>
      <c r="U530" s="14" t="s">
        <v>97</v>
      </c>
      <c r="V530" s="15"/>
      <c r="W530" s="16" t="str">
        <f aca="false">A530</f>
        <v>NN</v>
      </c>
      <c r="X530" s="17" t="e">
        <f aca="false">ifs(C530="","",X530="",NOW(),TRUE(),X530)</f>
        <v>#VALUE!</v>
      </c>
      <c r="Y530" s="17" t="e">
        <f aca="false">ifs(COUNTA(K530:U533)&lt;44,"",Y530="",NOW(),TRUE(),Y530)</f>
        <v>#VALUE!</v>
      </c>
    </row>
    <row r="531" customFormat="false" ht="15.75" hidden="false" customHeight="false" outlineLevel="0" collapsed="false">
      <c r="A531" s="9"/>
      <c r="B531" s="10"/>
      <c r="C531" s="10"/>
      <c r="D531" s="10"/>
      <c r="E531" s="10"/>
      <c r="F531" s="10"/>
      <c r="G531" s="10"/>
      <c r="H531" s="10"/>
      <c r="I531" s="18" t="n">
        <v>2</v>
      </c>
      <c r="J531" s="18" t="s">
        <v>47</v>
      </c>
      <c r="K531" s="19" t="n">
        <f aca="false">43.14</f>
        <v>43.14</v>
      </c>
      <c r="L531" s="19" t="n">
        <f aca="false">112.31</f>
        <v>112.31</v>
      </c>
      <c r="M531" s="18" t="n">
        <v>14</v>
      </c>
      <c r="N531" s="18" t="n">
        <v>37</v>
      </c>
      <c r="O531" s="18" t="n">
        <v>102.89</v>
      </c>
      <c r="P531" s="19" t="n">
        <f aca="false">25.04</f>
        <v>25.04</v>
      </c>
      <c r="Q531" s="19" t="n">
        <f aca="false">144</f>
        <v>144</v>
      </c>
      <c r="R531" s="18" t="n">
        <v>12.45</v>
      </c>
      <c r="S531" s="18" t="n">
        <v>26.43</v>
      </c>
      <c r="T531" s="18" t="n">
        <v>346</v>
      </c>
      <c r="U531" s="20" t="s">
        <v>97</v>
      </c>
      <c r="V531" s="21"/>
      <c r="W531" s="16"/>
      <c r="X531" s="16"/>
      <c r="Y531" s="16"/>
    </row>
    <row r="532" customFormat="false" ht="15.75" hidden="false" customHeight="false" outlineLevel="0" collapsed="false">
      <c r="A532" s="9"/>
      <c r="B532" s="10"/>
      <c r="C532" s="10"/>
      <c r="D532" s="10"/>
      <c r="E532" s="10"/>
      <c r="F532" s="10"/>
      <c r="G532" s="10"/>
      <c r="H532" s="10"/>
      <c r="I532" s="22" t="n">
        <v>3</v>
      </c>
      <c r="J532" s="22"/>
      <c r="K532" s="23" t="n">
        <f aca="false">44.53</f>
        <v>44.53</v>
      </c>
      <c r="L532" s="23" t="n">
        <f aca="false">166.61</f>
        <v>166.61</v>
      </c>
      <c r="M532" s="22" t="n">
        <v>16</v>
      </c>
      <c r="N532" s="22" t="n">
        <v>40</v>
      </c>
      <c r="O532" s="22" t="n">
        <v>167.72</v>
      </c>
      <c r="P532" s="23" t="n">
        <f aca="false">27.3</f>
        <v>27.3</v>
      </c>
      <c r="Q532" s="23" t="n">
        <f aca="false">169.47</f>
        <v>169.47</v>
      </c>
      <c r="R532" s="22" t="n">
        <v>19.41</v>
      </c>
      <c r="S532" s="22" t="n">
        <v>25.85</v>
      </c>
      <c r="T532" s="22" t="n">
        <v>587</v>
      </c>
      <c r="U532" s="24" t="s">
        <v>97</v>
      </c>
      <c r="V532" s="15"/>
      <c r="W532" s="16"/>
      <c r="X532" s="16"/>
      <c r="Y532" s="16"/>
    </row>
    <row r="533" customFormat="false" ht="15.75" hidden="false" customHeight="false" outlineLevel="0" collapsed="false">
      <c r="A533" s="9"/>
      <c r="B533" s="10"/>
      <c r="C533" s="10"/>
      <c r="D533" s="10"/>
      <c r="E533" s="10"/>
      <c r="F533" s="10"/>
      <c r="G533" s="10"/>
      <c r="H533" s="10"/>
      <c r="I533" s="25" t="n">
        <v>4</v>
      </c>
      <c r="J533" s="25"/>
      <c r="K533" s="26" t="n">
        <f aca="false">46.84</f>
        <v>46.84</v>
      </c>
      <c r="L533" s="26" t="n">
        <f aca="false">158.76</f>
        <v>158.76</v>
      </c>
      <c r="M533" s="25" t="n">
        <v>16</v>
      </c>
      <c r="N533" s="25" t="n">
        <v>40</v>
      </c>
      <c r="O533" s="25" t="n">
        <v>172.37</v>
      </c>
      <c r="P533" s="26" t="n">
        <f aca="false">27.25</f>
        <v>27.25</v>
      </c>
      <c r="Q533" s="26" t="n">
        <f aca="false">161.82</f>
        <v>161.82</v>
      </c>
      <c r="R533" s="25" t="n">
        <v>19.81</v>
      </c>
      <c r="S533" s="25" t="n">
        <v>25.74</v>
      </c>
      <c r="T533" s="25" t="n">
        <v>592</v>
      </c>
      <c r="U533" s="27" t="s">
        <v>97</v>
      </c>
      <c r="V533" s="21"/>
      <c r="W533" s="16"/>
      <c r="X533" s="16"/>
      <c r="Y533" s="16"/>
    </row>
    <row r="534" customFormat="false" ht="15.75" hidden="false" customHeight="true" outlineLevel="0" collapsed="false">
      <c r="A534" s="9" t="s">
        <v>194</v>
      </c>
      <c r="B534" s="10" t="s">
        <v>176</v>
      </c>
      <c r="C534" s="11" t="s">
        <v>196</v>
      </c>
      <c r="D534" s="10" t="s">
        <v>28</v>
      </c>
      <c r="E534" s="10" t="s">
        <v>28</v>
      </c>
      <c r="F534" s="10"/>
      <c r="G534" s="10" t="n">
        <v>15</v>
      </c>
      <c r="H534" s="10" t="n">
        <v>3.89</v>
      </c>
      <c r="I534" s="12" t="n">
        <v>1</v>
      </c>
      <c r="J534" s="12"/>
      <c r="K534" s="13" t="n">
        <f aca="false">44.73</f>
        <v>44.73</v>
      </c>
      <c r="L534" s="13" t="n">
        <f aca="false">149.31</f>
        <v>149.31</v>
      </c>
      <c r="M534" s="12" t="n">
        <v>14</v>
      </c>
      <c r="N534" s="12" t="n">
        <v>37</v>
      </c>
      <c r="O534" s="12" t="n">
        <v>154.69</v>
      </c>
      <c r="P534" s="13" t="n">
        <f aca="false">25.63</f>
        <v>25.63</v>
      </c>
      <c r="Q534" s="13" t="n">
        <f aca="false">153.29</f>
        <v>153.29</v>
      </c>
      <c r="R534" s="12" t="n">
        <v>18.97</v>
      </c>
      <c r="S534" s="12" t="n">
        <v>29.01</v>
      </c>
      <c r="T534" s="12" t="n">
        <v>475</v>
      </c>
      <c r="U534" s="14" t="s">
        <v>197</v>
      </c>
      <c r="V534" s="15"/>
      <c r="W534" s="16" t="str">
        <f aca="false">A534</f>
        <v>NN</v>
      </c>
      <c r="X534" s="17" t="e">
        <f aca="false">ifs(C534="","",X534="",NOW(),TRUE(),X534)</f>
        <v>#VALUE!</v>
      </c>
      <c r="Y534" s="17" t="e">
        <f aca="false">ifs(COUNTA(K534:U537)&lt;44,"",Y534="",NOW(),TRUE(),Y534)</f>
        <v>#VALUE!</v>
      </c>
    </row>
    <row r="535" customFormat="false" ht="15.75" hidden="false" customHeight="false" outlineLevel="0" collapsed="false">
      <c r="A535" s="9"/>
      <c r="B535" s="10"/>
      <c r="C535" s="10"/>
      <c r="D535" s="10"/>
      <c r="E535" s="10"/>
      <c r="F535" s="10"/>
      <c r="G535" s="10"/>
      <c r="H535" s="10"/>
      <c r="I535" s="18" t="n">
        <v>2</v>
      </c>
      <c r="J535" s="18"/>
      <c r="K535" s="19" t="n">
        <f aca="false">46.18</f>
        <v>46.18</v>
      </c>
      <c r="L535" s="19" t="n">
        <f aca="false">150.59</f>
        <v>150.59</v>
      </c>
      <c r="M535" s="18" t="n">
        <v>14</v>
      </c>
      <c r="N535" s="18" t="n">
        <v>37</v>
      </c>
      <c r="O535" s="18" t="n">
        <v>152.34</v>
      </c>
      <c r="P535" s="19" t="n">
        <f aca="false">25.3</f>
        <v>25.3</v>
      </c>
      <c r="Q535" s="19" t="n">
        <f aca="false">158.45</f>
        <v>158.45</v>
      </c>
      <c r="R535" s="18" t="n">
        <v>18.67</v>
      </c>
      <c r="S535" s="18" t="n">
        <v>27.38</v>
      </c>
      <c r="T535" s="18" t="n">
        <v>489</v>
      </c>
      <c r="U535" s="20" t="s">
        <v>41</v>
      </c>
      <c r="V535" s="21"/>
      <c r="W535" s="16"/>
      <c r="X535" s="16"/>
      <c r="Y535" s="16"/>
    </row>
    <row r="536" customFormat="false" ht="15.75" hidden="false" customHeight="false" outlineLevel="0" collapsed="false">
      <c r="A536" s="9"/>
      <c r="B536" s="10"/>
      <c r="C536" s="10"/>
      <c r="D536" s="10"/>
      <c r="E536" s="10"/>
      <c r="F536" s="10"/>
      <c r="G536" s="10"/>
      <c r="H536" s="10"/>
      <c r="I536" s="22" t="n">
        <v>3</v>
      </c>
      <c r="J536" s="22"/>
      <c r="K536" s="23" t="n">
        <f aca="false">46.29</f>
        <v>46.29</v>
      </c>
      <c r="L536" s="23" t="n">
        <f aca="false">151.54</f>
        <v>151.54</v>
      </c>
      <c r="M536" s="22" t="n">
        <v>14</v>
      </c>
      <c r="N536" s="22" t="n">
        <v>39</v>
      </c>
      <c r="O536" s="22" t="n">
        <v>164.86</v>
      </c>
      <c r="P536" s="23" t="n">
        <f aca="false">26.18</f>
        <v>26.18</v>
      </c>
      <c r="Q536" s="23" t="n">
        <f aca="false">155.8</f>
        <v>155.8</v>
      </c>
      <c r="R536" s="22" t="n">
        <v>20.92</v>
      </c>
      <c r="S536" s="22" t="n">
        <v>28.96</v>
      </c>
      <c r="T536" s="22" t="n">
        <v>499</v>
      </c>
      <c r="U536" s="24" t="s">
        <v>97</v>
      </c>
      <c r="V536" s="15"/>
      <c r="W536" s="16"/>
      <c r="X536" s="16"/>
      <c r="Y536" s="16"/>
    </row>
    <row r="537" customFormat="false" ht="15.75" hidden="false" customHeight="false" outlineLevel="0" collapsed="false">
      <c r="A537" s="9"/>
      <c r="B537" s="10"/>
      <c r="C537" s="10"/>
      <c r="D537" s="10"/>
      <c r="E537" s="10"/>
      <c r="F537" s="10"/>
      <c r="G537" s="10"/>
      <c r="H537" s="10"/>
      <c r="I537" s="25" t="n">
        <v>4</v>
      </c>
      <c r="J537" s="25"/>
      <c r="K537" s="26" t="n">
        <f aca="false">44.18</f>
        <v>44.18</v>
      </c>
      <c r="L537" s="26" t="n">
        <f aca="false">115.68</f>
        <v>115.68</v>
      </c>
      <c r="M537" s="25" t="n">
        <v>12</v>
      </c>
      <c r="N537" s="25" t="n">
        <v>30</v>
      </c>
      <c r="O537" s="25" t="n">
        <v>109.29</v>
      </c>
      <c r="P537" s="26" t="n">
        <f aca="false">22.65</f>
        <v>22.65</v>
      </c>
      <c r="Q537" s="26" t="n">
        <f aca="false">127.65</f>
        <v>127.65</v>
      </c>
      <c r="R537" s="25" t="n">
        <v>13.87</v>
      </c>
      <c r="S537" s="25" t="n">
        <v>30.53</v>
      </c>
      <c r="T537" s="25" t="n">
        <v>307</v>
      </c>
      <c r="U537" s="27" t="s">
        <v>41</v>
      </c>
      <c r="V537" s="21"/>
      <c r="W537" s="16"/>
      <c r="X537" s="16"/>
      <c r="Y537" s="16"/>
    </row>
    <row r="538" customFormat="false" ht="15.75" hidden="false" customHeight="true" outlineLevel="0" collapsed="false">
      <c r="A538" s="9" t="s">
        <v>158</v>
      </c>
      <c r="B538" s="10" t="s">
        <v>26</v>
      </c>
      <c r="C538" s="11" t="s">
        <v>198</v>
      </c>
      <c r="D538" s="10" t="s">
        <v>28</v>
      </c>
      <c r="E538" s="10" t="s">
        <v>28</v>
      </c>
      <c r="F538" s="10"/>
      <c r="G538" s="10" t="n">
        <v>12</v>
      </c>
      <c r="H538" s="10" t="n">
        <v>2.6</v>
      </c>
      <c r="I538" s="12" t="n">
        <v>1</v>
      </c>
      <c r="J538" s="12" t="s">
        <v>57</v>
      </c>
      <c r="K538" s="13" t="n">
        <f aca="false">47.2</f>
        <v>47.2</v>
      </c>
      <c r="L538" s="13" t="n">
        <f aca="false">152.62</f>
        <v>152.62</v>
      </c>
      <c r="M538" s="12" t="n">
        <v>18</v>
      </c>
      <c r="N538" s="12" t="n">
        <v>34</v>
      </c>
      <c r="O538" s="12" t="n">
        <v>172.7</v>
      </c>
      <c r="P538" s="13" t="n">
        <f aca="false">28.22</f>
        <v>28.22</v>
      </c>
      <c r="Q538" s="13" t="n">
        <f aca="false">173.14</f>
        <v>173.14</v>
      </c>
      <c r="R538" s="12" t="n">
        <v>23</v>
      </c>
      <c r="S538" s="12" t="n">
        <v>26.6</v>
      </c>
      <c r="T538" s="12" t="n">
        <v>575</v>
      </c>
      <c r="U538" s="14" t="s">
        <v>97</v>
      </c>
      <c r="V538" s="15"/>
      <c r="W538" s="16" t="str">
        <f aca="false">A538</f>
        <v>AK</v>
      </c>
      <c r="X538" s="17" t="e">
        <f aca="false">ifs(C538="","",X538="",NOW(),TRUE(),X538)</f>
        <v>#VALUE!</v>
      </c>
      <c r="Y538" s="17" t="e">
        <f aca="false">ifs(COUNTA(K538:U541)&lt;44,"",Y538="",NOW(),TRUE(),Y538)</f>
        <v>#VALUE!</v>
      </c>
    </row>
    <row r="539" customFormat="false" ht="15.75" hidden="false" customHeight="false" outlineLevel="0" collapsed="false">
      <c r="A539" s="9"/>
      <c r="B539" s="10"/>
      <c r="C539" s="10"/>
      <c r="D539" s="10"/>
      <c r="E539" s="10"/>
      <c r="F539" s="10"/>
      <c r="G539" s="10"/>
      <c r="H539" s="10"/>
      <c r="I539" s="18" t="n">
        <v>2</v>
      </c>
      <c r="J539" s="18" t="s">
        <v>46</v>
      </c>
      <c r="K539" s="19" t="n">
        <f aca="false">45.43</f>
        <v>45.43</v>
      </c>
      <c r="L539" s="19" t="n">
        <f aca="false">151.11</f>
        <v>151.11</v>
      </c>
      <c r="M539" s="18" t="n">
        <v>18</v>
      </c>
      <c r="N539" s="18" t="n">
        <v>33</v>
      </c>
      <c r="O539" s="18" t="n">
        <v>165.7</v>
      </c>
      <c r="P539" s="19" t="n">
        <f aca="false">28.88</f>
        <v>28.88</v>
      </c>
      <c r="Q539" s="19" t="n">
        <f aca="false">176.04</f>
        <v>176.04</v>
      </c>
      <c r="R539" s="18" t="n">
        <v>24.8</v>
      </c>
      <c r="S539" s="18" t="n">
        <v>27</v>
      </c>
      <c r="T539" s="18" t="n">
        <v>556</v>
      </c>
      <c r="U539" s="20" t="s">
        <v>97</v>
      </c>
      <c r="V539" s="21"/>
      <c r="W539" s="16"/>
      <c r="X539" s="16"/>
      <c r="Y539" s="16"/>
    </row>
    <row r="540" customFormat="false" ht="15.75" hidden="false" customHeight="false" outlineLevel="0" collapsed="false">
      <c r="A540" s="9"/>
      <c r="B540" s="10"/>
      <c r="C540" s="10"/>
      <c r="D540" s="10"/>
      <c r="E540" s="10"/>
      <c r="F540" s="10"/>
      <c r="G540" s="10"/>
      <c r="H540" s="10"/>
      <c r="I540" s="22" t="n">
        <v>3</v>
      </c>
      <c r="J540" s="22" t="s">
        <v>46</v>
      </c>
      <c r="K540" s="23" t="n">
        <f aca="false">40.64</f>
        <v>40.64</v>
      </c>
      <c r="L540" s="23" t="n">
        <f aca="false">115.9</f>
        <v>115.9</v>
      </c>
      <c r="M540" s="22" t="n">
        <v>14</v>
      </c>
      <c r="N540" s="22" t="n">
        <v>28</v>
      </c>
      <c r="O540" s="22" t="n">
        <v>87.3</v>
      </c>
      <c r="P540" s="23" t="n">
        <f aca="false">25.69</f>
        <v>25.69</v>
      </c>
      <c r="Q540" s="23" t="n">
        <f aca="false">131.3</f>
        <v>131.3</v>
      </c>
      <c r="R540" s="22" t="n">
        <v>11.7</v>
      </c>
      <c r="S540" s="22" t="n">
        <v>25.45</v>
      </c>
      <c r="T540" s="22" t="n">
        <v>303</v>
      </c>
      <c r="U540" s="24" t="s">
        <v>97</v>
      </c>
      <c r="V540" s="15"/>
      <c r="W540" s="16"/>
      <c r="X540" s="16"/>
      <c r="Y540" s="16"/>
    </row>
    <row r="541" customFormat="false" ht="15.75" hidden="false" customHeight="false" outlineLevel="0" collapsed="false">
      <c r="A541" s="9"/>
      <c r="B541" s="10"/>
      <c r="C541" s="10"/>
      <c r="D541" s="10"/>
      <c r="E541" s="10"/>
      <c r="F541" s="10"/>
      <c r="G541" s="10"/>
      <c r="H541" s="10"/>
      <c r="I541" s="25" t="n">
        <v>4</v>
      </c>
      <c r="J541" s="25" t="s">
        <v>35</v>
      </c>
      <c r="K541" s="26" t="n">
        <f aca="false">42.62</f>
        <v>42.62</v>
      </c>
      <c r="L541" s="26" t="n">
        <f aca="false">59.44</f>
        <v>59.44</v>
      </c>
      <c r="M541" s="25" t="n">
        <v>18</v>
      </c>
      <c r="N541" s="25" t="n">
        <v>13</v>
      </c>
      <c r="O541" s="25" t="n">
        <v>54.5</v>
      </c>
      <c r="P541" s="26" t="n">
        <f aca="false">29.34</f>
        <v>29.34</v>
      </c>
      <c r="Q541" s="26" t="n">
        <f aca="false">61.16</f>
        <v>61.16</v>
      </c>
      <c r="R541" s="25" t="n">
        <v>7.55</v>
      </c>
      <c r="S541" s="25" t="n">
        <v>31.9</v>
      </c>
      <c r="T541" s="25" t="n">
        <v>148</v>
      </c>
      <c r="U541" s="27" t="s">
        <v>97</v>
      </c>
      <c r="V541" s="21"/>
      <c r="W541" s="16"/>
      <c r="X541" s="16"/>
      <c r="Y541" s="16"/>
    </row>
    <row r="542" customFormat="false" ht="15.75" hidden="false" customHeight="true" outlineLevel="0" collapsed="false">
      <c r="A542" s="9" t="s">
        <v>194</v>
      </c>
      <c r="B542" s="10" t="s">
        <v>176</v>
      </c>
      <c r="C542" s="11" t="s">
        <v>199</v>
      </c>
      <c r="D542" s="10" t="s">
        <v>28</v>
      </c>
      <c r="E542" s="10" t="s">
        <v>28</v>
      </c>
      <c r="F542" s="10"/>
      <c r="G542" s="10" t="n">
        <v>11</v>
      </c>
      <c r="H542" s="10" t="n">
        <v>2.97</v>
      </c>
      <c r="I542" s="12" t="n">
        <v>1</v>
      </c>
      <c r="J542" s="12"/>
      <c r="K542" s="13" t="n">
        <f aca="false">41.98</f>
        <v>41.98</v>
      </c>
      <c r="L542" s="13" t="n">
        <f aca="false">142.08</f>
        <v>142.08</v>
      </c>
      <c r="M542" s="12" t="n">
        <v>16</v>
      </c>
      <c r="N542" s="12" t="n">
        <v>35</v>
      </c>
      <c r="O542" s="12" t="n">
        <v>131.54</v>
      </c>
      <c r="P542" s="13" t="n">
        <f aca="false">24.73</f>
        <v>24.73</v>
      </c>
      <c r="Q542" s="13" t="n">
        <f aca="false">153.41</f>
        <v>153.41</v>
      </c>
      <c r="R542" s="12" t="n">
        <v>14.88</v>
      </c>
      <c r="S542" s="12" t="n">
        <v>23.03</v>
      </c>
      <c r="T542" s="12" t="n">
        <v>508</v>
      </c>
      <c r="U542" s="14" t="s">
        <v>29</v>
      </c>
      <c r="V542" s="15"/>
      <c r="W542" s="16" t="str">
        <f aca="false">A542</f>
        <v>NN</v>
      </c>
      <c r="X542" s="17" t="e">
        <f aca="false">ifs(C542="","",X542="",NOW(),TRUE(),X542)</f>
        <v>#VALUE!</v>
      </c>
      <c r="Y542" s="17" t="e">
        <f aca="false">ifs(COUNTA(K542:U545)&lt;44,"",Y542="",NOW(),TRUE(),Y542)</f>
        <v>#VALUE!</v>
      </c>
    </row>
    <row r="543" customFormat="false" ht="15.75" hidden="false" customHeight="false" outlineLevel="0" collapsed="false">
      <c r="A543" s="9"/>
      <c r="B543" s="10"/>
      <c r="C543" s="10"/>
      <c r="D543" s="10"/>
      <c r="E543" s="10"/>
      <c r="F543" s="10"/>
      <c r="G543" s="10"/>
      <c r="H543" s="10"/>
      <c r="I543" s="18" t="n">
        <v>2</v>
      </c>
      <c r="J543" s="18"/>
      <c r="K543" s="19" t="n">
        <f aca="false">43.32</f>
        <v>43.32</v>
      </c>
      <c r="L543" s="19" t="n">
        <f aca="false">156.85</f>
        <v>156.85</v>
      </c>
      <c r="M543" s="18" t="n">
        <v>16</v>
      </c>
      <c r="N543" s="18" t="n">
        <v>35</v>
      </c>
      <c r="O543" s="18" t="n">
        <v>146.28</v>
      </c>
      <c r="P543" s="19" t="n">
        <f aca="false">25.38</f>
        <v>25.38</v>
      </c>
      <c r="Q543" s="19" t="n">
        <f aca="false">166.24</f>
        <v>166.24</v>
      </c>
      <c r="R543" s="18" t="n">
        <v>15.72</v>
      </c>
      <c r="S543" s="18" t="n">
        <v>24.76</v>
      </c>
      <c r="T543" s="18" t="n">
        <v>532</v>
      </c>
      <c r="U543" s="20" t="s">
        <v>29</v>
      </c>
      <c r="V543" s="21"/>
      <c r="W543" s="16"/>
      <c r="X543" s="16"/>
      <c r="Y543" s="16"/>
    </row>
    <row r="544" customFormat="false" ht="15.75" hidden="false" customHeight="false" outlineLevel="0" collapsed="false">
      <c r="A544" s="9"/>
      <c r="B544" s="10"/>
      <c r="C544" s="10"/>
      <c r="D544" s="10"/>
      <c r="E544" s="10"/>
      <c r="F544" s="10"/>
      <c r="G544" s="10"/>
      <c r="H544" s="10"/>
      <c r="I544" s="22" t="n">
        <v>3</v>
      </c>
      <c r="J544" s="22"/>
      <c r="K544" s="23" t="n">
        <f aca="false">40.34</f>
        <v>40.34</v>
      </c>
      <c r="L544" s="23" t="n">
        <f aca="false">123.75</f>
        <v>123.75</v>
      </c>
      <c r="M544" s="22" t="n">
        <v>12</v>
      </c>
      <c r="N544" s="22" t="n">
        <v>31</v>
      </c>
      <c r="O544" s="22" t="n">
        <v>105.74</v>
      </c>
      <c r="P544" s="23" t="n">
        <f aca="false">24.09</f>
        <v>24.09</v>
      </c>
      <c r="Q544" s="23" t="n">
        <f aca="false">138.63</f>
        <v>138.63</v>
      </c>
      <c r="R544" s="22" t="n">
        <v>13.23</v>
      </c>
      <c r="S544" s="22" t="n">
        <v>25.54</v>
      </c>
      <c r="T544" s="22" t="n">
        <v>372</v>
      </c>
      <c r="U544" s="24" t="s">
        <v>29</v>
      </c>
      <c r="V544" s="15"/>
      <c r="W544" s="16"/>
      <c r="X544" s="16"/>
      <c r="Y544" s="16"/>
    </row>
    <row r="545" customFormat="false" ht="15.75" hidden="false" customHeight="false" outlineLevel="0" collapsed="false">
      <c r="A545" s="9"/>
      <c r="B545" s="10"/>
      <c r="C545" s="10"/>
      <c r="D545" s="10"/>
      <c r="E545" s="10"/>
      <c r="F545" s="10"/>
      <c r="G545" s="10"/>
      <c r="H545" s="10"/>
      <c r="I545" s="25" t="n">
        <v>4</v>
      </c>
      <c r="J545" s="25"/>
      <c r="K545" s="26" t="n">
        <f aca="false">44.01</f>
        <v>44.01</v>
      </c>
      <c r="L545" s="26" t="n">
        <f aca="false">133.08</f>
        <v>133.08</v>
      </c>
      <c r="M545" s="25" t="n">
        <v>16</v>
      </c>
      <c r="N545" s="25" t="n">
        <v>31</v>
      </c>
      <c r="O545" s="25" t="n">
        <v>124.33</v>
      </c>
      <c r="P545" s="26" t="n">
        <f aca="false">25.83</f>
        <v>25.83</v>
      </c>
      <c r="Q545" s="26" t="n">
        <f aca="false">156.65</f>
        <v>156.65</v>
      </c>
      <c r="R545" s="25" t="n">
        <v>16.19</v>
      </c>
      <c r="S545" s="25" t="n">
        <v>22.4</v>
      </c>
      <c r="T545" s="25" t="n">
        <v>472</v>
      </c>
      <c r="U545" s="27" t="s">
        <v>29</v>
      </c>
      <c r="V545" s="21"/>
      <c r="W545" s="16"/>
      <c r="X545" s="16"/>
      <c r="Y545" s="16"/>
    </row>
    <row r="546" customFormat="false" ht="15.75" hidden="false" customHeight="true" outlineLevel="0" collapsed="false">
      <c r="A546" s="9" t="s">
        <v>194</v>
      </c>
      <c r="B546" s="10" t="s">
        <v>176</v>
      </c>
      <c r="C546" s="11" t="s">
        <v>200</v>
      </c>
      <c r="D546" s="10" t="s">
        <v>28</v>
      </c>
      <c r="E546" s="10" t="s">
        <v>28</v>
      </c>
      <c r="F546" s="10"/>
      <c r="G546" s="10" t="n">
        <v>7</v>
      </c>
      <c r="H546" s="10" t="n">
        <v>1.37</v>
      </c>
      <c r="I546" s="12" t="n">
        <v>1</v>
      </c>
      <c r="J546" s="12"/>
      <c r="K546" s="13" t="n">
        <f aca="false">46.17</f>
        <v>46.17</v>
      </c>
      <c r="L546" s="13" t="n">
        <f aca="false">189.42</f>
        <v>189.42</v>
      </c>
      <c r="M546" s="12" t="n">
        <v>14</v>
      </c>
      <c r="N546" s="12" t="n">
        <v>44</v>
      </c>
      <c r="O546" s="12" t="n">
        <v>178.06</v>
      </c>
      <c r="P546" s="13" t="n">
        <f aca="false">27.51</f>
        <v>27.51</v>
      </c>
      <c r="Q546" s="13" t="n">
        <f aca="false">199.53</f>
        <v>199.53</v>
      </c>
      <c r="R546" s="12" t="n">
        <v>26.95</v>
      </c>
      <c r="S546" s="12" t="n">
        <v>21.51</v>
      </c>
      <c r="T546" s="12" t="n">
        <v>624</v>
      </c>
      <c r="U546" s="14" t="s">
        <v>29</v>
      </c>
      <c r="V546" s="15"/>
      <c r="W546" s="16" t="str">
        <f aca="false">A546</f>
        <v>NN</v>
      </c>
      <c r="X546" s="17" t="e">
        <f aca="false">ifs(C546="","",X546="",NOW(),TRUE(),X546)</f>
        <v>#VALUE!</v>
      </c>
      <c r="Y546" s="17" t="e">
        <f aca="false">ifs(COUNTA(K546:U549)&lt;44,"",Y546="",NOW(),TRUE(),Y546)</f>
        <v>#VALUE!</v>
      </c>
    </row>
    <row r="547" customFormat="false" ht="15.75" hidden="false" customHeight="false" outlineLevel="0" collapsed="false">
      <c r="A547" s="9"/>
      <c r="B547" s="10"/>
      <c r="C547" s="10"/>
      <c r="D547" s="10"/>
      <c r="E547" s="10"/>
      <c r="F547" s="10"/>
      <c r="G547" s="10"/>
      <c r="H547" s="10"/>
      <c r="I547" s="18" t="n">
        <v>2</v>
      </c>
      <c r="J547" s="18"/>
      <c r="K547" s="19" t="n">
        <f aca="false">46.65</f>
        <v>46.65</v>
      </c>
      <c r="L547" s="19" t="n">
        <f aca="false">169.12</f>
        <v>169.12</v>
      </c>
      <c r="M547" s="18" t="n">
        <v>13</v>
      </c>
      <c r="N547" s="18" t="n">
        <v>46</v>
      </c>
      <c r="O547" s="18" t="n">
        <v>170.93</v>
      </c>
      <c r="P547" s="19" t="n">
        <f aca="false">28.67</f>
        <v>28.67</v>
      </c>
      <c r="Q547" s="19" t="n">
        <f aca="false">177.47</f>
        <v>177.47</v>
      </c>
      <c r="R547" s="18" t="n">
        <v>28.09</v>
      </c>
      <c r="S547" s="18" t="n">
        <v>23.77</v>
      </c>
      <c r="T547" s="18" t="n">
        <v>711</v>
      </c>
      <c r="U547" s="20" t="s">
        <v>29</v>
      </c>
      <c r="V547" s="21"/>
      <c r="W547" s="16"/>
      <c r="X547" s="16"/>
      <c r="Y547" s="16"/>
    </row>
    <row r="548" customFormat="false" ht="15.75" hidden="false" customHeight="false" outlineLevel="0" collapsed="false">
      <c r="A548" s="9"/>
      <c r="B548" s="10"/>
      <c r="C548" s="10"/>
      <c r="D548" s="10"/>
      <c r="E548" s="10"/>
      <c r="F548" s="10"/>
      <c r="G548" s="10"/>
      <c r="H548" s="10"/>
      <c r="I548" s="22" t="n">
        <v>3</v>
      </c>
      <c r="J548" s="22"/>
      <c r="K548" s="23" t="n">
        <f aca="false">47.37</f>
        <v>47.37</v>
      </c>
      <c r="L548" s="23" t="n">
        <f aca="false">204.19</f>
        <v>204.19</v>
      </c>
      <c r="M548" s="22" t="n">
        <v>16</v>
      </c>
      <c r="N548" s="22" t="n">
        <v>49</v>
      </c>
      <c r="O548" s="22" t="n">
        <v>221.17</v>
      </c>
      <c r="P548" s="23" t="n">
        <f aca="false">28.22</f>
        <v>28.22</v>
      </c>
      <c r="Q548" s="23" t="n">
        <f aca="false">205.52</f>
        <v>205.52</v>
      </c>
      <c r="R548" s="22" t="n">
        <v>31.18</v>
      </c>
      <c r="S548" s="22" t="n">
        <v>24.31</v>
      </c>
      <c r="T548" s="22" t="n">
        <v>784</v>
      </c>
      <c r="U548" s="24" t="s">
        <v>29</v>
      </c>
      <c r="V548" s="15"/>
      <c r="W548" s="16"/>
      <c r="X548" s="16"/>
      <c r="Y548" s="16"/>
    </row>
    <row r="549" customFormat="false" ht="15.75" hidden="false" customHeight="false" outlineLevel="0" collapsed="false">
      <c r="A549" s="9"/>
      <c r="B549" s="10"/>
      <c r="C549" s="10"/>
      <c r="D549" s="10"/>
      <c r="E549" s="10"/>
      <c r="F549" s="10"/>
      <c r="G549" s="10"/>
      <c r="H549" s="10"/>
      <c r="I549" s="25" t="n">
        <v>4</v>
      </c>
      <c r="J549" s="25"/>
      <c r="K549" s="26" t="n">
        <f aca="false">44.55</f>
        <v>44.55</v>
      </c>
      <c r="L549" s="26" t="n">
        <f aca="false">153.59</f>
        <v>153.59</v>
      </c>
      <c r="M549" s="25" t="n">
        <v>14</v>
      </c>
      <c r="N549" s="25" t="n">
        <v>43</v>
      </c>
      <c r="O549" s="25" t="n">
        <v>155.05</v>
      </c>
      <c r="P549" s="26" t="n">
        <f aca="false">26.96</f>
        <v>26.96</v>
      </c>
      <c r="Q549" s="26" t="n">
        <f aca="false">171.45</f>
        <v>171.45</v>
      </c>
      <c r="R549" s="25" t="n">
        <v>21.48</v>
      </c>
      <c r="S549" s="25" t="n">
        <v>24.14</v>
      </c>
      <c r="T549" s="25" t="n">
        <v>534</v>
      </c>
      <c r="U549" s="27" t="s">
        <v>29</v>
      </c>
      <c r="V549" s="21"/>
      <c r="W549" s="16"/>
      <c r="X549" s="16"/>
      <c r="Y549" s="16"/>
    </row>
    <row r="550" customFormat="false" ht="15.75" hidden="false" customHeight="true" outlineLevel="0" collapsed="false">
      <c r="A550" s="9" t="s">
        <v>194</v>
      </c>
      <c r="B550" s="10" t="s">
        <v>44</v>
      </c>
      <c r="C550" s="11" t="s">
        <v>201</v>
      </c>
      <c r="D550" s="10" t="s">
        <v>28</v>
      </c>
      <c r="E550" s="10" t="s">
        <v>28</v>
      </c>
      <c r="F550" s="10"/>
      <c r="G550" s="10" t="n">
        <v>5</v>
      </c>
      <c r="H550" s="10" t="n">
        <v>1.6</v>
      </c>
      <c r="I550" s="12" t="n">
        <v>1</v>
      </c>
      <c r="J550" s="12" t="s">
        <v>47</v>
      </c>
      <c r="K550" s="13" t="n">
        <f aca="false">49.93</f>
        <v>49.93</v>
      </c>
      <c r="L550" s="13" t="n">
        <f aca="false">149.38</f>
        <v>149.38</v>
      </c>
      <c r="M550" s="12" t="n">
        <v>16</v>
      </c>
      <c r="N550" s="12" t="n">
        <v>42</v>
      </c>
      <c r="O550" s="12" t="n">
        <v>206.4</v>
      </c>
      <c r="P550" s="13" t="n">
        <f aca="false">32.53</f>
        <v>32.53</v>
      </c>
      <c r="Q550" s="13" t="n">
        <f aca="false">179.61</f>
        <v>179.61</v>
      </c>
      <c r="R550" s="12" t="n">
        <v>37.2</v>
      </c>
      <c r="S550" s="12" t="n">
        <v>23.3</v>
      </c>
      <c r="T550" s="12" t="n">
        <v>711</v>
      </c>
      <c r="U550" s="14" t="s">
        <v>29</v>
      </c>
      <c r="V550" s="15"/>
      <c r="W550" s="16" t="str">
        <f aca="false">A550</f>
        <v>NN</v>
      </c>
      <c r="X550" s="17" t="e">
        <f aca="false">ifs(C550="","",X550="",NOW(),TRUE(),X550)</f>
        <v>#VALUE!</v>
      </c>
      <c r="Y550" s="17" t="e">
        <f aca="false">ifs(COUNTA(K550:U553)&lt;44,"",Y550="",NOW(),TRUE(),Y550)</f>
        <v>#VALUE!</v>
      </c>
    </row>
    <row r="551" customFormat="false" ht="15.75" hidden="false" customHeight="false" outlineLevel="0" collapsed="false">
      <c r="A551" s="9"/>
      <c r="B551" s="10"/>
      <c r="C551" s="10"/>
      <c r="D551" s="10"/>
      <c r="E551" s="10"/>
      <c r="F551" s="10"/>
      <c r="G551" s="10"/>
      <c r="H551" s="10"/>
      <c r="I551" s="18" t="n">
        <v>2</v>
      </c>
      <c r="J551" s="18"/>
      <c r="K551" s="19" t="n">
        <f aca="false">39.03</f>
        <v>39.03</v>
      </c>
      <c r="L551" s="19" t="n">
        <f aca="false">135.41</f>
        <v>135.41</v>
      </c>
      <c r="M551" s="18" t="n">
        <v>14</v>
      </c>
      <c r="N551" s="18" t="n">
        <v>36</v>
      </c>
      <c r="O551" s="18" t="n">
        <v>107.7</v>
      </c>
      <c r="P551" s="19" t="n">
        <f aca="false">25.79</f>
        <v>25.79</v>
      </c>
      <c r="Q551" s="19" t="n">
        <f aca="false">149.24</f>
        <v>149.24</v>
      </c>
      <c r="R551" s="18" t="n">
        <v>14.3</v>
      </c>
      <c r="S551" s="18" t="n">
        <v>20.1</v>
      </c>
      <c r="T551" s="18" t="n">
        <v>457</v>
      </c>
      <c r="U551" s="20" t="s">
        <v>58</v>
      </c>
      <c r="V551" s="21"/>
      <c r="W551" s="16"/>
      <c r="X551" s="16"/>
      <c r="Y551" s="16"/>
    </row>
    <row r="552" customFormat="false" ht="15.75" hidden="false" customHeight="false" outlineLevel="0" collapsed="false">
      <c r="A552" s="9"/>
      <c r="B552" s="10"/>
      <c r="C552" s="10"/>
      <c r="D552" s="10"/>
      <c r="E552" s="10"/>
      <c r="F552" s="10"/>
      <c r="G552" s="10"/>
      <c r="H552" s="10"/>
      <c r="I552" s="22" t="n">
        <v>3</v>
      </c>
      <c r="J552" s="22"/>
      <c r="K552" s="23" t="n">
        <f aca="false">38.56</f>
        <v>38.56</v>
      </c>
      <c r="L552" s="23" t="n">
        <f aca="false">155.3</f>
        <v>155.3</v>
      </c>
      <c r="M552" s="22" t="n">
        <v>12</v>
      </c>
      <c r="N552" s="22" t="n">
        <v>41</v>
      </c>
      <c r="O552" s="22" t="n">
        <v>144.3</v>
      </c>
      <c r="P552" s="23" t="n">
        <f aca="false">23.72</f>
        <v>23.72</v>
      </c>
      <c r="Q552" s="23" t="n">
        <f aca="false">171.15</f>
        <v>171.15</v>
      </c>
      <c r="R552" s="22" t="n">
        <v>17.4</v>
      </c>
      <c r="S552" s="22" t="n">
        <v>23.4</v>
      </c>
      <c r="T552" s="22" t="n">
        <v>509</v>
      </c>
      <c r="U552" s="24" t="s">
        <v>58</v>
      </c>
      <c r="V552" s="15"/>
      <c r="W552" s="16"/>
      <c r="X552" s="16"/>
      <c r="Y552" s="16"/>
    </row>
    <row r="553" customFormat="false" ht="15.75" hidden="false" customHeight="false" outlineLevel="0" collapsed="false">
      <c r="A553" s="9"/>
      <c r="B553" s="10"/>
      <c r="C553" s="10"/>
      <c r="D553" s="10"/>
      <c r="E553" s="10"/>
      <c r="F553" s="10"/>
      <c r="G553" s="10"/>
      <c r="H553" s="10"/>
      <c r="I553" s="25" t="n">
        <v>4</v>
      </c>
      <c r="J553" s="25"/>
      <c r="K553" s="26" t="n">
        <f aca="false">38.66</f>
        <v>38.66</v>
      </c>
      <c r="L553" s="26" t="n">
        <f aca="false">175.88</f>
        <v>175.88</v>
      </c>
      <c r="M553" s="25" t="n">
        <v>12</v>
      </c>
      <c r="N553" s="25" t="n">
        <v>41</v>
      </c>
      <c r="O553" s="25" t="n">
        <v>152.9</v>
      </c>
      <c r="P553" s="26" t="n">
        <f aca="false">22.91</f>
        <v>22.91</v>
      </c>
      <c r="Q553" s="26" t="n">
        <f aca="false">190.73</f>
        <v>190.73</v>
      </c>
      <c r="R553" s="25" t="n">
        <v>18.7</v>
      </c>
      <c r="S553" s="25" t="n">
        <v>24</v>
      </c>
      <c r="T553" s="25" t="n">
        <v>556</v>
      </c>
      <c r="U553" s="27" t="s">
        <v>58</v>
      </c>
      <c r="V553" s="21"/>
      <c r="W553" s="16"/>
      <c r="X553" s="16"/>
      <c r="Y553" s="16"/>
    </row>
    <row r="554" customFormat="false" ht="15.75" hidden="false" customHeight="true" outlineLevel="0" collapsed="false">
      <c r="A554" s="9" t="s">
        <v>194</v>
      </c>
      <c r="B554" s="10" t="s">
        <v>44</v>
      </c>
      <c r="C554" s="11" t="s">
        <v>202</v>
      </c>
      <c r="D554" s="10" t="s">
        <v>28</v>
      </c>
      <c r="E554" s="10" t="s">
        <v>28</v>
      </c>
      <c r="F554" s="10"/>
      <c r="G554" s="10" t="n">
        <v>2</v>
      </c>
      <c r="H554" s="10" t="n">
        <v>0.4</v>
      </c>
      <c r="I554" s="12" t="n">
        <v>1</v>
      </c>
      <c r="J554" s="12" t="s">
        <v>47</v>
      </c>
      <c r="K554" s="13" t="n">
        <f aca="false">41.17</f>
        <v>41.17</v>
      </c>
      <c r="L554" s="13" t="n">
        <f aca="false">116.67</f>
        <v>116.67</v>
      </c>
      <c r="M554" s="12" t="n">
        <v>12</v>
      </c>
      <c r="N554" s="12" t="n">
        <v>33</v>
      </c>
      <c r="O554" s="12" t="n">
        <v>97</v>
      </c>
      <c r="P554" s="13" t="n">
        <f aca="false">25.93</f>
        <v>25.93</v>
      </c>
      <c r="Q554" s="13" t="n">
        <f aca="false">151.98</f>
        <v>151.98</v>
      </c>
      <c r="R554" s="12" t="n">
        <v>15.2</v>
      </c>
      <c r="S554" s="12" t="n">
        <v>19.5</v>
      </c>
      <c r="T554" s="12" t="n">
        <v>396</v>
      </c>
      <c r="U554" s="14" t="s">
        <v>29</v>
      </c>
      <c r="V554" s="15"/>
      <c r="W554" s="16" t="str">
        <f aca="false">A554</f>
        <v>NN</v>
      </c>
      <c r="X554" s="17" t="e">
        <f aca="false">ifs(C554="","",X554="",NOW(),TRUE(),X554)</f>
        <v>#VALUE!</v>
      </c>
      <c r="Y554" s="17" t="e">
        <f aca="false">ifs(COUNTA(K554:U557)&lt;44,"",Y554="",NOW(),TRUE(),Y554)</f>
        <v>#VALUE!</v>
      </c>
    </row>
    <row r="555" customFormat="false" ht="15.75" hidden="false" customHeight="false" outlineLevel="0" collapsed="false">
      <c r="A555" s="9"/>
      <c r="B555" s="10"/>
      <c r="C555" s="10"/>
      <c r="D555" s="10"/>
      <c r="E555" s="10"/>
      <c r="F555" s="10"/>
      <c r="G555" s="10"/>
      <c r="H555" s="10"/>
      <c r="I555" s="18" t="n">
        <v>2</v>
      </c>
      <c r="J555" s="18"/>
      <c r="K555" s="19" t="n">
        <f aca="false">40.88</f>
        <v>40.88</v>
      </c>
      <c r="L555" s="19" t="n">
        <f aca="false">139.85</f>
        <v>139.85</v>
      </c>
      <c r="M555" s="18" t="n">
        <v>12</v>
      </c>
      <c r="N555" s="18" t="n">
        <v>37</v>
      </c>
      <c r="O555" s="18" t="n">
        <v>125.9</v>
      </c>
      <c r="P555" s="19" t="n">
        <f aca="false">25.53</f>
        <v>25.53</v>
      </c>
      <c r="Q555" s="19" t="n">
        <f aca="false">179.39</f>
        <v>179.39</v>
      </c>
      <c r="R555" s="18" t="n">
        <v>17.9</v>
      </c>
      <c r="S555" s="18" t="n">
        <v>22.9</v>
      </c>
      <c r="T555" s="18" t="n">
        <v>467</v>
      </c>
      <c r="U555" s="20" t="s">
        <v>29</v>
      </c>
      <c r="V555" s="21"/>
      <c r="W555" s="16"/>
      <c r="X555" s="16"/>
      <c r="Y555" s="16"/>
    </row>
    <row r="556" customFormat="false" ht="15.75" hidden="false" customHeight="false" outlineLevel="0" collapsed="false">
      <c r="A556" s="9"/>
      <c r="B556" s="10"/>
      <c r="C556" s="10"/>
      <c r="D556" s="10"/>
      <c r="E556" s="10"/>
      <c r="F556" s="10"/>
      <c r="G556" s="10"/>
      <c r="H556" s="10"/>
      <c r="I556" s="22" t="n">
        <v>3</v>
      </c>
      <c r="J556" s="22"/>
      <c r="K556" s="23" t="n">
        <f aca="false">44.28</f>
        <v>44.28</v>
      </c>
      <c r="L556" s="23" t="n">
        <f aca="false">154.69</f>
        <v>154.69</v>
      </c>
      <c r="M556" s="22" t="n">
        <v>14</v>
      </c>
      <c r="N556" s="22" t="n">
        <v>39</v>
      </c>
      <c r="O556" s="22" t="n">
        <v>166.9</v>
      </c>
      <c r="P556" s="23" t="n">
        <f aca="false">27.12</f>
        <v>27.12</v>
      </c>
      <c r="Q556" s="23" t="n">
        <f aca="false">172.14</f>
        <v>172.14</v>
      </c>
      <c r="R556" s="22" t="n">
        <v>21.8</v>
      </c>
      <c r="S556" s="22" t="n">
        <v>23</v>
      </c>
      <c r="T556" s="22" t="n">
        <v>598</v>
      </c>
      <c r="U556" s="24" t="s">
        <v>29</v>
      </c>
      <c r="V556" s="15"/>
      <c r="W556" s="16"/>
      <c r="X556" s="16"/>
      <c r="Y556" s="16"/>
    </row>
    <row r="557" customFormat="false" ht="15.75" hidden="false" customHeight="false" outlineLevel="0" collapsed="false">
      <c r="A557" s="9"/>
      <c r="B557" s="10"/>
      <c r="C557" s="10"/>
      <c r="D557" s="10"/>
      <c r="E557" s="10"/>
      <c r="F557" s="10"/>
      <c r="G557" s="10"/>
      <c r="H557" s="10"/>
      <c r="I557" s="25" t="n">
        <v>4</v>
      </c>
      <c r="J557" s="25"/>
      <c r="K557" s="26" t="n">
        <f aca="false">46.3</f>
        <v>46.3</v>
      </c>
      <c r="L557" s="26" t="n">
        <f aca="false">139.79</f>
        <v>139.79</v>
      </c>
      <c r="M557" s="25" t="n">
        <v>14</v>
      </c>
      <c r="N557" s="25" t="n">
        <v>35</v>
      </c>
      <c r="O557" s="25" t="n">
        <v>146.8</v>
      </c>
      <c r="P557" s="26" t="n">
        <f aca="false">25.97</f>
        <v>25.97</v>
      </c>
      <c r="Q557" s="26" t="n">
        <f aca="false">163.54</f>
        <v>163.54</v>
      </c>
      <c r="R557" s="25" t="n">
        <v>17.6</v>
      </c>
      <c r="S557" s="25" t="n">
        <v>16.7</v>
      </c>
      <c r="T557" s="25" t="n">
        <v>561</v>
      </c>
      <c r="U557" s="27" t="s">
        <v>29</v>
      </c>
      <c r="V557" s="21"/>
      <c r="W557" s="16"/>
      <c r="X557" s="16"/>
      <c r="Y557" s="16"/>
    </row>
    <row r="558" customFormat="false" ht="15.75" hidden="false" customHeight="true" outlineLevel="0" collapsed="false">
      <c r="A558" s="9" t="s">
        <v>194</v>
      </c>
      <c r="B558" s="10" t="s">
        <v>44</v>
      </c>
      <c r="C558" s="11" t="s">
        <v>203</v>
      </c>
      <c r="D558" s="10" t="s">
        <v>28</v>
      </c>
      <c r="E558" s="10" t="s">
        <v>28</v>
      </c>
      <c r="F558" s="10"/>
      <c r="G558" s="10" t="n">
        <v>19</v>
      </c>
      <c r="H558" s="10" t="n">
        <v>5.2</v>
      </c>
      <c r="I558" s="12" t="n">
        <v>1</v>
      </c>
      <c r="J558" s="12" t="s">
        <v>35</v>
      </c>
      <c r="K558" s="13" t="n">
        <f aca="false">38.15</f>
        <v>38.15</v>
      </c>
      <c r="L558" s="13" t="n">
        <f aca="false">129.72</f>
        <v>129.72</v>
      </c>
      <c r="M558" s="12" t="n">
        <v>12</v>
      </c>
      <c r="N558" s="12" t="n">
        <v>34</v>
      </c>
      <c r="O558" s="12" t="n">
        <v>88.1</v>
      </c>
      <c r="P558" s="13" t="n">
        <f aca="false">23.55</f>
        <v>23.55</v>
      </c>
      <c r="Q558" s="13" t="n">
        <f aca="false">143.37</f>
        <v>143.37</v>
      </c>
      <c r="R558" s="12" t="n">
        <v>12.7</v>
      </c>
      <c r="S558" s="12" t="n">
        <v>24.1</v>
      </c>
      <c r="T558" s="12" t="n">
        <v>292</v>
      </c>
      <c r="U558" s="14" t="s">
        <v>97</v>
      </c>
      <c r="V558" s="15"/>
      <c r="W558" s="16" t="str">
        <f aca="false">A558</f>
        <v>NN</v>
      </c>
      <c r="X558" s="17" t="e">
        <f aca="false">ifs(C558="","",X558="",NOW(),TRUE(),X558)</f>
        <v>#VALUE!</v>
      </c>
      <c r="Y558" s="17" t="e">
        <f aca="false">ifs(COUNTA(K558:U561)&lt;44,"",Y558="",NOW(),TRUE(),Y558)</f>
        <v>#VALUE!</v>
      </c>
    </row>
    <row r="559" customFormat="false" ht="15.75" hidden="false" customHeight="false" outlineLevel="0" collapsed="false">
      <c r="A559" s="9"/>
      <c r="B559" s="10"/>
      <c r="C559" s="10"/>
      <c r="D559" s="10"/>
      <c r="E559" s="10"/>
      <c r="F559" s="10"/>
      <c r="G559" s="10"/>
      <c r="H559" s="10"/>
      <c r="I559" s="18" t="n">
        <v>2</v>
      </c>
      <c r="J559" s="18"/>
      <c r="K559" s="19" t="n">
        <f aca="false">39.85</f>
        <v>39.85</v>
      </c>
      <c r="L559" s="19" t="n">
        <f aca="false">105.96</f>
        <v>105.96</v>
      </c>
      <c r="M559" s="18" t="n">
        <v>14</v>
      </c>
      <c r="N559" s="18" t="n">
        <v>28</v>
      </c>
      <c r="O559" s="18" t="n">
        <v>88.7</v>
      </c>
      <c r="P559" s="19" t="n">
        <f aca="false">25.09</f>
        <v>25.09</v>
      </c>
      <c r="Q559" s="19" t="n">
        <f aca="false">126.97</f>
        <v>126.97</v>
      </c>
      <c r="R559" s="18" t="n">
        <v>10.8</v>
      </c>
      <c r="S559" s="18" t="n">
        <v>21.3</v>
      </c>
      <c r="T559" s="18" t="n">
        <v>361</v>
      </c>
      <c r="U559" s="20" t="s">
        <v>97</v>
      </c>
      <c r="V559" s="21"/>
      <c r="W559" s="16"/>
      <c r="X559" s="16"/>
      <c r="Y559" s="16"/>
    </row>
    <row r="560" customFormat="false" ht="15.75" hidden="false" customHeight="false" outlineLevel="0" collapsed="false">
      <c r="A560" s="9"/>
      <c r="B560" s="10"/>
      <c r="C560" s="10"/>
      <c r="D560" s="10"/>
      <c r="E560" s="10"/>
      <c r="F560" s="10"/>
      <c r="G560" s="10"/>
      <c r="H560" s="10"/>
      <c r="I560" s="22" t="n">
        <v>3</v>
      </c>
      <c r="J560" s="22"/>
      <c r="K560" s="23" t="n">
        <f aca="false">38.96</f>
        <v>38.96</v>
      </c>
      <c r="L560" s="23" t="n">
        <f aca="false">80.02</f>
        <v>80.02</v>
      </c>
      <c r="M560" s="22" t="n">
        <v>12</v>
      </c>
      <c r="N560" s="22" t="n">
        <v>24</v>
      </c>
      <c r="O560" s="22" t="n">
        <v>61.8</v>
      </c>
      <c r="P560" s="23" t="n">
        <f aca="false">23.94</f>
        <v>23.94</v>
      </c>
      <c r="Q560" s="23" t="n">
        <f aca="false">106.53</f>
        <v>106.53</v>
      </c>
      <c r="R560" s="22" t="n">
        <v>7.4</v>
      </c>
      <c r="S560" s="22" t="n">
        <v>21</v>
      </c>
      <c r="T560" s="22" t="n">
        <v>271</v>
      </c>
      <c r="U560" s="24" t="s">
        <v>97</v>
      </c>
      <c r="V560" s="15"/>
      <c r="W560" s="16"/>
      <c r="X560" s="16"/>
      <c r="Y560" s="16"/>
    </row>
    <row r="561" customFormat="false" ht="15.75" hidden="false" customHeight="false" outlineLevel="0" collapsed="false">
      <c r="A561" s="9"/>
      <c r="B561" s="10"/>
      <c r="C561" s="10"/>
      <c r="D561" s="10"/>
      <c r="E561" s="10"/>
      <c r="F561" s="10"/>
      <c r="G561" s="10"/>
      <c r="H561" s="10"/>
      <c r="I561" s="25" t="n">
        <v>4</v>
      </c>
      <c r="J561" s="25"/>
      <c r="K561" s="26" t="n">
        <f aca="false">40.58</f>
        <v>40.58</v>
      </c>
      <c r="L561" s="26" t="n">
        <f aca="false">98.7</f>
        <v>98.7</v>
      </c>
      <c r="M561" s="25" t="n">
        <v>14</v>
      </c>
      <c r="N561" s="25" t="n">
        <v>30</v>
      </c>
      <c r="O561" s="25" t="n">
        <v>80</v>
      </c>
      <c r="P561" s="26" t="n">
        <f aca="false">27.17</f>
        <v>27.17</v>
      </c>
      <c r="Q561" s="26" t="n">
        <f aca="false">125.93</f>
        <v>125.93</v>
      </c>
      <c r="R561" s="25" t="n">
        <v>11</v>
      </c>
      <c r="S561" s="25" t="n">
        <v>17.2</v>
      </c>
      <c r="T561" s="25" t="n">
        <v>382</v>
      </c>
      <c r="U561" s="27" t="s">
        <v>97</v>
      </c>
      <c r="V561" s="21"/>
      <c r="W561" s="16"/>
      <c r="X561" s="16"/>
      <c r="Y561" s="16"/>
    </row>
    <row r="562" customFormat="false" ht="15.75" hidden="false" customHeight="true" outlineLevel="0" collapsed="false">
      <c r="A562" s="9" t="s">
        <v>194</v>
      </c>
      <c r="B562" s="10" t="s">
        <v>44</v>
      </c>
      <c r="C562" s="11" t="s">
        <v>204</v>
      </c>
      <c r="D562" s="10" t="s">
        <v>28</v>
      </c>
      <c r="E562" s="10" t="s">
        <v>28</v>
      </c>
      <c r="F562" s="10"/>
      <c r="G562" s="10" t="n">
        <v>8</v>
      </c>
      <c r="H562" s="10" t="n">
        <v>2.2</v>
      </c>
      <c r="I562" s="12" t="n">
        <v>1</v>
      </c>
      <c r="J562" s="12" t="s">
        <v>47</v>
      </c>
      <c r="K562" s="13" t="n">
        <f aca="false">46.9</f>
        <v>46.9</v>
      </c>
      <c r="L562" s="13" t="n">
        <f aca="false">149.9</f>
        <v>149.9</v>
      </c>
      <c r="M562" s="12" t="n">
        <v>18</v>
      </c>
      <c r="N562" s="12" t="n">
        <v>39</v>
      </c>
      <c r="O562" s="12" t="n">
        <v>183</v>
      </c>
      <c r="P562" s="13" t="n">
        <f aca="false">29.48</f>
        <v>29.48</v>
      </c>
      <c r="Q562" s="13" t="n">
        <f aca="false">176.18</f>
        <v>176.18</v>
      </c>
      <c r="R562" s="12" t="n">
        <v>29</v>
      </c>
      <c r="S562" s="12" t="n">
        <v>21.5</v>
      </c>
      <c r="T562" s="12" t="n">
        <v>712</v>
      </c>
      <c r="U562" s="14" t="s">
        <v>97</v>
      </c>
      <c r="V562" s="15"/>
      <c r="W562" s="16" t="str">
        <f aca="false">A562</f>
        <v>NN</v>
      </c>
      <c r="X562" s="17" t="e">
        <f aca="false">ifs(C562="","",X562="",NOW(),TRUE(),X562)</f>
        <v>#VALUE!</v>
      </c>
      <c r="Y562" s="17" t="e">
        <f aca="false">ifs(COUNTA(K562:U565)&lt;44,"",Y562="",NOW(),TRUE(),Y562)</f>
        <v>#VALUE!</v>
      </c>
    </row>
    <row r="563" customFormat="false" ht="15.75" hidden="false" customHeight="false" outlineLevel="0" collapsed="false">
      <c r="A563" s="9"/>
      <c r="B563" s="10"/>
      <c r="C563" s="10"/>
      <c r="D563" s="10"/>
      <c r="E563" s="10"/>
      <c r="F563" s="10"/>
      <c r="G563" s="10"/>
      <c r="H563" s="10"/>
      <c r="I563" s="18" t="n">
        <v>2</v>
      </c>
      <c r="J563" s="18" t="s">
        <v>47</v>
      </c>
      <c r="K563" s="19" t="n">
        <f aca="false">44.28</f>
        <v>44.28</v>
      </c>
      <c r="L563" s="19" t="n">
        <f aca="false">133.55</f>
        <v>133.55</v>
      </c>
      <c r="M563" s="18" t="n">
        <v>14</v>
      </c>
      <c r="N563" s="18" t="n">
        <v>34</v>
      </c>
      <c r="O563" s="18" t="n">
        <v>122.6</v>
      </c>
      <c r="P563" s="19" t="n">
        <f aca="false">27.83</f>
        <v>27.83</v>
      </c>
      <c r="Q563" s="19" t="n">
        <f aca="false">143.26</f>
        <v>143.26</v>
      </c>
      <c r="R563" s="18" t="n">
        <v>18.9</v>
      </c>
      <c r="S563" s="18" t="n">
        <v>22.1</v>
      </c>
      <c r="T563" s="18" t="n">
        <v>442</v>
      </c>
      <c r="U563" s="20" t="s">
        <v>97</v>
      </c>
      <c r="V563" s="21"/>
      <c r="W563" s="16"/>
      <c r="X563" s="16"/>
      <c r="Y563" s="16"/>
    </row>
    <row r="564" customFormat="false" ht="15.75" hidden="false" customHeight="false" outlineLevel="0" collapsed="false">
      <c r="A564" s="9"/>
      <c r="B564" s="10"/>
      <c r="C564" s="10"/>
      <c r="D564" s="10"/>
      <c r="E564" s="10"/>
      <c r="F564" s="10"/>
      <c r="G564" s="10"/>
      <c r="H564" s="10"/>
      <c r="I564" s="22" t="n">
        <v>3</v>
      </c>
      <c r="J564" s="22" t="s">
        <v>47</v>
      </c>
      <c r="K564" s="23" t="n">
        <f aca="false">43.92</f>
        <v>43.92</v>
      </c>
      <c r="L564" s="23" t="n">
        <f aca="false">167.58</f>
        <v>167.58</v>
      </c>
      <c r="M564" s="22" t="n">
        <v>14</v>
      </c>
      <c r="N564" s="22" t="n">
        <v>42</v>
      </c>
      <c r="O564" s="22" t="n">
        <v>185.7</v>
      </c>
      <c r="P564" s="23" t="n">
        <f aca="false">28.55</f>
        <v>28.55</v>
      </c>
      <c r="Q564" s="23" t="n">
        <f aca="false">185.51</f>
        <v>185.51</v>
      </c>
      <c r="R564" s="22" t="n">
        <v>33.7</v>
      </c>
      <c r="S564" s="22" t="n">
        <v>22.9</v>
      </c>
      <c r="T564" s="22" t="n">
        <v>645</v>
      </c>
      <c r="U564" s="24" t="s">
        <v>29</v>
      </c>
      <c r="V564" s="15"/>
      <c r="W564" s="16"/>
      <c r="X564" s="16"/>
      <c r="Y564" s="16"/>
    </row>
    <row r="565" customFormat="false" ht="15.75" hidden="false" customHeight="false" outlineLevel="0" collapsed="false">
      <c r="A565" s="9"/>
      <c r="B565" s="10"/>
      <c r="C565" s="10"/>
      <c r="D565" s="10"/>
      <c r="E565" s="10"/>
      <c r="F565" s="10"/>
      <c r="G565" s="10"/>
      <c r="H565" s="10"/>
      <c r="I565" s="25" t="n">
        <v>4</v>
      </c>
      <c r="J565" s="25"/>
      <c r="K565" s="26" t="n">
        <f aca="false">46.88</f>
        <v>46.88</v>
      </c>
      <c r="L565" s="26" t="n">
        <f aca="false">146.94</f>
        <v>146.94</v>
      </c>
      <c r="M565" s="25" t="n">
        <v>18</v>
      </c>
      <c r="N565" s="25" t="n">
        <v>38</v>
      </c>
      <c r="O565" s="25" t="n">
        <v>181.3</v>
      </c>
      <c r="P565" s="26" t="n">
        <f aca="false">30.52</f>
        <v>30.52</v>
      </c>
      <c r="Q565" s="26" t="n">
        <f aca="false">174.38</f>
        <v>174.38</v>
      </c>
      <c r="R565" s="25" t="n">
        <v>28.9</v>
      </c>
      <c r="S565" s="25" t="n">
        <v>21.7</v>
      </c>
      <c r="T565" s="25" t="n">
        <v>657</v>
      </c>
      <c r="U565" s="27" t="s">
        <v>29</v>
      </c>
      <c r="V565" s="21"/>
      <c r="W565" s="16"/>
      <c r="X565" s="16"/>
      <c r="Y565" s="16"/>
    </row>
    <row r="566" customFormat="false" ht="15.75" hidden="false" customHeight="true" outlineLevel="0" collapsed="false">
      <c r="A566" s="9" t="s">
        <v>43</v>
      </c>
      <c r="B566" s="10" t="s">
        <v>176</v>
      </c>
      <c r="C566" s="11" t="s">
        <v>205</v>
      </c>
      <c r="D566" s="10" t="s">
        <v>28</v>
      </c>
      <c r="E566" s="10" t="s">
        <v>28</v>
      </c>
      <c r="F566" s="10"/>
      <c r="G566" s="10" t="n">
        <v>96</v>
      </c>
      <c r="H566" s="10" t="n">
        <v>26.54</v>
      </c>
      <c r="I566" s="12" t="n">
        <v>1</v>
      </c>
      <c r="J566" s="12" t="s">
        <v>35</v>
      </c>
      <c r="K566" s="13" t="n">
        <f aca="false">44.48</f>
        <v>44.48</v>
      </c>
      <c r="L566" s="13" t="n">
        <f aca="false">146.56</f>
        <v>146.56</v>
      </c>
      <c r="M566" s="12" t="n">
        <v>14</v>
      </c>
      <c r="N566" s="12" t="n">
        <v>36</v>
      </c>
      <c r="O566" s="12" t="n">
        <v>146.13</v>
      </c>
      <c r="P566" s="13" t="n">
        <f aca="false">30</f>
        <v>30</v>
      </c>
      <c r="Q566" s="13" t="n">
        <f aca="false">154.34</f>
        <v>154.34</v>
      </c>
      <c r="R566" s="12" t="n">
        <v>22.29</v>
      </c>
      <c r="S566" s="12" t="n">
        <v>23.9</v>
      </c>
      <c r="T566" s="12" t="n">
        <v>527</v>
      </c>
      <c r="U566" s="14" t="s">
        <v>58</v>
      </c>
      <c r="V566" s="15"/>
      <c r="W566" s="16" t="str">
        <f aca="false">A566</f>
        <v>JB</v>
      </c>
      <c r="X566" s="17" t="e">
        <f aca="false">ifs(C566="","",X566="",NOW(),TRUE(),X566)</f>
        <v>#VALUE!</v>
      </c>
      <c r="Y566" s="17" t="e">
        <f aca="false">ifs(COUNTA(K566:U569)&lt;44,"",Y566="",NOW(),TRUE(),Y566)</f>
        <v>#VALUE!</v>
      </c>
    </row>
    <row r="567" customFormat="false" ht="15.75" hidden="false" customHeight="false" outlineLevel="0" collapsed="false">
      <c r="A567" s="9"/>
      <c r="B567" s="10"/>
      <c r="C567" s="10"/>
      <c r="D567" s="10"/>
      <c r="E567" s="10"/>
      <c r="F567" s="10"/>
      <c r="G567" s="10"/>
      <c r="H567" s="10"/>
      <c r="I567" s="18" t="n">
        <v>2</v>
      </c>
      <c r="J567" s="18"/>
      <c r="K567" s="19" t="n">
        <f aca="false">47.66</f>
        <v>47.66</v>
      </c>
      <c r="L567" s="19" t="n">
        <f aca="false">178.51</f>
        <v>178.51</v>
      </c>
      <c r="M567" s="18" t="n">
        <v>16</v>
      </c>
      <c r="N567" s="18" t="n">
        <v>42</v>
      </c>
      <c r="O567" s="18" t="n">
        <v>204.99</v>
      </c>
      <c r="P567" s="19" t="n">
        <f aca="false">29.89</f>
        <v>29.89</v>
      </c>
      <c r="Q567" s="19" t="n">
        <f aca="false">181.16</f>
        <v>181.16</v>
      </c>
      <c r="R567" s="18" t="n">
        <v>29.66</v>
      </c>
      <c r="S567" s="18" t="n">
        <v>27</v>
      </c>
      <c r="T567" s="18" t="n">
        <v>641</v>
      </c>
      <c r="U567" s="20" t="s">
        <v>29</v>
      </c>
      <c r="V567" s="21"/>
      <c r="W567" s="16"/>
      <c r="X567" s="16"/>
      <c r="Y567" s="16"/>
    </row>
    <row r="568" customFormat="false" ht="15.75" hidden="false" customHeight="false" outlineLevel="0" collapsed="false">
      <c r="A568" s="9"/>
      <c r="B568" s="10"/>
      <c r="C568" s="10"/>
      <c r="D568" s="10"/>
      <c r="E568" s="10"/>
      <c r="F568" s="10"/>
      <c r="G568" s="10"/>
      <c r="H568" s="10"/>
      <c r="I568" s="22" t="n">
        <v>3</v>
      </c>
      <c r="J568" s="22" t="s">
        <v>47</v>
      </c>
      <c r="K568" s="23" t="n">
        <f aca="false">49.05</f>
        <v>49.05</v>
      </c>
      <c r="L568" s="23" t="n">
        <f aca="false">169.54</f>
        <v>169.54</v>
      </c>
      <c r="M568" s="22" t="n">
        <v>16</v>
      </c>
      <c r="N568" s="22" t="n">
        <v>38</v>
      </c>
      <c r="O568" s="22" t="n">
        <v>200.41</v>
      </c>
      <c r="P568" s="23" t="n">
        <f aca="false">30.8</f>
        <v>30.8</v>
      </c>
      <c r="Q568" s="23" t="n">
        <f aca="false">173.27</f>
        <v>173.27</v>
      </c>
      <c r="R568" s="22" t="n">
        <v>30.44</v>
      </c>
      <c r="S568" s="22" t="n">
        <v>27.93</v>
      </c>
      <c r="T568" s="22" t="n">
        <v>599</v>
      </c>
      <c r="U568" s="24" t="s">
        <v>58</v>
      </c>
      <c r="V568" s="15"/>
      <c r="W568" s="16"/>
      <c r="X568" s="16"/>
      <c r="Y568" s="16"/>
    </row>
    <row r="569" customFormat="false" ht="15.75" hidden="false" customHeight="false" outlineLevel="0" collapsed="false">
      <c r="A569" s="9"/>
      <c r="B569" s="10"/>
      <c r="C569" s="10"/>
      <c r="D569" s="10"/>
      <c r="E569" s="10"/>
      <c r="F569" s="10"/>
      <c r="G569" s="10"/>
      <c r="H569" s="10"/>
      <c r="I569" s="25" t="n">
        <v>4</v>
      </c>
      <c r="J569" s="25" t="s">
        <v>36</v>
      </c>
      <c r="K569" s="26" t="n">
        <f aca="false">44.94</f>
        <v>44.94</v>
      </c>
      <c r="L569" s="26" t="n">
        <f aca="false">162.29</f>
        <v>162.29</v>
      </c>
      <c r="M569" s="25" t="n">
        <v>16</v>
      </c>
      <c r="N569" s="25" t="n">
        <v>39</v>
      </c>
      <c r="O569" s="25" t="n">
        <v>154.9</v>
      </c>
      <c r="P569" s="26" t="n">
        <f aca="false">29.47</f>
        <v>29.47</v>
      </c>
      <c r="Q569" s="26" t="n">
        <f aca="false">163.46</f>
        <v>163.46</v>
      </c>
      <c r="R569" s="25" t="n">
        <v>23.61</v>
      </c>
      <c r="S569" s="25" t="n">
        <v>23.72</v>
      </c>
      <c r="T569" s="25" t="n">
        <v>541</v>
      </c>
      <c r="U569" s="27" t="s">
        <v>58</v>
      </c>
      <c r="V569" s="21"/>
      <c r="W569" s="16"/>
      <c r="X569" s="16"/>
      <c r="Y569" s="16"/>
    </row>
    <row r="570" customFormat="false" ht="15.75" hidden="false" customHeight="true" outlineLevel="0" collapsed="false">
      <c r="A570" s="9" t="s">
        <v>43</v>
      </c>
      <c r="B570" s="10" t="s">
        <v>176</v>
      </c>
      <c r="C570" s="11" t="s">
        <v>206</v>
      </c>
      <c r="D570" s="10" t="s">
        <v>28</v>
      </c>
      <c r="E570" s="10" t="s">
        <v>28</v>
      </c>
      <c r="F570" s="10"/>
      <c r="G570" s="10" t="n">
        <v>14</v>
      </c>
      <c r="H570" s="10" t="n">
        <v>2.67</v>
      </c>
      <c r="I570" s="12" t="n">
        <v>1</v>
      </c>
      <c r="J570" s="12" t="s">
        <v>47</v>
      </c>
      <c r="K570" s="13" t="n">
        <f aca="false">35.06</f>
        <v>35.06</v>
      </c>
      <c r="L570" s="13" t="n">
        <f aca="false">104.61</f>
        <v>104.61</v>
      </c>
      <c r="M570" s="12" t="n">
        <v>12</v>
      </c>
      <c r="N570" s="12" t="n">
        <v>25</v>
      </c>
      <c r="O570" s="12" t="n">
        <v>51.75</v>
      </c>
      <c r="P570" s="13" t="n">
        <f aca="false">22.75</f>
        <v>22.75</v>
      </c>
      <c r="Q570" s="13" t="n">
        <f aca="false">109.14</f>
        <v>109.14</v>
      </c>
      <c r="R570" s="12" t="n">
        <v>9.76</v>
      </c>
      <c r="S570" s="12" t="n">
        <v>16.03</v>
      </c>
      <c r="T570" s="12" t="n">
        <v>249</v>
      </c>
      <c r="U570" s="14" t="s">
        <v>58</v>
      </c>
      <c r="V570" s="15"/>
      <c r="W570" s="16" t="str">
        <f aca="false">A570</f>
        <v>JB</v>
      </c>
      <c r="X570" s="17" t="e">
        <f aca="false">ifs(C570="","",X570="",NOW(),TRUE(),X570)</f>
        <v>#VALUE!</v>
      </c>
      <c r="Y570" s="17" t="e">
        <f aca="false">ifs(COUNTA(K570:U573)&lt;44,"",Y570="",NOW(),TRUE(),Y570)</f>
        <v>#VALUE!</v>
      </c>
    </row>
    <row r="571" customFormat="false" ht="15.75" hidden="false" customHeight="false" outlineLevel="0" collapsed="false">
      <c r="A571" s="9"/>
      <c r="B571" s="10"/>
      <c r="C571" s="10"/>
      <c r="D571" s="10"/>
      <c r="E571" s="10"/>
      <c r="F571" s="10"/>
      <c r="G571" s="10"/>
      <c r="H571" s="10"/>
      <c r="I571" s="18" t="n">
        <v>2</v>
      </c>
      <c r="J571" s="18" t="s">
        <v>111</v>
      </c>
      <c r="K571" s="19" t="n">
        <f aca="false">36.05</f>
        <v>36.05</v>
      </c>
      <c r="L571" s="19" t="n">
        <f aca="false">46.05</f>
        <v>46.05</v>
      </c>
      <c r="M571" s="18" t="n">
        <v>12</v>
      </c>
      <c r="N571" s="18" t="n">
        <v>9</v>
      </c>
      <c r="O571" s="18" t="n">
        <v>27.02</v>
      </c>
      <c r="P571" s="19" t="n">
        <f aca="false">26.05</f>
        <v>26.05</v>
      </c>
      <c r="Q571" s="19" t="n">
        <f aca="false">120.85</f>
        <v>120.85</v>
      </c>
      <c r="R571" s="18" t="n">
        <v>13.97</v>
      </c>
      <c r="S571" s="18"/>
      <c r="T571" s="18" t="n">
        <v>42</v>
      </c>
      <c r="U571" s="20" t="s">
        <v>58</v>
      </c>
      <c r="V571" s="21"/>
      <c r="W571" s="16"/>
      <c r="X571" s="16"/>
      <c r="Y571" s="16"/>
    </row>
    <row r="572" customFormat="false" ht="15.75" hidden="false" customHeight="false" outlineLevel="0" collapsed="false">
      <c r="A572" s="9"/>
      <c r="B572" s="10"/>
      <c r="C572" s="10"/>
      <c r="D572" s="10"/>
      <c r="E572" s="10"/>
      <c r="F572" s="10"/>
      <c r="G572" s="10"/>
      <c r="H572" s="10"/>
      <c r="I572" s="22" t="n">
        <v>3</v>
      </c>
      <c r="J572" s="22" t="s">
        <v>111</v>
      </c>
      <c r="K572" s="23" t="n">
        <f aca="false">36.5</f>
        <v>36.5</v>
      </c>
      <c r="L572" s="23" t="n">
        <f aca="false">59.18</f>
        <v>59.18</v>
      </c>
      <c r="M572" s="22" t="n">
        <v>12</v>
      </c>
      <c r="N572" s="22" t="n">
        <v>14</v>
      </c>
      <c r="O572" s="22" t="n">
        <v>43.82</v>
      </c>
      <c r="P572" s="23" t="n">
        <f aca="false">26.78</f>
        <v>26.78</v>
      </c>
      <c r="Q572" s="23" t="n">
        <f aca="false">100.22</f>
        <v>100.22</v>
      </c>
      <c r="R572" s="22" t="n">
        <v>12.82</v>
      </c>
      <c r="S572" s="22"/>
      <c r="T572" s="22" t="n">
        <v>99</v>
      </c>
      <c r="U572" s="24" t="s">
        <v>58</v>
      </c>
      <c r="V572" s="15"/>
      <c r="W572" s="16"/>
      <c r="X572" s="16"/>
      <c r="Y572" s="16"/>
    </row>
    <row r="573" customFormat="false" ht="15.75" hidden="false" customHeight="false" outlineLevel="0" collapsed="false">
      <c r="A573" s="9"/>
      <c r="B573" s="10"/>
      <c r="C573" s="10"/>
      <c r="D573" s="10"/>
      <c r="E573" s="10"/>
      <c r="F573" s="10"/>
      <c r="G573" s="10"/>
      <c r="H573" s="10"/>
      <c r="I573" s="25" t="n">
        <v>4</v>
      </c>
      <c r="J573" s="25" t="s">
        <v>49</v>
      </c>
      <c r="K573" s="26" t="n">
        <f aca="false">34.87</f>
        <v>34.87</v>
      </c>
      <c r="L573" s="26" t="n">
        <f aca="false">99.06</f>
        <v>99.06</v>
      </c>
      <c r="M573" s="25" t="n">
        <v>14</v>
      </c>
      <c r="N573" s="25" t="n">
        <v>22</v>
      </c>
      <c r="O573" s="25" t="n">
        <v>51.25</v>
      </c>
      <c r="P573" s="26" t="n">
        <f aca="false">25.38</f>
        <v>25.38</v>
      </c>
      <c r="Q573" s="26" t="n">
        <f aca="false">109.91</f>
        <v>109.91</v>
      </c>
      <c r="R573" s="25" t="n">
        <v>10.02</v>
      </c>
      <c r="S573" s="25" t="n">
        <v>15.18</v>
      </c>
      <c r="T573" s="25" t="n">
        <v>270</v>
      </c>
      <c r="U573" s="27" t="s">
        <v>58</v>
      </c>
      <c r="V573" s="21"/>
      <c r="W573" s="16"/>
      <c r="X573" s="16"/>
      <c r="Y573" s="16"/>
    </row>
    <row r="574" customFormat="false" ht="15.75" hidden="false" customHeight="true" outlineLevel="0" collapsed="false">
      <c r="A574" s="9" t="s">
        <v>43</v>
      </c>
      <c r="B574" s="10" t="s">
        <v>176</v>
      </c>
      <c r="C574" s="11" t="s">
        <v>207</v>
      </c>
      <c r="D574" s="10" t="s">
        <v>28</v>
      </c>
      <c r="E574" s="10" t="s">
        <v>28</v>
      </c>
      <c r="F574" s="10"/>
      <c r="G574" s="10" t="n">
        <v>9</v>
      </c>
      <c r="H574" s="10" t="n">
        <v>1.21</v>
      </c>
      <c r="I574" s="12" t="n">
        <v>1</v>
      </c>
      <c r="J574" s="12"/>
      <c r="K574" s="13" t="n">
        <f aca="false">39.02</f>
        <v>39.02</v>
      </c>
      <c r="L574" s="13" t="n">
        <f aca="false">121.03</f>
        <v>121.03</v>
      </c>
      <c r="M574" s="12" t="n">
        <v>14</v>
      </c>
      <c r="N574" s="12" t="n">
        <v>32</v>
      </c>
      <c r="O574" s="12" t="n">
        <v>81.76</v>
      </c>
      <c r="P574" s="13" t="n">
        <f aca="false">26.34</f>
        <v>26.34</v>
      </c>
      <c r="Q574" s="13" t="n">
        <f aca="false">120</f>
        <v>120</v>
      </c>
      <c r="R574" s="12" t="n">
        <v>12.3</v>
      </c>
      <c r="S574" s="12" t="n">
        <v>17.35</v>
      </c>
      <c r="T574" s="12" t="n">
        <v>395</v>
      </c>
      <c r="U574" s="14" t="s">
        <v>29</v>
      </c>
      <c r="V574" s="15"/>
      <c r="W574" s="16" t="str">
        <f aca="false">A574</f>
        <v>JB</v>
      </c>
      <c r="X574" s="17" t="e">
        <f aca="false">ifs(C574="","",X574="",NOW(),TRUE(),X574)</f>
        <v>#VALUE!</v>
      </c>
      <c r="Y574" s="17" t="e">
        <f aca="false">ifs(COUNTA(K574:U577)&lt;44,"",Y574="",NOW(),TRUE(),Y574)</f>
        <v>#VALUE!</v>
      </c>
    </row>
    <row r="575" customFormat="false" ht="15.75" hidden="false" customHeight="false" outlineLevel="0" collapsed="false">
      <c r="A575" s="9"/>
      <c r="B575" s="10"/>
      <c r="C575" s="10"/>
      <c r="D575" s="10"/>
      <c r="E575" s="10"/>
      <c r="F575" s="10"/>
      <c r="G575" s="10"/>
      <c r="H575" s="10"/>
      <c r="I575" s="18" t="n">
        <v>2</v>
      </c>
      <c r="J575" s="18"/>
      <c r="K575" s="19" t="n">
        <f aca="false">40.5</f>
        <v>40.5</v>
      </c>
      <c r="L575" s="19" t="n">
        <f aca="false">122.49</f>
        <v>122.49</v>
      </c>
      <c r="M575" s="18" t="n">
        <v>16</v>
      </c>
      <c r="N575" s="18" t="n">
        <v>30</v>
      </c>
      <c r="O575" s="18" t="n">
        <v>91.49</v>
      </c>
      <c r="P575" s="19" t="n">
        <f aca="false">28.68</f>
        <v>28.68</v>
      </c>
      <c r="Q575" s="19" t="n">
        <f aca="false">131.24</f>
        <v>131.24</v>
      </c>
      <c r="R575" s="18" t="n">
        <v>17.15</v>
      </c>
      <c r="S575" s="18" t="n">
        <v>15.88</v>
      </c>
      <c r="T575" s="18" t="n">
        <v>458</v>
      </c>
      <c r="U575" s="20" t="s">
        <v>29</v>
      </c>
      <c r="V575" s="21"/>
      <c r="W575" s="16"/>
      <c r="X575" s="16"/>
      <c r="Y575" s="16"/>
    </row>
    <row r="576" customFormat="false" ht="15.75" hidden="false" customHeight="false" outlineLevel="0" collapsed="false">
      <c r="A576" s="9"/>
      <c r="B576" s="10"/>
      <c r="C576" s="10"/>
      <c r="D576" s="10"/>
      <c r="E576" s="10"/>
      <c r="F576" s="10"/>
      <c r="G576" s="10"/>
      <c r="H576" s="10"/>
      <c r="I576" s="22" t="n">
        <v>3</v>
      </c>
      <c r="J576" s="22" t="s">
        <v>47</v>
      </c>
      <c r="K576" s="23" t="n">
        <f aca="false">40.61</f>
        <v>40.61</v>
      </c>
      <c r="L576" s="23" t="n">
        <f aca="false">114.44</f>
        <v>114.44</v>
      </c>
      <c r="M576" s="22" t="n">
        <v>16</v>
      </c>
      <c r="N576" s="22" t="n">
        <v>26</v>
      </c>
      <c r="O576" s="22" t="n">
        <v>73.44</v>
      </c>
      <c r="P576" s="23" t="n">
        <f aca="false">25.43</f>
        <v>25.43</v>
      </c>
      <c r="Q576" s="23" t="n">
        <f aca="false">118.05</f>
        <v>118.05</v>
      </c>
      <c r="R576" s="22" t="n">
        <v>12.63</v>
      </c>
      <c r="S576" s="22" t="n">
        <v>16.28</v>
      </c>
      <c r="T576" s="22" t="n">
        <v>354</v>
      </c>
      <c r="U576" s="24" t="s">
        <v>29</v>
      </c>
      <c r="V576" s="15"/>
      <c r="W576" s="16"/>
      <c r="X576" s="16"/>
      <c r="Y576" s="16"/>
    </row>
    <row r="577" customFormat="false" ht="15.75" hidden="false" customHeight="false" outlineLevel="0" collapsed="false">
      <c r="A577" s="9"/>
      <c r="B577" s="10"/>
      <c r="C577" s="10"/>
      <c r="D577" s="10"/>
      <c r="E577" s="10"/>
      <c r="F577" s="10"/>
      <c r="G577" s="10"/>
      <c r="H577" s="10"/>
      <c r="I577" s="25" t="n">
        <v>4</v>
      </c>
      <c r="J577" s="25" t="s">
        <v>35</v>
      </c>
      <c r="K577" s="26" t="n">
        <f aca="false">38.1</f>
        <v>38.1</v>
      </c>
      <c r="L577" s="26" t="n">
        <f aca="false">113.09</f>
        <v>113.09</v>
      </c>
      <c r="M577" s="25" t="n">
        <v>14</v>
      </c>
      <c r="N577" s="25" t="n">
        <v>28</v>
      </c>
      <c r="O577" s="25" t="n">
        <v>72.06</v>
      </c>
      <c r="P577" s="26" t="n">
        <f aca="false">23.62</f>
        <v>23.62</v>
      </c>
      <c r="Q577" s="26" t="n">
        <f aca="false">112.7</f>
        <v>112.7</v>
      </c>
      <c r="R577" s="25" t="n">
        <v>11.12</v>
      </c>
      <c r="S577" s="25" t="n">
        <v>19.53</v>
      </c>
      <c r="T577" s="25" t="n">
        <v>305</v>
      </c>
      <c r="U577" s="27" t="s">
        <v>29</v>
      </c>
      <c r="V577" s="21"/>
      <c r="W577" s="16"/>
      <c r="X577" s="16"/>
      <c r="Y577" s="16"/>
    </row>
    <row r="578" customFormat="false" ht="15.75" hidden="false" customHeight="true" outlineLevel="0" collapsed="false">
      <c r="A578" s="9" t="s">
        <v>43</v>
      </c>
      <c r="B578" s="10" t="s">
        <v>176</v>
      </c>
      <c r="C578" s="11" t="s">
        <v>208</v>
      </c>
      <c r="D578" s="10" t="s">
        <v>28</v>
      </c>
      <c r="E578" s="10" t="s">
        <v>28</v>
      </c>
      <c r="F578" s="10"/>
      <c r="G578" s="10" t="n">
        <v>13</v>
      </c>
      <c r="H578" s="10" t="n">
        <v>2.89</v>
      </c>
      <c r="I578" s="12" t="n">
        <v>1</v>
      </c>
      <c r="J578" s="12" t="s">
        <v>49</v>
      </c>
      <c r="K578" s="13" t="n">
        <f aca="false">47.67</f>
        <v>47.67</v>
      </c>
      <c r="L578" s="13" t="n">
        <f aca="false">145.47</f>
        <v>145.47</v>
      </c>
      <c r="M578" s="12" t="n">
        <v>16</v>
      </c>
      <c r="N578" s="12" t="n">
        <v>39</v>
      </c>
      <c r="O578" s="12" t="n">
        <v>163.74</v>
      </c>
      <c r="P578" s="13" t="n">
        <f aca="false">30.43</f>
        <v>30.43</v>
      </c>
      <c r="Q578" s="13" t="n">
        <f aca="false">161.46</f>
        <v>161.46</v>
      </c>
      <c r="R578" s="12" t="n">
        <v>26.5</v>
      </c>
      <c r="S578" s="12" t="n">
        <v>22.83</v>
      </c>
      <c r="T578" s="12" t="n">
        <v>605</v>
      </c>
      <c r="U578" s="14" t="s">
        <v>97</v>
      </c>
      <c r="V578" s="15"/>
      <c r="W578" s="16" t="str">
        <f aca="false">A578</f>
        <v>JB</v>
      </c>
      <c r="X578" s="17" t="e">
        <f aca="false">ifs(C578="","",X578="",NOW(),TRUE(),X578)</f>
        <v>#VALUE!</v>
      </c>
      <c r="Y578" s="17" t="e">
        <f aca="false">ifs(COUNTA(K578:U581)&lt;44,"",Y578="",NOW(),TRUE(),Y578)</f>
        <v>#VALUE!</v>
      </c>
    </row>
    <row r="579" customFormat="false" ht="15.75" hidden="false" customHeight="false" outlineLevel="0" collapsed="false">
      <c r="A579" s="9"/>
      <c r="B579" s="10"/>
      <c r="C579" s="10"/>
      <c r="D579" s="10"/>
      <c r="E579" s="10"/>
      <c r="F579" s="10"/>
      <c r="G579" s="10"/>
      <c r="H579" s="10"/>
      <c r="I579" s="18" t="n">
        <v>2</v>
      </c>
      <c r="J579" s="18" t="s">
        <v>49</v>
      </c>
      <c r="K579" s="19" t="n">
        <f aca="false">46.83</f>
        <v>46.83</v>
      </c>
      <c r="L579" s="19" t="n">
        <f aca="false">140.32</f>
        <v>140.32</v>
      </c>
      <c r="M579" s="18" t="n">
        <v>16</v>
      </c>
      <c r="N579" s="18" t="n">
        <v>37</v>
      </c>
      <c r="O579" s="18" t="n">
        <v>161.72</v>
      </c>
      <c r="P579" s="19" t="n">
        <f aca="false">28.2</f>
        <v>28.2</v>
      </c>
      <c r="Q579" s="19" t="n">
        <f aca="false">156.32</f>
        <v>156.32</v>
      </c>
      <c r="R579" s="18" t="n">
        <v>23.63</v>
      </c>
      <c r="S579" s="18" t="n">
        <v>23.72</v>
      </c>
      <c r="T579" s="18" t="n">
        <v>569</v>
      </c>
      <c r="U579" s="20" t="s">
        <v>97</v>
      </c>
      <c r="V579" s="21"/>
      <c r="W579" s="16"/>
      <c r="X579" s="16"/>
      <c r="Y579" s="16"/>
    </row>
    <row r="580" customFormat="false" ht="15.75" hidden="false" customHeight="false" outlineLevel="0" collapsed="false">
      <c r="A580" s="9"/>
      <c r="B580" s="10"/>
      <c r="C580" s="10"/>
      <c r="D580" s="10"/>
      <c r="E580" s="10"/>
      <c r="F580" s="10"/>
      <c r="G580" s="10"/>
      <c r="H580" s="10"/>
      <c r="I580" s="22" t="n">
        <v>3</v>
      </c>
      <c r="J580" s="22" t="s">
        <v>47</v>
      </c>
      <c r="K580" s="23" t="n">
        <f aca="false">47.27</f>
        <v>47.27</v>
      </c>
      <c r="L580" s="23" t="n">
        <f aca="false">147.72</f>
        <v>147.72</v>
      </c>
      <c r="M580" s="22" t="n">
        <v>16</v>
      </c>
      <c r="N580" s="22" t="n">
        <v>36</v>
      </c>
      <c r="O580" s="22" t="n">
        <v>167.62</v>
      </c>
      <c r="P580" s="23" t="n">
        <f aca="false">28.54</f>
        <v>28.54</v>
      </c>
      <c r="Q580" s="23" t="n">
        <f aca="false">169.36</f>
        <v>169.36</v>
      </c>
      <c r="R580" s="22" t="n">
        <v>24.53</v>
      </c>
      <c r="S580" s="22" t="n">
        <v>26.15</v>
      </c>
      <c r="T580" s="22" t="n">
        <v>555</v>
      </c>
      <c r="U580" s="24" t="s">
        <v>97</v>
      </c>
      <c r="V580" s="15"/>
      <c r="W580" s="16"/>
      <c r="X580" s="16"/>
      <c r="Y580" s="16"/>
    </row>
    <row r="581" customFormat="false" ht="15.75" hidden="false" customHeight="false" outlineLevel="0" collapsed="false">
      <c r="A581" s="9"/>
      <c r="B581" s="10"/>
      <c r="C581" s="10"/>
      <c r="D581" s="10"/>
      <c r="E581" s="10"/>
      <c r="F581" s="10"/>
      <c r="G581" s="10"/>
      <c r="H581" s="10"/>
      <c r="I581" s="25" t="n">
        <v>4</v>
      </c>
      <c r="J581" s="25" t="s">
        <v>33</v>
      </c>
      <c r="K581" s="26" t="n">
        <f aca="false">46.32</f>
        <v>46.32</v>
      </c>
      <c r="L581" s="26" t="n">
        <f aca="false">135.75</f>
        <v>135.75</v>
      </c>
      <c r="M581" s="25" t="n">
        <v>16</v>
      </c>
      <c r="N581" s="25" t="n">
        <v>40</v>
      </c>
      <c r="O581" s="25" t="n">
        <v>152.52</v>
      </c>
      <c r="P581" s="26" t="n">
        <f aca="false">30.4</f>
        <v>30.4</v>
      </c>
      <c r="Q581" s="26" t="n">
        <f aca="false">156.3</f>
        <v>156.3</v>
      </c>
      <c r="R581" s="25" t="n">
        <v>24.76</v>
      </c>
      <c r="S581" s="25" t="n">
        <v>22.38</v>
      </c>
      <c r="T581" s="25" t="n">
        <v>551</v>
      </c>
      <c r="U581" s="27" t="s">
        <v>29</v>
      </c>
      <c r="V581" s="21"/>
      <c r="W581" s="16"/>
      <c r="X581" s="16"/>
      <c r="Y581" s="16"/>
    </row>
    <row r="582" customFormat="false" ht="15.75" hidden="false" customHeight="true" outlineLevel="0" collapsed="false">
      <c r="A582" s="9" t="s">
        <v>43</v>
      </c>
      <c r="B582" s="10" t="s">
        <v>176</v>
      </c>
      <c r="C582" s="11" t="s">
        <v>209</v>
      </c>
      <c r="D582" s="10" t="s">
        <v>28</v>
      </c>
      <c r="E582" s="10" t="s">
        <v>28</v>
      </c>
      <c r="F582" s="10"/>
      <c r="G582" s="10" t="n">
        <v>14</v>
      </c>
      <c r="H582" s="10" t="n">
        <v>2.81</v>
      </c>
      <c r="I582" s="12" t="n">
        <v>1</v>
      </c>
      <c r="J582" s="12" t="s">
        <v>49</v>
      </c>
      <c r="K582" s="13" t="n">
        <f aca="false">40.39</f>
        <v>40.39</v>
      </c>
      <c r="L582" s="13" t="n">
        <f aca="false">117.57</f>
        <v>117.57</v>
      </c>
      <c r="M582" s="12" t="n">
        <v>14</v>
      </c>
      <c r="N582" s="12" t="n">
        <v>28</v>
      </c>
      <c r="O582" s="12" t="n">
        <v>83.03</v>
      </c>
      <c r="P582" s="13" t="n">
        <f aca="false">24.88</f>
        <v>24.88</v>
      </c>
      <c r="Q582" s="13" t="n">
        <f aca="false">126.12</f>
        <v>126.12</v>
      </c>
      <c r="R582" s="12" t="n">
        <v>14.27</v>
      </c>
      <c r="S582" s="12" t="n">
        <v>22.08</v>
      </c>
      <c r="T582" s="12" t="n">
        <v>307</v>
      </c>
      <c r="U582" s="14" t="s">
        <v>29</v>
      </c>
      <c r="V582" s="15"/>
      <c r="W582" s="16" t="str">
        <f aca="false">A582</f>
        <v>JB</v>
      </c>
      <c r="X582" s="17" t="e">
        <f aca="false">ifs(C582="","",X582="",NOW(),TRUE(),X582)</f>
        <v>#VALUE!</v>
      </c>
      <c r="Y582" s="17" t="e">
        <f aca="false">ifs(COUNTA(K582:U585)&lt;44,"",Y582="",NOW(),TRUE(),Y582)</f>
        <v>#VALUE!</v>
      </c>
    </row>
    <row r="583" customFormat="false" ht="15.75" hidden="false" customHeight="false" outlineLevel="0" collapsed="false">
      <c r="A583" s="9"/>
      <c r="B583" s="10"/>
      <c r="C583" s="10"/>
      <c r="D583" s="10"/>
      <c r="E583" s="10"/>
      <c r="F583" s="10"/>
      <c r="G583" s="10"/>
      <c r="H583" s="10"/>
      <c r="I583" s="18" t="n">
        <v>2</v>
      </c>
      <c r="J583" s="18" t="s">
        <v>120</v>
      </c>
      <c r="K583" s="19" t="n">
        <f aca="false">43.75</f>
        <v>43.75</v>
      </c>
      <c r="L583" s="19" t="n">
        <f aca="false">160.21</f>
        <v>160.21</v>
      </c>
      <c r="M583" s="18" t="n">
        <v>14</v>
      </c>
      <c r="N583" s="18" t="n">
        <v>42</v>
      </c>
      <c r="O583" s="18" t="n">
        <v>172.55</v>
      </c>
      <c r="P583" s="19" t="n">
        <f aca="false">25.86</f>
        <v>25.86</v>
      </c>
      <c r="Q583" s="19" t="n">
        <f aca="false">175.01</f>
        <v>175.01</v>
      </c>
      <c r="R583" s="18" t="n">
        <v>20.89</v>
      </c>
      <c r="S583" s="18" t="n">
        <v>28.13</v>
      </c>
      <c r="T583" s="18" t="n">
        <v>551</v>
      </c>
      <c r="U583" s="20" t="s">
        <v>29</v>
      </c>
      <c r="V583" s="21"/>
      <c r="W583" s="16"/>
      <c r="X583" s="16"/>
      <c r="Y583" s="16"/>
    </row>
    <row r="584" customFormat="false" ht="15.75" hidden="false" customHeight="false" outlineLevel="0" collapsed="false">
      <c r="A584" s="9"/>
      <c r="B584" s="10"/>
      <c r="C584" s="10"/>
      <c r="D584" s="10"/>
      <c r="E584" s="10"/>
      <c r="F584" s="10"/>
      <c r="G584" s="10"/>
      <c r="H584" s="10"/>
      <c r="I584" s="22" t="n">
        <v>3</v>
      </c>
      <c r="J584" s="22" t="s">
        <v>47</v>
      </c>
      <c r="K584" s="23" t="n">
        <f aca="false">42.4</f>
        <v>42.4</v>
      </c>
      <c r="L584" s="23" t="n">
        <f aca="false">106.44</f>
        <v>106.44</v>
      </c>
      <c r="M584" s="22" t="n">
        <v>14</v>
      </c>
      <c r="N584" s="22" t="n">
        <v>28</v>
      </c>
      <c r="O584" s="22" t="n">
        <v>101.29</v>
      </c>
      <c r="P584" s="23" t="n">
        <f aca="false">25.39</f>
        <v>25.39</v>
      </c>
      <c r="Q584" s="23" t="n">
        <f aca="false">125.85</f>
        <v>125.85</v>
      </c>
      <c r="R584" s="22" t="n">
        <v>13.96</v>
      </c>
      <c r="S584" s="22" t="n">
        <v>25.85</v>
      </c>
      <c r="T584" s="22" t="n">
        <v>338</v>
      </c>
      <c r="U584" s="24" t="s">
        <v>29</v>
      </c>
      <c r="V584" s="15"/>
      <c r="W584" s="16"/>
      <c r="X584" s="16"/>
      <c r="Y584" s="16"/>
    </row>
    <row r="585" customFormat="false" ht="15.75" hidden="false" customHeight="false" outlineLevel="0" collapsed="false">
      <c r="A585" s="9"/>
      <c r="B585" s="10"/>
      <c r="C585" s="10"/>
      <c r="D585" s="10"/>
      <c r="E585" s="10"/>
      <c r="F585" s="10"/>
      <c r="G585" s="10"/>
      <c r="H585" s="10"/>
      <c r="I585" s="25" t="n">
        <v>4</v>
      </c>
      <c r="J585" s="25" t="s">
        <v>35</v>
      </c>
      <c r="K585" s="26" t="n">
        <f aca="false">37.79</f>
        <v>37.79</v>
      </c>
      <c r="L585" s="26" t="n">
        <f aca="false">132.11</f>
        <v>132.11</v>
      </c>
      <c r="M585" s="25" t="n">
        <v>12</v>
      </c>
      <c r="N585" s="25" t="n">
        <v>22</v>
      </c>
      <c r="O585" s="25" t="n">
        <v>88.1</v>
      </c>
      <c r="P585" s="26" t="n">
        <f aca="false">22.85</f>
        <v>22.85</v>
      </c>
      <c r="Q585" s="26" t="n">
        <f aca="false">136.8</f>
        <v>136.8</v>
      </c>
      <c r="R585" s="25" t="n">
        <v>13.72</v>
      </c>
      <c r="S585" s="25" t="n">
        <v>32.7</v>
      </c>
      <c r="T585" s="25" t="n">
        <v>221</v>
      </c>
      <c r="U585" s="27" t="s">
        <v>58</v>
      </c>
      <c r="V585" s="21"/>
      <c r="W585" s="16"/>
      <c r="X585" s="16"/>
      <c r="Y585" s="16"/>
    </row>
    <row r="586" customFormat="false" ht="15.75" hidden="false" customHeight="true" outlineLevel="0" collapsed="false">
      <c r="A586" s="9" t="s">
        <v>194</v>
      </c>
      <c r="B586" s="10" t="s">
        <v>44</v>
      </c>
      <c r="C586" s="11" t="s">
        <v>210</v>
      </c>
      <c r="D586" s="10" t="s">
        <v>28</v>
      </c>
      <c r="E586" s="10" t="s">
        <v>28</v>
      </c>
      <c r="F586" s="10"/>
      <c r="G586" s="10" t="n">
        <v>12</v>
      </c>
      <c r="H586" s="10" t="n">
        <v>2.6</v>
      </c>
      <c r="I586" s="12" t="n">
        <v>1</v>
      </c>
      <c r="J586" s="12"/>
      <c r="K586" s="13" t="n">
        <f aca="false">42.39</f>
        <v>42.39</v>
      </c>
      <c r="L586" s="13" t="n">
        <f aca="false">135.41</f>
        <v>135.41</v>
      </c>
      <c r="M586" s="12" t="n">
        <v>12</v>
      </c>
      <c r="N586" s="12" t="n">
        <v>31</v>
      </c>
      <c r="O586" s="12" t="n">
        <v>133.7</v>
      </c>
      <c r="P586" s="13" t="n">
        <f aca="false">27.55</f>
        <v>27.55</v>
      </c>
      <c r="Q586" s="13" t="n">
        <f aca="false">148.42</f>
        <v>148.42</v>
      </c>
      <c r="R586" s="12" t="n">
        <v>21.5</v>
      </c>
      <c r="S586" s="12" t="n">
        <v>25.7</v>
      </c>
      <c r="T586" s="12" t="n">
        <v>479</v>
      </c>
      <c r="U586" s="14" t="s">
        <v>29</v>
      </c>
      <c r="V586" s="15"/>
      <c r="W586" s="16" t="str">
        <f aca="false">A586</f>
        <v>NN</v>
      </c>
      <c r="X586" s="17" t="e">
        <f aca="false">ifs(C586="","",X586="",NOW(),TRUE(),X586)</f>
        <v>#VALUE!</v>
      </c>
      <c r="Y586" s="17" t="e">
        <f aca="false">ifs(COUNTA(K586:U589)&lt;44,"",Y586="",NOW(),TRUE(),Y586)</f>
        <v>#VALUE!</v>
      </c>
    </row>
    <row r="587" customFormat="false" ht="15.75" hidden="false" customHeight="false" outlineLevel="0" collapsed="false">
      <c r="A587" s="9"/>
      <c r="B587" s="10"/>
      <c r="C587" s="10"/>
      <c r="D587" s="10"/>
      <c r="E587" s="10"/>
      <c r="F587" s="10"/>
      <c r="G587" s="10"/>
      <c r="H587" s="10"/>
      <c r="I587" s="18" t="n">
        <v>2</v>
      </c>
      <c r="J587" s="18"/>
      <c r="K587" s="19" t="n">
        <f aca="false">41.61</f>
        <v>41.61</v>
      </c>
      <c r="L587" s="19" t="n">
        <f aca="false">138.93</f>
        <v>138.93</v>
      </c>
      <c r="M587" s="18" t="n">
        <v>12</v>
      </c>
      <c r="N587" s="18" t="n">
        <v>34</v>
      </c>
      <c r="O587" s="18" t="n">
        <v>144.7</v>
      </c>
      <c r="P587" s="19" t="n">
        <f aca="false">25.75</f>
        <v>25.75</v>
      </c>
      <c r="Q587" s="19" t="n">
        <f aca="false">150.3</f>
        <v>150.3</v>
      </c>
      <c r="R587" s="18" t="n">
        <v>22.8</v>
      </c>
      <c r="S587" s="18" t="n">
        <v>26</v>
      </c>
      <c r="T587" s="18" t="n">
        <v>474</v>
      </c>
      <c r="U587" s="20" t="s">
        <v>29</v>
      </c>
      <c r="V587" s="21"/>
      <c r="W587" s="16"/>
      <c r="X587" s="16"/>
      <c r="Y587" s="16"/>
    </row>
    <row r="588" customFormat="false" ht="15.75" hidden="false" customHeight="false" outlineLevel="0" collapsed="false">
      <c r="A588" s="9"/>
      <c r="B588" s="10"/>
      <c r="C588" s="10"/>
      <c r="D588" s="10"/>
      <c r="E588" s="10"/>
      <c r="F588" s="10"/>
      <c r="G588" s="10"/>
      <c r="H588" s="10"/>
      <c r="I588" s="22" t="n">
        <v>3</v>
      </c>
      <c r="J588" s="22"/>
      <c r="K588" s="23" t="n">
        <f aca="false">40.6</f>
        <v>40.6</v>
      </c>
      <c r="L588" s="23" t="n">
        <f aca="false">113.09</f>
        <v>113.09</v>
      </c>
      <c r="M588" s="22" t="n">
        <v>12</v>
      </c>
      <c r="N588" s="22" t="n">
        <v>24</v>
      </c>
      <c r="O588" s="22" t="n">
        <v>95.6</v>
      </c>
      <c r="P588" s="23" t="n">
        <f aca="false">26.59</f>
        <v>26.59</v>
      </c>
      <c r="Q588" s="23" t="n">
        <f aca="false">112.13</f>
        <v>112.13</v>
      </c>
      <c r="R588" s="22" t="n">
        <v>15.9</v>
      </c>
      <c r="S588" s="22" t="n">
        <v>23.9</v>
      </c>
      <c r="T588" s="22" t="n">
        <v>335</v>
      </c>
      <c r="U588" s="24" t="s">
        <v>29</v>
      </c>
      <c r="V588" s="15"/>
      <c r="W588" s="16"/>
      <c r="X588" s="16"/>
      <c r="Y588" s="16"/>
    </row>
    <row r="589" customFormat="false" ht="15.75" hidden="false" customHeight="false" outlineLevel="0" collapsed="false">
      <c r="A589" s="9"/>
      <c r="B589" s="10"/>
      <c r="C589" s="10"/>
      <c r="D589" s="10"/>
      <c r="E589" s="10"/>
      <c r="F589" s="10"/>
      <c r="G589" s="10"/>
      <c r="H589" s="10"/>
      <c r="I589" s="25" t="n">
        <v>4</v>
      </c>
      <c r="J589" s="25"/>
      <c r="K589" s="26" t="n">
        <f aca="false">44.35</f>
        <v>44.35</v>
      </c>
      <c r="L589" s="26" t="n">
        <f aca="false">107.81</f>
        <v>107.81</v>
      </c>
      <c r="M589" s="25" t="n">
        <v>14</v>
      </c>
      <c r="N589" s="25" t="n">
        <v>27</v>
      </c>
      <c r="O589" s="25" t="n">
        <v>101.8</v>
      </c>
      <c r="P589" s="26" t="n">
        <f aca="false">29.32</f>
        <v>29.32</v>
      </c>
      <c r="Q589" s="26" t="n">
        <f aca="false">126.04</f>
        <v>126.04</v>
      </c>
      <c r="R589" s="25" t="n">
        <v>16.8</v>
      </c>
      <c r="S589" s="25" t="n">
        <v>23.2</v>
      </c>
      <c r="T589" s="25" t="n">
        <v>376</v>
      </c>
      <c r="U589" s="27" t="s">
        <v>29</v>
      </c>
      <c r="V589" s="21"/>
      <c r="W589" s="16"/>
      <c r="X589" s="16"/>
      <c r="Y589" s="16"/>
    </row>
    <row r="590" customFormat="false" ht="15.75" hidden="false" customHeight="true" outlineLevel="0" collapsed="false">
      <c r="A590" s="9" t="s">
        <v>194</v>
      </c>
      <c r="B590" s="10" t="s">
        <v>44</v>
      </c>
      <c r="C590" s="11" t="s">
        <v>211</v>
      </c>
      <c r="D590" s="10" t="s">
        <v>28</v>
      </c>
      <c r="E590" s="10" t="s">
        <v>28</v>
      </c>
      <c r="F590" s="10"/>
      <c r="G590" s="10" t="n">
        <v>21</v>
      </c>
      <c r="H590" s="10" t="n">
        <v>4.1</v>
      </c>
      <c r="I590" s="12" t="n">
        <v>1</v>
      </c>
      <c r="J590" s="12"/>
      <c r="K590" s="13" t="n">
        <f aca="false">45.79</f>
        <v>45.79</v>
      </c>
      <c r="L590" s="13" t="n">
        <f aca="false">182.19</f>
        <v>182.19</v>
      </c>
      <c r="M590" s="12" t="n">
        <v>14</v>
      </c>
      <c r="N590" s="12" t="n">
        <v>42</v>
      </c>
      <c r="O590" s="12" t="n">
        <v>203.5</v>
      </c>
      <c r="P590" s="13" t="n">
        <f aca="false">30.31</f>
        <v>30.31</v>
      </c>
      <c r="Q590" s="13" t="n">
        <f aca="false">191.49</f>
        <v>191.49</v>
      </c>
      <c r="R590" s="12" t="n">
        <v>27.1</v>
      </c>
      <c r="S590" s="12" t="n">
        <v>25.4</v>
      </c>
      <c r="T590" s="12" t="n">
        <v>672</v>
      </c>
      <c r="U590" s="14" t="s">
        <v>29</v>
      </c>
      <c r="V590" s="15"/>
      <c r="W590" s="16" t="str">
        <f aca="false">A590</f>
        <v>NN</v>
      </c>
      <c r="X590" s="17" t="e">
        <f aca="false">ifs(C590="","",X590="",NOW(),TRUE(),X590)</f>
        <v>#VALUE!</v>
      </c>
      <c r="Y590" s="17" t="e">
        <f aca="false">ifs(COUNTA(K590:U593)&lt;44,"",Y590="",NOW(),TRUE(),Y590)</f>
        <v>#VALUE!</v>
      </c>
    </row>
    <row r="591" customFormat="false" ht="15.75" hidden="false" customHeight="false" outlineLevel="0" collapsed="false">
      <c r="A591" s="9"/>
      <c r="B591" s="10"/>
      <c r="C591" s="10"/>
      <c r="D591" s="10"/>
      <c r="E591" s="10"/>
      <c r="F591" s="10"/>
      <c r="G591" s="10"/>
      <c r="H591" s="10"/>
      <c r="I591" s="18" t="n">
        <v>2</v>
      </c>
      <c r="J591" s="18"/>
      <c r="K591" s="19" t="n">
        <f aca="false">45.92</f>
        <v>45.92</v>
      </c>
      <c r="L591" s="19" t="n">
        <f aca="false">181.49</f>
        <v>181.49</v>
      </c>
      <c r="M591" s="18" t="n">
        <v>14</v>
      </c>
      <c r="N591" s="18" t="n">
        <v>40</v>
      </c>
      <c r="O591" s="18" t="n">
        <v>192</v>
      </c>
      <c r="P591" s="19" t="n">
        <f aca="false">25.72</f>
        <v>25.72</v>
      </c>
      <c r="Q591" s="19" t="n">
        <f aca="false">190.47</f>
        <v>190.47</v>
      </c>
      <c r="R591" s="18" t="n">
        <v>26.2</v>
      </c>
      <c r="S591" s="18" t="n">
        <v>24.7</v>
      </c>
      <c r="T591" s="18" t="n">
        <v>672</v>
      </c>
      <c r="U591" s="20" t="s">
        <v>29</v>
      </c>
      <c r="V591" s="21"/>
      <c r="W591" s="16"/>
      <c r="X591" s="16"/>
      <c r="Y591" s="16"/>
    </row>
    <row r="592" customFormat="false" ht="15.75" hidden="false" customHeight="false" outlineLevel="0" collapsed="false">
      <c r="A592" s="9"/>
      <c r="B592" s="10"/>
      <c r="C592" s="10"/>
      <c r="D592" s="10"/>
      <c r="E592" s="10"/>
      <c r="F592" s="10"/>
      <c r="G592" s="10"/>
      <c r="H592" s="10"/>
      <c r="I592" s="22" t="n">
        <v>3</v>
      </c>
      <c r="J592" s="22"/>
      <c r="K592" s="23" t="n">
        <f aca="false">45.06</f>
        <v>45.06</v>
      </c>
      <c r="L592" s="23" t="n">
        <f aca="false">158.95</f>
        <v>158.95</v>
      </c>
      <c r="M592" s="22" t="n">
        <v>14</v>
      </c>
      <c r="N592" s="22" t="n">
        <v>39</v>
      </c>
      <c r="O592" s="22" t="n">
        <v>169.9</v>
      </c>
      <c r="P592" s="23" t="n">
        <f aca="false">25.63</f>
        <v>25.63</v>
      </c>
      <c r="Q592" s="23" t="n">
        <f aca="false">177.26</f>
        <v>177.26</v>
      </c>
      <c r="R592" s="22" t="n">
        <v>22.2</v>
      </c>
      <c r="S592" s="22" t="n">
        <v>16.5</v>
      </c>
      <c r="T592" s="22" t="n">
        <v>652</v>
      </c>
      <c r="U592" s="24" t="s">
        <v>29</v>
      </c>
      <c r="V592" s="15"/>
      <c r="W592" s="16"/>
      <c r="X592" s="16"/>
      <c r="Y592" s="16"/>
    </row>
    <row r="593" customFormat="false" ht="15.75" hidden="false" customHeight="false" outlineLevel="0" collapsed="false">
      <c r="A593" s="9"/>
      <c r="B593" s="10"/>
      <c r="C593" s="10"/>
      <c r="D593" s="10"/>
      <c r="E593" s="10"/>
      <c r="F593" s="10"/>
      <c r="G593" s="10"/>
      <c r="H593" s="10"/>
      <c r="I593" s="25" t="n">
        <v>4</v>
      </c>
      <c r="J593" s="25"/>
      <c r="K593" s="26" t="n">
        <f aca="false">44.56</f>
        <v>44.56</v>
      </c>
      <c r="L593" s="26" t="n">
        <f aca="false">176.26</f>
        <v>176.26</v>
      </c>
      <c r="M593" s="25" t="n">
        <v>14</v>
      </c>
      <c r="N593" s="25" t="n">
        <v>47</v>
      </c>
      <c r="O593" s="25" t="n">
        <v>193.5</v>
      </c>
      <c r="P593" s="26" t="n">
        <f aca="false">26.56</f>
        <v>26.56</v>
      </c>
      <c r="Q593" s="26" t="n">
        <f aca="false">181.36</f>
        <v>181.36</v>
      </c>
      <c r="R593" s="25" t="n">
        <v>23.9</v>
      </c>
      <c r="S593" s="25" t="n">
        <v>15.6</v>
      </c>
      <c r="T593" s="25" t="n">
        <v>702</v>
      </c>
      <c r="U593" s="27" t="s">
        <v>29</v>
      </c>
      <c r="V593" s="21"/>
      <c r="W593" s="16"/>
      <c r="X593" s="16"/>
      <c r="Y593" s="16"/>
    </row>
    <row r="594" customFormat="false" ht="15.75" hidden="false" customHeight="true" outlineLevel="0" collapsed="false">
      <c r="A594" s="9" t="s">
        <v>194</v>
      </c>
      <c r="B594" s="10" t="s">
        <v>44</v>
      </c>
      <c r="C594" s="11" t="s">
        <v>212</v>
      </c>
      <c r="D594" s="10" t="s">
        <v>28</v>
      </c>
      <c r="E594" s="10" t="s">
        <v>28</v>
      </c>
      <c r="F594" s="10"/>
      <c r="G594" s="10" t="n">
        <v>2</v>
      </c>
      <c r="H594" s="10" t="n">
        <v>0.2</v>
      </c>
      <c r="I594" s="12" t="n">
        <v>1</v>
      </c>
      <c r="J594" s="12"/>
      <c r="K594" s="13" t="n">
        <f aca="false">40.66</f>
        <v>40.66</v>
      </c>
      <c r="L594" s="13" t="n">
        <f aca="false">134.71</f>
        <v>134.71</v>
      </c>
      <c r="M594" s="12" t="n">
        <v>12</v>
      </c>
      <c r="N594" s="12" t="n">
        <v>37</v>
      </c>
      <c r="O594" s="12" t="n">
        <v>116.2</v>
      </c>
      <c r="P594" s="13" t="n">
        <f aca="false">25.52</f>
        <v>25.52</v>
      </c>
      <c r="Q594" s="13" t="n">
        <f aca="false">141.05</f>
        <v>141.05</v>
      </c>
      <c r="R594" s="12" t="n">
        <v>18</v>
      </c>
      <c r="S594" s="12" t="n">
        <v>19.8</v>
      </c>
      <c r="T594" s="12" t="n">
        <v>481</v>
      </c>
      <c r="U594" s="14" t="s">
        <v>29</v>
      </c>
      <c r="V594" s="15"/>
      <c r="W594" s="16" t="str">
        <f aca="false">A594</f>
        <v>NN</v>
      </c>
      <c r="X594" s="17" t="e">
        <f aca="false">ifs(C594="","",X594="",NOW(),TRUE(),X594)</f>
        <v>#VALUE!</v>
      </c>
      <c r="Y594" s="17" t="e">
        <f aca="false">ifs(COUNTA(K594:U597)&lt;44,"",Y594="",NOW(),TRUE(),Y594)</f>
        <v>#VALUE!</v>
      </c>
    </row>
    <row r="595" customFormat="false" ht="15.75" hidden="false" customHeight="false" outlineLevel="0" collapsed="false">
      <c r="A595" s="9"/>
      <c r="B595" s="10"/>
      <c r="C595" s="10"/>
      <c r="D595" s="10"/>
      <c r="E595" s="10"/>
      <c r="F595" s="10"/>
      <c r="G595" s="10"/>
      <c r="H595" s="10"/>
      <c r="I595" s="18" t="n">
        <v>2</v>
      </c>
      <c r="J595" s="18"/>
      <c r="K595" s="19" t="n">
        <f aca="false">42.59</f>
        <v>42.59</v>
      </c>
      <c r="L595" s="19" t="n">
        <f aca="false">161.18</f>
        <v>161.18</v>
      </c>
      <c r="M595" s="18" t="n">
        <v>14</v>
      </c>
      <c r="N595" s="18" t="n">
        <v>41</v>
      </c>
      <c r="O595" s="18" t="n">
        <v>135</v>
      </c>
      <c r="P595" s="19" t="n">
        <f aca="false">26.99</f>
        <v>26.99</v>
      </c>
      <c r="Q595" s="19" t="n">
        <f aca="false">177.02</f>
        <v>177.02</v>
      </c>
      <c r="R595" s="18" t="n">
        <v>24.5</v>
      </c>
      <c r="S595" s="18" t="n">
        <v>15.4</v>
      </c>
      <c r="T595" s="18" t="n">
        <v>684</v>
      </c>
      <c r="U595" s="20" t="s">
        <v>29</v>
      </c>
      <c r="V595" s="21"/>
      <c r="W595" s="16"/>
      <c r="X595" s="16"/>
      <c r="Y595" s="16"/>
    </row>
    <row r="596" customFormat="false" ht="15.75" hidden="false" customHeight="false" outlineLevel="0" collapsed="false">
      <c r="A596" s="9"/>
      <c r="B596" s="10"/>
      <c r="C596" s="10"/>
      <c r="D596" s="10"/>
      <c r="E596" s="10"/>
      <c r="F596" s="10"/>
      <c r="G596" s="10"/>
      <c r="H596" s="10"/>
      <c r="I596" s="22" t="n">
        <v>3</v>
      </c>
      <c r="J596" s="22"/>
      <c r="K596" s="23" t="n">
        <f aca="false">43.58</f>
        <v>43.58</v>
      </c>
      <c r="L596" s="23" t="n">
        <f aca="false">160.11</f>
        <v>160.11</v>
      </c>
      <c r="M596" s="22" t="n">
        <v>14</v>
      </c>
      <c r="N596" s="22" t="n">
        <v>37</v>
      </c>
      <c r="O596" s="22" t="n">
        <v>152.9</v>
      </c>
      <c r="P596" s="23" t="n">
        <f aca="false">26.81</f>
        <v>26.81</v>
      </c>
      <c r="Q596" s="23" t="n">
        <f aca="false">174.53</f>
        <v>174.53</v>
      </c>
      <c r="R596" s="22" t="n">
        <v>23.1</v>
      </c>
      <c r="S596" s="22" t="n">
        <v>23.2</v>
      </c>
      <c r="T596" s="22" t="n">
        <v>559</v>
      </c>
      <c r="U596" s="24" t="s">
        <v>29</v>
      </c>
      <c r="V596" s="15"/>
      <c r="W596" s="16"/>
      <c r="X596" s="16"/>
      <c r="Y596" s="16"/>
    </row>
    <row r="597" customFormat="false" ht="15.75" hidden="false" customHeight="false" outlineLevel="0" collapsed="false">
      <c r="A597" s="9"/>
      <c r="B597" s="10"/>
      <c r="C597" s="10"/>
      <c r="D597" s="10"/>
      <c r="E597" s="10"/>
      <c r="F597" s="10"/>
      <c r="G597" s="10"/>
      <c r="H597" s="10"/>
      <c r="I597" s="25" t="n">
        <v>4</v>
      </c>
      <c r="J597" s="25"/>
      <c r="K597" s="26" t="n">
        <f aca="false">41.28</f>
        <v>41.28</v>
      </c>
      <c r="L597" s="26" t="n">
        <f aca="false">117</f>
        <v>117</v>
      </c>
      <c r="M597" s="25" t="n">
        <v>14</v>
      </c>
      <c r="N597" s="25" t="n">
        <v>31</v>
      </c>
      <c r="O597" s="25" t="n">
        <v>105</v>
      </c>
      <c r="P597" s="26" t="n">
        <f aca="false">24.66</f>
        <v>24.66</v>
      </c>
      <c r="Q597" s="26" t="n">
        <f aca="false">137.05</f>
        <v>137.05</v>
      </c>
      <c r="R597" s="25" t="n">
        <v>15.5</v>
      </c>
      <c r="S597" s="25" t="n">
        <v>19.8</v>
      </c>
      <c r="T597" s="25" t="n">
        <v>457</v>
      </c>
      <c r="U597" s="27" t="s">
        <v>29</v>
      </c>
      <c r="V597" s="21"/>
      <c r="W597" s="16"/>
      <c r="X597" s="16"/>
      <c r="Y597" s="16"/>
    </row>
    <row r="598" customFormat="false" ht="15.75" hidden="false" customHeight="true" outlineLevel="0" collapsed="false">
      <c r="A598" s="9" t="s">
        <v>194</v>
      </c>
      <c r="B598" s="10" t="s">
        <v>44</v>
      </c>
      <c r="C598" s="11" t="s">
        <v>213</v>
      </c>
      <c r="D598" s="10" t="s">
        <v>28</v>
      </c>
      <c r="E598" s="10" t="s">
        <v>28</v>
      </c>
      <c r="F598" s="10"/>
      <c r="G598" s="10" t="n">
        <v>15</v>
      </c>
      <c r="H598" s="10" t="n">
        <v>3.3</v>
      </c>
      <c r="I598" s="12" t="n">
        <v>1</v>
      </c>
      <c r="J598" s="12"/>
      <c r="K598" s="13" t="n">
        <f aca="false">45.16</f>
        <v>45.16</v>
      </c>
      <c r="L598" s="13" t="n">
        <f aca="false">156.47</f>
        <v>156.47</v>
      </c>
      <c r="M598" s="12" t="n">
        <v>12</v>
      </c>
      <c r="N598" s="12" t="n">
        <v>37</v>
      </c>
      <c r="O598" s="12" t="n">
        <v>165.7</v>
      </c>
      <c r="P598" s="13" t="n">
        <f aca="false">26.04</f>
        <v>26.04</v>
      </c>
      <c r="Q598" s="13" t="n">
        <f aca="false">158.78</f>
        <v>158.78</v>
      </c>
      <c r="R598" s="12" t="n">
        <v>16.9</v>
      </c>
      <c r="S598" s="12" t="n">
        <v>27.7</v>
      </c>
      <c r="T598" s="12" t="n">
        <v>543</v>
      </c>
      <c r="U598" s="14" t="s">
        <v>29</v>
      </c>
      <c r="V598" s="15"/>
      <c r="W598" s="16" t="str">
        <f aca="false">A598</f>
        <v>NN</v>
      </c>
      <c r="X598" s="17" t="e">
        <f aca="false">ifs(C598="","",X598="",NOW(),TRUE(),X598)</f>
        <v>#VALUE!</v>
      </c>
      <c r="Y598" s="17" t="e">
        <f aca="false">ifs(COUNTA(K598:U601)&lt;44,"",Y598="",NOW(),TRUE(),Y598)</f>
        <v>#VALUE!</v>
      </c>
    </row>
    <row r="599" customFormat="false" ht="15.75" hidden="false" customHeight="false" outlineLevel="0" collapsed="false">
      <c r="A599" s="9"/>
      <c r="B599" s="10"/>
      <c r="C599" s="10"/>
      <c r="D599" s="10"/>
      <c r="E599" s="10"/>
      <c r="F599" s="10"/>
      <c r="G599" s="10"/>
      <c r="H599" s="10"/>
      <c r="I599" s="18" t="n">
        <v>2</v>
      </c>
      <c r="J599" s="18"/>
      <c r="K599" s="19" t="n">
        <f aca="false">45.73</f>
        <v>45.73</v>
      </c>
      <c r="L599" s="19" t="n">
        <f aca="false">180.21</f>
        <v>180.21</v>
      </c>
      <c r="M599" s="18" t="n">
        <v>14</v>
      </c>
      <c r="N599" s="18" t="n">
        <v>43</v>
      </c>
      <c r="O599" s="18" t="n">
        <v>204.1</v>
      </c>
      <c r="P599" s="19" t="n">
        <f aca="false">27.65</f>
        <v>27.65</v>
      </c>
      <c r="Q599" s="19" t="n">
        <f aca="false">179.31</f>
        <v>179.31</v>
      </c>
      <c r="R599" s="18" t="n">
        <v>21.6</v>
      </c>
      <c r="S599" s="18" t="n">
        <v>24.5</v>
      </c>
      <c r="T599" s="18" t="n">
        <v>683</v>
      </c>
      <c r="U599" s="20" t="s">
        <v>29</v>
      </c>
      <c r="V599" s="21"/>
      <c r="W599" s="16"/>
      <c r="X599" s="16"/>
      <c r="Y599" s="16"/>
    </row>
    <row r="600" customFormat="false" ht="15.75" hidden="false" customHeight="false" outlineLevel="0" collapsed="false">
      <c r="A600" s="9"/>
      <c r="B600" s="10"/>
      <c r="C600" s="10"/>
      <c r="D600" s="10"/>
      <c r="E600" s="10"/>
      <c r="F600" s="10"/>
      <c r="G600" s="10"/>
      <c r="H600" s="10"/>
      <c r="I600" s="22" t="n">
        <v>3</v>
      </c>
      <c r="J600" s="22"/>
      <c r="K600" s="23" t="n">
        <f aca="false">45.3</f>
        <v>45.3</v>
      </c>
      <c r="L600" s="23" t="n">
        <f aca="false">146.31</f>
        <v>146.31</v>
      </c>
      <c r="M600" s="22" t="n">
        <v>16</v>
      </c>
      <c r="N600" s="22" t="n">
        <v>36</v>
      </c>
      <c r="O600" s="22" t="n">
        <v>162</v>
      </c>
      <c r="P600" s="23" t="n">
        <f aca="false">27.26</f>
        <v>27.26</v>
      </c>
      <c r="Q600" s="23" t="n">
        <f aca="false">159</f>
        <v>159</v>
      </c>
      <c r="R600" s="22" t="n">
        <v>16.3</v>
      </c>
      <c r="S600" s="22" t="n">
        <v>23.8</v>
      </c>
      <c r="T600" s="22" t="n">
        <v>630</v>
      </c>
      <c r="U600" s="24" t="s">
        <v>29</v>
      </c>
      <c r="V600" s="15"/>
      <c r="W600" s="16"/>
      <c r="X600" s="16"/>
      <c r="Y600" s="16"/>
    </row>
    <row r="601" customFormat="false" ht="15.75" hidden="false" customHeight="false" outlineLevel="0" collapsed="false">
      <c r="A601" s="9"/>
      <c r="B601" s="10"/>
      <c r="C601" s="10"/>
      <c r="D601" s="10"/>
      <c r="E601" s="10"/>
      <c r="F601" s="10"/>
      <c r="G601" s="10"/>
      <c r="H601" s="10"/>
      <c r="I601" s="25" t="n">
        <v>4</v>
      </c>
      <c r="J601" s="25"/>
      <c r="K601" s="26" t="n">
        <f aca="false">45.37</f>
        <v>45.37</v>
      </c>
      <c r="L601" s="26" t="n">
        <f aca="false">173.54</f>
        <v>173.54</v>
      </c>
      <c r="M601" s="25" t="n">
        <v>14</v>
      </c>
      <c r="N601" s="25" t="n">
        <v>43</v>
      </c>
      <c r="O601" s="25" t="n">
        <v>189.3</v>
      </c>
      <c r="P601" s="26" t="n">
        <f aca="false">26.14</f>
        <v>26.14</v>
      </c>
      <c r="Q601" s="26" t="n">
        <f aca="false">182.53</f>
        <v>182.53</v>
      </c>
      <c r="R601" s="25" t="n">
        <v>21.1</v>
      </c>
      <c r="S601" s="25" t="n">
        <v>22.9</v>
      </c>
      <c r="T601" s="25" t="n">
        <v>655</v>
      </c>
      <c r="U601" s="27" t="s">
        <v>29</v>
      </c>
      <c r="V601" s="21"/>
      <c r="W601" s="16"/>
      <c r="X601" s="16"/>
      <c r="Y601" s="16"/>
    </row>
    <row r="602" customFormat="false" ht="15.75" hidden="false" customHeight="true" outlineLevel="0" collapsed="false">
      <c r="A602" s="9" t="s">
        <v>194</v>
      </c>
      <c r="B602" s="10" t="s">
        <v>44</v>
      </c>
      <c r="C602" s="11" t="s">
        <v>214</v>
      </c>
      <c r="D602" s="10" t="s">
        <v>28</v>
      </c>
      <c r="E602" s="10" t="s">
        <v>28</v>
      </c>
      <c r="F602" s="10"/>
      <c r="G602" s="10" t="n">
        <v>27</v>
      </c>
      <c r="H602" s="10" t="n">
        <v>3.2</v>
      </c>
      <c r="I602" s="12" t="n">
        <v>1</v>
      </c>
      <c r="J602" s="12" t="s">
        <v>47</v>
      </c>
      <c r="K602" s="13" t="n">
        <f aca="false">46.95</f>
        <v>46.95</v>
      </c>
      <c r="L602" s="13" t="n">
        <f aca="false">156.03</f>
        <v>156.03</v>
      </c>
      <c r="M602" s="12" t="n">
        <v>16</v>
      </c>
      <c r="N602" s="12" t="n">
        <v>40</v>
      </c>
      <c r="O602" s="12" t="n">
        <v>161.8</v>
      </c>
      <c r="P602" s="13" t="n">
        <f aca="false">31.76</f>
        <v>31.76</v>
      </c>
      <c r="Q602" s="13" t="n">
        <f aca="false">168.7</f>
        <v>168.7</v>
      </c>
      <c r="R602" s="12" t="n">
        <v>30.3</v>
      </c>
      <c r="S602" s="12" t="n">
        <v>18.1</v>
      </c>
      <c r="T602" s="12" t="n">
        <v>673</v>
      </c>
      <c r="U602" s="14" t="s">
        <v>58</v>
      </c>
      <c r="V602" s="15"/>
      <c r="W602" s="16" t="str">
        <f aca="false">A602</f>
        <v>NN</v>
      </c>
      <c r="X602" s="17" t="e">
        <f aca="false">ifs(C602="","",X602="",NOW(),TRUE(),X602)</f>
        <v>#VALUE!</v>
      </c>
      <c r="Y602" s="17" t="e">
        <f aca="false">ifs(COUNTA(K602:U605)&lt;44,"",Y602="",NOW(),TRUE(),Y602)</f>
        <v>#VALUE!</v>
      </c>
    </row>
    <row r="603" customFormat="false" ht="15.75" hidden="false" customHeight="false" outlineLevel="0" collapsed="false">
      <c r="A603" s="9"/>
      <c r="B603" s="10"/>
      <c r="C603" s="10"/>
      <c r="D603" s="10"/>
      <c r="E603" s="10"/>
      <c r="F603" s="10"/>
      <c r="G603" s="10"/>
      <c r="H603" s="10"/>
      <c r="I603" s="18" t="n">
        <v>2</v>
      </c>
      <c r="J603" s="18" t="s">
        <v>47</v>
      </c>
      <c r="K603" s="19" t="n">
        <f aca="false">45.06</f>
        <v>45.06</v>
      </c>
      <c r="L603" s="19" t="n">
        <f aca="false">154.01</f>
        <v>154.01</v>
      </c>
      <c r="M603" s="18" t="n">
        <v>14</v>
      </c>
      <c r="N603" s="18" t="n">
        <v>38</v>
      </c>
      <c r="O603" s="18" t="n">
        <v>138.6</v>
      </c>
      <c r="P603" s="19" t="n">
        <f aca="false">30.07</f>
        <v>30.07</v>
      </c>
      <c r="Q603" s="19" t="n">
        <f aca="false">167.92</f>
        <v>167.92</v>
      </c>
      <c r="R603" s="18" t="n">
        <v>28.5</v>
      </c>
      <c r="S603" s="18" t="n">
        <v>18.7</v>
      </c>
      <c r="T603" s="18" t="n">
        <v>597</v>
      </c>
      <c r="U603" s="20" t="s">
        <v>29</v>
      </c>
      <c r="V603" s="21"/>
      <c r="W603" s="16"/>
      <c r="X603" s="16"/>
      <c r="Y603" s="16"/>
    </row>
    <row r="604" customFormat="false" ht="15.75" hidden="false" customHeight="false" outlineLevel="0" collapsed="false">
      <c r="A604" s="9"/>
      <c r="B604" s="10"/>
      <c r="C604" s="10"/>
      <c r="D604" s="10"/>
      <c r="E604" s="10"/>
      <c r="F604" s="10"/>
      <c r="G604" s="10"/>
      <c r="H604" s="10"/>
      <c r="I604" s="22" t="n">
        <v>3</v>
      </c>
      <c r="J604" s="22" t="s">
        <v>47</v>
      </c>
      <c r="K604" s="23" t="n">
        <f aca="false">42.08</f>
        <v>42.08</v>
      </c>
      <c r="L604" s="23" t="n">
        <f aca="false">153.28</f>
        <v>153.28</v>
      </c>
      <c r="M604" s="22" t="n">
        <v>14</v>
      </c>
      <c r="N604" s="22" t="n">
        <v>38</v>
      </c>
      <c r="O604" s="22" t="n">
        <v>134.3</v>
      </c>
      <c r="P604" s="23" t="n">
        <f aca="false">28.67</f>
        <v>28.67</v>
      </c>
      <c r="Q604" s="23" t="n">
        <f aca="false">164.68</f>
        <v>164.68</v>
      </c>
      <c r="R604" s="22" t="n">
        <v>23</v>
      </c>
      <c r="S604" s="22" t="n">
        <v>19.7</v>
      </c>
      <c r="T604" s="22" t="n">
        <v>543</v>
      </c>
      <c r="U604" s="24" t="s">
        <v>29</v>
      </c>
      <c r="V604" s="15"/>
      <c r="W604" s="16"/>
      <c r="X604" s="16"/>
      <c r="Y604" s="16"/>
    </row>
    <row r="605" customFormat="false" ht="15.75" hidden="false" customHeight="false" outlineLevel="0" collapsed="false">
      <c r="A605" s="9"/>
      <c r="B605" s="10"/>
      <c r="C605" s="10"/>
      <c r="D605" s="10"/>
      <c r="E605" s="10"/>
      <c r="F605" s="10"/>
      <c r="G605" s="10"/>
      <c r="H605" s="10"/>
      <c r="I605" s="25" t="n">
        <v>4</v>
      </c>
      <c r="J605" s="25" t="s">
        <v>47</v>
      </c>
      <c r="K605" s="26" t="n">
        <f aca="false">47.7</f>
        <v>47.7</v>
      </c>
      <c r="L605" s="26" t="n">
        <f aca="false">183.18</f>
        <v>183.18</v>
      </c>
      <c r="M605" s="25" t="n">
        <v>16</v>
      </c>
      <c r="N605" s="25" t="n">
        <v>46</v>
      </c>
      <c r="O605" s="25" t="n">
        <v>191.4</v>
      </c>
      <c r="P605" s="26" t="n">
        <f aca="false">30.27</f>
        <v>30.27</v>
      </c>
      <c r="Q605" s="26" t="n">
        <f aca="false">193.05</f>
        <v>193.05</v>
      </c>
      <c r="R605" s="25" t="n">
        <v>33.8</v>
      </c>
      <c r="S605" s="25" t="n">
        <v>20.3</v>
      </c>
      <c r="T605" s="25" t="n">
        <v>720</v>
      </c>
      <c r="U605" s="27" t="s">
        <v>29</v>
      </c>
      <c r="V605" s="21"/>
      <c r="W605" s="16"/>
      <c r="X605" s="16"/>
      <c r="Y605" s="16"/>
    </row>
    <row r="606" customFormat="false" ht="15.75" hidden="false" customHeight="true" outlineLevel="0" collapsed="false">
      <c r="A606" s="9" t="s">
        <v>43</v>
      </c>
      <c r="B606" s="10" t="s">
        <v>176</v>
      </c>
      <c r="C606" s="11" t="s">
        <v>215</v>
      </c>
      <c r="D606" s="10" t="s">
        <v>28</v>
      </c>
      <c r="E606" s="10" t="s">
        <v>28</v>
      </c>
      <c r="F606" s="10"/>
      <c r="G606" s="10" t="n">
        <v>3</v>
      </c>
      <c r="H606" s="10" t="n">
        <v>0.56</v>
      </c>
      <c r="I606" s="12" t="n">
        <v>1</v>
      </c>
      <c r="J606" s="12" t="s">
        <v>49</v>
      </c>
      <c r="K606" s="13" t="n">
        <f aca="false">40.32</f>
        <v>40.32</v>
      </c>
      <c r="L606" s="13" t="n">
        <f aca="false">110.35</f>
        <v>110.35</v>
      </c>
      <c r="M606" s="12" t="n">
        <v>14</v>
      </c>
      <c r="N606" s="12" t="n">
        <v>28</v>
      </c>
      <c r="O606" s="12" t="n">
        <v>78.43</v>
      </c>
      <c r="P606" s="13" t="n">
        <f aca="false">26.75</f>
        <v>26.75</v>
      </c>
      <c r="Q606" s="13" t="n">
        <f aca="false">128.96</f>
        <v>128.96</v>
      </c>
      <c r="R606" s="12" t="n">
        <v>12.87</v>
      </c>
      <c r="S606" s="12" t="n">
        <v>21.61</v>
      </c>
      <c r="T606" s="12" t="n">
        <v>289</v>
      </c>
      <c r="U606" s="14" t="s">
        <v>58</v>
      </c>
      <c r="V606" s="15"/>
      <c r="W606" s="16" t="str">
        <f aca="false">A606</f>
        <v>JB</v>
      </c>
      <c r="X606" s="17" t="e">
        <f aca="false">ifs(C606="","",X606="",NOW(),TRUE(),X606)</f>
        <v>#VALUE!</v>
      </c>
      <c r="Y606" s="17" t="e">
        <f aca="false">ifs(COUNTA(K606:U609)&lt;44,"",Y606="",NOW(),TRUE(),Y606)</f>
        <v>#VALUE!</v>
      </c>
    </row>
    <row r="607" customFormat="false" ht="15.75" hidden="false" customHeight="false" outlineLevel="0" collapsed="false">
      <c r="A607" s="9"/>
      <c r="B607" s="10"/>
      <c r="C607" s="10"/>
      <c r="D607" s="10"/>
      <c r="E607" s="10"/>
      <c r="F607" s="10"/>
      <c r="G607" s="10"/>
      <c r="H607" s="10"/>
      <c r="I607" s="18" t="n">
        <v>2</v>
      </c>
      <c r="J607" s="18" t="s">
        <v>49</v>
      </c>
      <c r="K607" s="19" t="n">
        <f aca="false">38.54</f>
        <v>38.54</v>
      </c>
      <c r="L607" s="19" t="n">
        <f aca="false">115.69</f>
        <v>115.69</v>
      </c>
      <c r="M607" s="18" t="n">
        <v>14</v>
      </c>
      <c r="N607" s="18" t="n">
        <v>30</v>
      </c>
      <c r="O607" s="18" t="n">
        <v>80.88</v>
      </c>
      <c r="P607" s="19" t="n">
        <f aca="false">27.47</f>
        <v>27.47</v>
      </c>
      <c r="Q607" s="19" t="n">
        <f aca="false">138.54</f>
        <v>138.54</v>
      </c>
      <c r="R607" s="18" t="n">
        <v>15.75</v>
      </c>
      <c r="S607" s="18" t="n">
        <v>20.27</v>
      </c>
      <c r="T607" s="18" t="n">
        <v>316</v>
      </c>
      <c r="U607" s="20" t="s">
        <v>58</v>
      </c>
      <c r="V607" s="21"/>
      <c r="W607" s="16"/>
      <c r="X607" s="16"/>
      <c r="Y607" s="16"/>
    </row>
    <row r="608" customFormat="false" ht="15.75" hidden="false" customHeight="false" outlineLevel="0" collapsed="false">
      <c r="A608" s="9"/>
      <c r="B608" s="10"/>
      <c r="C608" s="10"/>
      <c r="D608" s="10"/>
      <c r="E608" s="10"/>
      <c r="F608" s="10"/>
      <c r="G608" s="10"/>
      <c r="H608" s="10"/>
      <c r="I608" s="22" t="n">
        <v>3</v>
      </c>
      <c r="J608" s="22" t="s">
        <v>49</v>
      </c>
      <c r="K608" s="23" t="n">
        <f aca="false">40.59</f>
        <v>40.59</v>
      </c>
      <c r="L608" s="23" t="n">
        <f aca="false">124.27</f>
        <v>124.27</v>
      </c>
      <c r="M608" s="22" t="n">
        <v>14</v>
      </c>
      <c r="N608" s="22" t="n">
        <v>32</v>
      </c>
      <c r="O608" s="22" t="n">
        <v>90.27</v>
      </c>
      <c r="P608" s="23" t="n">
        <f aca="false">23.88</f>
        <v>23.88</v>
      </c>
      <c r="Q608" s="23" t="n">
        <f aca="false">139.16</f>
        <v>139.16</v>
      </c>
      <c r="R608" s="22" t="n">
        <v>14.04</v>
      </c>
      <c r="S608" s="22" t="n">
        <v>20.18</v>
      </c>
      <c r="T608" s="22" t="n">
        <v>377</v>
      </c>
      <c r="U608" s="24" t="s">
        <v>58</v>
      </c>
      <c r="V608" s="15"/>
      <c r="W608" s="16"/>
      <c r="X608" s="16"/>
      <c r="Y608" s="16"/>
    </row>
    <row r="609" customFormat="false" ht="15.75" hidden="false" customHeight="false" outlineLevel="0" collapsed="false">
      <c r="A609" s="9"/>
      <c r="B609" s="10"/>
      <c r="C609" s="10"/>
      <c r="D609" s="10"/>
      <c r="E609" s="10"/>
      <c r="F609" s="10"/>
      <c r="G609" s="10"/>
      <c r="H609" s="10"/>
      <c r="I609" s="25" t="n">
        <v>4</v>
      </c>
      <c r="J609" s="25" t="s">
        <v>49</v>
      </c>
      <c r="K609" s="26" t="n">
        <f aca="false">38.69</f>
        <v>38.69</v>
      </c>
      <c r="L609" s="26" t="n">
        <f aca="false">100.81</f>
        <v>100.81</v>
      </c>
      <c r="M609" s="25" t="n">
        <v>14</v>
      </c>
      <c r="N609" s="25" t="n">
        <v>24</v>
      </c>
      <c r="O609" s="25" t="n">
        <v>76.7</v>
      </c>
      <c r="P609" s="26" t="n">
        <f aca="false">25.49</f>
        <v>25.49</v>
      </c>
      <c r="Q609" s="26" t="n">
        <f aca="false">130.21</f>
        <v>130.21</v>
      </c>
      <c r="R609" s="25" t="n">
        <v>12.73</v>
      </c>
      <c r="S609" s="25" t="n">
        <v>19.43</v>
      </c>
      <c r="T609" s="25" t="n">
        <v>312</v>
      </c>
      <c r="U609" s="27" t="s">
        <v>97</v>
      </c>
      <c r="V609" s="21"/>
      <c r="W609" s="16"/>
      <c r="X609" s="16"/>
      <c r="Y609" s="16"/>
    </row>
    <row r="610" customFormat="false" ht="15.75" hidden="false" customHeight="true" outlineLevel="0" collapsed="false">
      <c r="A610" s="9" t="s">
        <v>43</v>
      </c>
      <c r="B610" s="10" t="s">
        <v>176</v>
      </c>
      <c r="C610" s="11" t="s">
        <v>216</v>
      </c>
      <c r="D610" s="10" t="s">
        <v>28</v>
      </c>
      <c r="E610" s="10" t="s">
        <v>28</v>
      </c>
      <c r="F610" s="10"/>
      <c r="G610" s="10" t="n">
        <v>18</v>
      </c>
      <c r="H610" s="10" t="n">
        <v>4.47</v>
      </c>
      <c r="I610" s="12" t="n">
        <v>1</v>
      </c>
      <c r="J610" s="12" t="s">
        <v>46</v>
      </c>
      <c r="K610" s="13" t="n">
        <f aca="false">42.4</f>
        <v>42.4</v>
      </c>
      <c r="L610" s="13" t="n">
        <f aca="false">135.86</f>
        <v>135.86</v>
      </c>
      <c r="M610" s="12" t="n">
        <v>14</v>
      </c>
      <c r="N610" s="12" t="n">
        <v>34</v>
      </c>
      <c r="O610" s="12" t="n">
        <v>142.4</v>
      </c>
      <c r="P610" s="13" t="n">
        <f aca="false">28.16</f>
        <v>28.16</v>
      </c>
      <c r="Q610" s="13" t="n">
        <f aca="false">145.78</f>
        <v>145.78</v>
      </c>
      <c r="R610" s="12" t="n">
        <v>21.13</v>
      </c>
      <c r="S610" s="12" t="n">
        <v>29.5</v>
      </c>
      <c r="T610" s="12" t="n">
        <v>411</v>
      </c>
      <c r="U610" s="14" t="s">
        <v>58</v>
      </c>
      <c r="V610" s="15"/>
      <c r="W610" s="16" t="str">
        <f aca="false">A610</f>
        <v>JB</v>
      </c>
      <c r="X610" s="17" t="e">
        <f aca="false">ifs(C610="","",X610="",NOW(),TRUE(),X610)</f>
        <v>#VALUE!</v>
      </c>
      <c r="Y610" s="17" t="e">
        <f aca="false">ifs(COUNTA(K610:U613)&lt;44,"",Y610="",NOW(),TRUE(),Y610)</f>
        <v>#VALUE!</v>
      </c>
    </row>
    <row r="611" customFormat="false" ht="15.75" hidden="false" customHeight="false" outlineLevel="0" collapsed="false">
      <c r="A611" s="9"/>
      <c r="B611" s="10"/>
      <c r="C611" s="10"/>
      <c r="D611" s="10"/>
      <c r="E611" s="10"/>
      <c r="F611" s="10"/>
      <c r="G611" s="10"/>
      <c r="H611" s="10"/>
      <c r="I611" s="18" t="n">
        <v>2</v>
      </c>
      <c r="J611" s="18" t="s">
        <v>49</v>
      </c>
      <c r="K611" s="19" t="n">
        <f aca="false">39.45</f>
        <v>39.45</v>
      </c>
      <c r="L611" s="19" t="n">
        <f aca="false">107.46</f>
        <v>107.46</v>
      </c>
      <c r="M611" s="18" t="n">
        <v>12</v>
      </c>
      <c r="N611" s="18" t="n">
        <v>27</v>
      </c>
      <c r="O611" s="18" t="n">
        <v>80.93</v>
      </c>
      <c r="P611" s="19" t="n">
        <f aca="false">26.84</f>
        <v>26.84</v>
      </c>
      <c r="Q611" s="19" t="n">
        <f aca="false">123.13</f>
        <v>123.13</v>
      </c>
      <c r="R611" s="18" t="n">
        <v>14.18</v>
      </c>
      <c r="S611" s="18" t="n">
        <v>23.13</v>
      </c>
      <c r="T611" s="18" t="n">
        <v>275</v>
      </c>
      <c r="U611" s="20" t="s">
        <v>58</v>
      </c>
      <c r="V611" s="21"/>
      <c r="W611" s="16"/>
      <c r="X611" s="16"/>
      <c r="Y611" s="16"/>
    </row>
    <row r="612" customFormat="false" ht="15.75" hidden="false" customHeight="false" outlineLevel="0" collapsed="false">
      <c r="A612" s="9"/>
      <c r="B612" s="10"/>
      <c r="C612" s="10"/>
      <c r="D612" s="10"/>
      <c r="E612" s="10"/>
      <c r="F612" s="10"/>
      <c r="G612" s="10"/>
      <c r="H612" s="10"/>
      <c r="I612" s="22" t="n">
        <v>3</v>
      </c>
      <c r="J612" s="22" t="s">
        <v>47</v>
      </c>
      <c r="K612" s="23" t="n">
        <f aca="false">38.25</f>
        <v>38.25</v>
      </c>
      <c r="L612" s="23" t="n">
        <f aca="false">127.24</f>
        <v>127.24</v>
      </c>
      <c r="M612" s="22" t="n">
        <v>12</v>
      </c>
      <c r="N612" s="22" t="n">
        <v>31</v>
      </c>
      <c r="O612" s="22" t="n">
        <v>116.18</v>
      </c>
      <c r="P612" s="23" t="n">
        <f aca="false">26.34</f>
        <v>26.34</v>
      </c>
      <c r="Q612" s="23" t="n">
        <f aca="false">141.1</f>
        <v>141.1</v>
      </c>
      <c r="R612" s="22" t="n">
        <v>18.75</v>
      </c>
      <c r="S612" s="22" t="n">
        <v>27.42</v>
      </c>
      <c r="T612" s="22" t="n">
        <v>346</v>
      </c>
      <c r="U612" s="24" t="s">
        <v>58</v>
      </c>
      <c r="V612" s="15"/>
      <c r="W612" s="16"/>
      <c r="X612" s="16"/>
      <c r="Y612" s="16"/>
    </row>
    <row r="613" customFormat="false" ht="15.75" hidden="false" customHeight="false" outlineLevel="0" collapsed="false">
      <c r="A613" s="9"/>
      <c r="B613" s="10"/>
      <c r="C613" s="10"/>
      <c r="D613" s="10"/>
      <c r="E613" s="10"/>
      <c r="F613" s="10"/>
      <c r="G613" s="10"/>
      <c r="H613" s="10"/>
      <c r="I613" s="25" t="n">
        <v>4</v>
      </c>
      <c r="J613" s="25" t="s">
        <v>49</v>
      </c>
      <c r="K613" s="26" t="n">
        <f aca="false">39.88</f>
        <v>39.88</v>
      </c>
      <c r="L613" s="26" t="n">
        <f aca="false">126.11</f>
        <v>126.11</v>
      </c>
      <c r="M613" s="25" t="n">
        <v>12</v>
      </c>
      <c r="N613" s="25" t="n">
        <v>32</v>
      </c>
      <c r="O613" s="25" t="n">
        <v>114.74</v>
      </c>
      <c r="P613" s="26" t="n">
        <f aca="false">25.2</f>
        <v>25.2</v>
      </c>
      <c r="Q613" s="26" t="n">
        <f aca="false">144.27</f>
        <v>144.27</v>
      </c>
      <c r="R613" s="25" t="n">
        <v>17.05</v>
      </c>
      <c r="S613" s="25" t="n">
        <v>26.38</v>
      </c>
      <c r="T613" s="25" t="n">
        <v>351</v>
      </c>
      <c r="U613" s="27" t="s">
        <v>58</v>
      </c>
      <c r="V613" s="21"/>
      <c r="W613" s="16"/>
      <c r="X613" s="16"/>
      <c r="Y613" s="16"/>
    </row>
    <row r="614" customFormat="false" ht="15.75" hidden="false" customHeight="true" outlineLevel="0" collapsed="false">
      <c r="A614" s="9" t="s">
        <v>43</v>
      </c>
      <c r="B614" s="10" t="s">
        <v>176</v>
      </c>
      <c r="C614" s="11" t="s">
        <v>217</v>
      </c>
      <c r="D614" s="10" t="s">
        <v>28</v>
      </c>
      <c r="E614" s="10" t="s">
        <v>28</v>
      </c>
      <c r="F614" s="10"/>
      <c r="G614" s="10" t="n">
        <v>18</v>
      </c>
      <c r="H614" s="10" t="n">
        <v>6.33</v>
      </c>
      <c r="I614" s="12" t="n">
        <v>1</v>
      </c>
      <c r="J614" s="12" t="s">
        <v>35</v>
      </c>
      <c r="K614" s="13" t="n">
        <f aca="false">47.3</f>
        <v>47.3</v>
      </c>
      <c r="L614" s="13" t="n">
        <f aca="false">186.06</f>
        <v>186.06</v>
      </c>
      <c r="M614" s="12" t="n">
        <v>18</v>
      </c>
      <c r="N614" s="12" t="n">
        <v>40</v>
      </c>
      <c r="O614" s="12" t="n">
        <v>208.5</v>
      </c>
      <c r="P614" s="13" t="n">
        <f aca="false">26.54</f>
        <v>26.54</v>
      </c>
      <c r="Q614" s="13" t="n">
        <f aca="false">189.92</f>
        <v>189.92</v>
      </c>
      <c r="R614" s="12" t="n">
        <v>26.17</v>
      </c>
      <c r="S614" s="12" t="n">
        <v>28.65</v>
      </c>
      <c r="T614" s="12" t="n">
        <v>614</v>
      </c>
      <c r="U614" s="14" t="s">
        <v>58</v>
      </c>
      <c r="V614" s="15"/>
      <c r="W614" s="16" t="str">
        <f aca="false">A614</f>
        <v>JB</v>
      </c>
      <c r="X614" s="17" t="e">
        <f aca="false">ifs(C614="","",X614="",NOW(),TRUE(),X614)</f>
        <v>#VALUE!</v>
      </c>
      <c r="Y614" s="17" t="e">
        <f aca="false">ifs(COUNTA(K614:U617)&lt;44,"",Y614="",NOW(),TRUE(),Y614)</f>
        <v>#VALUE!</v>
      </c>
    </row>
    <row r="615" customFormat="false" ht="15.75" hidden="false" customHeight="false" outlineLevel="0" collapsed="false">
      <c r="A615" s="9"/>
      <c r="B615" s="10"/>
      <c r="C615" s="10"/>
      <c r="D615" s="10"/>
      <c r="E615" s="10"/>
      <c r="F615" s="10"/>
      <c r="G615" s="10"/>
      <c r="H615" s="10"/>
      <c r="I615" s="18" t="n">
        <v>2</v>
      </c>
      <c r="J615" s="18" t="s">
        <v>49</v>
      </c>
      <c r="K615" s="19" t="n">
        <f aca="false">46.95</f>
        <v>46.95</v>
      </c>
      <c r="L615" s="19" t="n">
        <f aca="false">197.53</f>
        <v>197.53</v>
      </c>
      <c r="M615" s="18" t="n">
        <v>16</v>
      </c>
      <c r="N615" s="18" t="n">
        <v>42</v>
      </c>
      <c r="O615" s="18" t="n">
        <v>219.82</v>
      </c>
      <c r="P615" s="19" t="n">
        <f aca="false">29.19</f>
        <v>29.19</v>
      </c>
      <c r="Q615" s="19" t="n">
        <f aca="false">198.92</f>
        <v>198.92</v>
      </c>
      <c r="R615" s="18" t="n">
        <v>29.79</v>
      </c>
      <c r="S615" s="18" t="n">
        <v>31.1</v>
      </c>
      <c r="T615" s="18" t="n">
        <v>607</v>
      </c>
      <c r="U615" s="20" t="s">
        <v>58</v>
      </c>
      <c r="V615" s="21"/>
      <c r="W615" s="16"/>
      <c r="X615" s="16"/>
      <c r="Y615" s="16"/>
    </row>
    <row r="616" customFormat="false" ht="15.75" hidden="false" customHeight="false" outlineLevel="0" collapsed="false">
      <c r="A616" s="9"/>
      <c r="B616" s="10"/>
      <c r="C616" s="10"/>
      <c r="D616" s="10"/>
      <c r="E616" s="10"/>
      <c r="F616" s="10"/>
      <c r="G616" s="10"/>
      <c r="H616" s="10"/>
      <c r="I616" s="22" t="n">
        <v>3</v>
      </c>
      <c r="J616" s="22" t="s">
        <v>49</v>
      </c>
      <c r="K616" s="23" t="n">
        <f aca="false">46.03</f>
        <v>46.03</v>
      </c>
      <c r="L616" s="23" t="n">
        <f aca="false">171.54</f>
        <v>171.54</v>
      </c>
      <c r="M616" s="22" t="n">
        <v>16</v>
      </c>
      <c r="N616" s="22" t="n">
        <v>38</v>
      </c>
      <c r="O616" s="22" t="n">
        <v>189.5</v>
      </c>
      <c r="P616" s="23" t="n">
        <f aca="false">25.68</f>
        <v>25.68</v>
      </c>
      <c r="Q616" s="23" t="n">
        <f aca="false">191.86</f>
        <v>191.86</v>
      </c>
      <c r="R616" s="22" t="n">
        <v>24.25</v>
      </c>
      <c r="S616" s="22" t="n">
        <v>29.57</v>
      </c>
      <c r="T616" s="22" t="n">
        <v>552</v>
      </c>
      <c r="U616" s="24" t="s">
        <v>58</v>
      </c>
      <c r="V616" s="15"/>
      <c r="W616" s="16"/>
      <c r="X616" s="16"/>
      <c r="Y616" s="16"/>
    </row>
    <row r="617" customFormat="false" ht="15.75" hidden="false" customHeight="false" outlineLevel="0" collapsed="false">
      <c r="A617" s="9"/>
      <c r="B617" s="10"/>
      <c r="C617" s="10"/>
      <c r="D617" s="10"/>
      <c r="E617" s="10"/>
      <c r="F617" s="10"/>
      <c r="G617" s="10"/>
      <c r="H617" s="10"/>
      <c r="I617" s="25" t="n">
        <v>4</v>
      </c>
      <c r="J617" s="25" t="s">
        <v>35</v>
      </c>
      <c r="K617" s="26" t="n">
        <f aca="false">42.15</f>
        <v>42.15</v>
      </c>
      <c r="L617" s="26" t="n">
        <f aca="false">189.68</f>
        <v>189.68</v>
      </c>
      <c r="M617" s="25" t="n">
        <v>12</v>
      </c>
      <c r="N617" s="25" t="n">
        <v>40</v>
      </c>
      <c r="O617" s="25" t="n">
        <v>198.69</v>
      </c>
      <c r="P617" s="26" t="n">
        <f aca="false">28.19</f>
        <v>28.19</v>
      </c>
      <c r="Q617" s="26" t="n">
        <f aca="false">199.62</f>
        <v>199.62</v>
      </c>
      <c r="R617" s="25" t="n">
        <v>26.61</v>
      </c>
      <c r="S617" s="25" t="n">
        <v>32.52</v>
      </c>
      <c r="T617" s="25" t="n">
        <v>515</v>
      </c>
      <c r="U617" s="27" t="s">
        <v>58</v>
      </c>
      <c r="V617" s="21"/>
      <c r="W617" s="16"/>
      <c r="X617" s="16"/>
      <c r="Y617" s="16"/>
    </row>
    <row r="618" customFormat="false" ht="15.75" hidden="false" customHeight="true" outlineLevel="0" collapsed="false">
      <c r="A618" s="9" t="s">
        <v>43</v>
      </c>
      <c r="B618" s="10" t="s">
        <v>176</v>
      </c>
      <c r="C618" s="11" t="s">
        <v>218</v>
      </c>
      <c r="D618" s="10" t="s">
        <v>28</v>
      </c>
      <c r="E618" s="10" t="s">
        <v>28</v>
      </c>
      <c r="F618" s="10"/>
      <c r="G618" s="10" t="n">
        <v>6</v>
      </c>
      <c r="H618" s="10" t="n">
        <v>1.59</v>
      </c>
      <c r="I618" s="12" t="n">
        <v>1</v>
      </c>
      <c r="J618" s="12" t="s">
        <v>46</v>
      </c>
      <c r="K618" s="13" t="n">
        <f aca="false">41.03</f>
        <v>41.03</v>
      </c>
      <c r="L618" s="13" t="n">
        <f aca="false">139.88</f>
        <v>139.88</v>
      </c>
      <c r="M618" s="12" t="n">
        <v>14</v>
      </c>
      <c r="N618" s="12" t="n">
        <v>34</v>
      </c>
      <c r="O618" s="12" t="n">
        <v>131.59</v>
      </c>
      <c r="P618" s="13" t="n">
        <f aca="false">27.67</f>
        <v>27.67</v>
      </c>
      <c r="Q618" s="13" t="n">
        <f aca="false">167.99</f>
        <v>167.99</v>
      </c>
      <c r="R618" s="12" t="n">
        <v>18.81</v>
      </c>
      <c r="S618" s="12" t="n">
        <v>23.06</v>
      </c>
      <c r="T618" s="12" t="n">
        <v>496</v>
      </c>
      <c r="U618" s="14" t="s">
        <v>58</v>
      </c>
      <c r="V618" s="15"/>
      <c r="W618" s="16" t="str">
        <f aca="false">A618</f>
        <v>JB</v>
      </c>
      <c r="X618" s="17" t="e">
        <f aca="false">ifs(C618="","",X618="",NOW(),TRUE(),X618)</f>
        <v>#VALUE!</v>
      </c>
      <c r="Y618" s="17" t="e">
        <f aca="false">ifs(COUNTA(K618:U621)&lt;44,"",Y618="",NOW(),TRUE(),Y618)</f>
        <v>#VALUE!</v>
      </c>
    </row>
    <row r="619" customFormat="false" ht="15.75" hidden="false" customHeight="false" outlineLevel="0" collapsed="false">
      <c r="A619" s="9"/>
      <c r="B619" s="10"/>
      <c r="C619" s="10"/>
      <c r="D619" s="10"/>
      <c r="E619" s="10"/>
      <c r="F619" s="10"/>
      <c r="G619" s="10"/>
      <c r="H619" s="10"/>
      <c r="I619" s="18" t="n">
        <v>2</v>
      </c>
      <c r="J619" s="18" t="s">
        <v>49</v>
      </c>
      <c r="K619" s="19" t="n">
        <f aca="false">44.3</f>
        <v>44.3</v>
      </c>
      <c r="L619" s="19" t="n">
        <f aca="false">168.95</f>
        <v>168.95</v>
      </c>
      <c r="M619" s="18" t="n">
        <v>16</v>
      </c>
      <c r="N619" s="18" t="n">
        <v>44</v>
      </c>
      <c r="O619" s="18" t="n">
        <v>198.16</v>
      </c>
      <c r="P619" s="19" t="n">
        <f aca="false">28.81</f>
        <v>28.81</v>
      </c>
      <c r="Q619" s="19" t="n">
        <f aca="false">190.22</f>
        <v>190.22</v>
      </c>
      <c r="R619" s="18" t="n">
        <v>28.57</v>
      </c>
      <c r="S619" s="18" t="n">
        <v>25.29</v>
      </c>
      <c r="T619" s="18" t="n">
        <v>680</v>
      </c>
      <c r="U619" s="20" t="s">
        <v>58</v>
      </c>
      <c r="V619" s="21"/>
      <c r="W619" s="16"/>
      <c r="X619" s="16"/>
      <c r="Y619" s="16"/>
    </row>
    <row r="620" customFormat="false" ht="15.75" hidden="false" customHeight="false" outlineLevel="0" collapsed="false">
      <c r="A620" s="9"/>
      <c r="B620" s="10"/>
      <c r="C620" s="10"/>
      <c r="D620" s="10"/>
      <c r="E620" s="10"/>
      <c r="F620" s="10"/>
      <c r="G620" s="10"/>
      <c r="H620" s="10"/>
      <c r="I620" s="22" t="n">
        <v>3</v>
      </c>
      <c r="J620" s="22" t="s">
        <v>50</v>
      </c>
      <c r="K620" s="23" t="n">
        <f aca="false">40.64</f>
        <v>40.64</v>
      </c>
      <c r="L620" s="23" t="n">
        <f aca="false">148.51</f>
        <v>148.51</v>
      </c>
      <c r="M620" s="22" t="n">
        <v>12</v>
      </c>
      <c r="N620" s="22" t="n">
        <v>38</v>
      </c>
      <c r="O620" s="22" t="n">
        <v>140.71</v>
      </c>
      <c r="P620" s="23" t="n">
        <f aca="false">25.19</f>
        <v>25.19</v>
      </c>
      <c r="Q620" s="23" t="n">
        <f aca="false">179.95</f>
        <v>179.95</v>
      </c>
      <c r="R620" s="22" t="n">
        <v>20.22</v>
      </c>
      <c r="S620" s="22" t="n">
        <v>27.21</v>
      </c>
      <c r="T620" s="22" t="n">
        <v>435</v>
      </c>
      <c r="U620" s="24" t="s">
        <v>58</v>
      </c>
      <c r="V620" s="15"/>
      <c r="W620" s="16"/>
      <c r="X620" s="16"/>
      <c r="Y620" s="16"/>
    </row>
    <row r="621" customFormat="false" ht="15.75" hidden="false" customHeight="false" outlineLevel="0" collapsed="false">
      <c r="A621" s="9"/>
      <c r="B621" s="10"/>
      <c r="C621" s="10"/>
      <c r="D621" s="10"/>
      <c r="E621" s="10"/>
      <c r="F621" s="10"/>
      <c r="G621" s="10"/>
      <c r="H621" s="10"/>
      <c r="I621" s="25" t="n">
        <v>4</v>
      </c>
      <c r="J621" s="25" t="s">
        <v>33</v>
      </c>
      <c r="K621" s="26" t="n">
        <f aca="false">44.5</f>
        <v>44.5</v>
      </c>
      <c r="L621" s="26" t="n">
        <f aca="false">154.19</f>
        <v>154.19</v>
      </c>
      <c r="M621" s="25" t="n">
        <v>16</v>
      </c>
      <c r="N621" s="25" t="n">
        <v>40</v>
      </c>
      <c r="O621" s="25" t="n">
        <v>175.4</v>
      </c>
      <c r="P621" s="26" t="n">
        <f aca="false">26.21</f>
        <v>26.21</v>
      </c>
      <c r="Q621" s="26" t="n">
        <f aca="false">183.09</f>
        <v>183.09</v>
      </c>
      <c r="R621" s="25" t="n">
        <v>24.97</v>
      </c>
      <c r="S621" s="25" t="n">
        <v>24.86</v>
      </c>
      <c r="T621" s="25" t="n">
        <v>631</v>
      </c>
      <c r="U621" s="27" t="s">
        <v>58</v>
      </c>
      <c r="V621" s="21"/>
      <c r="W621" s="16"/>
      <c r="X621" s="16"/>
      <c r="Y621" s="16"/>
    </row>
    <row r="622" customFormat="false" ht="15.75" hidden="false" customHeight="true" outlineLevel="0" collapsed="false">
      <c r="A622" s="9" t="s">
        <v>43</v>
      </c>
      <c r="B622" s="10" t="s">
        <v>176</v>
      </c>
      <c r="C622" s="11" t="s">
        <v>219</v>
      </c>
      <c r="D622" s="10" t="s">
        <v>28</v>
      </c>
      <c r="E622" s="10" t="s">
        <v>28</v>
      </c>
      <c r="F622" s="10"/>
      <c r="G622" s="10" t="n">
        <v>148</v>
      </c>
      <c r="H622" s="10" t="n">
        <v>32.54</v>
      </c>
      <c r="I622" s="12" t="n">
        <v>1</v>
      </c>
      <c r="J622" s="12" t="s">
        <v>35</v>
      </c>
      <c r="K622" s="13" t="n">
        <f aca="false">43.11</f>
        <v>43.11</v>
      </c>
      <c r="L622" s="13" t="n">
        <f aca="false">213.22</f>
        <v>213.22</v>
      </c>
      <c r="M622" s="12" t="n">
        <v>16</v>
      </c>
      <c r="N622" s="12" t="n">
        <v>52</v>
      </c>
      <c r="O622" s="12" t="n">
        <v>170.49</v>
      </c>
      <c r="P622" s="13" t="n">
        <f aca="false">25.94</f>
        <v>25.94</v>
      </c>
      <c r="Q622" s="13" t="n">
        <f aca="false">217.84</f>
        <v>217.84</v>
      </c>
      <c r="R622" s="12" t="n">
        <v>30.66</v>
      </c>
      <c r="S622" s="12" t="n">
        <v>21.77</v>
      </c>
      <c r="T622" s="12" t="n">
        <v>606</v>
      </c>
      <c r="U622" s="14" t="s">
        <v>29</v>
      </c>
      <c r="V622" s="15"/>
      <c r="W622" s="16" t="str">
        <f aca="false">A622</f>
        <v>JB</v>
      </c>
      <c r="X622" s="17" t="e">
        <f aca="false">ifs(C622="","",X622="",NOW(),TRUE(),X622)</f>
        <v>#VALUE!</v>
      </c>
      <c r="Y622" s="17" t="e">
        <f aca="false">ifs(COUNTA(K622:U625)&lt;44,"",Y622="",NOW(),TRUE(),Y622)</f>
        <v>#VALUE!</v>
      </c>
    </row>
    <row r="623" customFormat="false" ht="15.75" hidden="false" customHeight="false" outlineLevel="0" collapsed="false">
      <c r="A623" s="9"/>
      <c r="B623" s="10"/>
      <c r="C623" s="10"/>
      <c r="D623" s="10"/>
      <c r="E623" s="10"/>
      <c r="F623" s="10"/>
      <c r="G623" s="10"/>
      <c r="H623" s="10"/>
      <c r="I623" s="18" t="n">
        <v>2</v>
      </c>
      <c r="J623" s="18" t="s">
        <v>49</v>
      </c>
      <c r="K623" s="19" t="n">
        <f aca="false">44.33</f>
        <v>44.33</v>
      </c>
      <c r="L623" s="19" t="n">
        <f aca="false">138.75</f>
        <v>138.75</v>
      </c>
      <c r="M623" s="18" t="n">
        <v>18</v>
      </c>
      <c r="N623" s="18" t="n">
        <v>34</v>
      </c>
      <c r="O623" s="18" t="n">
        <v>132.12</v>
      </c>
      <c r="P623" s="19" t="n">
        <f aca="false">28.65</f>
        <v>28.65</v>
      </c>
      <c r="Q623" s="19" t="n">
        <f aca="false">160.21</f>
        <v>160.21</v>
      </c>
      <c r="R623" s="18" t="n">
        <v>20.62</v>
      </c>
      <c r="S623" s="18" t="n">
        <v>20.07</v>
      </c>
      <c r="T623" s="18" t="n">
        <v>551</v>
      </c>
      <c r="U623" s="20" t="s">
        <v>29</v>
      </c>
      <c r="V623" s="21"/>
      <c r="W623" s="16"/>
      <c r="X623" s="16"/>
      <c r="Y623" s="16"/>
    </row>
    <row r="624" customFormat="false" ht="15.75" hidden="false" customHeight="false" outlineLevel="0" collapsed="false">
      <c r="A624" s="9"/>
      <c r="B624" s="10"/>
      <c r="C624" s="10"/>
      <c r="D624" s="10"/>
      <c r="E624" s="10"/>
      <c r="F624" s="10"/>
      <c r="G624" s="10"/>
      <c r="H624" s="10"/>
      <c r="I624" s="22" t="n">
        <v>3</v>
      </c>
      <c r="J624" s="22" t="s">
        <v>49</v>
      </c>
      <c r="K624" s="23" t="n">
        <f aca="false">44.68</f>
        <v>44.68</v>
      </c>
      <c r="L624" s="23" t="n">
        <f aca="false">135.32</f>
        <v>135.32</v>
      </c>
      <c r="M624" s="22" t="n">
        <v>17</v>
      </c>
      <c r="N624" s="22" t="n">
        <v>30</v>
      </c>
      <c r="O624" s="22" t="n">
        <v>121.87</v>
      </c>
      <c r="P624" s="23" t="n">
        <f aca="false">27.93</f>
        <v>27.93</v>
      </c>
      <c r="Q624" s="23" t="n">
        <f aca="false">146.02</f>
        <v>146.02</v>
      </c>
      <c r="R624" s="22" t="n">
        <v>19.05</v>
      </c>
      <c r="S624" s="22" t="n">
        <v>21.44</v>
      </c>
      <c r="T624" s="22" t="n">
        <v>474</v>
      </c>
      <c r="U624" s="24" t="s">
        <v>29</v>
      </c>
      <c r="V624" s="15"/>
      <c r="W624" s="16"/>
      <c r="X624" s="16"/>
      <c r="Y624" s="16"/>
    </row>
    <row r="625" customFormat="false" ht="15.75" hidden="false" customHeight="false" outlineLevel="0" collapsed="false">
      <c r="A625" s="9"/>
      <c r="B625" s="10"/>
      <c r="C625" s="10"/>
      <c r="D625" s="10"/>
      <c r="E625" s="10"/>
      <c r="F625" s="10"/>
      <c r="G625" s="10"/>
      <c r="H625" s="10"/>
      <c r="I625" s="25" t="n">
        <v>4</v>
      </c>
      <c r="J625" s="25" t="s">
        <v>49</v>
      </c>
      <c r="K625" s="26" t="n">
        <f aca="false">43.39</f>
        <v>43.39</v>
      </c>
      <c r="L625" s="26" t="n">
        <f aca="false">129.2</f>
        <v>129.2</v>
      </c>
      <c r="M625" s="25" t="n">
        <v>18</v>
      </c>
      <c r="N625" s="25" t="n">
        <v>32</v>
      </c>
      <c r="O625" s="25" t="n">
        <v>126.7</v>
      </c>
      <c r="P625" s="26" t="n">
        <f aca="false">26.85</f>
        <v>26.85</v>
      </c>
      <c r="Q625" s="26" t="n">
        <f aca="false">142.97</f>
        <v>142.97</v>
      </c>
      <c r="R625" s="25" t="n">
        <v>20.1</v>
      </c>
      <c r="S625" s="25" t="n">
        <v>20.5</v>
      </c>
      <c r="T625" s="25" t="n">
        <v>532</v>
      </c>
      <c r="U625" s="27" t="s">
        <v>29</v>
      </c>
      <c r="V625" s="21"/>
      <c r="W625" s="16"/>
      <c r="X625" s="16"/>
      <c r="Y625" s="16"/>
    </row>
    <row r="626" customFormat="false" ht="15.75" hidden="false" customHeight="true" outlineLevel="0" collapsed="false">
      <c r="A626" s="9" t="s">
        <v>25</v>
      </c>
      <c r="B626" s="10" t="s">
        <v>26</v>
      </c>
      <c r="C626" s="11" t="s">
        <v>220</v>
      </c>
      <c r="D626" s="10" t="s">
        <v>28</v>
      </c>
      <c r="E626" s="10" t="s">
        <v>28</v>
      </c>
      <c r="F626" s="10"/>
      <c r="G626" s="10" t="n">
        <v>84</v>
      </c>
      <c r="H626" s="10" t="n">
        <v>22</v>
      </c>
      <c r="I626" s="12" t="n">
        <v>1</v>
      </c>
      <c r="J626" s="12"/>
      <c r="K626" s="13" t="n">
        <f aca="false">51.65</f>
        <v>51.65</v>
      </c>
      <c r="L626" s="13" t="n">
        <f aca="false">166.56</f>
        <v>166.56</v>
      </c>
      <c r="M626" s="12" t="n">
        <v>18</v>
      </c>
      <c r="N626" s="12" t="n">
        <v>40</v>
      </c>
      <c r="O626" s="12" t="n">
        <v>227.1</v>
      </c>
      <c r="P626" s="13" t="n">
        <f aca="false">31.19</f>
        <v>31.19</v>
      </c>
      <c r="Q626" s="13" t="n">
        <f aca="false">183.02</f>
        <v>183.02</v>
      </c>
      <c r="R626" s="12" t="n">
        <v>32.35</v>
      </c>
      <c r="S626" s="12" t="n">
        <v>29.95</v>
      </c>
      <c r="T626" s="12" t="n">
        <v>671</v>
      </c>
      <c r="U626" s="14" t="s">
        <v>29</v>
      </c>
      <c r="V626" s="15"/>
      <c r="W626" s="16" t="str">
        <f aca="false">A626</f>
        <v>KL</v>
      </c>
      <c r="X626" s="17" t="e">
        <f aca="false">ifs(C626="","",X626="",NOW(),TRUE(),X626)</f>
        <v>#VALUE!</v>
      </c>
      <c r="Y626" s="17" t="e">
        <f aca="false">ifs(COUNTA(K626:U629)&lt;44,"",Y626="",NOW(),TRUE(),Y626)</f>
        <v>#VALUE!</v>
      </c>
    </row>
    <row r="627" customFormat="false" ht="15.75" hidden="false" customHeight="false" outlineLevel="0" collapsed="false">
      <c r="A627" s="9"/>
      <c r="B627" s="10"/>
      <c r="C627" s="10"/>
      <c r="D627" s="10"/>
      <c r="E627" s="10"/>
      <c r="F627" s="10"/>
      <c r="G627" s="10"/>
      <c r="H627" s="10"/>
      <c r="I627" s="18" t="n">
        <v>2</v>
      </c>
      <c r="J627" s="18"/>
      <c r="K627" s="19" t="n">
        <f aca="false">46.72</f>
        <v>46.72</v>
      </c>
      <c r="L627" s="19" t="n">
        <f aca="false">141.36</f>
        <v>141.36</v>
      </c>
      <c r="M627" s="18" t="n">
        <v>14</v>
      </c>
      <c r="N627" s="18" t="n">
        <v>34</v>
      </c>
      <c r="O627" s="18" t="n">
        <v>160.15</v>
      </c>
      <c r="P627" s="19" t="n">
        <f aca="false">29.18</f>
        <v>29.18</v>
      </c>
      <c r="Q627" s="19" t="n">
        <f aca="false">163.48</f>
        <v>163.48</v>
      </c>
      <c r="R627" s="18" t="n">
        <v>29.35</v>
      </c>
      <c r="S627" s="18" t="n">
        <v>28.05</v>
      </c>
      <c r="T627" s="18" t="n">
        <v>460</v>
      </c>
      <c r="U627" s="20" t="s">
        <v>29</v>
      </c>
      <c r="V627" s="21"/>
      <c r="W627" s="16"/>
      <c r="X627" s="16"/>
      <c r="Y627" s="16"/>
    </row>
    <row r="628" customFormat="false" ht="15.75" hidden="false" customHeight="false" outlineLevel="0" collapsed="false">
      <c r="A628" s="9"/>
      <c r="B628" s="10"/>
      <c r="C628" s="10"/>
      <c r="D628" s="10"/>
      <c r="E628" s="10"/>
      <c r="F628" s="10"/>
      <c r="G628" s="10"/>
      <c r="H628" s="10"/>
      <c r="I628" s="22" t="n">
        <v>3</v>
      </c>
      <c r="J628" s="22"/>
      <c r="K628" s="23" t="n">
        <f aca="false">46.53</f>
        <v>46.53</v>
      </c>
      <c r="L628" s="23" t="n">
        <f aca="false">101.3</f>
        <v>101.3</v>
      </c>
      <c r="M628" s="22" t="n">
        <v>16</v>
      </c>
      <c r="N628" s="22" t="n">
        <v>22</v>
      </c>
      <c r="O628" s="22" t="n">
        <v>130.1</v>
      </c>
      <c r="P628" s="23" t="n">
        <f aca="false">27.98</f>
        <v>27.98</v>
      </c>
      <c r="Q628" s="23" t="n">
        <f aca="false">122.93</f>
        <v>122.93</v>
      </c>
      <c r="R628" s="22" t="n">
        <v>18.25</v>
      </c>
      <c r="S628" s="22" t="n">
        <v>31.85</v>
      </c>
      <c r="T628" s="22" t="n">
        <v>359</v>
      </c>
      <c r="U628" s="24" t="s">
        <v>29</v>
      </c>
      <c r="V628" s="15"/>
      <c r="W628" s="16"/>
      <c r="X628" s="16"/>
      <c r="Y628" s="16"/>
    </row>
    <row r="629" customFormat="false" ht="15.75" hidden="false" customHeight="false" outlineLevel="0" collapsed="false">
      <c r="A629" s="9"/>
      <c r="B629" s="10"/>
      <c r="C629" s="10"/>
      <c r="D629" s="10"/>
      <c r="E629" s="10"/>
      <c r="F629" s="10"/>
      <c r="G629" s="10"/>
      <c r="H629" s="10"/>
      <c r="I629" s="25" t="n">
        <v>4</v>
      </c>
      <c r="J629" s="25"/>
      <c r="K629" s="26" t="n">
        <f aca="false">45.77</f>
        <v>45.77</v>
      </c>
      <c r="L629" s="26" t="n">
        <f aca="false">83.01</f>
        <v>83.01</v>
      </c>
      <c r="M629" s="25" t="n">
        <v>16</v>
      </c>
      <c r="N629" s="25" t="n">
        <v>21</v>
      </c>
      <c r="O629" s="25" t="n">
        <v>65.9</v>
      </c>
      <c r="P629" s="26" t="n">
        <f aca="false">28.18</f>
        <v>28.18</v>
      </c>
      <c r="Q629" s="26" t="n">
        <f aca="false">98.82</f>
        <v>98.82</v>
      </c>
      <c r="R629" s="25" t="n">
        <v>11.2</v>
      </c>
      <c r="S629" s="25" t="n">
        <v>26.5</v>
      </c>
      <c r="T629" s="25" t="n">
        <v>202</v>
      </c>
      <c r="U629" s="27" t="s">
        <v>29</v>
      </c>
      <c r="V629" s="21"/>
      <c r="W629" s="16"/>
      <c r="X629" s="16"/>
      <c r="Y629" s="16"/>
    </row>
    <row r="630" customFormat="false" ht="15.75" hidden="false" customHeight="true" outlineLevel="0" collapsed="false">
      <c r="A630" s="9" t="s">
        <v>25</v>
      </c>
      <c r="B630" s="10" t="s">
        <v>26</v>
      </c>
      <c r="C630" s="11" t="s">
        <v>221</v>
      </c>
      <c r="D630" s="10" t="s">
        <v>28</v>
      </c>
      <c r="E630" s="10" t="s">
        <v>28</v>
      </c>
      <c r="F630" s="10"/>
      <c r="G630" s="10" t="n">
        <v>23</v>
      </c>
      <c r="H630" s="10" t="n">
        <v>5.6</v>
      </c>
      <c r="I630" s="12" t="n">
        <v>1</v>
      </c>
      <c r="J630" s="12"/>
      <c r="K630" s="13" t="n">
        <f aca="false">45.78</f>
        <v>45.78</v>
      </c>
      <c r="L630" s="13" t="n">
        <f aca="false">134.33</f>
        <v>134.33</v>
      </c>
      <c r="M630" s="12" t="n">
        <v>18</v>
      </c>
      <c r="N630" s="12" t="n">
        <v>34</v>
      </c>
      <c r="O630" s="12" t="n">
        <v>157.15</v>
      </c>
      <c r="P630" s="13" t="n">
        <f aca="false">24.64</f>
        <v>24.64</v>
      </c>
      <c r="Q630" s="13" t="n">
        <f aca="false">139.57</f>
        <v>139.57</v>
      </c>
      <c r="R630" s="12" t="n">
        <v>18.85</v>
      </c>
      <c r="S630" s="12" t="n">
        <v>21.8</v>
      </c>
      <c r="T630" s="12" t="n">
        <v>625</v>
      </c>
      <c r="U630" s="14" t="s">
        <v>97</v>
      </c>
      <c r="V630" s="15"/>
      <c r="W630" s="16" t="str">
        <f aca="false">A630</f>
        <v>KL</v>
      </c>
      <c r="X630" s="17" t="e">
        <f aca="false">ifs(C630="","",X630="",NOW(),TRUE(),X630)</f>
        <v>#VALUE!</v>
      </c>
      <c r="Y630" s="17" t="e">
        <f aca="false">ifs(COUNTA(K630:U633)&lt;44,"",Y630="",NOW(),TRUE(),Y630)</f>
        <v>#VALUE!</v>
      </c>
    </row>
    <row r="631" customFormat="false" ht="15.75" hidden="false" customHeight="false" outlineLevel="0" collapsed="false">
      <c r="A631" s="9"/>
      <c r="B631" s="10"/>
      <c r="C631" s="10"/>
      <c r="D631" s="10"/>
      <c r="E631" s="10"/>
      <c r="F631" s="10"/>
      <c r="G631" s="10"/>
      <c r="H631" s="10"/>
      <c r="I631" s="18" t="n">
        <v>2</v>
      </c>
      <c r="J631" s="18" t="s">
        <v>49</v>
      </c>
      <c r="K631" s="19" t="n">
        <f aca="false">45.11</f>
        <v>45.11</v>
      </c>
      <c r="L631" s="19" t="n">
        <f aca="false">95.75</f>
        <v>95.75</v>
      </c>
      <c r="M631" s="18" t="n">
        <v>20</v>
      </c>
      <c r="N631" s="18" t="n">
        <v>24</v>
      </c>
      <c r="O631" s="18" t="n">
        <v>99.4</v>
      </c>
      <c r="P631" s="19" t="n">
        <f aca="false">25.38</f>
        <v>25.38</v>
      </c>
      <c r="Q631" s="19" t="n">
        <f aca="false">115.74</f>
        <v>115.74</v>
      </c>
      <c r="R631" s="18" t="n">
        <v>11.25</v>
      </c>
      <c r="S631" s="18" t="n">
        <v>21.6</v>
      </c>
      <c r="T631" s="18" t="n">
        <v>417</v>
      </c>
      <c r="U631" s="20" t="s">
        <v>97</v>
      </c>
      <c r="V631" s="21"/>
      <c r="W631" s="16"/>
      <c r="X631" s="16"/>
      <c r="Y631" s="16"/>
    </row>
    <row r="632" customFormat="false" ht="15.75" hidden="false" customHeight="false" outlineLevel="0" collapsed="false">
      <c r="A632" s="9"/>
      <c r="B632" s="10"/>
      <c r="C632" s="10"/>
      <c r="D632" s="10"/>
      <c r="E632" s="10"/>
      <c r="F632" s="10"/>
      <c r="G632" s="10"/>
      <c r="H632" s="10"/>
      <c r="I632" s="22" t="n">
        <v>3</v>
      </c>
      <c r="J632" s="22" t="s">
        <v>46</v>
      </c>
      <c r="K632" s="23" t="n">
        <f aca="false">42.61</f>
        <v>42.61</v>
      </c>
      <c r="L632" s="23" t="n">
        <f aca="false">92.42</f>
        <v>92.42</v>
      </c>
      <c r="M632" s="22" t="n">
        <v>16</v>
      </c>
      <c r="N632" s="22" t="n">
        <v>24</v>
      </c>
      <c r="O632" s="22" t="n">
        <v>91.5</v>
      </c>
      <c r="P632" s="23" t="n">
        <f aca="false">23.87</f>
        <v>23.87</v>
      </c>
      <c r="Q632" s="23" t="n">
        <f aca="false">103.48</f>
        <v>103.48</v>
      </c>
      <c r="R632" s="22" t="n">
        <v>10.95</v>
      </c>
      <c r="S632" s="22" t="n">
        <v>23.65</v>
      </c>
      <c r="T632" s="22" t="n">
        <v>340</v>
      </c>
      <c r="U632" s="24" t="s">
        <v>29</v>
      </c>
      <c r="V632" s="15"/>
      <c r="W632" s="16"/>
      <c r="X632" s="16"/>
      <c r="Y632" s="16"/>
    </row>
    <row r="633" customFormat="false" ht="15.75" hidden="false" customHeight="false" outlineLevel="0" collapsed="false">
      <c r="A633" s="9"/>
      <c r="B633" s="10"/>
      <c r="C633" s="10"/>
      <c r="D633" s="10"/>
      <c r="E633" s="10"/>
      <c r="F633" s="10"/>
      <c r="G633" s="10"/>
      <c r="H633" s="10"/>
      <c r="I633" s="25" t="n">
        <v>4</v>
      </c>
      <c r="J633" s="25" t="s">
        <v>33</v>
      </c>
      <c r="K633" s="26" t="n">
        <f aca="false">37.34</f>
        <v>37.34</v>
      </c>
      <c r="L633" s="26" t="n">
        <f aca="false">77.23</f>
        <v>77.23</v>
      </c>
      <c r="M633" s="25" t="n">
        <v>12</v>
      </c>
      <c r="N633" s="25" t="n">
        <v>21</v>
      </c>
      <c r="O633" s="25" t="n">
        <v>49.7</v>
      </c>
      <c r="P633" s="26" t="n">
        <f aca="false">19.72</f>
        <v>19.72</v>
      </c>
      <c r="Q633" s="26" t="n">
        <f aca="false">94.99</f>
        <v>94.99</v>
      </c>
      <c r="R633" s="25" t="n">
        <v>6.5</v>
      </c>
      <c r="S633" s="25" t="n">
        <v>21.4</v>
      </c>
      <c r="T633" s="25" t="n">
        <v>192</v>
      </c>
      <c r="U633" s="27" t="s">
        <v>29</v>
      </c>
      <c r="V633" s="21"/>
      <c r="W633" s="16"/>
      <c r="X633" s="16"/>
      <c r="Y633" s="16"/>
    </row>
    <row r="634" customFormat="false" ht="15.75" hidden="false" customHeight="true" outlineLevel="0" collapsed="false">
      <c r="A634" s="9" t="s">
        <v>194</v>
      </c>
      <c r="B634" s="10" t="s">
        <v>44</v>
      </c>
      <c r="C634" s="11" t="s">
        <v>222</v>
      </c>
      <c r="D634" s="10" t="s">
        <v>28</v>
      </c>
      <c r="E634" s="10" t="s">
        <v>28</v>
      </c>
      <c r="F634" s="10"/>
      <c r="G634" s="10" t="n">
        <v>12</v>
      </c>
      <c r="H634" s="10" t="n">
        <v>2.7</v>
      </c>
      <c r="I634" s="12" t="n">
        <v>1</v>
      </c>
      <c r="J634" s="12"/>
      <c r="K634" s="13" t="n">
        <f aca="false">47.83</f>
        <v>47.83</v>
      </c>
      <c r="L634" s="13" t="n">
        <f aca="false">147.5</f>
        <v>147.5</v>
      </c>
      <c r="M634" s="12" t="n">
        <v>20</v>
      </c>
      <c r="N634" s="12" t="n">
        <v>37</v>
      </c>
      <c r="O634" s="12" t="n">
        <v>161.5</v>
      </c>
      <c r="P634" s="13" t="n">
        <f aca="false">30.59</f>
        <v>30.59</v>
      </c>
      <c r="Q634" s="13" t="n">
        <f aca="false">156.62</f>
        <v>156.62</v>
      </c>
      <c r="R634" s="12" t="n">
        <v>18.9</v>
      </c>
      <c r="S634" s="12" t="n">
        <v>19.6</v>
      </c>
      <c r="T634" s="12" t="n">
        <v>718</v>
      </c>
      <c r="U634" s="14" t="s">
        <v>29</v>
      </c>
      <c r="V634" s="15"/>
      <c r="W634" s="16" t="str">
        <f aca="false">A634</f>
        <v>NN</v>
      </c>
      <c r="X634" s="17" t="e">
        <f aca="false">ifs(C634="","",X634="",NOW(),TRUE(),X634)</f>
        <v>#VALUE!</v>
      </c>
      <c r="Y634" s="17" t="e">
        <f aca="false">ifs(COUNTA(K634:U637)&lt;44,"",Y634="",NOW(),TRUE(),Y634)</f>
        <v>#VALUE!</v>
      </c>
    </row>
    <row r="635" customFormat="false" ht="15.75" hidden="false" customHeight="false" outlineLevel="0" collapsed="false">
      <c r="A635" s="9"/>
      <c r="B635" s="10"/>
      <c r="C635" s="10"/>
      <c r="D635" s="10"/>
      <c r="E635" s="10"/>
      <c r="F635" s="10"/>
      <c r="G635" s="10"/>
      <c r="H635" s="10"/>
      <c r="I635" s="18" t="n">
        <v>2</v>
      </c>
      <c r="J635" s="18"/>
      <c r="K635" s="19" t="n">
        <f aca="false">46.31</f>
        <v>46.31</v>
      </c>
      <c r="L635" s="19" t="n">
        <f aca="false">176.08</f>
        <v>176.08</v>
      </c>
      <c r="M635" s="18" t="n">
        <v>16</v>
      </c>
      <c r="N635" s="18" t="n">
        <v>39</v>
      </c>
      <c r="O635" s="18" t="n">
        <v>204.7</v>
      </c>
      <c r="P635" s="19" t="n">
        <f aca="false">28.9</f>
        <v>28.9</v>
      </c>
      <c r="Q635" s="19" t="n">
        <f aca="false">198.98</f>
        <v>198.98</v>
      </c>
      <c r="R635" s="18" t="n">
        <v>27.8</v>
      </c>
      <c r="S635" s="18" t="n">
        <v>22.9</v>
      </c>
      <c r="T635" s="18" t="n">
        <v>681</v>
      </c>
      <c r="U635" s="20" t="s">
        <v>29</v>
      </c>
      <c r="V635" s="21"/>
      <c r="W635" s="16"/>
      <c r="X635" s="16"/>
      <c r="Y635" s="16"/>
    </row>
    <row r="636" customFormat="false" ht="15.75" hidden="false" customHeight="false" outlineLevel="0" collapsed="false">
      <c r="A636" s="9"/>
      <c r="B636" s="10"/>
      <c r="C636" s="10"/>
      <c r="D636" s="10"/>
      <c r="E636" s="10"/>
      <c r="F636" s="10"/>
      <c r="G636" s="10"/>
      <c r="H636" s="10"/>
      <c r="I636" s="22" t="n">
        <v>3</v>
      </c>
      <c r="J636" s="22"/>
      <c r="K636" s="23" t="n">
        <f aca="false">48.45</f>
        <v>48.45</v>
      </c>
      <c r="L636" s="23" t="n">
        <f aca="false">185.37</f>
        <v>185.37</v>
      </c>
      <c r="M636" s="22" t="n">
        <v>16</v>
      </c>
      <c r="N636" s="22" t="n">
        <v>48</v>
      </c>
      <c r="O636" s="22" t="n">
        <v>215.3</v>
      </c>
      <c r="P636" s="23" t="n">
        <f aca="false">29.35</f>
        <v>29.35</v>
      </c>
      <c r="Q636" s="23" t="n">
        <f aca="false">204.08</f>
        <v>204.08</v>
      </c>
      <c r="R636" s="22" t="n">
        <v>24.9</v>
      </c>
      <c r="S636" s="22" t="n">
        <v>23.7</v>
      </c>
      <c r="T636" s="22" t="n">
        <v>696</v>
      </c>
      <c r="U636" s="24" t="s">
        <v>29</v>
      </c>
      <c r="V636" s="15"/>
      <c r="W636" s="16"/>
      <c r="X636" s="16"/>
      <c r="Y636" s="16"/>
    </row>
    <row r="637" customFormat="false" ht="15.75" hidden="false" customHeight="false" outlineLevel="0" collapsed="false">
      <c r="A637" s="9"/>
      <c r="B637" s="10"/>
      <c r="C637" s="10"/>
      <c r="D637" s="10"/>
      <c r="E637" s="10"/>
      <c r="F637" s="10"/>
      <c r="G637" s="10"/>
      <c r="H637" s="10"/>
      <c r="I637" s="25" t="n">
        <v>4</v>
      </c>
      <c r="J637" s="25"/>
      <c r="K637" s="26" t="n">
        <f aca="false">48.66</f>
        <v>48.66</v>
      </c>
      <c r="L637" s="26" t="n">
        <f aca="false">168.66</f>
        <v>168.66</v>
      </c>
      <c r="M637" s="25" t="n">
        <v>16</v>
      </c>
      <c r="N637" s="25" t="n">
        <v>40</v>
      </c>
      <c r="O637" s="25" t="n">
        <v>201.9</v>
      </c>
      <c r="P637" s="26" t="n">
        <f aca="false">28.86</f>
        <v>28.86</v>
      </c>
      <c r="Q637" s="26" t="n">
        <f aca="false">182.56</f>
        <v>182.56</v>
      </c>
      <c r="R637" s="25" t="n">
        <v>25.6</v>
      </c>
      <c r="S637" s="25" t="n">
        <v>22.9</v>
      </c>
      <c r="T637" s="25" t="n">
        <v>733</v>
      </c>
      <c r="U637" s="27" t="s">
        <v>29</v>
      </c>
      <c r="V637" s="21"/>
      <c r="W637" s="16"/>
      <c r="X637" s="16"/>
      <c r="Y637" s="16"/>
    </row>
    <row r="638" customFormat="false" ht="15.75" hidden="false" customHeight="true" outlineLevel="0" collapsed="false">
      <c r="A638" s="9" t="s">
        <v>194</v>
      </c>
      <c r="B638" s="10" t="s">
        <v>44</v>
      </c>
      <c r="C638" s="11" t="s">
        <v>223</v>
      </c>
      <c r="D638" s="10" t="s">
        <v>28</v>
      </c>
      <c r="E638" s="10" t="s">
        <v>28</v>
      </c>
      <c r="F638" s="10"/>
      <c r="G638" s="10" t="n">
        <v>24</v>
      </c>
      <c r="H638" s="10" t="n">
        <v>6.7</v>
      </c>
      <c r="I638" s="12" t="n">
        <v>1</v>
      </c>
      <c r="J638" s="12"/>
      <c r="K638" s="13" t="n">
        <f aca="false">41.52</f>
        <v>41.52</v>
      </c>
      <c r="L638" s="13" t="n">
        <f aca="false">99.18</f>
        <v>99.18</v>
      </c>
      <c r="M638" s="12" t="n">
        <v>14</v>
      </c>
      <c r="N638" s="12" t="n">
        <v>30</v>
      </c>
      <c r="O638" s="12" t="n">
        <v>89.4</v>
      </c>
      <c r="P638" s="13" t="n">
        <f aca="false">24.99</f>
        <v>24.99</v>
      </c>
      <c r="Q638" s="13" t="n">
        <f aca="false">109.02</f>
        <v>109.02</v>
      </c>
      <c r="R638" s="12" t="n">
        <v>11.2</v>
      </c>
      <c r="S638" s="12" t="n">
        <v>22.2</v>
      </c>
      <c r="T638" s="12" t="n">
        <v>391</v>
      </c>
      <c r="U638" s="14" t="s">
        <v>58</v>
      </c>
      <c r="V638" s="15"/>
      <c r="W638" s="16" t="str">
        <f aca="false">A638</f>
        <v>NN</v>
      </c>
      <c r="X638" s="17" t="e">
        <f aca="false">ifs(C638="","",X638="",NOW(),TRUE(),X638)</f>
        <v>#VALUE!</v>
      </c>
      <c r="Y638" s="17" t="e">
        <f aca="false">ifs(COUNTA(K638:U641)&lt;44,"",Y638="",NOW(),TRUE(),Y638)</f>
        <v>#VALUE!</v>
      </c>
    </row>
    <row r="639" customFormat="false" ht="15.75" hidden="false" customHeight="false" outlineLevel="0" collapsed="false">
      <c r="A639" s="9"/>
      <c r="B639" s="10"/>
      <c r="C639" s="10"/>
      <c r="D639" s="10"/>
      <c r="E639" s="10"/>
      <c r="F639" s="10"/>
      <c r="G639" s="10"/>
      <c r="H639" s="10"/>
      <c r="I639" s="18" t="n">
        <v>2</v>
      </c>
      <c r="J639" s="18"/>
      <c r="K639" s="19" t="n">
        <f aca="false">48.63</f>
        <v>48.63</v>
      </c>
      <c r="L639" s="19" t="n">
        <f aca="false">134.02</f>
        <v>134.02</v>
      </c>
      <c r="M639" s="18" t="n">
        <v>14</v>
      </c>
      <c r="N639" s="18" t="n">
        <v>33</v>
      </c>
      <c r="O639" s="18" t="n">
        <v>153.4</v>
      </c>
      <c r="P639" s="19" t="n">
        <f aca="false">27.35</f>
        <v>27.35</v>
      </c>
      <c r="Q639" s="19" t="n">
        <f aca="false">149.2</f>
        <v>149.2</v>
      </c>
      <c r="R639" s="18" t="n">
        <v>21.4</v>
      </c>
      <c r="S639" s="18" t="n">
        <v>22.7</v>
      </c>
      <c r="T639" s="18" t="n">
        <v>526</v>
      </c>
      <c r="U639" s="20" t="s">
        <v>58</v>
      </c>
      <c r="V639" s="21"/>
      <c r="W639" s="16"/>
      <c r="X639" s="16"/>
      <c r="Y639" s="16"/>
    </row>
    <row r="640" customFormat="false" ht="15.75" hidden="false" customHeight="false" outlineLevel="0" collapsed="false">
      <c r="A640" s="9"/>
      <c r="B640" s="10"/>
      <c r="C640" s="10"/>
      <c r="D640" s="10"/>
      <c r="E640" s="10"/>
      <c r="F640" s="10"/>
      <c r="G640" s="10"/>
      <c r="H640" s="10"/>
      <c r="I640" s="22" t="n">
        <v>3</v>
      </c>
      <c r="J640" s="22"/>
      <c r="K640" s="23" t="n">
        <f aca="false">41.26</f>
        <v>41.26</v>
      </c>
      <c r="L640" s="23" t="n">
        <f aca="false">112.35</f>
        <v>112.35</v>
      </c>
      <c r="M640" s="22" t="n">
        <v>14</v>
      </c>
      <c r="N640" s="22" t="n">
        <v>26</v>
      </c>
      <c r="O640" s="22" t="n">
        <v>99</v>
      </c>
      <c r="P640" s="23" t="n">
        <f aca="false">27</f>
        <v>27</v>
      </c>
      <c r="Q640" s="23" t="n">
        <f aca="false">131.43</f>
        <v>131.43</v>
      </c>
      <c r="R640" s="22" t="n">
        <v>13.3</v>
      </c>
      <c r="S640" s="22" t="n">
        <v>21.2</v>
      </c>
      <c r="T640" s="22" t="n">
        <v>395</v>
      </c>
      <c r="U640" s="24" t="s">
        <v>58</v>
      </c>
      <c r="V640" s="15"/>
      <c r="W640" s="16"/>
      <c r="X640" s="16"/>
      <c r="Y640" s="16"/>
    </row>
    <row r="641" customFormat="false" ht="15.75" hidden="false" customHeight="false" outlineLevel="0" collapsed="false">
      <c r="A641" s="9"/>
      <c r="B641" s="10"/>
      <c r="C641" s="10"/>
      <c r="D641" s="10"/>
      <c r="E641" s="10"/>
      <c r="F641" s="10"/>
      <c r="G641" s="10"/>
      <c r="H641" s="10"/>
      <c r="I641" s="25" t="n">
        <v>4</v>
      </c>
      <c r="J641" s="25"/>
      <c r="K641" s="26" t="n">
        <f aca="false">42.48</f>
        <v>42.48</v>
      </c>
      <c r="L641" s="26" t="n">
        <f aca="false">125.17</f>
        <v>125.17</v>
      </c>
      <c r="M641" s="25" t="n">
        <v>14</v>
      </c>
      <c r="N641" s="25" t="n">
        <v>27</v>
      </c>
      <c r="O641" s="25" t="n">
        <v>116.7</v>
      </c>
      <c r="P641" s="26" t="n">
        <f aca="false">27.19</f>
        <v>27.19</v>
      </c>
      <c r="Q641" s="26" t="n">
        <f aca="false">132.46</f>
        <v>132.46</v>
      </c>
      <c r="R641" s="25" t="n">
        <v>14.6</v>
      </c>
      <c r="S641" s="25" t="n">
        <v>20.5</v>
      </c>
      <c r="T641" s="25" t="n">
        <v>450</v>
      </c>
      <c r="U641" s="27" t="s">
        <v>58</v>
      </c>
      <c r="V641" s="21"/>
      <c r="W641" s="16"/>
      <c r="X641" s="16"/>
      <c r="Y641" s="16"/>
    </row>
    <row r="642" customFormat="false" ht="15.75" hidden="false" customHeight="true" outlineLevel="0" collapsed="false">
      <c r="A642" s="9" t="s">
        <v>194</v>
      </c>
      <c r="B642" s="10" t="s">
        <v>44</v>
      </c>
      <c r="C642" s="11" t="s">
        <v>224</v>
      </c>
      <c r="D642" s="10" t="s">
        <v>28</v>
      </c>
      <c r="E642" s="10" t="s">
        <v>28</v>
      </c>
      <c r="F642" s="10"/>
      <c r="G642" s="10" t="n">
        <v>18</v>
      </c>
      <c r="H642" s="10" t="n">
        <v>5.4</v>
      </c>
      <c r="I642" s="12" t="n">
        <v>1</v>
      </c>
      <c r="J642" s="12"/>
      <c r="K642" s="13" t="n">
        <f aca="false">48.59</f>
        <v>48.59</v>
      </c>
      <c r="L642" s="13" t="n">
        <f aca="false">141.02</f>
        <v>141.02</v>
      </c>
      <c r="M642" s="12" t="n">
        <v>18</v>
      </c>
      <c r="N642" s="12" t="n">
        <v>34</v>
      </c>
      <c r="O642" s="12" t="n">
        <v>170.6</v>
      </c>
      <c r="P642" s="13" t="n">
        <f aca="false">29.35</f>
        <v>29.35</v>
      </c>
      <c r="Q642" s="13" t="n">
        <f aca="false">170.13</f>
        <v>170.13</v>
      </c>
      <c r="R642" s="12" t="n">
        <v>21.5</v>
      </c>
      <c r="S642" s="12" t="n">
        <v>23.9</v>
      </c>
      <c r="T642" s="12" t="n">
        <v>610</v>
      </c>
      <c r="U642" s="14" t="s">
        <v>97</v>
      </c>
      <c r="V642" s="15"/>
      <c r="W642" s="16" t="str">
        <f aca="false">A642</f>
        <v>NN</v>
      </c>
      <c r="X642" s="17" t="e">
        <f aca="false">ifs(C642="","",X642="",NOW(),TRUE(),X642)</f>
        <v>#VALUE!</v>
      </c>
      <c r="Y642" s="17" t="e">
        <f aca="false">ifs(COUNTA(K642:U645)&lt;44,"",Y642="",NOW(),TRUE(),Y642)</f>
        <v>#VALUE!</v>
      </c>
    </row>
    <row r="643" customFormat="false" ht="15.75" hidden="false" customHeight="false" outlineLevel="0" collapsed="false">
      <c r="A643" s="9"/>
      <c r="B643" s="10"/>
      <c r="C643" s="10"/>
      <c r="D643" s="10"/>
      <c r="E643" s="10"/>
      <c r="F643" s="10"/>
      <c r="G643" s="10"/>
      <c r="H643" s="10"/>
      <c r="I643" s="18" t="n">
        <v>2</v>
      </c>
      <c r="J643" s="18"/>
      <c r="K643" s="19" t="n">
        <f aca="false">51.33</f>
        <v>51.33</v>
      </c>
      <c r="L643" s="19" t="n">
        <f aca="false">178.85</f>
        <v>178.85</v>
      </c>
      <c r="M643" s="18" t="n">
        <v>20</v>
      </c>
      <c r="N643" s="18" t="n">
        <v>42</v>
      </c>
      <c r="O643" s="18" t="n">
        <v>239</v>
      </c>
      <c r="P643" s="19" t="n">
        <f aca="false">30.34</f>
        <v>30.34</v>
      </c>
      <c r="Q643" s="19" t="n">
        <f aca="false">186.56</f>
        <v>186.56</v>
      </c>
      <c r="R643" s="18" t="n">
        <v>25.7</v>
      </c>
      <c r="S643" s="18" t="n">
        <v>20.1</v>
      </c>
      <c r="T643" s="18" t="n">
        <v>939</v>
      </c>
      <c r="U643" s="20" t="s">
        <v>97</v>
      </c>
      <c r="V643" s="21"/>
      <c r="W643" s="16"/>
      <c r="X643" s="16"/>
      <c r="Y643" s="16"/>
    </row>
    <row r="644" customFormat="false" ht="15.75" hidden="false" customHeight="false" outlineLevel="0" collapsed="false">
      <c r="A644" s="9"/>
      <c r="B644" s="10"/>
      <c r="C644" s="10"/>
      <c r="D644" s="10"/>
      <c r="E644" s="10"/>
      <c r="F644" s="10"/>
      <c r="G644" s="10"/>
      <c r="H644" s="10"/>
      <c r="I644" s="22" t="n">
        <v>3</v>
      </c>
      <c r="J644" s="22"/>
      <c r="K644" s="23" t="n">
        <f aca="false">50.81</f>
        <v>50.81</v>
      </c>
      <c r="L644" s="23" t="n">
        <f aca="false">161.3</f>
        <v>161.3</v>
      </c>
      <c r="M644" s="22" t="n">
        <v>20</v>
      </c>
      <c r="N644" s="22" t="n">
        <v>34</v>
      </c>
      <c r="O644" s="22" t="n">
        <v>185.3</v>
      </c>
      <c r="P644" s="23" t="n">
        <f aca="false">30.05</f>
        <v>30.05</v>
      </c>
      <c r="Q644" s="23" t="n">
        <f aca="false">179.79</f>
        <v>179.79</v>
      </c>
      <c r="R644" s="22" t="n">
        <v>21.8</v>
      </c>
      <c r="S644" s="22" t="n">
        <v>22.5</v>
      </c>
      <c r="T644" s="22" t="n">
        <v>689</v>
      </c>
      <c r="U644" s="24" t="s">
        <v>97</v>
      </c>
      <c r="V644" s="15"/>
      <c r="W644" s="16"/>
      <c r="X644" s="16"/>
      <c r="Y644" s="16"/>
    </row>
    <row r="645" customFormat="false" ht="15.75" hidden="false" customHeight="false" outlineLevel="0" collapsed="false">
      <c r="A645" s="9"/>
      <c r="B645" s="10"/>
      <c r="C645" s="10"/>
      <c r="D645" s="10"/>
      <c r="E645" s="10"/>
      <c r="F645" s="10"/>
      <c r="G645" s="10"/>
      <c r="H645" s="10"/>
      <c r="I645" s="25" t="n">
        <v>4</v>
      </c>
      <c r="J645" s="25"/>
      <c r="K645" s="26" t="n">
        <f aca="false">49.57</f>
        <v>49.57</v>
      </c>
      <c r="L645" s="26" t="n">
        <f aca="false">173.81</f>
        <v>173.81</v>
      </c>
      <c r="M645" s="25" t="n">
        <v>18</v>
      </c>
      <c r="N645" s="25" t="n">
        <v>42</v>
      </c>
      <c r="O645" s="25" t="n">
        <v>202.7</v>
      </c>
      <c r="P645" s="26" t="n">
        <f aca="false">26.8</f>
        <v>26.8</v>
      </c>
      <c r="Q645" s="26" t="n">
        <f aca="false">188.06</f>
        <v>188.06</v>
      </c>
      <c r="R645" s="25" t="n">
        <v>23.8</v>
      </c>
      <c r="S645" s="25" t="n">
        <v>22.5</v>
      </c>
      <c r="T645" s="25" t="n">
        <v>795</v>
      </c>
      <c r="U645" s="27" t="s">
        <v>97</v>
      </c>
      <c r="V645" s="21"/>
      <c r="W645" s="16"/>
      <c r="X645" s="16"/>
      <c r="Y645" s="16"/>
    </row>
    <row r="646" customFormat="false" ht="15.75" hidden="false" customHeight="true" outlineLevel="0" collapsed="false">
      <c r="A646" s="9" t="s">
        <v>194</v>
      </c>
      <c r="B646" s="10" t="s">
        <v>44</v>
      </c>
      <c r="C646" s="11" t="s">
        <v>225</v>
      </c>
      <c r="D646" s="10" t="s">
        <v>28</v>
      </c>
      <c r="E646" s="10" t="s">
        <v>28</v>
      </c>
      <c r="F646" s="10"/>
      <c r="G646" s="10" t="n">
        <v>4</v>
      </c>
      <c r="H646" s="10" t="n">
        <v>0.8</v>
      </c>
      <c r="I646" s="12" t="n">
        <v>1</v>
      </c>
      <c r="J646" s="12" t="s">
        <v>47</v>
      </c>
      <c r="K646" s="13" t="n">
        <f aca="false">43.05</f>
        <v>43.05</v>
      </c>
      <c r="L646" s="13" t="n">
        <f aca="false">162.26</f>
        <v>162.26</v>
      </c>
      <c r="M646" s="12" t="n">
        <v>12</v>
      </c>
      <c r="N646" s="12" t="n">
        <v>40</v>
      </c>
      <c r="O646" s="12" t="n">
        <v>153.6</v>
      </c>
      <c r="P646" s="13" t="n">
        <f aca="false">27.88</f>
        <v>27.88</v>
      </c>
      <c r="Q646" s="13" t="n">
        <f aca="false">174.99</f>
        <v>174.99</v>
      </c>
      <c r="R646" s="12" t="n">
        <v>21.2</v>
      </c>
      <c r="S646" s="12" t="n">
        <v>21</v>
      </c>
      <c r="T646" s="12" t="n">
        <v>597</v>
      </c>
      <c r="U646" s="14" t="s">
        <v>29</v>
      </c>
      <c r="V646" s="15"/>
      <c r="W646" s="16" t="str">
        <f aca="false">A646</f>
        <v>NN</v>
      </c>
      <c r="X646" s="17" t="e">
        <f aca="false">ifs(C646="","",X646="",NOW(),TRUE(),X646)</f>
        <v>#VALUE!</v>
      </c>
      <c r="Y646" s="17" t="e">
        <f aca="false">ifs(COUNTA(K646:U649)&lt;44,"",Y646="",NOW(),TRUE(),Y646)</f>
        <v>#VALUE!</v>
      </c>
    </row>
    <row r="647" customFormat="false" ht="15.75" hidden="false" customHeight="false" outlineLevel="0" collapsed="false">
      <c r="A647" s="9"/>
      <c r="B647" s="10"/>
      <c r="C647" s="10"/>
      <c r="D647" s="10"/>
      <c r="E647" s="10"/>
      <c r="F647" s="10"/>
      <c r="G647" s="10"/>
      <c r="H647" s="10"/>
      <c r="I647" s="18" t="n">
        <v>2</v>
      </c>
      <c r="J647" s="18"/>
      <c r="K647" s="19" t="n">
        <f aca="false">48.57</f>
        <v>48.57</v>
      </c>
      <c r="L647" s="19" t="n">
        <f aca="false">164.47</f>
        <v>164.47</v>
      </c>
      <c r="M647" s="18" t="n">
        <v>16</v>
      </c>
      <c r="N647" s="18" t="n">
        <v>40</v>
      </c>
      <c r="O647" s="18" t="n">
        <v>198.7</v>
      </c>
      <c r="P647" s="19" t="n">
        <f aca="false">30.34</f>
        <v>30.34</v>
      </c>
      <c r="Q647" s="19" t="n">
        <f aca="false">175.07</f>
        <v>175.07</v>
      </c>
      <c r="R647" s="18" t="n">
        <v>28.6</v>
      </c>
      <c r="S647" s="18" t="n">
        <v>20.8</v>
      </c>
      <c r="T647" s="18" t="n">
        <v>770</v>
      </c>
      <c r="U647" s="20" t="s">
        <v>29</v>
      </c>
      <c r="V647" s="21"/>
      <c r="W647" s="16"/>
      <c r="X647" s="16"/>
      <c r="Y647" s="16"/>
    </row>
    <row r="648" customFormat="false" ht="15.75" hidden="false" customHeight="false" outlineLevel="0" collapsed="false">
      <c r="A648" s="9"/>
      <c r="B648" s="10"/>
      <c r="C648" s="10"/>
      <c r="D648" s="10"/>
      <c r="E648" s="10"/>
      <c r="F648" s="10"/>
      <c r="G648" s="10"/>
      <c r="H648" s="10"/>
      <c r="I648" s="22" t="n">
        <v>3</v>
      </c>
      <c r="J648" s="22"/>
      <c r="K648" s="23" t="n">
        <f aca="false">42.2</f>
        <v>42.2</v>
      </c>
      <c r="L648" s="23" t="n">
        <f aca="false">134.05</f>
        <v>134.05</v>
      </c>
      <c r="M648" s="22" t="n">
        <v>12</v>
      </c>
      <c r="N648" s="22" t="n">
        <v>34</v>
      </c>
      <c r="O648" s="22" t="n">
        <v>128.8</v>
      </c>
      <c r="P648" s="23" t="n">
        <f aca="false">27.3</f>
        <v>27.3</v>
      </c>
      <c r="Q648" s="23" t="n">
        <f aca="false">150.28</f>
        <v>150.28</v>
      </c>
      <c r="R648" s="22" t="n">
        <v>16.5</v>
      </c>
      <c r="S648" s="22" t="n">
        <v>19.9</v>
      </c>
      <c r="T648" s="22" t="n">
        <v>515</v>
      </c>
      <c r="U648" s="24" t="s">
        <v>29</v>
      </c>
      <c r="V648" s="15"/>
      <c r="W648" s="16"/>
      <c r="X648" s="16"/>
      <c r="Y648" s="16"/>
    </row>
    <row r="649" customFormat="false" ht="15.75" hidden="false" customHeight="false" outlineLevel="0" collapsed="false">
      <c r="A649" s="9"/>
      <c r="B649" s="10"/>
      <c r="C649" s="10"/>
      <c r="D649" s="10"/>
      <c r="E649" s="10"/>
      <c r="F649" s="10"/>
      <c r="G649" s="10"/>
      <c r="H649" s="10"/>
      <c r="I649" s="25" t="n">
        <v>4</v>
      </c>
      <c r="J649" s="25"/>
      <c r="K649" s="26" t="n">
        <f aca="false">47.64</f>
        <v>47.64</v>
      </c>
      <c r="L649" s="26" t="n">
        <f aca="false">187.56</f>
        <v>187.56</v>
      </c>
      <c r="M649" s="25" t="n">
        <v>16</v>
      </c>
      <c r="N649" s="25" t="n">
        <v>47</v>
      </c>
      <c r="O649" s="25" t="n">
        <v>233.7</v>
      </c>
      <c r="P649" s="26" t="n">
        <f aca="false">31.61</f>
        <v>31.61</v>
      </c>
      <c r="Q649" s="26" t="n">
        <f aca="false">198.15</f>
        <v>198.15</v>
      </c>
      <c r="R649" s="25" t="n">
        <v>35.7</v>
      </c>
      <c r="S649" s="25" t="n">
        <v>23.1</v>
      </c>
      <c r="T649" s="25" t="n">
        <v>851</v>
      </c>
      <c r="U649" s="27" t="s">
        <v>29</v>
      </c>
      <c r="V649" s="21"/>
      <c r="W649" s="16"/>
      <c r="X649" s="16"/>
      <c r="Y649" s="16"/>
    </row>
    <row r="650" customFormat="false" ht="15.75" hidden="false" customHeight="true" outlineLevel="0" collapsed="false">
      <c r="A650" s="9" t="s">
        <v>226</v>
      </c>
      <c r="B650" s="10" t="s">
        <v>26</v>
      </c>
      <c r="C650" s="11" t="s">
        <v>227</v>
      </c>
      <c r="D650" s="10" t="s">
        <v>28</v>
      </c>
      <c r="E650" s="10" t="s">
        <v>28</v>
      </c>
      <c r="F650" s="10"/>
      <c r="G650" s="10" t="n">
        <v>31</v>
      </c>
      <c r="H650" s="10" t="n">
        <v>6.85</v>
      </c>
      <c r="I650" s="12" t="n">
        <v>1</v>
      </c>
      <c r="J650" s="12"/>
      <c r="K650" s="13" t="n">
        <f aca="false">46.36</f>
        <v>46.36</v>
      </c>
      <c r="L650" s="13" t="n">
        <f aca="false">133.8</f>
        <v>133.8</v>
      </c>
      <c r="M650" s="12" t="n">
        <v>18</v>
      </c>
      <c r="N650" s="12" t="n">
        <v>34</v>
      </c>
      <c r="O650" s="12" t="n">
        <v>116.25</v>
      </c>
      <c r="P650" s="13" t="n">
        <f aca="false">31.31</f>
        <v>31.31</v>
      </c>
      <c r="Q650" s="13" t="n">
        <f aca="false">144.9</f>
        <v>144.9</v>
      </c>
      <c r="R650" s="12" t="n">
        <v>15.4</v>
      </c>
      <c r="S650" s="12" t="n">
        <v>22</v>
      </c>
      <c r="T650" s="12" t="n">
        <v>469</v>
      </c>
      <c r="U650" s="14" t="s">
        <v>32</v>
      </c>
      <c r="V650" s="15"/>
      <c r="W650" s="16" t="str">
        <f aca="false">A650</f>
        <v>OK</v>
      </c>
      <c r="X650" s="17" t="e">
        <f aca="false">ifs(C650="","",X650="",NOW(),TRUE(),X650)</f>
        <v>#VALUE!</v>
      </c>
      <c r="Y650" s="17" t="e">
        <f aca="false">ifs(COUNTA(K650:U653)&lt;44,"",Y650="",NOW(),TRUE(),Y650)</f>
        <v>#VALUE!</v>
      </c>
    </row>
    <row r="651" customFormat="false" ht="15.75" hidden="false" customHeight="false" outlineLevel="0" collapsed="false">
      <c r="A651" s="9"/>
      <c r="B651" s="10"/>
      <c r="C651" s="10"/>
      <c r="D651" s="10"/>
      <c r="E651" s="10"/>
      <c r="F651" s="10"/>
      <c r="G651" s="10"/>
      <c r="H651" s="10"/>
      <c r="I651" s="18" t="n">
        <v>2</v>
      </c>
      <c r="J651" s="18"/>
      <c r="K651" s="19" t="n">
        <f aca="false">44.64</f>
        <v>44.64</v>
      </c>
      <c r="L651" s="19" t="n">
        <f aca="false">122.94</f>
        <v>122.94</v>
      </c>
      <c r="M651" s="18" t="n">
        <v>18</v>
      </c>
      <c r="N651" s="18" t="n">
        <v>28</v>
      </c>
      <c r="O651" s="18" t="n">
        <v>118.45</v>
      </c>
      <c r="P651" s="19" t="n">
        <f aca="false">29.78</f>
        <v>29.78</v>
      </c>
      <c r="Q651" s="19" t="n">
        <f aca="false">133.69</f>
        <v>133.69</v>
      </c>
      <c r="R651" s="18" t="n">
        <v>13.85</v>
      </c>
      <c r="S651" s="18" t="n">
        <v>25</v>
      </c>
      <c r="T651" s="18" t="n">
        <v>416</v>
      </c>
      <c r="U651" s="20" t="s">
        <v>32</v>
      </c>
      <c r="V651" s="21"/>
      <c r="W651" s="16"/>
      <c r="X651" s="16"/>
      <c r="Y651" s="16"/>
    </row>
    <row r="652" customFormat="false" ht="15.75" hidden="false" customHeight="false" outlineLevel="0" collapsed="false">
      <c r="A652" s="9"/>
      <c r="B652" s="10"/>
      <c r="C652" s="10"/>
      <c r="D652" s="10"/>
      <c r="E652" s="10"/>
      <c r="F652" s="10"/>
      <c r="G652" s="10"/>
      <c r="H652" s="10"/>
      <c r="I652" s="22" t="n">
        <v>3</v>
      </c>
      <c r="J652" s="22"/>
      <c r="K652" s="23" t="n">
        <f aca="false">46.46</f>
        <v>46.46</v>
      </c>
      <c r="L652" s="23" t="n">
        <f aca="false">106.69</f>
        <v>106.69</v>
      </c>
      <c r="M652" s="22" t="n">
        <v>16</v>
      </c>
      <c r="N652" s="22" t="n">
        <v>22</v>
      </c>
      <c r="O652" s="22" t="n">
        <v>108.8</v>
      </c>
      <c r="P652" s="23" t="n">
        <f aca="false">28.73</f>
        <v>28.73</v>
      </c>
      <c r="Q652" s="23" t="n">
        <f aca="false">95.75</f>
        <v>95.75</v>
      </c>
      <c r="R652" s="22" t="n">
        <v>14.55</v>
      </c>
      <c r="S652" s="22" t="n">
        <v>32.05</v>
      </c>
      <c r="T652" s="22" t="n">
        <v>298</v>
      </c>
      <c r="U652" s="24" t="s">
        <v>32</v>
      </c>
      <c r="V652" s="15"/>
      <c r="W652" s="16"/>
      <c r="X652" s="16"/>
      <c r="Y652" s="16"/>
    </row>
    <row r="653" customFormat="false" ht="15.75" hidden="false" customHeight="false" outlineLevel="0" collapsed="false">
      <c r="A653" s="9"/>
      <c r="B653" s="10"/>
      <c r="C653" s="10"/>
      <c r="D653" s="10"/>
      <c r="E653" s="10"/>
      <c r="F653" s="10"/>
      <c r="G653" s="10"/>
      <c r="H653" s="10"/>
      <c r="I653" s="25" t="n">
        <v>4</v>
      </c>
      <c r="J653" s="25" t="s">
        <v>35</v>
      </c>
      <c r="K653" s="26" t="n">
        <f aca="false">41.67</f>
        <v>41.67</v>
      </c>
      <c r="L653" s="26" t="n">
        <f aca="false">111.69</f>
        <v>111.69</v>
      </c>
      <c r="M653" s="25" t="n">
        <v>15</v>
      </c>
      <c r="N653" s="25" t="n">
        <v>24</v>
      </c>
      <c r="O653" s="25" t="n">
        <v>94.4</v>
      </c>
      <c r="P653" s="26" t="n">
        <f aca="false">26.88</f>
        <v>26.88</v>
      </c>
      <c r="Q653" s="26" t="n">
        <f aca="false">115.26</f>
        <v>115.26</v>
      </c>
      <c r="R653" s="25" t="n">
        <v>12.75</v>
      </c>
      <c r="S653" s="25" t="n">
        <v>22.1</v>
      </c>
      <c r="T653" s="25" t="n">
        <v>363</v>
      </c>
      <c r="U653" s="27" t="s">
        <v>32</v>
      </c>
      <c r="V653" s="21"/>
      <c r="W653" s="16"/>
      <c r="X653" s="16"/>
      <c r="Y653" s="16"/>
    </row>
    <row r="654" customFormat="false" ht="15.75" hidden="false" customHeight="true" outlineLevel="0" collapsed="false">
      <c r="A654" s="9" t="s">
        <v>226</v>
      </c>
      <c r="B654" s="10" t="s">
        <v>26</v>
      </c>
      <c r="C654" s="11" t="s">
        <v>228</v>
      </c>
      <c r="D654" s="10" t="s">
        <v>28</v>
      </c>
      <c r="E654" s="10" t="s">
        <v>28</v>
      </c>
      <c r="F654" s="10"/>
      <c r="G654" s="10" t="n">
        <v>19</v>
      </c>
      <c r="H654" s="10" t="n">
        <v>3.55</v>
      </c>
      <c r="I654" s="12" t="n">
        <v>1</v>
      </c>
      <c r="J654" s="12" t="s">
        <v>47</v>
      </c>
      <c r="K654" s="13" t="n">
        <f aca="false">46.55</f>
        <v>46.55</v>
      </c>
      <c r="L654" s="13" t="n">
        <f aca="false">164.94</f>
        <v>164.94</v>
      </c>
      <c r="M654" s="12" t="n">
        <v>12</v>
      </c>
      <c r="N654" s="12" t="n">
        <v>44</v>
      </c>
      <c r="O654" s="12" t="n">
        <v>192.9</v>
      </c>
      <c r="P654" s="13" t="n">
        <f aca="false">28.36</f>
        <v>28.36</v>
      </c>
      <c r="Q654" s="13" t="n">
        <f aca="false">174.34</f>
        <v>174.34</v>
      </c>
      <c r="R654" s="12" t="n">
        <v>30.75</v>
      </c>
      <c r="S654" s="12" t="n">
        <v>33.25</v>
      </c>
      <c r="T654" s="12" t="n">
        <v>504</v>
      </c>
      <c r="U654" s="14" t="s">
        <v>29</v>
      </c>
      <c r="V654" s="15"/>
      <c r="W654" s="16" t="str">
        <f aca="false">A654</f>
        <v>OK</v>
      </c>
      <c r="X654" s="17" t="e">
        <f aca="false">ifs(C654="","",X654="",NOW(),TRUE(),X654)</f>
        <v>#VALUE!</v>
      </c>
      <c r="Y654" s="17" t="e">
        <f aca="false">ifs(COUNTA(K654:U657)&lt;44,"",Y654="",NOW(),TRUE(),Y654)</f>
        <v>#VALUE!</v>
      </c>
    </row>
    <row r="655" customFormat="false" ht="15.75" hidden="false" customHeight="false" outlineLevel="0" collapsed="false">
      <c r="A655" s="9"/>
      <c r="B655" s="10"/>
      <c r="C655" s="10"/>
      <c r="D655" s="10"/>
      <c r="E655" s="10"/>
      <c r="F655" s="10"/>
      <c r="G655" s="10"/>
      <c r="H655" s="10"/>
      <c r="I655" s="18" t="n">
        <v>2</v>
      </c>
      <c r="J655" s="18" t="s">
        <v>47</v>
      </c>
      <c r="K655" s="19" t="n">
        <f aca="false">47.02</f>
        <v>47.02</v>
      </c>
      <c r="L655" s="19" t="n">
        <f aca="false">171.25</f>
        <v>171.25</v>
      </c>
      <c r="M655" s="18" t="n">
        <v>14</v>
      </c>
      <c r="N655" s="18" t="n">
        <v>42</v>
      </c>
      <c r="O655" s="18" t="n">
        <v>203.95</v>
      </c>
      <c r="P655" s="19" t="n">
        <f aca="false">28.73</f>
        <v>28.73</v>
      </c>
      <c r="Q655" s="19" t="n">
        <f aca="false">177.2</f>
        <v>177.2</v>
      </c>
      <c r="R655" s="18" t="n">
        <v>29.4</v>
      </c>
      <c r="S655" s="18" t="n">
        <v>29.6</v>
      </c>
      <c r="T655" s="18" t="n">
        <v>587</v>
      </c>
      <c r="U655" s="20" t="s">
        <v>29</v>
      </c>
      <c r="V655" s="21"/>
      <c r="W655" s="16"/>
      <c r="X655" s="16"/>
      <c r="Y655" s="16"/>
    </row>
    <row r="656" customFormat="false" ht="15.75" hidden="false" customHeight="false" outlineLevel="0" collapsed="false">
      <c r="A656" s="9"/>
      <c r="B656" s="10"/>
      <c r="C656" s="10"/>
      <c r="D656" s="10"/>
      <c r="E656" s="10"/>
      <c r="F656" s="10"/>
      <c r="G656" s="10"/>
      <c r="H656" s="10"/>
      <c r="I656" s="22" t="n">
        <v>3</v>
      </c>
      <c r="J656" s="22" t="s">
        <v>35</v>
      </c>
      <c r="K656" s="23" t="n">
        <f aca="false">43.17</f>
        <v>43.17</v>
      </c>
      <c r="L656" s="23" t="n">
        <f aca="false">155.47</f>
        <v>155.47</v>
      </c>
      <c r="M656" s="22" t="n">
        <v>12</v>
      </c>
      <c r="N656" s="22" t="n">
        <v>42</v>
      </c>
      <c r="O656" s="22" t="n">
        <v>156.2</v>
      </c>
      <c r="P656" s="23" t="n">
        <f aca="false">24.66</f>
        <v>24.66</v>
      </c>
      <c r="Q656" s="23" t="n">
        <f aca="false">168.4</f>
        <v>168.4</v>
      </c>
      <c r="R656" s="22" t="n">
        <v>22</v>
      </c>
      <c r="S656" s="22" t="n">
        <v>27.05</v>
      </c>
      <c r="T656" s="22" t="n">
        <v>502</v>
      </c>
      <c r="U656" s="24" t="s">
        <v>29</v>
      </c>
      <c r="V656" s="15"/>
      <c r="W656" s="16"/>
      <c r="X656" s="16"/>
      <c r="Y656" s="16"/>
    </row>
    <row r="657" customFormat="false" ht="15.75" hidden="false" customHeight="false" outlineLevel="0" collapsed="false">
      <c r="A657" s="9"/>
      <c r="B657" s="10"/>
      <c r="C657" s="10"/>
      <c r="D657" s="10"/>
      <c r="E657" s="10"/>
      <c r="F657" s="10"/>
      <c r="G657" s="10"/>
      <c r="H657" s="10"/>
      <c r="I657" s="25" t="n">
        <v>4</v>
      </c>
      <c r="J657" s="25" t="s">
        <v>49</v>
      </c>
      <c r="K657" s="26" t="n">
        <f aca="false">41.65</f>
        <v>41.65</v>
      </c>
      <c r="L657" s="26" t="n">
        <f aca="false">109.66</f>
        <v>109.66</v>
      </c>
      <c r="M657" s="25" t="n">
        <v>14</v>
      </c>
      <c r="N657" s="25" t="n">
        <v>28</v>
      </c>
      <c r="O657" s="25" t="n">
        <v>106.15</v>
      </c>
      <c r="P657" s="26" t="n">
        <f aca="false">26.23</f>
        <v>26.23</v>
      </c>
      <c r="Q657" s="26" t="n">
        <f aca="false">128.23</f>
        <v>128.23</v>
      </c>
      <c r="R657" s="25" t="n">
        <v>16.05</v>
      </c>
      <c r="S657" s="25" t="n">
        <v>23.25</v>
      </c>
      <c r="T657" s="25" t="n">
        <v>394</v>
      </c>
      <c r="U657" s="27" t="s">
        <v>97</v>
      </c>
      <c r="V657" s="21"/>
      <c r="W657" s="16"/>
      <c r="X657" s="16"/>
      <c r="Y657" s="16"/>
    </row>
    <row r="658" customFormat="false" ht="15.75" hidden="false" customHeight="true" outlineLevel="0" collapsed="false">
      <c r="A658" s="9" t="s">
        <v>194</v>
      </c>
      <c r="B658" s="10" t="s">
        <v>44</v>
      </c>
      <c r="C658" s="11" t="s">
        <v>229</v>
      </c>
      <c r="D658" s="10" t="s">
        <v>28</v>
      </c>
      <c r="E658" s="10" t="s">
        <v>28</v>
      </c>
      <c r="F658" s="10"/>
      <c r="G658" s="10" t="n">
        <v>15</v>
      </c>
      <c r="H658" s="10" t="n">
        <v>3.7</v>
      </c>
      <c r="I658" s="12" t="n">
        <v>1</v>
      </c>
      <c r="J658" s="12" t="s">
        <v>35</v>
      </c>
      <c r="K658" s="13" t="n">
        <f aca="false">41.99</f>
        <v>41.99</v>
      </c>
      <c r="L658" s="13" t="n">
        <f aca="false">106.35</f>
        <v>106.35</v>
      </c>
      <c r="M658" s="12" t="n">
        <v>14</v>
      </c>
      <c r="N658" s="12" t="n">
        <v>25</v>
      </c>
      <c r="O658" s="12" t="n">
        <v>86.6</v>
      </c>
      <c r="P658" s="13" t="n">
        <f aca="false">28.85</f>
        <v>28.85</v>
      </c>
      <c r="Q658" s="13" t="n">
        <f aca="false">118.28</f>
        <v>118.28</v>
      </c>
      <c r="R658" s="12" t="n">
        <v>12.5</v>
      </c>
      <c r="S658" s="12" t="n">
        <v>22.3</v>
      </c>
      <c r="T658" s="12" t="n">
        <v>316</v>
      </c>
      <c r="U658" s="14" t="s">
        <v>58</v>
      </c>
      <c r="V658" s="15"/>
      <c r="W658" s="16" t="str">
        <f aca="false">A658</f>
        <v>NN</v>
      </c>
      <c r="X658" s="17" t="e">
        <f aca="false">ifs(C658="","",X658="",NOW(),TRUE(),X658)</f>
        <v>#VALUE!</v>
      </c>
      <c r="Y658" s="17" t="e">
        <f aca="false">ifs(COUNTA(K658:U661)&lt;44,"",Y658="",NOW(),TRUE(),Y658)</f>
        <v>#VALUE!</v>
      </c>
    </row>
    <row r="659" customFormat="false" ht="15.75" hidden="false" customHeight="false" outlineLevel="0" collapsed="false">
      <c r="A659" s="9"/>
      <c r="B659" s="10"/>
      <c r="C659" s="10"/>
      <c r="D659" s="10"/>
      <c r="E659" s="10"/>
      <c r="F659" s="10"/>
      <c r="G659" s="10"/>
      <c r="H659" s="10"/>
      <c r="I659" s="18" t="n">
        <v>2</v>
      </c>
      <c r="J659" s="18"/>
      <c r="K659" s="19" t="n">
        <f aca="false">43.8</f>
        <v>43.8</v>
      </c>
      <c r="L659" s="19" t="n">
        <f aca="false">114.79</f>
        <v>114.79</v>
      </c>
      <c r="M659" s="18" t="n">
        <v>14</v>
      </c>
      <c r="N659" s="18" t="n">
        <v>29</v>
      </c>
      <c r="O659" s="18" t="n">
        <v>103.4</v>
      </c>
      <c r="P659" s="19" t="n">
        <f aca="false">29.96</f>
        <v>29.96</v>
      </c>
      <c r="Q659" s="19" t="n">
        <f aca="false">145.49</f>
        <v>145.49</v>
      </c>
      <c r="R659" s="18" t="n">
        <v>13.8</v>
      </c>
      <c r="S659" s="18" t="n">
        <v>20.4</v>
      </c>
      <c r="T659" s="18" t="n">
        <v>452</v>
      </c>
      <c r="U659" s="20" t="s">
        <v>58</v>
      </c>
      <c r="V659" s="21"/>
      <c r="W659" s="16"/>
      <c r="X659" s="16"/>
      <c r="Y659" s="16"/>
    </row>
    <row r="660" customFormat="false" ht="15.75" hidden="false" customHeight="false" outlineLevel="0" collapsed="false">
      <c r="A660" s="9"/>
      <c r="B660" s="10"/>
      <c r="C660" s="10"/>
      <c r="D660" s="10"/>
      <c r="E660" s="10"/>
      <c r="F660" s="10"/>
      <c r="G660" s="10"/>
      <c r="H660" s="10"/>
      <c r="I660" s="22" t="n">
        <v>3</v>
      </c>
      <c r="J660" s="22"/>
      <c r="K660" s="23" t="n">
        <f aca="false">44.24</f>
        <v>44.24</v>
      </c>
      <c r="L660" s="23" t="n">
        <f aca="false">100.27</f>
        <v>100.27</v>
      </c>
      <c r="M660" s="22" t="n">
        <v>14</v>
      </c>
      <c r="N660" s="22" t="n">
        <v>24</v>
      </c>
      <c r="O660" s="22" t="n">
        <v>87.4</v>
      </c>
      <c r="P660" s="23" t="n">
        <f aca="false">27.63</f>
        <v>27.63</v>
      </c>
      <c r="Q660" s="23" t="n">
        <f aca="false">118.48</f>
        <v>118.48</v>
      </c>
      <c r="R660" s="22" t="n">
        <v>11.5</v>
      </c>
      <c r="S660" s="22" t="n">
        <v>18.9</v>
      </c>
      <c r="T660" s="22" t="n">
        <v>408</v>
      </c>
      <c r="U660" s="24" t="s">
        <v>58</v>
      </c>
      <c r="V660" s="15"/>
      <c r="W660" s="16"/>
      <c r="X660" s="16"/>
      <c r="Y660" s="16"/>
    </row>
    <row r="661" customFormat="false" ht="15.75" hidden="false" customHeight="false" outlineLevel="0" collapsed="false">
      <c r="A661" s="9"/>
      <c r="B661" s="10"/>
      <c r="C661" s="10"/>
      <c r="D661" s="10"/>
      <c r="E661" s="10"/>
      <c r="F661" s="10"/>
      <c r="G661" s="10"/>
      <c r="H661" s="10"/>
      <c r="I661" s="25" t="n">
        <v>4</v>
      </c>
      <c r="J661" s="25"/>
      <c r="K661" s="26" t="n">
        <f aca="false">47.15</f>
        <v>47.15</v>
      </c>
      <c r="L661" s="26" t="n">
        <f aca="false">139.77</f>
        <v>139.77</v>
      </c>
      <c r="M661" s="25" t="n">
        <v>14</v>
      </c>
      <c r="N661" s="25" t="n">
        <v>33</v>
      </c>
      <c r="O661" s="25" t="n">
        <v>155.5</v>
      </c>
      <c r="P661" s="26" t="n">
        <f aca="false">30.61</f>
        <v>30.61</v>
      </c>
      <c r="Q661" s="26" t="n">
        <f aca="false">164.94</f>
        <v>164.94</v>
      </c>
      <c r="R661" s="25" t="n">
        <v>20.4</v>
      </c>
      <c r="S661" s="25" t="n">
        <v>20.5</v>
      </c>
      <c r="T661" s="25" t="n">
        <v>595</v>
      </c>
      <c r="U661" s="27" t="s">
        <v>58</v>
      </c>
      <c r="V661" s="21"/>
      <c r="W661" s="16"/>
      <c r="X661" s="16"/>
      <c r="Y661" s="16"/>
    </row>
    <row r="662" customFormat="false" ht="15.75" hidden="false" customHeight="true" outlineLevel="0" collapsed="false">
      <c r="A662" s="9" t="s">
        <v>194</v>
      </c>
      <c r="B662" s="10" t="s">
        <v>44</v>
      </c>
      <c r="C662" s="11" t="s">
        <v>230</v>
      </c>
      <c r="D662" s="10" t="s">
        <v>28</v>
      </c>
      <c r="E662" s="10" t="s">
        <v>28</v>
      </c>
      <c r="F662" s="10"/>
      <c r="G662" s="10" t="n">
        <v>6</v>
      </c>
      <c r="H662" s="10" t="n">
        <v>1</v>
      </c>
      <c r="I662" s="12" t="n">
        <v>1</v>
      </c>
      <c r="J662" s="12"/>
      <c r="K662" s="13" t="n">
        <f aca="false">46.9</f>
        <v>46.9</v>
      </c>
      <c r="L662" s="13" t="n">
        <f aca="false">161.97</f>
        <v>161.97</v>
      </c>
      <c r="M662" s="12" t="n">
        <v>16</v>
      </c>
      <c r="N662" s="12" t="n">
        <v>41</v>
      </c>
      <c r="O662" s="12" t="n">
        <v>182.2</v>
      </c>
      <c r="P662" s="13" t="n">
        <f aca="false">28.82</f>
        <v>28.82</v>
      </c>
      <c r="Q662" s="13" t="n">
        <f aca="false">177.51</f>
        <v>177.51</v>
      </c>
      <c r="R662" s="12" t="n">
        <v>24</v>
      </c>
      <c r="S662" s="12" t="n">
        <v>18.6</v>
      </c>
      <c r="T662" s="12" t="n">
        <v>744</v>
      </c>
      <c r="U662" s="14" t="s">
        <v>29</v>
      </c>
      <c r="V662" s="15"/>
      <c r="W662" s="16" t="str">
        <f aca="false">A662</f>
        <v>NN</v>
      </c>
      <c r="X662" s="17" t="e">
        <f aca="false">ifs(C662="","",X662="",NOW(),TRUE(),X662)</f>
        <v>#VALUE!</v>
      </c>
      <c r="Y662" s="17" t="e">
        <f aca="false">ifs(COUNTA(K662:U665)&lt;44,"",Y662="",NOW(),TRUE(),Y662)</f>
        <v>#VALUE!</v>
      </c>
    </row>
    <row r="663" customFormat="false" ht="15.75" hidden="false" customHeight="false" outlineLevel="0" collapsed="false">
      <c r="A663" s="9"/>
      <c r="B663" s="10"/>
      <c r="C663" s="10"/>
      <c r="D663" s="10"/>
      <c r="E663" s="10"/>
      <c r="F663" s="10"/>
      <c r="G663" s="10"/>
      <c r="H663" s="10"/>
      <c r="I663" s="18" t="n">
        <v>2</v>
      </c>
      <c r="J663" s="18"/>
      <c r="K663" s="19" t="n">
        <f aca="false">43.51</f>
        <v>43.51</v>
      </c>
      <c r="L663" s="19" t="n">
        <f aca="false">155.16</f>
        <v>155.16</v>
      </c>
      <c r="M663" s="18" t="n">
        <v>14</v>
      </c>
      <c r="N663" s="18" t="n">
        <v>38</v>
      </c>
      <c r="O663" s="18" t="n">
        <v>154.9</v>
      </c>
      <c r="P663" s="19" t="n">
        <f aca="false">25.66</f>
        <v>25.66</v>
      </c>
      <c r="Q663" s="19" t="n">
        <f aca="false">157.4</f>
        <v>157.4</v>
      </c>
      <c r="R663" s="18" t="n">
        <v>17.8</v>
      </c>
      <c r="S663" s="18" t="n">
        <v>21.9</v>
      </c>
      <c r="T663" s="18" t="n">
        <v>639</v>
      </c>
      <c r="U663" s="20" t="s">
        <v>29</v>
      </c>
      <c r="V663" s="21"/>
      <c r="W663" s="16"/>
      <c r="X663" s="16"/>
      <c r="Y663" s="16"/>
    </row>
    <row r="664" customFormat="false" ht="15.75" hidden="false" customHeight="false" outlineLevel="0" collapsed="false">
      <c r="A664" s="9"/>
      <c r="B664" s="10"/>
      <c r="C664" s="10"/>
      <c r="D664" s="10"/>
      <c r="E664" s="10"/>
      <c r="F664" s="10"/>
      <c r="G664" s="10"/>
      <c r="H664" s="10"/>
      <c r="I664" s="22" t="n">
        <v>3</v>
      </c>
      <c r="J664" s="22"/>
      <c r="K664" s="23" t="n">
        <f aca="false">44.46</f>
        <v>44.46</v>
      </c>
      <c r="L664" s="23" t="n">
        <f aca="false">152.33</f>
        <v>152.33</v>
      </c>
      <c r="M664" s="22" t="n">
        <v>14</v>
      </c>
      <c r="N664" s="22" t="n">
        <v>37</v>
      </c>
      <c r="O664" s="22" t="n">
        <v>151.1</v>
      </c>
      <c r="P664" s="23" t="n">
        <f aca="false">27.22</f>
        <v>27.22</v>
      </c>
      <c r="Q664" s="23" t="n">
        <f aca="false">164.23</f>
        <v>164.23</v>
      </c>
      <c r="R664" s="22" t="n">
        <v>18.7</v>
      </c>
      <c r="S664" s="22" t="n">
        <v>20.3</v>
      </c>
      <c r="T664" s="22" t="n">
        <v>601</v>
      </c>
      <c r="U664" s="24" t="s">
        <v>29</v>
      </c>
      <c r="V664" s="15"/>
      <c r="W664" s="16"/>
      <c r="X664" s="16"/>
      <c r="Y664" s="16"/>
    </row>
    <row r="665" customFormat="false" ht="15.75" hidden="false" customHeight="false" outlineLevel="0" collapsed="false">
      <c r="A665" s="9"/>
      <c r="B665" s="10"/>
      <c r="C665" s="10"/>
      <c r="D665" s="10"/>
      <c r="E665" s="10"/>
      <c r="F665" s="10"/>
      <c r="G665" s="10"/>
      <c r="H665" s="10"/>
      <c r="I665" s="25" t="n">
        <v>4</v>
      </c>
      <c r="J665" s="25" t="s">
        <v>47</v>
      </c>
      <c r="K665" s="26" t="n">
        <f aca="false">46.06</f>
        <v>46.06</v>
      </c>
      <c r="L665" s="26" t="n">
        <f aca="false">163.26</f>
        <v>163.26</v>
      </c>
      <c r="M665" s="25" t="n">
        <v>16</v>
      </c>
      <c r="N665" s="25" t="n">
        <v>39</v>
      </c>
      <c r="O665" s="25" t="n">
        <v>184.1</v>
      </c>
      <c r="P665" s="26" t="n">
        <f aca="false">28.35</f>
        <v>28.35</v>
      </c>
      <c r="Q665" s="26" t="n">
        <f aca="false">172.67</f>
        <v>172.67</v>
      </c>
      <c r="R665" s="25" t="n">
        <v>23.5</v>
      </c>
      <c r="S665" s="25" t="n">
        <v>21.9</v>
      </c>
      <c r="T665" s="25" t="n">
        <v>693</v>
      </c>
      <c r="U665" s="27" t="s">
        <v>29</v>
      </c>
      <c r="V665" s="21"/>
      <c r="W665" s="16"/>
      <c r="X665" s="16"/>
      <c r="Y665" s="16"/>
    </row>
    <row r="666" customFormat="false" ht="15.75" hidden="false" customHeight="true" outlineLevel="0" collapsed="false">
      <c r="A666" s="9" t="s">
        <v>226</v>
      </c>
      <c r="B666" s="10" t="s">
        <v>26</v>
      </c>
      <c r="C666" s="11" t="s">
        <v>231</v>
      </c>
      <c r="D666" s="10" t="s">
        <v>28</v>
      </c>
      <c r="E666" s="10" t="s">
        <v>28</v>
      </c>
      <c r="F666" s="10"/>
      <c r="G666" s="10" t="n">
        <v>123</v>
      </c>
      <c r="H666" s="10" t="n">
        <v>27.15</v>
      </c>
      <c r="I666" s="12" t="n">
        <v>1</v>
      </c>
      <c r="J666" s="12" t="s">
        <v>50</v>
      </c>
      <c r="K666" s="13" t="n">
        <f aca="false">44.21</f>
        <v>44.21</v>
      </c>
      <c r="L666" s="13" t="n">
        <f aca="false">172.33</f>
        <v>172.33</v>
      </c>
      <c r="M666" s="12" t="n">
        <v>15</v>
      </c>
      <c r="N666" s="12" t="n">
        <v>30</v>
      </c>
      <c r="O666" s="12" t="n">
        <v>173.45</v>
      </c>
      <c r="P666" s="13" t="n">
        <f aca="false">27.86</f>
        <v>27.86</v>
      </c>
      <c r="Q666" s="13" t="n">
        <f aca="false">186.1</f>
        <v>186.1</v>
      </c>
      <c r="R666" s="12" t="n">
        <v>35.75</v>
      </c>
      <c r="S666" s="12" t="n">
        <v>41.15</v>
      </c>
      <c r="T666" s="12" t="n">
        <v>329</v>
      </c>
      <c r="U666" s="14" t="s">
        <v>29</v>
      </c>
      <c r="V666" s="15"/>
      <c r="W666" s="16" t="str">
        <f aca="false">A666</f>
        <v>OK</v>
      </c>
      <c r="X666" s="17" t="e">
        <f aca="false">ifs(C666="","",X666="",NOW(),TRUE(),X666)</f>
        <v>#VALUE!</v>
      </c>
      <c r="Y666" s="17" t="e">
        <f aca="false">ifs(COUNTA(K666:U669)&lt;44,"",Y666="",NOW(),TRUE(),Y666)</f>
        <v>#VALUE!</v>
      </c>
    </row>
    <row r="667" customFormat="false" ht="15.75" hidden="false" customHeight="false" outlineLevel="0" collapsed="false">
      <c r="A667" s="9"/>
      <c r="B667" s="10"/>
      <c r="C667" s="10"/>
      <c r="D667" s="10"/>
      <c r="E667" s="10"/>
      <c r="F667" s="10"/>
      <c r="G667" s="10"/>
      <c r="H667" s="10"/>
      <c r="I667" s="18" t="n">
        <v>2</v>
      </c>
      <c r="J667" s="18" t="s">
        <v>47</v>
      </c>
      <c r="K667" s="19" t="n">
        <f aca="false">42.83</f>
        <v>42.83</v>
      </c>
      <c r="L667" s="19" t="n">
        <f aca="false">159.36</f>
        <v>159.36</v>
      </c>
      <c r="M667" s="18" t="n">
        <v>14</v>
      </c>
      <c r="N667" s="18" t="n">
        <v>37</v>
      </c>
      <c r="O667" s="18" t="n">
        <v>137.5</v>
      </c>
      <c r="P667" s="19" t="n">
        <f aca="false">26.29</f>
        <v>26.29</v>
      </c>
      <c r="Q667" s="19" t="n">
        <f aca="false">167.49</f>
        <v>167.49</v>
      </c>
      <c r="R667" s="18" t="n">
        <v>16.3</v>
      </c>
      <c r="S667" s="18" t="n">
        <v>27.85</v>
      </c>
      <c r="T667" s="18" t="n">
        <v>461</v>
      </c>
      <c r="U667" s="20" t="s">
        <v>29</v>
      </c>
      <c r="V667" s="21"/>
      <c r="W667" s="16"/>
      <c r="X667" s="16"/>
      <c r="Y667" s="16"/>
    </row>
    <row r="668" customFormat="false" ht="15.75" hidden="false" customHeight="false" outlineLevel="0" collapsed="false">
      <c r="A668" s="9"/>
      <c r="B668" s="10"/>
      <c r="C668" s="10"/>
      <c r="D668" s="10"/>
      <c r="E668" s="10"/>
      <c r="F668" s="10"/>
      <c r="G668" s="10"/>
      <c r="H668" s="10"/>
      <c r="I668" s="22" t="n">
        <v>3</v>
      </c>
      <c r="J668" s="22"/>
      <c r="K668" s="23" t="n">
        <f aca="false">46.66</f>
        <v>46.66</v>
      </c>
      <c r="L668" s="23" t="n">
        <f aca="false">180.4</f>
        <v>180.4</v>
      </c>
      <c r="M668" s="22" t="n">
        <v>16</v>
      </c>
      <c r="N668" s="22" t="n">
        <v>41</v>
      </c>
      <c r="O668" s="22" t="n">
        <v>184.5</v>
      </c>
      <c r="P668" s="23" t="n">
        <f aca="false">29</f>
        <v>29</v>
      </c>
      <c r="Q668" s="23" t="n">
        <f aca="false">179.27</f>
        <v>179.27</v>
      </c>
      <c r="R668" s="22" t="n">
        <v>22.3</v>
      </c>
      <c r="S668" s="22" t="n">
        <v>25.7</v>
      </c>
      <c r="T668" s="22" t="n">
        <v>624</v>
      </c>
      <c r="U668" s="24" t="s">
        <v>97</v>
      </c>
      <c r="V668" s="15"/>
      <c r="W668" s="16"/>
      <c r="X668" s="16"/>
      <c r="Y668" s="16"/>
    </row>
    <row r="669" customFormat="false" ht="15.75" hidden="false" customHeight="false" outlineLevel="0" collapsed="false">
      <c r="A669" s="9"/>
      <c r="B669" s="10"/>
      <c r="C669" s="10"/>
      <c r="D669" s="10"/>
      <c r="E669" s="10"/>
      <c r="F669" s="10"/>
      <c r="G669" s="10"/>
      <c r="H669" s="10"/>
      <c r="I669" s="25" t="n">
        <v>4</v>
      </c>
      <c r="J669" s="25"/>
      <c r="K669" s="26" t="n">
        <f aca="false">46.59</f>
        <v>46.59</v>
      </c>
      <c r="L669" s="26" t="n">
        <f aca="false">166.28</f>
        <v>166.28</v>
      </c>
      <c r="M669" s="25" t="n">
        <v>18</v>
      </c>
      <c r="N669" s="25" t="n">
        <v>36</v>
      </c>
      <c r="O669" s="25" t="n">
        <v>155.95</v>
      </c>
      <c r="P669" s="26" t="n">
        <f aca="false">31.12</f>
        <v>31.12</v>
      </c>
      <c r="Q669" s="26" t="n">
        <f aca="false">165.2</f>
        <v>165.2</v>
      </c>
      <c r="R669" s="25" t="n">
        <v>21.2</v>
      </c>
      <c r="S669" s="25" t="n">
        <v>21.75</v>
      </c>
      <c r="T669" s="25" t="n">
        <v>634</v>
      </c>
      <c r="U669" s="27" t="s">
        <v>29</v>
      </c>
      <c r="V669" s="21"/>
      <c r="W669" s="16"/>
      <c r="X669" s="16"/>
      <c r="Y669" s="16"/>
    </row>
    <row r="670" customFormat="false" ht="15.75" hidden="false" customHeight="true" outlineLevel="0" collapsed="false">
      <c r="A670" s="9" t="s">
        <v>226</v>
      </c>
      <c r="B670" s="10" t="s">
        <v>26</v>
      </c>
      <c r="C670" s="11" t="s">
        <v>232</v>
      </c>
      <c r="D670" s="10" t="s">
        <v>28</v>
      </c>
      <c r="E670" s="10" t="s">
        <v>28</v>
      </c>
      <c r="F670" s="10"/>
      <c r="G670" s="10" t="n">
        <v>13</v>
      </c>
      <c r="H670" s="10" t="n">
        <v>2.95</v>
      </c>
      <c r="I670" s="12" t="n">
        <v>1</v>
      </c>
      <c r="J670" s="12"/>
      <c r="K670" s="13" t="n">
        <f aca="false">47.23</f>
        <v>47.23</v>
      </c>
      <c r="L670" s="13" t="n">
        <f aca="false">175.64</f>
        <v>175.64</v>
      </c>
      <c r="M670" s="12" t="n">
        <v>16</v>
      </c>
      <c r="N670" s="12" t="n">
        <v>38</v>
      </c>
      <c r="O670" s="12" t="n">
        <v>195.25</v>
      </c>
      <c r="P670" s="13" t="n">
        <f aca="false">28.4</f>
        <v>28.4</v>
      </c>
      <c r="Q670" s="13" t="n">
        <f aca="false">186.74</f>
        <v>186.74</v>
      </c>
      <c r="R670" s="12" t="n">
        <v>26.15</v>
      </c>
      <c r="S670" s="12" t="n">
        <v>26.55</v>
      </c>
      <c r="T670" s="12" t="n">
        <v>641</v>
      </c>
      <c r="U670" s="14" t="s">
        <v>29</v>
      </c>
      <c r="V670" s="15"/>
      <c r="W670" s="16" t="str">
        <f aca="false">A670</f>
        <v>OK</v>
      </c>
      <c r="X670" s="17" t="e">
        <f aca="false">ifs(C670="","",X670="",NOW(),TRUE(),X670)</f>
        <v>#VALUE!</v>
      </c>
      <c r="Y670" s="17" t="e">
        <f aca="false">ifs(COUNTA(K670:U673)&lt;44,"",Y670="",NOW(),TRUE(),Y670)</f>
        <v>#VALUE!</v>
      </c>
    </row>
    <row r="671" customFormat="false" ht="15.75" hidden="false" customHeight="false" outlineLevel="0" collapsed="false">
      <c r="A671" s="9"/>
      <c r="B671" s="10"/>
      <c r="C671" s="10"/>
      <c r="D671" s="10"/>
      <c r="E671" s="10"/>
      <c r="F671" s="10"/>
      <c r="G671" s="10"/>
      <c r="H671" s="10"/>
      <c r="I671" s="18" t="n">
        <v>2</v>
      </c>
      <c r="J671" s="18" t="s">
        <v>49</v>
      </c>
      <c r="K671" s="19" t="n">
        <f aca="false">43.65</f>
        <v>43.65</v>
      </c>
      <c r="L671" s="19" t="n">
        <f aca="false">155.46</f>
        <v>155.46</v>
      </c>
      <c r="M671" s="18" t="n">
        <v>16</v>
      </c>
      <c r="N671" s="18" t="n">
        <v>39</v>
      </c>
      <c r="O671" s="18" t="n">
        <v>151.45</v>
      </c>
      <c r="P671" s="19" t="n">
        <f aca="false">26.43</f>
        <v>26.43</v>
      </c>
      <c r="Q671" s="19" t="n">
        <f aca="false">167.76</f>
        <v>167.76</v>
      </c>
      <c r="R671" s="18" t="n">
        <v>18.7</v>
      </c>
      <c r="S671" s="18" t="n">
        <v>22.65</v>
      </c>
      <c r="T671" s="18" t="n">
        <v>589</v>
      </c>
      <c r="U671" s="20" t="s">
        <v>97</v>
      </c>
      <c r="V671" s="21"/>
      <c r="W671" s="16"/>
      <c r="X671" s="16"/>
      <c r="Y671" s="16"/>
    </row>
    <row r="672" customFormat="false" ht="15.75" hidden="false" customHeight="false" outlineLevel="0" collapsed="false">
      <c r="A672" s="9"/>
      <c r="B672" s="10"/>
      <c r="C672" s="10"/>
      <c r="D672" s="10"/>
      <c r="E672" s="10"/>
      <c r="F672" s="10"/>
      <c r="G672" s="10"/>
      <c r="H672" s="10"/>
      <c r="I672" s="22" t="n">
        <v>3</v>
      </c>
      <c r="J672" s="22"/>
      <c r="K672" s="23" t="n">
        <f aca="false">44.35</f>
        <v>44.35</v>
      </c>
      <c r="L672" s="23" t="n">
        <f aca="false">164.88</f>
        <v>164.88</v>
      </c>
      <c r="M672" s="22" t="n">
        <v>16</v>
      </c>
      <c r="N672" s="22" t="n">
        <v>38</v>
      </c>
      <c r="O672" s="22" t="n">
        <v>168.5</v>
      </c>
      <c r="P672" s="23" t="n">
        <f aca="false">27.18</f>
        <v>27.18</v>
      </c>
      <c r="Q672" s="23" t="n">
        <f aca="false">169.65</f>
        <v>169.65</v>
      </c>
      <c r="R672" s="22" t="n">
        <v>21.25</v>
      </c>
      <c r="S672" s="22" t="n">
        <v>24.35</v>
      </c>
      <c r="T672" s="22" t="n">
        <v>619</v>
      </c>
      <c r="U672" s="24" t="s">
        <v>29</v>
      </c>
      <c r="V672" s="15"/>
      <c r="W672" s="16"/>
      <c r="X672" s="16"/>
      <c r="Y672" s="16"/>
    </row>
    <row r="673" customFormat="false" ht="15.75" hidden="false" customHeight="false" outlineLevel="0" collapsed="false">
      <c r="A673" s="9"/>
      <c r="B673" s="10"/>
      <c r="C673" s="10"/>
      <c r="D673" s="10"/>
      <c r="E673" s="10"/>
      <c r="F673" s="10"/>
      <c r="G673" s="10"/>
      <c r="H673" s="10"/>
      <c r="I673" s="25" t="n">
        <v>4</v>
      </c>
      <c r="J673" s="25" t="s">
        <v>49</v>
      </c>
      <c r="K673" s="26" t="n">
        <f aca="false">41.82</f>
        <v>41.82</v>
      </c>
      <c r="L673" s="26" t="n">
        <f aca="false">144.2</f>
        <v>144.2</v>
      </c>
      <c r="M673" s="25" t="n">
        <v>16</v>
      </c>
      <c r="N673" s="25" t="n">
        <v>34</v>
      </c>
      <c r="O673" s="25" t="n">
        <v>123.7</v>
      </c>
      <c r="P673" s="26" t="n">
        <f aca="false">24.7</f>
        <v>24.7</v>
      </c>
      <c r="Q673" s="26" t="n">
        <f aca="false">149.11</f>
        <v>149.11</v>
      </c>
      <c r="R673" s="25" t="n">
        <v>14.45</v>
      </c>
      <c r="S673" s="25" t="n">
        <v>20.1</v>
      </c>
      <c r="T673" s="25" t="n">
        <v>537</v>
      </c>
      <c r="U673" s="27" t="s">
        <v>29</v>
      </c>
      <c r="V673" s="21"/>
      <c r="W673" s="16"/>
      <c r="X673" s="16"/>
      <c r="Y673" s="16"/>
    </row>
    <row r="674" customFormat="false" ht="15.75" hidden="false" customHeight="true" outlineLevel="0" collapsed="false">
      <c r="A674" s="9" t="s">
        <v>226</v>
      </c>
      <c r="B674" s="10" t="s">
        <v>26</v>
      </c>
      <c r="C674" s="11" t="s">
        <v>233</v>
      </c>
      <c r="D674" s="10" t="s">
        <v>28</v>
      </c>
      <c r="E674" s="10" t="s">
        <v>28</v>
      </c>
      <c r="F674" s="10"/>
      <c r="G674" s="10" t="n">
        <v>4</v>
      </c>
      <c r="H674" s="10" t="n">
        <v>0.75</v>
      </c>
      <c r="I674" s="12" t="n">
        <v>1</v>
      </c>
      <c r="J674" s="12"/>
      <c r="K674" s="13" t="n">
        <f aca="false">48.6</f>
        <v>48.6</v>
      </c>
      <c r="L674" s="13" t="n">
        <f aca="false">187.07</f>
        <v>187.07</v>
      </c>
      <c r="M674" s="12" t="n">
        <v>16</v>
      </c>
      <c r="N674" s="12" t="n">
        <v>44</v>
      </c>
      <c r="O674" s="12" t="n">
        <v>226.45</v>
      </c>
      <c r="P674" s="13" t="n">
        <f aca="false">28.67</f>
        <v>28.67</v>
      </c>
      <c r="Q674" s="13" t="n">
        <f aca="false">194.64</f>
        <v>194.64</v>
      </c>
      <c r="R674" s="12" t="n">
        <v>29.8</v>
      </c>
      <c r="S674" s="12" t="n">
        <v>29.9</v>
      </c>
      <c r="T674" s="12" t="n">
        <v>678</v>
      </c>
      <c r="U674" s="14" t="s">
        <v>29</v>
      </c>
      <c r="V674" s="15"/>
      <c r="W674" s="16" t="str">
        <f aca="false">A674</f>
        <v>OK</v>
      </c>
      <c r="X674" s="17" t="e">
        <f aca="false">ifs(C674="","",X674="",NOW(),TRUE(),X674)</f>
        <v>#VALUE!</v>
      </c>
      <c r="Y674" s="17" t="e">
        <f aca="false">ifs(COUNTA(K674:U677)&lt;44,"",Y674="",NOW(),TRUE(),Y674)</f>
        <v>#VALUE!</v>
      </c>
    </row>
    <row r="675" customFormat="false" ht="15.75" hidden="false" customHeight="false" outlineLevel="0" collapsed="false">
      <c r="A675" s="9"/>
      <c r="B675" s="10"/>
      <c r="C675" s="10"/>
      <c r="D675" s="10"/>
      <c r="E675" s="10"/>
      <c r="F675" s="10"/>
      <c r="G675" s="10"/>
      <c r="H675" s="10"/>
      <c r="I675" s="18" t="n">
        <v>2</v>
      </c>
      <c r="J675" s="18"/>
      <c r="K675" s="19" t="n">
        <f aca="false">44.41</f>
        <v>44.41</v>
      </c>
      <c r="L675" s="19" t="n">
        <f aca="false">181.34</f>
        <v>181.34</v>
      </c>
      <c r="M675" s="18" t="n">
        <v>14</v>
      </c>
      <c r="N675" s="18" t="n">
        <v>39</v>
      </c>
      <c r="O675" s="18" t="n">
        <v>201.1</v>
      </c>
      <c r="P675" s="19" t="n">
        <f aca="false">26.98</f>
        <v>26.98</v>
      </c>
      <c r="Q675" s="19" t="n">
        <f aca="false">179.26</f>
        <v>179.26</v>
      </c>
      <c r="R675" s="18" t="n">
        <v>23.4</v>
      </c>
      <c r="S675" s="18" t="n">
        <v>31.35</v>
      </c>
      <c r="T675" s="18" t="n">
        <v>590</v>
      </c>
      <c r="U675" s="20" t="s">
        <v>29</v>
      </c>
      <c r="V675" s="21"/>
      <c r="W675" s="16"/>
      <c r="X675" s="16"/>
      <c r="Y675" s="16"/>
    </row>
    <row r="676" customFormat="false" ht="15.75" hidden="false" customHeight="false" outlineLevel="0" collapsed="false">
      <c r="A676" s="9"/>
      <c r="B676" s="10"/>
      <c r="C676" s="10"/>
      <c r="D676" s="10"/>
      <c r="E676" s="10"/>
      <c r="F676" s="10"/>
      <c r="G676" s="10"/>
      <c r="H676" s="10"/>
      <c r="I676" s="22" t="n">
        <v>3</v>
      </c>
      <c r="J676" s="22" t="s">
        <v>49</v>
      </c>
      <c r="K676" s="23" t="n">
        <f aca="false">43.22</f>
        <v>43.22</v>
      </c>
      <c r="L676" s="23" t="n">
        <f aca="false">159.15</f>
        <v>159.15</v>
      </c>
      <c r="M676" s="22" t="n">
        <v>14</v>
      </c>
      <c r="N676" s="22" t="n">
        <v>39</v>
      </c>
      <c r="O676" s="22" t="n">
        <v>157.8</v>
      </c>
      <c r="P676" s="23" t="n">
        <f aca="false">27.98</f>
        <v>27.98</v>
      </c>
      <c r="Q676" s="23" t="n">
        <f aca="false">168.57</f>
        <v>168.57</v>
      </c>
      <c r="R676" s="22" t="n">
        <v>19.55</v>
      </c>
      <c r="S676" s="22" t="n">
        <v>26.95</v>
      </c>
      <c r="T676" s="22" t="n">
        <v>533</v>
      </c>
      <c r="U676" s="24" t="s">
        <v>29</v>
      </c>
      <c r="V676" s="15"/>
      <c r="W676" s="16"/>
      <c r="X676" s="16"/>
      <c r="Y676" s="16"/>
    </row>
    <row r="677" customFormat="false" ht="15.75" hidden="false" customHeight="false" outlineLevel="0" collapsed="false">
      <c r="A677" s="9"/>
      <c r="B677" s="10"/>
      <c r="C677" s="10"/>
      <c r="D677" s="10"/>
      <c r="E677" s="10"/>
      <c r="F677" s="10"/>
      <c r="G677" s="10"/>
      <c r="H677" s="10"/>
      <c r="I677" s="25" t="n">
        <v>4</v>
      </c>
      <c r="J677" s="25" t="s">
        <v>49</v>
      </c>
      <c r="K677" s="26" t="n">
        <f aca="false">39.94</f>
        <v>39.94</v>
      </c>
      <c r="L677" s="26" t="n">
        <f aca="false">134.37</f>
        <v>134.37</v>
      </c>
      <c r="M677" s="25" t="n">
        <v>12</v>
      </c>
      <c r="N677" s="25" t="n">
        <v>32</v>
      </c>
      <c r="O677" s="25" t="n">
        <v>108.45</v>
      </c>
      <c r="P677" s="26" t="n">
        <f aca="false">22.84</f>
        <v>22.84</v>
      </c>
      <c r="Q677" s="26" t="n">
        <f aca="false">148.43</f>
        <v>148.43</v>
      </c>
      <c r="R677" s="25" t="n">
        <v>13.3</v>
      </c>
      <c r="S677" s="25" t="n">
        <v>24.85</v>
      </c>
      <c r="T677" s="25" t="n">
        <v>408</v>
      </c>
      <c r="U677" s="27" t="s">
        <v>29</v>
      </c>
      <c r="V677" s="21"/>
      <c r="W677" s="16"/>
      <c r="X677" s="16"/>
      <c r="Y677" s="16"/>
    </row>
    <row r="678" customFormat="false" ht="15.75" hidden="false" customHeight="true" outlineLevel="0" collapsed="false">
      <c r="A678" s="9" t="s">
        <v>226</v>
      </c>
      <c r="B678" s="10" t="s">
        <v>26</v>
      </c>
      <c r="C678" s="11" t="s">
        <v>234</v>
      </c>
      <c r="D678" s="10" t="s">
        <v>28</v>
      </c>
      <c r="E678" s="10" t="s">
        <v>28</v>
      </c>
      <c r="F678" s="10"/>
      <c r="G678" s="10" t="n">
        <v>38</v>
      </c>
      <c r="H678" s="10" t="n">
        <v>7.85</v>
      </c>
      <c r="I678" s="12" t="n">
        <v>1</v>
      </c>
      <c r="J678" s="12"/>
      <c r="K678" s="13" t="n">
        <f aca="false">50.64</f>
        <v>50.64</v>
      </c>
      <c r="L678" s="13" t="n">
        <f aca="false">194.12</f>
        <v>194.12</v>
      </c>
      <c r="M678" s="12" t="n">
        <v>14</v>
      </c>
      <c r="N678" s="12" t="n">
        <v>49</v>
      </c>
      <c r="O678" s="12" t="n">
        <v>250.2</v>
      </c>
      <c r="P678" s="13" t="n">
        <f aca="false">28.57</f>
        <v>28.57</v>
      </c>
      <c r="Q678" s="13" t="n">
        <f aca="false">201</f>
        <v>201</v>
      </c>
      <c r="R678" s="12" t="n">
        <v>30.1</v>
      </c>
      <c r="S678" s="12" t="n">
        <v>33</v>
      </c>
      <c r="T678" s="12" t="n">
        <v>667</v>
      </c>
      <c r="U678" s="14" t="s">
        <v>29</v>
      </c>
      <c r="V678" s="15"/>
      <c r="W678" s="16" t="str">
        <f aca="false">A678</f>
        <v>OK</v>
      </c>
      <c r="X678" s="17" t="e">
        <f aca="false">ifs(C678="","",X678="",NOW(),TRUE(),X678)</f>
        <v>#VALUE!</v>
      </c>
      <c r="Y678" s="17" t="e">
        <f aca="false">ifs(COUNTA(K678:U681)&lt;44,"",Y678="",NOW(),TRUE(),Y678)</f>
        <v>#VALUE!</v>
      </c>
    </row>
    <row r="679" customFormat="false" ht="15.75" hidden="false" customHeight="false" outlineLevel="0" collapsed="false">
      <c r="A679" s="9"/>
      <c r="B679" s="10"/>
      <c r="C679" s="10"/>
      <c r="D679" s="10"/>
      <c r="E679" s="10"/>
      <c r="F679" s="10"/>
      <c r="G679" s="10"/>
      <c r="H679" s="10"/>
      <c r="I679" s="18" t="n">
        <v>2</v>
      </c>
      <c r="J679" s="18" t="s">
        <v>49</v>
      </c>
      <c r="K679" s="19" t="n">
        <f aca="false">48.11</f>
        <v>48.11</v>
      </c>
      <c r="L679" s="19" t="n">
        <f aca="false">133.51</f>
        <v>133.51</v>
      </c>
      <c r="M679" s="18" t="n">
        <v>16</v>
      </c>
      <c r="N679" s="18" t="n">
        <v>35</v>
      </c>
      <c r="O679" s="18" t="n">
        <v>147</v>
      </c>
      <c r="P679" s="19" t="n">
        <f aca="false">28.79</f>
        <v>28.79</v>
      </c>
      <c r="Q679" s="19" t="n">
        <f aca="false">144.14</f>
        <v>144.14</v>
      </c>
      <c r="R679" s="18" t="n">
        <v>15.6</v>
      </c>
      <c r="S679" s="18" t="n">
        <v>23.75</v>
      </c>
      <c r="T679" s="18" t="n">
        <v>583</v>
      </c>
      <c r="U679" s="20" t="s">
        <v>97</v>
      </c>
      <c r="V679" s="21"/>
      <c r="W679" s="16"/>
      <c r="X679" s="16"/>
      <c r="Y679" s="16"/>
    </row>
    <row r="680" customFormat="false" ht="15.75" hidden="false" customHeight="false" outlineLevel="0" collapsed="false">
      <c r="A680" s="9"/>
      <c r="B680" s="10"/>
      <c r="C680" s="10"/>
      <c r="D680" s="10"/>
      <c r="E680" s="10"/>
      <c r="F680" s="10"/>
      <c r="G680" s="10"/>
      <c r="H680" s="10"/>
      <c r="I680" s="22" t="n">
        <v>3</v>
      </c>
      <c r="J680" s="22" t="s">
        <v>46</v>
      </c>
      <c r="K680" s="23" t="n">
        <f aca="false">42.92</f>
        <v>42.92</v>
      </c>
      <c r="L680" s="23" t="n">
        <f aca="false">129.32</f>
        <v>129.32</v>
      </c>
      <c r="M680" s="22" t="n">
        <v>15</v>
      </c>
      <c r="N680" s="22" t="n">
        <v>27</v>
      </c>
      <c r="O680" s="22" t="n">
        <v>97.25</v>
      </c>
      <c r="P680" s="23" t="n">
        <f aca="false">25.15</f>
        <v>25.15</v>
      </c>
      <c r="Q680" s="23" t="n">
        <f aca="false">122.51</f>
        <v>122.51</v>
      </c>
      <c r="R680" s="22" t="n">
        <v>13</v>
      </c>
      <c r="S680" s="22" t="n">
        <v>22.2</v>
      </c>
      <c r="T680" s="22" t="n">
        <v>387</v>
      </c>
      <c r="U680" s="24" t="s">
        <v>29</v>
      </c>
      <c r="V680" s="15"/>
      <c r="W680" s="16"/>
      <c r="X680" s="16"/>
      <c r="Y680" s="16"/>
    </row>
    <row r="681" customFormat="false" ht="15.75" hidden="false" customHeight="false" outlineLevel="0" collapsed="false">
      <c r="A681" s="9"/>
      <c r="B681" s="10"/>
      <c r="C681" s="10"/>
      <c r="D681" s="10"/>
      <c r="E681" s="10"/>
      <c r="F681" s="10"/>
      <c r="G681" s="10"/>
      <c r="H681" s="10"/>
      <c r="I681" s="25" t="n">
        <v>4</v>
      </c>
      <c r="J681" s="25" t="s">
        <v>47</v>
      </c>
      <c r="K681" s="26" t="n">
        <f aca="false">45.08</f>
        <v>45.08</v>
      </c>
      <c r="L681" s="26" t="n">
        <f aca="false">89.42</f>
        <v>89.42</v>
      </c>
      <c r="M681" s="25" t="n">
        <v>14</v>
      </c>
      <c r="N681" s="25" t="n">
        <v>27</v>
      </c>
      <c r="O681" s="25" t="n">
        <v>74.05</v>
      </c>
      <c r="P681" s="26" t="n">
        <f aca="false">25.87</f>
        <v>25.87</v>
      </c>
      <c r="Q681" s="26" t="n">
        <f aca="false">101.96</f>
        <v>101.96</v>
      </c>
      <c r="R681" s="25" t="n">
        <v>10.35</v>
      </c>
      <c r="S681" s="25" t="n">
        <v>25.45</v>
      </c>
      <c r="T681" s="25" t="n">
        <v>250</v>
      </c>
      <c r="U681" s="27" t="s">
        <v>97</v>
      </c>
      <c r="V681" s="21"/>
      <c r="W681" s="16"/>
      <c r="X681" s="16"/>
      <c r="Y681" s="16"/>
    </row>
    <row r="682" customFormat="false" ht="15.75" hidden="false" customHeight="true" outlineLevel="0" collapsed="false">
      <c r="A682" s="9" t="s">
        <v>226</v>
      </c>
      <c r="B682" s="10" t="s">
        <v>26</v>
      </c>
      <c r="C682" s="11" t="s">
        <v>235</v>
      </c>
      <c r="D682" s="10" t="s">
        <v>28</v>
      </c>
      <c r="E682" s="10" t="s">
        <v>28</v>
      </c>
      <c r="F682" s="10"/>
      <c r="G682" s="10" t="n">
        <v>4</v>
      </c>
      <c r="H682" s="10" t="n">
        <v>1.05</v>
      </c>
      <c r="I682" s="12" t="n">
        <v>1</v>
      </c>
      <c r="J682" s="12"/>
      <c r="K682" s="13" t="n">
        <f aca="false">41.45</f>
        <v>41.45</v>
      </c>
      <c r="L682" s="13" t="n">
        <f aca="false">159.68</f>
        <v>159.68</v>
      </c>
      <c r="M682" s="12" t="n">
        <v>16</v>
      </c>
      <c r="N682" s="12" t="n">
        <v>38</v>
      </c>
      <c r="O682" s="12" t="n">
        <v>135.05</v>
      </c>
      <c r="P682" s="13" t="n">
        <f aca="false">26.45</f>
        <v>26.45</v>
      </c>
      <c r="Q682" s="13" t="n">
        <f aca="false">154.9</f>
        <v>154.9</v>
      </c>
      <c r="R682" s="12" t="n">
        <v>15.6</v>
      </c>
      <c r="S682" s="12" t="n">
        <v>21.4</v>
      </c>
      <c r="T682" s="12" t="n">
        <v>577</v>
      </c>
      <c r="U682" s="14" t="s">
        <v>29</v>
      </c>
      <c r="V682" s="15"/>
      <c r="W682" s="16" t="str">
        <f aca="false">A682</f>
        <v>OK</v>
      </c>
      <c r="X682" s="17" t="e">
        <f aca="false">ifs(C682="","",X682="",NOW(),TRUE(),X682)</f>
        <v>#VALUE!</v>
      </c>
      <c r="Y682" s="17" t="e">
        <f aca="false">ifs(COUNTA(K682:U685)&lt;44,"",Y682="",NOW(),TRUE(),Y682)</f>
        <v>#VALUE!</v>
      </c>
    </row>
    <row r="683" customFormat="false" ht="15.75" hidden="false" customHeight="false" outlineLevel="0" collapsed="false">
      <c r="A683" s="9"/>
      <c r="B683" s="10"/>
      <c r="C683" s="10"/>
      <c r="D683" s="10"/>
      <c r="E683" s="10"/>
      <c r="F683" s="10"/>
      <c r="G683" s="10"/>
      <c r="H683" s="10"/>
      <c r="I683" s="18" t="n">
        <v>2</v>
      </c>
      <c r="J683" s="18" t="s">
        <v>46</v>
      </c>
      <c r="K683" s="19" t="n">
        <f aca="false">42.27</f>
        <v>42.27</v>
      </c>
      <c r="L683" s="19" t="n">
        <f aca="false">132.49</f>
        <v>132.49</v>
      </c>
      <c r="M683" s="18" t="n">
        <v>14</v>
      </c>
      <c r="N683" s="18" t="n">
        <v>27</v>
      </c>
      <c r="O683" s="18" t="n">
        <v>112.75</v>
      </c>
      <c r="P683" s="19" t="n">
        <f aca="false">25.19</f>
        <v>25.19</v>
      </c>
      <c r="Q683" s="19" t="n">
        <f aca="false">146.09</f>
        <v>146.09</v>
      </c>
      <c r="R683" s="18" t="n">
        <v>13.5</v>
      </c>
      <c r="S683" s="18" t="n">
        <v>24.25</v>
      </c>
      <c r="T683" s="18" t="n">
        <v>406</v>
      </c>
      <c r="U683" s="20" t="s">
        <v>29</v>
      </c>
      <c r="V683" s="21"/>
      <c r="W683" s="16"/>
      <c r="X683" s="16"/>
      <c r="Y683" s="16"/>
    </row>
    <row r="684" customFormat="false" ht="15.75" hidden="false" customHeight="false" outlineLevel="0" collapsed="false">
      <c r="A684" s="9"/>
      <c r="B684" s="10"/>
      <c r="C684" s="10"/>
      <c r="D684" s="10"/>
      <c r="E684" s="10"/>
      <c r="F684" s="10"/>
      <c r="G684" s="10"/>
      <c r="H684" s="10"/>
      <c r="I684" s="22" t="n">
        <v>3</v>
      </c>
      <c r="J684" s="22" t="s">
        <v>49</v>
      </c>
      <c r="K684" s="23" t="n">
        <f aca="false">40.42</f>
        <v>40.42</v>
      </c>
      <c r="L684" s="23" t="n">
        <f aca="false">125.89</f>
        <v>125.89</v>
      </c>
      <c r="M684" s="22" t="n">
        <v>12</v>
      </c>
      <c r="N684" s="22" t="n">
        <v>31</v>
      </c>
      <c r="O684" s="22" t="n">
        <v>104.95</v>
      </c>
      <c r="P684" s="23" t="n">
        <f aca="false">25.7</f>
        <v>25.7</v>
      </c>
      <c r="Q684" s="23" t="n">
        <f aca="false">147.94</f>
        <v>147.94</v>
      </c>
      <c r="R684" s="22" t="n">
        <v>14.15</v>
      </c>
      <c r="S684" s="22" t="n">
        <v>25.9</v>
      </c>
      <c r="T684" s="22" t="n">
        <v>348</v>
      </c>
      <c r="U684" s="24" t="s">
        <v>29</v>
      </c>
      <c r="V684" s="15"/>
      <c r="W684" s="16"/>
      <c r="X684" s="16"/>
      <c r="Y684" s="16"/>
    </row>
    <row r="685" customFormat="false" ht="15.75" hidden="false" customHeight="false" outlineLevel="0" collapsed="false">
      <c r="A685" s="9"/>
      <c r="B685" s="10"/>
      <c r="C685" s="10"/>
      <c r="D685" s="10"/>
      <c r="E685" s="10"/>
      <c r="F685" s="10"/>
      <c r="G685" s="10"/>
      <c r="H685" s="10"/>
      <c r="I685" s="25" t="n">
        <v>4</v>
      </c>
      <c r="J685" s="25" t="s">
        <v>57</v>
      </c>
      <c r="K685" s="26" t="n">
        <f aca="false">42.41</f>
        <v>42.41</v>
      </c>
      <c r="L685" s="26" t="n">
        <f aca="false">128.93</f>
        <v>128.93</v>
      </c>
      <c r="M685" s="25" t="n">
        <v>14</v>
      </c>
      <c r="N685" s="25" t="n">
        <v>33</v>
      </c>
      <c r="O685" s="25" t="n">
        <v>117.4</v>
      </c>
      <c r="P685" s="26" t="n">
        <f aca="false">25.89</f>
        <v>25.89</v>
      </c>
      <c r="Q685" s="26" t="n">
        <f aca="false">154.89</f>
        <v>154.89</v>
      </c>
      <c r="R685" s="25" t="n">
        <v>13.3</v>
      </c>
      <c r="S685" s="25" t="n">
        <v>28.1</v>
      </c>
      <c r="T685" s="25" t="n">
        <v>409</v>
      </c>
      <c r="U685" s="27" t="s">
        <v>29</v>
      </c>
      <c r="V685" s="21"/>
      <c r="W685" s="16"/>
      <c r="X685" s="16"/>
      <c r="Y685" s="16"/>
    </row>
    <row r="686" customFormat="false" ht="15.75" hidden="false" customHeight="true" outlineLevel="0" collapsed="false">
      <c r="A686" s="9" t="s">
        <v>25</v>
      </c>
      <c r="B686" s="10" t="s">
        <v>26</v>
      </c>
      <c r="C686" s="11" t="s">
        <v>236</v>
      </c>
      <c r="D686" s="10" t="s">
        <v>28</v>
      </c>
      <c r="E686" s="10" t="s">
        <v>28</v>
      </c>
      <c r="F686" s="10"/>
      <c r="G686" s="10" t="n">
        <v>30</v>
      </c>
      <c r="H686" s="10" t="n">
        <v>7.35</v>
      </c>
      <c r="I686" s="12" t="n">
        <v>1</v>
      </c>
      <c r="J686" s="12" t="s">
        <v>36</v>
      </c>
      <c r="K686" s="13" t="n">
        <f aca="false">44.66</f>
        <v>44.66</v>
      </c>
      <c r="L686" s="13" t="n">
        <f aca="false">175.17</f>
        <v>175.17</v>
      </c>
      <c r="M686" s="12" t="n">
        <v>14</v>
      </c>
      <c r="N686" s="12" t="n">
        <v>38</v>
      </c>
      <c r="O686" s="12" t="n">
        <v>177.75</v>
      </c>
      <c r="P686" s="13" t="n">
        <f aca="false">26.24</f>
        <v>26.24</v>
      </c>
      <c r="Q686" s="13" t="n">
        <f aca="false">172.59</f>
        <v>172.59</v>
      </c>
      <c r="R686" s="12" t="n">
        <v>22.2</v>
      </c>
      <c r="S686" s="12" t="n">
        <v>29.1</v>
      </c>
      <c r="T686" s="12" t="n">
        <v>538</v>
      </c>
      <c r="U686" s="14" t="s">
        <v>29</v>
      </c>
      <c r="V686" s="15"/>
      <c r="W686" s="16" t="str">
        <f aca="false">A686</f>
        <v>KL</v>
      </c>
      <c r="X686" s="17" t="e">
        <f aca="false">ifs(C686="","",X686="",NOW(),TRUE(),X686)</f>
        <v>#VALUE!</v>
      </c>
      <c r="Y686" s="17" t="e">
        <f aca="false">ifs(COUNTA(K686:U689)&lt;44,"",Y686="",NOW(),TRUE(),Y686)</f>
        <v>#VALUE!</v>
      </c>
    </row>
    <row r="687" customFormat="false" ht="15.75" hidden="false" customHeight="false" outlineLevel="0" collapsed="false">
      <c r="A687" s="9"/>
      <c r="B687" s="10"/>
      <c r="C687" s="10"/>
      <c r="D687" s="10"/>
      <c r="E687" s="10"/>
      <c r="F687" s="10"/>
      <c r="G687" s="10"/>
      <c r="H687" s="10"/>
      <c r="I687" s="18" t="n">
        <v>2</v>
      </c>
      <c r="J687" s="18"/>
      <c r="K687" s="19" t="n">
        <f aca="false">43.37</f>
        <v>43.37</v>
      </c>
      <c r="L687" s="19" t="n">
        <f aca="false">177.96</f>
        <v>177.96</v>
      </c>
      <c r="M687" s="18" t="n">
        <v>14</v>
      </c>
      <c r="N687" s="18" t="n">
        <v>42</v>
      </c>
      <c r="O687" s="18" t="n">
        <v>172.2</v>
      </c>
      <c r="P687" s="19" t="n">
        <f aca="false">26.82</f>
        <v>26.82</v>
      </c>
      <c r="Q687" s="19" t="n">
        <f aca="false">178.45</f>
        <v>178.45</v>
      </c>
      <c r="R687" s="18" t="n">
        <v>23.85</v>
      </c>
      <c r="S687" s="18" t="n">
        <v>25.45</v>
      </c>
      <c r="T687" s="18" t="n">
        <v>607</v>
      </c>
      <c r="U687" s="20" t="s">
        <v>29</v>
      </c>
      <c r="V687" s="21"/>
      <c r="W687" s="16"/>
      <c r="X687" s="16"/>
      <c r="Y687" s="16"/>
    </row>
    <row r="688" customFormat="false" ht="15.75" hidden="false" customHeight="false" outlineLevel="0" collapsed="false">
      <c r="A688" s="9"/>
      <c r="B688" s="10"/>
      <c r="C688" s="10"/>
      <c r="D688" s="10"/>
      <c r="E688" s="10"/>
      <c r="F688" s="10"/>
      <c r="G688" s="10"/>
      <c r="H688" s="10"/>
      <c r="I688" s="22" t="n">
        <v>3</v>
      </c>
      <c r="J688" s="22"/>
      <c r="K688" s="23" t="n">
        <f aca="false">44.24</f>
        <v>44.24</v>
      </c>
      <c r="L688" s="23" t="n">
        <f aca="false">178.31</f>
        <v>178.31</v>
      </c>
      <c r="M688" s="22" t="n">
        <v>14</v>
      </c>
      <c r="N688" s="22" t="n">
        <v>40</v>
      </c>
      <c r="O688" s="22" t="n">
        <v>185.95</v>
      </c>
      <c r="P688" s="23" t="n">
        <f aca="false">25.85</f>
        <v>25.85</v>
      </c>
      <c r="Q688" s="23" t="n">
        <f aca="false">179.24</f>
        <v>179.24</v>
      </c>
      <c r="R688" s="22" t="n">
        <v>20.45</v>
      </c>
      <c r="S688" s="22" t="n">
        <v>29.85</v>
      </c>
      <c r="T688" s="22" t="n">
        <v>582</v>
      </c>
      <c r="U688" s="24" t="s">
        <v>29</v>
      </c>
      <c r="V688" s="15"/>
      <c r="W688" s="16"/>
      <c r="X688" s="16"/>
      <c r="Y688" s="16"/>
    </row>
    <row r="689" customFormat="false" ht="15.75" hidden="false" customHeight="false" outlineLevel="0" collapsed="false">
      <c r="A689" s="9"/>
      <c r="B689" s="10"/>
      <c r="C689" s="10"/>
      <c r="D689" s="10"/>
      <c r="E689" s="10"/>
      <c r="F689" s="10"/>
      <c r="G689" s="10"/>
      <c r="H689" s="10"/>
      <c r="I689" s="25" t="n">
        <v>4</v>
      </c>
      <c r="J689" s="25"/>
      <c r="K689" s="26" t="n">
        <f aca="false">41.74</f>
        <v>41.74</v>
      </c>
      <c r="L689" s="26" t="n">
        <f aca="false">139.57</f>
        <v>139.57</v>
      </c>
      <c r="M689" s="25" t="n">
        <v>16</v>
      </c>
      <c r="N689" s="25" t="n">
        <v>34</v>
      </c>
      <c r="O689" s="25" t="n">
        <v>121.45</v>
      </c>
      <c r="P689" s="26" t="n">
        <f aca="false">24.07</f>
        <v>24.07</v>
      </c>
      <c r="Q689" s="26" t="n">
        <f aca="false">146.65</f>
        <v>146.65</v>
      </c>
      <c r="R689" s="25" t="n">
        <v>15.25</v>
      </c>
      <c r="S689" s="25" t="n">
        <v>22.2</v>
      </c>
      <c r="T689" s="25" t="n">
        <v>506</v>
      </c>
      <c r="U689" s="27" t="s">
        <v>29</v>
      </c>
      <c r="V689" s="21"/>
      <c r="W689" s="16"/>
      <c r="X689" s="16"/>
      <c r="Y689" s="16"/>
    </row>
    <row r="690" customFormat="false" ht="15.75" hidden="false" customHeight="true" outlineLevel="0" collapsed="false">
      <c r="A690" s="9" t="s">
        <v>25</v>
      </c>
      <c r="B690" s="10" t="s">
        <v>26</v>
      </c>
      <c r="C690" s="11" t="s">
        <v>237</v>
      </c>
      <c r="D690" s="10" t="s">
        <v>28</v>
      </c>
      <c r="E690" s="10" t="s">
        <v>28</v>
      </c>
      <c r="F690" s="10"/>
      <c r="G690" s="10" t="n">
        <v>20</v>
      </c>
      <c r="H690" s="10" t="n">
        <v>3.75</v>
      </c>
      <c r="I690" s="12" t="n">
        <v>1</v>
      </c>
      <c r="J690" s="12" t="s">
        <v>50</v>
      </c>
      <c r="K690" s="13" t="n">
        <f aca="false">41.49</f>
        <v>41.49</v>
      </c>
      <c r="L690" s="13" t="n">
        <f aca="false">107.23</f>
        <v>107.23</v>
      </c>
      <c r="M690" s="12" t="n">
        <v>14</v>
      </c>
      <c r="N690" s="12" t="n">
        <v>26</v>
      </c>
      <c r="O690" s="12" t="n">
        <v>79.05</v>
      </c>
      <c r="P690" s="13" t="n">
        <f aca="false">26.8</f>
        <v>26.8</v>
      </c>
      <c r="Q690" s="13" t="n">
        <f aca="false">113.97</f>
        <v>113.97</v>
      </c>
      <c r="R690" s="12" t="n">
        <v>14.6</v>
      </c>
      <c r="S690" s="12" t="n">
        <v>20.25</v>
      </c>
      <c r="T690" s="12" t="n">
        <v>319</v>
      </c>
      <c r="U690" s="14" t="s">
        <v>29</v>
      </c>
      <c r="V690" s="15"/>
      <c r="W690" s="16" t="str">
        <f aca="false">A690</f>
        <v>KL</v>
      </c>
      <c r="X690" s="17" t="e">
        <f aca="false">ifs(C690="","",X690="",NOW(),TRUE(),X690)</f>
        <v>#VALUE!</v>
      </c>
      <c r="Y690" s="17" t="e">
        <f aca="false">ifs(COUNTA(K690:U693)&lt;44,"",Y690="",NOW(),TRUE(),Y690)</f>
        <v>#VALUE!</v>
      </c>
    </row>
    <row r="691" customFormat="false" ht="15.75" hidden="false" customHeight="false" outlineLevel="0" collapsed="false">
      <c r="A691" s="9"/>
      <c r="B691" s="10"/>
      <c r="C691" s="10"/>
      <c r="D691" s="10"/>
      <c r="E691" s="10"/>
      <c r="F691" s="10"/>
      <c r="G691" s="10"/>
      <c r="H691" s="10"/>
      <c r="I691" s="18" t="n">
        <v>2</v>
      </c>
      <c r="J691" s="18" t="s">
        <v>35</v>
      </c>
      <c r="K691" s="19" t="n">
        <f aca="false">42.09</f>
        <v>42.09</v>
      </c>
      <c r="L691" s="19" t="n">
        <f aca="false">100.61</f>
        <v>100.61</v>
      </c>
      <c r="M691" s="18" t="n">
        <v>14</v>
      </c>
      <c r="N691" s="18" t="n">
        <v>22</v>
      </c>
      <c r="O691" s="18" t="n">
        <v>69.45</v>
      </c>
      <c r="P691" s="19" t="n">
        <f aca="false">26.96</f>
        <v>26.96</v>
      </c>
      <c r="Q691" s="19" t="n">
        <f aca="false">109.89</f>
        <v>109.89</v>
      </c>
      <c r="R691" s="18" t="n">
        <v>15.1</v>
      </c>
      <c r="S691" s="18" t="n">
        <v>25.5</v>
      </c>
      <c r="T691" s="18" t="n">
        <v>216</v>
      </c>
      <c r="U691" s="20" t="s">
        <v>29</v>
      </c>
      <c r="V691" s="21"/>
      <c r="W691" s="16"/>
      <c r="X691" s="16"/>
      <c r="Y691" s="16"/>
    </row>
    <row r="692" customFormat="false" ht="15.75" hidden="false" customHeight="false" outlineLevel="0" collapsed="false">
      <c r="A692" s="9"/>
      <c r="B692" s="10"/>
      <c r="C692" s="10"/>
      <c r="D692" s="10"/>
      <c r="E692" s="10"/>
      <c r="F692" s="10"/>
      <c r="G692" s="10"/>
      <c r="H692" s="10"/>
      <c r="I692" s="22" t="n">
        <v>3</v>
      </c>
      <c r="J692" s="22" t="s">
        <v>238</v>
      </c>
      <c r="K692" s="23" t="n">
        <f aca="false">40.78</f>
        <v>40.78</v>
      </c>
      <c r="L692" s="23" t="n">
        <f aca="false">105.74</f>
        <v>105.74</v>
      </c>
      <c r="M692" s="22" t="n">
        <v>12</v>
      </c>
      <c r="N692" s="22" t="n">
        <v>24</v>
      </c>
      <c r="O692" s="22" t="n">
        <v>75.9</v>
      </c>
      <c r="P692" s="23" t="n">
        <f aca="false">24.32</f>
        <v>24.32</v>
      </c>
      <c r="Q692" s="23" t="n">
        <f aca="false">116.55</f>
        <v>116.55</v>
      </c>
      <c r="R692" s="22" t="n">
        <v>12.85</v>
      </c>
      <c r="S692" s="22" t="n">
        <v>22.15</v>
      </c>
      <c r="T692" s="22" t="n">
        <v>288</v>
      </c>
      <c r="U692" s="24" t="s">
        <v>29</v>
      </c>
      <c r="V692" s="15"/>
      <c r="W692" s="16"/>
      <c r="X692" s="16"/>
      <c r="Y692" s="16"/>
    </row>
    <row r="693" customFormat="false" ht="15.75" hidden="false" customHeight="false" outlineLevel="0" collapsed="false">
      <c r="A693" s="9"/>
      <c r="B693" s="10"/>
      <c r="C693" s="10"/>
      <c r="D693" s="10"/>
      <c r="E693" s="10"/>
      <c r="F693" s="10"/>
      <c r="G693" s="10"/>
      <c r="H693" s="10"/>
      <c r="I693" s="25" t="n">
        <v>4</v>
      </c>
      <c r="J693" s="25"/>
      <c r="K693" s="26" t="n">
        <f aca="false">39.59</f>
        <v>39.59</v>
      </c>
      <c r="L693" s="26" t="n">
        <f aca="false">84.96</f>
        <v>84.96</v>
      </c>
      <c r="M693" s="25" t="n">
        <v>14</v>
      </c>
      <c r="N693" s="25" t="n">
        <v>24</v>
      </c>
      <c r="O693" s="25" t="n">
        <v>63.05</v>
      </c>
      <c r="P693" s="26" t="n">
        <f aca="false">25.77</f>
        <v>25.77</v>
      </c>
      <c r="Q693" s="26" t="n">
        <f aca="false">100.37</f>
        <v>100.37</v>
      </c>
      <c r="R693" s="25" t="n">
        <v>10.55</v>
      </c>
      <c r="S693" s="25" t="n">
        <v>18.45</v>
      </c>
      <c r="T693" s="25" t="n">
        <v>291</v>
      </c>
      <c r="U693" s="27" t="s">
        <v>29</v>
      </c>
      <c r="V693" s="21"/>
      <c r="W693" s="16"/>
      <c r="X693" s="16"/>
      <c r="Y693" s="16"/>
    </row>
    <row r="694" customFormat="false" ht="15.75" hidden="false" customHeight="true" outlineLevel="0" collapsed="false">
      <c r="A694" s="9" t="s">
        <v>239</v>
      </c>
      <c r="B694" s="10" t="s">
        <v>26</v>
      </c>
      <c r="C694" s="11" t="s">
        <v>240</v>
      </c>
      <c r="D694" s="10" t="s">
        <v>28</v>
      </c>
      <c r="E694" s="10" t="s">
        <v>28</v>
      </c>
      <c r="F694" s="10"/>
      <c r="G694" s="10" t="n">
        <v>18</v>
      </c>
      <c r="H694" s="10" t="n">
        <v>3.85</v>
      </c>
      <c r="I694" s="12" t="n">
        <v>1</v>
      </c>
      <c r="J694" s="12" t="s">
        <v>49</v>
      </c>
      <c r="K694" s="13" t="n">
        <f aca="false">43.84</f>
        <v>43.84</v>
      </c>
      <c r="L694" s="13" t="n">
        <f aca="false">134.94</f>
        <v>134.94</v>
      </c>
      <c r="M694" s="12" t="n">
        <v>16</v>
      </c>
      <c r="N694" s="12" t="n">
        <v>30</v>
      </c>
      <c r="O694" s="12" t="n">
        <v>133.6</v>
      </c>
      <c r="P694" s="13" t="n">
        <f aca="false">30.2</f>
        <v>30.2</v>
      </c>
      <c r="Q694" s="13" t="n">
        <f aca="false">167.27</f>
        <v>167.27</v>
      </c>
      <c r="R694" s="12" t="n">
        <v>15.7</v>
      </c>
      <c r="S694" s="12" t="n">
        <v>23.45</v>
      </c>
      <c r="T694" s="12" t="n">
        <v>500</v>
      </c>
      <c r="U694" s="14" t="s">
        <v>29</v>
      </c>
      <c r="V694" s="15"/>
      <c r="W694" s="16" t="str">
        <f aca="false">A694</f>
        <v>KS</v>
      </c>
      <c r="X694" s="17" t="e">
        <f aca="false">ifs(C694="","",X694="",NOW(),TRUE(),X694)</f>
        <v>#VALUE!</v>
      </c>
      <c r="Y694" s="17" t="e">
        <f aca="false">ifs(COUNTA(K694:U697)&lt;44,"",Y694="",NOW(),TRUE(),Y694)</f>
        <v>#VALUE!</v>
      </c>
    </row>
    <row r="695" customFormat="false" ht="15.75" hidden="false" customHeight="false" outlineLevel="0" collapsed="false">
      <c r="A695" s="9"/>
      <c r="B695" s="10"/>
      <c r="C695" s="10"/>
      <c r="D695" s="10"/>
      <c r="E695" s="10"/>
      <c r="F695" s="10"/>
      <c r="G695" s="10"/>
      <c r="H695" s="10"/>
      <c r="I695" s="18" t="n">
        <v>2</v>
      </c>
      <c r="J695" s="18" t="s">
        <v>49</v>
      </c>
      <c r="K695" s="19" t="n">
        <f aca="false">44.42</f>
        <v>44.42</v>
      </c>
      <c r="L695" s="19" t="n">
        <f aca="false">114.11</f>
        <v>114.11</v>
      </c>
      <c r="M695" s="18" t="n">
        <v>16</v>
      </c>
      <c r="N695" s="18" t="n">
        <v>26</v>
      </c>
      <c r="O695" s="18" t="n">
        <v>111.25</v>
      </c>
      <c r="P695" s="19" t="n">
        <f aca="false">30.69</f>
        <v>30.69</v>
      </c>
      <c r="Q695" s="19" t="n">
        <f aca="false">137.56</f>
        <v>137.56</v>
      </c>
      <c r="R695" s="18" t="n">
        <v>12.2</v>
      </c>
      <c r="S695" s="18" t="n">
        <v>25.65</v>
      </c>
      <c r="T695" s="18" t="n">
        <v>407</v>
      </c>
      <c r="U695" s="20" t="s">
        <v>29</v>
      </c>
      <c r="V695" s="21"/>
      <c r="W695" s="16"/>
      <c r="X695" s="16"/>
      <c r="Y695" s="16"/>
    </row>
    <row r="696" customFormat="false" ht="15.75" hidden="false" customHeight="false" outlineLevel="0" collapsed="false">
      <c r="A696" s="9"/>
      <c r="B696" s="10"/>
      <c r="C696" s="10"/>
      <c r="D696" s="10"/>
      <c r="E696" s="10"/>
      <c r="F696" s="10"/>
      <c r="G696" s="10"/>
      <c r="H696" s="10"/>
      <c r="I696" s="22" t="n">
        <v>3</v>
      </c>
      <c r="J696" s="22" t="s">
        <v>49</v>
      </c>
      <c r="K696" s="23" t="n">
        <f aca="false">42.29</f>
        <v>42.29</v>
      </c>
      <c r="L696" s="23" t="n">
        <f aca="false">118.21</f>
        <v>118.21</v>
      </c>
      <c r="M696" s="22" t="n">
        <v>16</v>
      </c>
      <c r="N696" s="22" t="n">
        <v>26</v>
      </c>
      <c r="O696" s="22" t="n">
        <v>115.4</v>
      </c>
      <c r="P696" s="23" t="n">
        <f aca="false">26.16</f>
        <v>26.16</v>
      </c>
      <c r="Q696" s="23" t="n">
        <f aca="false">130.32</f>
        <v>130.32</v>
      </c>
      <c r="R696" s="22" t="n">
        <v>15.5</v>
      </c>
      <c r="S696" s="22" t="n">
        <v>22.75</v>
      </c>
      <c r="T696" s="22" t="n">
        <v>454</v>
      </c>
      <c r="U696" s="24" t="s">
        <v>29</v>
      </c>
      <c r="V696" s="15"/>
      <c r="W696" s="16"/>
      <c r="X696" s="16"/>
      <c r="Y696" s="16"/>
    </row>
    <row r="697" customFormat="false" ht="15.75" hidden="false" customHeight="false" outlineLevel="0" collapsed="false">
      <c r="A697" s="9"/>
      <c r="B697" s="10"/>
      <c r="C697" s="10"/>
      <c r="D697" s="10"/>
      <c r="E697" s="10"/>
      <c r="F697" s="10"/>
      <c r="G697" s="10"/>
      <c r="H697" s="10"/>
      <c r="I697" s="25" t="n">
        <v>4</v>
      </c>
      <c r="J697" s="25" t="s">
        <v>49</v>
      </c>
      <c r="K697" s="26" t="n">
        <f aca="false">44.05</f>
        <v>44.05</v>
      </c>
      <c r="L697" s="26" t="n">
        <f aca="false">104.31</f>
        <v>104.31</v>
      </c>
      <c r="M697" s="25" t="n">
        <v>18</v>
      </c>
      <c r="N697" s="25" t="n">
        <v>28</v>
      </c>
      <c r="O697" s="25" t="n">
        <v>99.2</v>
      </c>
      <c r="P697" s="26" t="n">
        <f aca="false">24.54</f>
        <v>24.54</v>
      </c>
      <c r="Q697" s="26" t="n">
        <f aca="false">138.95</f>
        <v>138.95</v>
      </c>
      <c r="R697" s="25" t="n">
        <v>13.5</v>
      </c>
      <c r="S697" s="25" t="n">
        <v>21</v>
      </c>
      <c r="T697" s="25" t="n">
        <v>458</v>
      </c>
      <c r="U697" s="27" t="s">
        <v>29</v>
      </c>
      <c r="V697" s="21"/>
      <c r="W697" s="16"/>
      <c r="X697" s="16"/>
      <c r="Y697" s="16"/>
    </row>
    <row r="698" customFormat="false" ht="15.75" hidden="false" customHeight="true" outlineLevel="0" collapsed="false">
      <c r="A698" s="9" t="s">
        <v>239</v>
      </c>
      <c r="B698" s="10" t="s">
        <v>26</v>
      </c>
      <c r="C698" s="11" t="s">
        <v>241</v>
      </c>
      <c r="D698" s="10" t="s">
        <v>28</v>
      </c>
      <c r="E698" s="10" t="s">
        <v>28</v>
      </c>
      <c r="F698" s="10"/>
      <c r="G698" s="10" t="n">
        <v>12</v>
      </c>
      <c r="H698" s="10" t="n">
        <v>1.65</v>
      </c>
      <c r="I698" s="12" t="n">
        <v>1</v>
      </c>
      <c r="J698" s="12"/>
      <c r="K698" s="13" t="n">
        <f aca="false">42.92</f>
        <v>42.92</v>
      </c>
      <c r="L698" s="13" t="n">
        <f aca="false">152.83</f>
        <v>152.83</v>
      </c>
      <c r="M698" s="12" t="n">
        <v>12</v>
      </c>
      <c r="N698" s="12" t="n">
        <v>32</v>
      </c>
      <c r="O698" s="12" t="n">
        <v>112.85</v>
      </c>
      <c r="P698" s="13" t="n">
        <f aca="false">25.03</f>
        <v>25.03</v>
      </c>
      <c r="Q698" s="13" t="n">
        <f aca="false">155.49</f>
        <v>155.49</v>
      </c>
      <c r="R698" s="12" t="n">
        <v>17.75</v>
      </c>
      <c r="S698" s="12" t="n">
        <v>23.3</v>
      </c>
      <c r="T698" s="12" t="n">
        <v>405</v>
      </c>
      <c r="U698" s="14" t="s">
        <v>29</v>
      </c>
      <c r="V698" s="15"/>
      <c r="W698" s="16" t="str">
        <f aca="false">A698</f>
        <v>KS</v>
      </c>
      <c r="X698" s="17" t="e">
        <f aca="false">ifs(C698="","",X698="",NOW(),TRUE(),X698)</f>
        <v>#VALUE!</v>
      </c>
      <c r="Y698" s="17" t="e">
        <f aca="false">ifs(COUNTA(K698:U701)&lt;44,"",Y698="",NOW(),TRUE(),Y698)</f>
        <v>#VALUE!</v>
      </c>
    </row>
    <row r="699" customFormat="false" ht="15.75" hidden="false" customHeight="false" outlineLevel="0" collapsed="false">
      <c r="A699" s="9"/>
      <c r="B699" s="10"/>
      <c r="C699" s="10"/>
      <c r="D699" s="10"/>
      <c r="E699" s="10"/>
      <c r="F699" s="10"/>
      <c r="G699" s="10"/>
      <c r="H699" s="10"/>
      <c r="I699" s="18" t="n">
        <v>2</v>
      </c>
      <c r="J699" s="18" t="s">
        <v>46</v>
      </c>
      <c r="K699" s="19" t="n">
        <f aca="false">47.16</f>
        <v>47.16</v>
      </c>
      <c r="L699" s="19" t="n">
        <f aca="false">136.34</f>
        <v>136.34</v>
      </c>
      <c r="M699" s="18" t="n">
        <v>16</v>
      </c>
      <c r="N699" s="18" t="n">
        <v>34</v>
      </c>
      <c r="O699" s="18" t="n">
        <v>143.55</v>
      </c>
      <c r="P699" s="19" t="n">
        <f aca="false">26.19</f>
        <v>26.19</v>
      </c>
      <c r="Q699" s="19" t="n">
        <f aca="false">156.04</f>
        <v>156.04</v>
      </c>
      <c r="R699" s="18" t="n">
        <v>17.25</v>
      </c>
      <c r="S699" s="18" t="n">
        <v>26.1</v>
      </c>
      <c r="T699" s="18" t="n">
        <v>520</v>
      </c>
      <c r="U699" s="20" t="s">
        <v>29</v>
      </c>
      <c r="V699" s="21"/>
      <c r="W699" s="16"/>
      <c r="X699" s="16"/>
      <c r="Y699" s="16"/>
    </row>
    <row r="700" customFormat="false" ht="15.75" hidden="false" customHeight="false" outlineLevel="0" collapsed="false">
      <c r="A700" s="9"/>
      <c r="B700" s="10"/>
      <c r="C700" s="10"/>
      <c r="D700" s="10"/>
      <c r="E700" s="10"/>
      <c r="F700" s="10"/>
      <c r="G700" s="10"/>
      <c r="H700" s="10"/>
      <c r="I700" s="22" t="n">
        <v>3</v>
      </c>
      <c r="J700" s="22" t="s">
        <v>49</v>
      </c>
      <c r="K700" s="23" t="n">
        <f aca="false">45.52</f>
        <v>45.52</v>
      </c>
      <c r="L700" s="23" t="n">
        <f aca="false">159.43</f>
        <v>159.43</v>
      </c>
      <c r="M700" s="22" t="n">
        <v>16</v>
      </c>
      <c r="N700" s="22" t="n">
        <v>26</v>
      </c>
      <c r="O700" s="22" t="n">
        <v>155.25</v>
      </c>
      <c r="P700" s="23" t="n">
        <f aca="false">26.8</f>
        <v>26.8</v>
      </c>
      <c r="Q700" s="23" t="n">
        <f aca="false">152.2</f>
        <v>152.2</v>
      </c>
      <c r="R700" s="22" t="n">
        <v>19.4</v>
      </c>
      <c r="S700" s="22" t="n">
        <v>24.75</v>
      </c>
      <c r="T700" s="22" t="n">
        <v>555</v>
      </c>
      <c r="U700" s="24" t="s">
        <v>29</v>
      </c>
      <c r="V700" s="15"/>
      <c r="W700" s="16"/>
      <c r="X700" s="16"/>
      <c r="Y700" s="16"/>
    </row>
    <row r="701" customFormat="false" ht="15.75" hidden="false" customHeight="false" outlineLevel="0" collapsed="false">
      <c r="A701" s="9"/>
      <c r="B701" s="10"/>
      <c r="C701" s="10"/>
      <c r="D701" s="10"/>
      <c r="E701" s="10"/>
      <c r="F701" s="10"/>
      <c r="G701" s="10"/>
      <c r="H701" s="10"/>
      <c r="I701" s="25" t="n">
        <v>4</v>
      </c>
      <c r="J701" s="25" t="s">
        <v>49</v>
      </c>
      <c r="K701" s="26" t="n">
        <f aca="false">40.28</f>
        <v>40.28</v>
      </c>
      <c r="L701" s="26" t="n">
        <f aca="false">120.34</f>
        <v>120.34</v>
      </c>
      <c r="M701" s="25" t="n">
        <v>14</v>
      </c>
      <c r="N701" s="25" t="n">
        <v>34</v>
      </c>
      <c r="O701" s="25" t="n">
        <v>91.1</v>
      </c>
      <c r="P701" s="26" t="n">
        <f aca="false">23.28</f>
        <v>23.28</v>
      </c>
      <c r="Q701" s="26" t="n">
        <f aca="false">144.68</f>
        <v>144.68</v>
      </c>
      <c r="R701" s="25" t="n">
        <v>11.75</v>
      </c>
      <c r="S701" s="25" t="n">
        <v>18.9</v>
      </c>
      <c r="T701" s="25" t="n">
        <v>428</v>
      </c>
      <c r="U701" s="27" t="s">
        <v>29</v>
      </c>
      <c r="V701" s="21"/>
      <c r="W701" s="16"/>
      <c r="X701" s="16"/>
      <c r="Y701" s="16"/>
    </row>
    <row r="702" customFormat="false" ht="15.75" hidden="false" customHeight="true" outlineLevel="0" collapsed="false">
      <c r="A702" s="9" t="s">
        <v>239</v>
      </c>
      <c r="B702" s="10" t="s">
        <v>26</v>
      </c>
      <c r="C702" s="11" t="s">
        <v>242</v>
      </c>
      <c r="D702" s="10" t="s">
        <v>28</v>
      </c>
      <c r="E702" s="10" t="s">
        <v>73</v>
      </c>
      <c r="F702" s="10"/>
      <c r="G702" s="10" t="n">
        <v>12</v>
      </c>
      <c r="H702" s="10" t="n">
        <v>1.8</v>
      </c>
      <c r="I702" s="12" t="n">
        <v>1</v>
      </c>
      <c r="J702" s="12"/>
      <c r="K702" s="13" t="n">
        <f aca="false">46.51</f>
        <v>46.51</v>
      </c>
      <c r="L702" s="13" t="n">
        <f aca="false">195.71</f>
        <v>195.71</v>
      </c>
      <c r="M702" s="12" t="n">
        <v>14</v>
      </c>
      <c r="N702" s="12" t="n">
        <v>44</v>
      </c>
      <c r="O702" s="12" t="n">
        <v>210.75</v>
      </c>
      <c r="P702" s="13" t="n">
        <f aca="false">27.13</f>
        <v>27.13</v>
      </c>
      <c r="Q702" s="13" t="n">
        <f aca="false">196.51</f>
        <v>196.51</v>
      </c>
      <c r="R702" s="12" t="n">
        <v>35.6</v>
      </c>
      <c r="S702" s="12" t="n">
        <v>30.75</v>
      </c>
      <c r="T702" s="12" t="n">
        <v>577</v>
      </c>
      <c r="U702" s="14" t="s">
        <v>97</v>
      </c>
      <c r="V702" s="15"/>
      <c r="W702" s="16" t="str">
        <f aca="false">A702</f>
        <v>KS</v>
      </c>
      <c r="X702" s="17" t="e">
        <f aca="false">ifs(C702="","",X702="",NOW(),TRUE(),X702)</f>
        <v>#VALUE!</v>
      </c>
      <c r="Y702" s="17" t="e">
        <f aca="false">ifs(COUNTA(K702:U705)&lt;44,"",Y702="",NOW(),TRUE(),Y702)</f>
        <v>#VALUE!</v>
      </c>
    </row>
    <row r="703" customFormat="false" ht="15.75" hidden="false" customHeight="false" outlineLevel="0" collapsed="false">
      <c r="A703" s="9"/>
      <c r="B703" s="10"/>
      <c r="C703" s="10"/>
      <c r="D703" s="10"/>
      <c r="E703" s="10"/>
      <c r="F703" s="10"/>
      <c r="G703" s="10"/>
      <c r="H703" s="10"/>
      <c r="I703" s="18" t="n">
        <v>2</v>
      </c>
      <c r="J703" s="18" t="s">
        <v>47</v>
      </c>
      <c r="K703" s="19" t="n">
        <f aca="false">47.07</f>
        <v>47.07</v>
      </c>
      <c r="L703" s="19" t="n">
        <f aca="false">195.78</f>
        <v>195.78</v>
      </c>
      <c r="M703" s="18" t="n">
        <v>14</v>
      </c>
      <c r="N703" s="18" t="n">
        <v>42</v>
      </c>
      <c r="O703" s="18" t="n">
        <v>207.55</v>
      </c>
      <c r="P703" s="19" t="n">
        <f aca="false">30.81</f>
        <v>30.81</v>
      </c>
      <c r="Q703" s="19" t="n">
        <f aca="false">207.58</f>
        <v>207.58</v>
      </c>
      <c r="R703" s="18" t="n">
        <v>39.55</v>
      </c>
      <c r="S703" s="18" t="n">
        <v>30.35</v>
      </c>
      <c r="T703" s="18" t="n">
        <v>548</v>
      </c>
      <c r="U703" s="20" t="s">
        <v>97</v>
      </c>
      <c r="V703" s="21"/>
      <c r="W703" s="16"/>
      <c r="X703" s="16"/>
      <c r="Y703" s="16"/>
    </row>
    <row r="704" customFormat="false" ht="15.75" hidden="false" customHeight="false" outlineLevel="0" collapsed="false">
      <c r="A704" s="9"/>
      <c r="B704" s="10"/>
      <c r="C704" s="10"/>
      <c r="D704" s="10"/>
      <c r="E704" s="10"/>
      <c r="F704" s="10"/>
      <c r="G704" s="10"/>
      <c r="H704" s="10"/>
      <c r="I704" s="22" t="n">
        <v>3</v>
      </c>
      <c r="J704" s="22" t="s">
        <v>50</v>
      </c>
      <c r="K704" s="23" t="n">
        <f aca="false">44.07</f>
        <v>44.07</v>
      </c>
      <c r="L704" s="23" t="n">
        <f aca="false">152.12</f>
        <v>152.12</v>
      </c>
      <c r="M704" s="22" t="n">
        <v>15</v>
      </c>
      <c r="N704" s="22" t="n">
        <v>32</v>
      </c>
      <c r="O704" s="22" t="n">
        <v>110.9</v>
      </c>
      <c r="P704" s="23" t="n">
        <f aca="false">28.75</f>
        <v>28.75</v>
      </c>
      <c r="Q704" s="23" t="n">
        <f aca="false">151.89</f>
        <v>151.89</v>
      </c>
      <c r="R704" s="22" t="n">
        <v>19.7</v>
      </c>
      <c r="S704" s="22" t="n">
        <v>24.75</v>
      </c>
      <c r="T704" s="22" t="n">
        <v>384</v>
      </c>
      <c r="U704" s="24" t="s">
        <v>97</v>
      </c>
      <c r="V704" s="15"/>
      <c r="W704" s="16"/>
      <c r="X704" s="16"/>
      <c r="Y704" s="16"/>
    </row>
    <row r="705" customFormat="false" ht="15.75" hidden="false" customHeight="false" outlineLevel="0" collapsed="false">
      <c r="A705" s="9"/>
      <c r="B705" s="10"/>
      <c r="C705" s="10"/>
      <c r="D705" s="10"/>
      <c r="E705" s="10"/>
      <c r="F705" s="10"/>
      <c r="G705" s="10"/>
      <c r="H705" s="10"/>
      <c r="I705" s="25" t="n">
        <v>4</v>
      </c>
      <c r="J705" s="25"/>
      <c r="K705" s="26"/>
      <c r="L705" s="26"/>
      <c r="M705" s="25"/>
      <c r="N705" s="25"/>
      <c r="O705" s="25"/>
      <c r="P705" s="26"/>
      <c r="Q705" s="26"/>
      <c r="R705" s="25"/>
      <c r="S705" s="25"/>
      <c r="T705" s="25"/>
      <c r="U705" s="27"/>
      <c r="V705" s="21"/>
      <c r="W705" s="16"/>
      <c r="X705" s="16"/>
      <c r="Y705" s="16"/>
    </row>
    <row r="706" customFormat="false" ht="15.75" hidden="false" customHeight="true" outlineLevel="0" collapsed="false">
      <c r="A706" s="9" t="s">
        <v>239</v>
      </c>
      <c r="B706" s="10" t="s">
        <v>26</v>
      </c>
      <c r="C706" s="11" t="s">
        <v>243</v>
      </c>
      <c r="D706" s="10" t="s">
        <v>28</v>
      </c>
      <c r="E706" s="10" t="s">
        <v>28</v>
      </c>
      <c r="F706" s="10"/>
      <c r="G706" s="10" t="n">
        <v>32</v>
      </c>
      <c r="H706" s="10" t="n">
        <v>8.5</v>
      </c>
      <c r="I706" s="12" t="n">
        <v>1</v>
      </c>
      <c r="J706" s="12" t="s">
        <v>36</v>
      </c>
      <c r="K706" s="13" t="n">
        <f aca="false">47.46</f>
        <v>47.46</v>
      </c>
      <c r="L706" s="13" t="n">
        <f aca="false">159.12</f>
        <v>159.12</v>
      </c>
      <c r="M706" s="12" t="n">
        <v>14</v>
      </c>
      <c r="N706" s="12" t="n">
        <v>36</v>
      </c>
      <c r="O706" s="12" t="n">
        <v>166.05</v>
      </c>
      <c r="P706" s="13" t="n">
        <f aca="false">28.01</f>
        <v>28.01</v>
      </c>
      <c r="Q706" s="13" t="n">
        <f aca="false">173.03</f>
        <v>173.03</v>
      </c>
      <c r="R706" s="12" t="n">
        <v>21.35</v>
      </c>
      <c r="S706" s="12" t="n">
        <v>28.7</v>
      </c>
      <c r="T706" s="12" t="n">
        <v>498</v>
      </c>
      <c r="U706" s="14" t="s">
        <v>29</v>
      </c>
      <c r="V706" s="15"/>
      <c r="W706" s="16" t="str">
        <f aca="false">A706</f>
        <v>KS</v>
      </c>
      <c r="X706" s="17" t="e">
        <f aca="false">ifs(C706="","",X706="",NOW(),TRUE(),X706)</f>
        <v>#VALUE!</v>
      </c>
      <c r="Y706" s="17" t="e">
        <f aca="false">ifs(COUNTA(K706:U709)&lt;44,"",Y706="",NOW(),TRUE(),Y706)</f>
        <v>#VALUE!</v>
      </c>
    </row>
    <row r="707" customFormat="false" ht="15.75" hidden="false" customHeight="false" outlineLevel="0" collapsed="false">
      <c r="A707" s="9"/>
      <c r="B707" s="10"/>
      <c r="C707" s="10"/>
      <c r="D707" s="10"/>
      <c r="E707" s="10"/>
      <c r="F707" s="10"/>
      <c r="G707" s="10"/>
      <c r="H707" s="10"/>
      <c r="I707" s="18" t="n">
        <v>2</v>
      </c>
      <c r="J707" s="18" t="s">
        <v>49</v>
      </c>
      <c r="K707" s="19" t="n">
        <f aca="false">47.02</f>
        <v>47.02</v>
      </c>
      <c r="L707" s="19" t="n">
        <f aca="false">160.18</f>
        <v>160.18</v>
      </c>
      <c r="M707" s="18" t="n">
        <v>16</v>
      </c>
      <c r="N707" s="18" t="n">
        <v>38</v>
      </c>
      <c r="O707" s="18" t="n">
        <v>151.5</v>
      </c>
      <c r="P707" s="19" t="n">
        <f aca="false">29.8</f>
        <v>29.8</v>
      </c>
      <c r="Q707" s="19" t="n">
        <f aca="false">177.35</f>
        <v>177.35</v>
      </c>
      <c r="R707" s="18" t="n">
        <v>19.1</v>
      </c>
      <c r="S707" s="18" t="n">
        <v>22.75</v>
      </c>
      <c r="T707" s="18" t="n">
        <v>573</v>
      </c>
      <c r="U707" s="20" t="s">
        <v>29</v>
      </c>
      <c r="V707" s="21"/>
      <c r="W707" s="16"/>
      <c r="X707" s="16"/>
      <c r="Y707" s="16"/>
    </row>
    <row r="708" customFormat="false" ht="15.75" hidden="false" customHeight="false" outlineLevel="0" collapsed="false">
      <c r="A708" s="9"/>
      <c r="B708" s="10"/>
      <c r="C708" s="10"/>
      <c r="D708" s="10"/>
      <c r="E708" s="10"/>
      <c r="F708" s="10"/>
      <c r="G708" s="10"/>
      <c r="H708" s="10"/>
      <c r="I708" s="22" t="n">
        <v>3</v>
      </c>
      <c r="J708" s="22"/>
      <c r="K708" s="23" t="n">
        <f aca="false">48.41</f>
        <v>48.41</v>
      </c>
      <c r="L708" s="23" t="n">
        <f aca="false">146.85</f>
        <v>146.85</v>
      </c>
      <c r="M708" s="22" t="n">
        <v>16</v>
      </c>
      <c r="N708" s="22" t="n">
        <v>30</v>
      </c>
      <c r="O708" s="22" t="n">
        <v>133</v>
      </c>
      <c r="P708" s="23" t="n">
        <f aca="false">31.21</f>
        <v>31.21</v>
      </c>
      <c r="Q708" s="23" t="n">
        <f aca="false">148.12</f>
        <v>148.12</v>
      </c>
      <c r="R708" s="22" t="n">
        <v>18.05</v>
      </c>
      <c r="S708" s="22" t="n">
        <v>29.65</v>
      </c>
      <c r="T708" s="22" t="n">
        <v>390</v>
      </c>
      <c r="U708" s="24" t="s">
        <v>29</v>
      </c>
      <c r="V708" s="15"/>
      <c r="W708" s="16"/>
      <c r="X708" s="16"/>
      <c r="Y708" s="16"/>
    </row>
    <row r="709" customFormat="false" ht="15.75" hidden="false" customHeight="false" outlineLevel="0" collapsed="false">
      <c r="A709" s="9"/>
      <c r="B709" s="10"/>
      <c r="C709" s="10"/>
      <c r="D709" s="10"/>
      <c r="E709" s="10"/>
      <c r="F709" s="10"/>
      <c r="G709" s="10"/>
      <c r="H709" s="10"/>
      <c r="I709" s="25" t="n">
        <v>4</v>
      </c>
      <c r="J709" s="25" t="s">
        <v>49</v>
      </c>
      <c r="K709" s="26" t="n">
        <f aca="false">44.86</f>
        <v>44.86</v>
      </c>
      <c r="L709" s="26" t="n">
        <f aca="false">109.39</f>
        <v>109.39</v>
      </c>
      <c r="M709" s="25" t="n">
        <v>16</v>
      </c>
      <c r="N709" s="25" t="n">
        <v>26</v>
      </c>
      <c r="O709" s="25" t="n">
        <v>112.65</v>
      </c>
      <c r="P709" s="26" t="n">
        <f aca="false">25.78</f>
        <v>25.78</v>
      </c>
      <c r="Q709" s="26" t="n">
        <f aca="false">134.34</f>
        <v>134.34</v>
      </c>
      <c r="R709" s="25" t="n">
        <v>13.2</v>
      </c>
      <c r="S709" s="25" t="n">
        <v>21.25</v>
      </c>
      <c r="T709" s="25" t="n">
        <v>467</v>
      </c>
      <c r="U709" s="27" t="s">
        <v>29</v>
      </c>
      <c r="V709" s="21"/>
      <c r="W709" s="16"/>
      <c r="X709" s="16"/>
      <c r="Y709" s="16"/>
    </row>
    <row r="710" customFormat="false" ht="15.75" hidden="false" customHeight="true" outlineLevel="0" collapsed="false">
      <c r="A710" s="9" t="s">
        <v>239</v>
      </c>
      <c r="B710" s="10" t="s">
        <v>26</v>
      </c>
      <c r="C710" s="11" t="s">
        <v>244</v>
      </c>
      <c r="D710" s="10" t="s">
        <v>28</v>
      </c>
      <c r="E710" s="10" t="s">
        <v>28</v>
      </c>
      <c r="F710" s="10"/>
      <c r="G710" s="10" t="n">
        <v>15</v>
      </c>
      <c r="H710" s="10" t="n">
        <v>2.75</v>
      </c>
      <c r="I710" s="12" t="n">
        <v>1</v>
      </c>
      <c r="J710" s="12"/>
      <c r="K710" s="13" t="n">
        <f aca="false">43.87</f>
        <v>43.87</v>
      </c>
      <c r="L710" s="13" t="n">
        <f aca="false">172.6</f>
        <v>172.6</v>
      </c>
      <c r="M710" s="12" t="n">
        <v>14</v>
      </c>
      <c r="N710" s="12" t="n">
        <v>38</v>
      </c>
      <c r="O710" s="12" t="n">
        <v>161.35</v>
      </c>
      <c r="P710" s="13" t="n">
        <f aca="false">26.11</f>
        <v>26.11</v>
      </c>
      <c r="Q710" s="13" t="n">
        <f aca="false">172.68</f>
        <v>172.68</v>
      </c>
      <c r="R710" s="12" t="n">
        <v>20.25</v>
      </c>
      <c r="S710" s="12" t="n">
        <v>26.9</v>
      </c>
      <c r="T710" s="12" t="n">
        <v>534</v>
      </c>
      <c r="U710" s="14" t="s">
        <v>97</v>
      </c>
      <c r="V710" s="15"/>
      <c r="W710" s="16" t="str">
        <f aca="false">A710</f>
        <v>KS</v>
      </c>
      <c r="X710" s="17" t="e">
        <f aca="false">ifs(C710="","",X710="",NOW(),TRUE(),X710)</f>
        <v>#VALUE!</v>
      </c>
      <c r="Y710" s="17" t="e">
        <f aca="false">ifs(COUNTA(K710:U713)&lt;44,"",Y710="",NOW(),TRUE(),Y710)</f>
        <v>#VALUE!</v>
      </c>
    </row>
    <row r="711" customFormat="false" ht="15.75" hidden="false" customHeight="false" outlineLevel="0" collapsed="false">
      <c r="A711" s="9"/>
      <c r="B711" s="10"/>
      <c r="C711" s="10"/>
      <c r="D711" s="10"/>
      <c r="E711" s="10"/>
      <c r="F711" s="10"/>
      <c r="G711" s="10"/>
      <c r="H711" s="10"/>
      <c r="I711" s="18" t="n">
        <v>2</v>
      </c>
      <c r="J711" s="18" t="s">
        <v>36</v>
      </c>
      <c r="K711" s="19" t="n">
        <f aca="false">42.91</f>
        <v>42.91</v>
      </c>
      <c r="L711" s="19" t="n">
        <f aca="false">153.05</f>
        <v>153.05</v>
      </c>
      <c r="M711" s="18" t="n">
        <v>14</v>
      </c>
      <c r="N711" s="18" t="n">
        <v>32</v>
      </c>
      <c r="O711" s="18" t="n">
        <v>147.45</v>
      </c>
      <c r="P711" s="19" t="n">
        <f aca="false">24.8</f>
        <v>24.8</v>
      </c>
      <c r="Q711" s="19" t="n">
        <f aca="false">151.11</f>
        <v>151.11</v>
      </c>
      <c r="R711" s="18" t="n">
        <v>16.25</v>
      </c>
      <c r="S711" s="18" t="n">
        <v>32.35</v>
      </c>
      <c r="T711" s="18" t="n">
        <v>430</v>
      </c>
      <c r="U711" s="20" t="s">
        <v>58</v>
      </c>
      <c r="V711" s="21"/>
      <c r="W711" s="16"/>
      <c r="X711" s="16"/>
      <c r="Y711" s="16"/>
    </row>
    <row r="712" customFormat="false" ht="15.75" hidden="false" customHeight="false" outlineLevel="0" collapsed="false">
      <c r="A712" s="9"/>
      <c r="B712" s="10"/>
      <c r="C712" s="10"/>
      <c r="D712" s="10"/>
      <c r="E712" s="10"/>
      <c r="F712" s="10"/>
      <c r="G712" s="10"/>
      <c r="H712" s="10"/>
      <c r="I712" s="22" t="n">
        <v>3</v>
      </c>
      <c r="J712" s="22" t="s">
        <v>49</v>
      </c>
      <c r="K712" s="23" t="n">
        <f aca="false">43.79</f>
        <v>43.79</v>
      </c>
      <c r="L712" s="23" t="n">
        <f aca="false">146.51</f>
        <v>146.51</v>
      </c>
      <c r="M712" s="22" t="n">
        <v>12</v>
      </c>
      <c r="N712" s="22" t="n">
        <v>38</v>
      </c>
      <c r="O712" s="22" t="n">
        <v>135.45</v>
      </c>
      <c r="P712" s="23" t="n">
        <f aca="false">24.88</f>
        <v>24.88</v>
      </c>
      <c r="Q712" s="23" t="n">
        <f aca="false">163.8</f>
        <v>163.8</v>
      </c>
      <c r="R712" s="22" t="n">
        <v>16.3</v>
      </c>
      <c r="S712" s="22" t="n">
        <v>30.05</v>
      </c>
      <c r="T712" s="22" t="n">
        <v>405</v>
      </c>
      <c r="U712" s="24" t="s">
        <v>97</v>
      </c>
      <c r="V712" s="15"/>
      <c r="W712" s="16"/>
      <c r="X712" s="16"/>
      <c r="Y712" s="16"/>
    </row>
    <row r="713" customFormat="false" ht="15.75" hidden="false" customHeight="false" outlineLevel="0" collapsed="false">
      <c r="A713" s="9"/>
      <c r="B713" s="10"/>
      <c r="C713" s="10"/>
      <c r="D713" s="10"/>
      <c r="E713" s="10"/>
      <c r="F713" s="10"/>
      <c r="G713" s="10"/>
      <c r="H713" s="10"/>
      <c r="I713" s="25" t="n">
        <v>4</v>
      </c>
      <c r="J713" s="25" t="s">
        <v>49</v>
      </c>
      <c r="K713" s="26" t="n">
        <f aca="false">39.26</f>
        <v>39.26</v>
      </c>
      <c r="L713" s="26" t="n">
        <f aca="false">138.45</f>
        <v>138.45</v>
      </c>
      <c r="M713" s="25" t="n">
        <v>12</v>
      </c>
      <c r="N713" s="25" t="n">
        <v>32</v>
      </c>
      <c r="O713" s="25" t="n">
        <v>92.05</v>
      </c>
      <c r="P713" s="26" t="n">
        <f aca="false">25.7</f>
        <v>25.7</v>
      </c>
      <c r="Q713" s="26" t="n">
        <f aca="false">136.68</f>
        <v>136.68</v>
      </c>
      <c r="R713" s="25" t="n">
        <v>13.9</v>
      </c>
      <c r="S713" s="25" t="n">
        <v>21.4</v>
      </c>
      <c r="T713" s="25"/>
      <c r="U713" s="27" t="s">
        <v>97</v>
      </c>
      <c r="V713" s="21"/>
      <c r="W713" s="16"/>
      <c r="X713" s="16"/>
      <c r="Y713" s="16"/>
    </row>
    <row r="714" customFormat="false" ht="15.75" hidden="false" customHeight="true" outlineLevel="0" collapsed="false">
      <c r="A714" s="9" t="s">
        <v>180</v>
      </c>
      <c r="B714" s="10" t="s">
        <v>26</v>
      </c>
      <c r="C714" s="11" t="s">
        <v>245</v>
      </c>
      <c r="D714" s="10" t="s">
        <v>28</v>
      </c>
      <c r="E714" s="10" t="s">
        <v>28</v>
      </c>
      <c r="F714" s="10"/>
      <c r="G714" s="10" t="n">
        <v>10</v>
      </c>
      <c r="H714" s="10" t="n">
        <v>1.8</v>
      </c>
      <c r="I714" s="12" t="n">
        <v>1</v>
      </c>
      <c r="J714" s="12" t="s">
        <v>49</v>
      </c>
      <c r="K714" s="13" t="n">
        <v>44.04</v>
      </c>
      <c r="L714" s="13" t="n">
        <v>143.37</v>
      </c>
      <c r="M714" s="12" t="n">
        <v>14</v>
      </c>
      <c r="N714" s="12" t="n">
        <v>36</v>
      </c>
      <c r="O714" s="12" t="n">
        <v>134.8</v>
      </c>
      <c r="P714" s="13" t="n">
        <f aca="false">27.19</f>
        <v>27.19</v>
      </c>
      <c r="Q714" s="13" t="n">
        <f aca="false">169.11</f>
        <v>169.11</v>
      </c>
      <c r="R714" s="12" t="n">
        <v>21</v>
      </c>
      <c r="S714" s="12" t="n">
        <v>24.75</v>
      </c>
      <c r="T714" s="12" t="n">
        <v>477</v>
      </c>
      <c r="U714" s="14" t="s">
        <v>29</v>
      </c>
      <c r="V714" s="15"/>
      <c r="W714" s="16" t="str">
        <f aca="false">A714</f>
        <v>SH</v>
      </c>
      <c r="X714" s="17" t="e">
        <f aca="false">ifs(C714="","",X714="",NOW(),TRUE(),X714)</f>
        <v>#VALUE!</v>
      </c>
      <c r="Y714" s="17" t="e">
        <f aca="false">ifs(COUNTA(K714:U717)&lt;44,"",Y714="",NOW(),TRUE(),Y714)</f>
        <v>#VALUE!</v>
      </c>
    </row>
    <row r="715" customFormat="false" ht="15.75" hidden="false" customHeight="false" outlineLevel="0" collapsed="false">
      <c r="A715" s="9"/>
      <c r="B715" s="10"/>
      <c r="C715" s="10"/>
      <c r="D715" s="10"/>
      <c r="E715" s="10"/>
      <c r="F715" s="10"/>
      <c r="G715" s="10"/>
      <c r="H715" s="10"/>
      <c r="I715" s="18" t="n">
        <v>2</v>
      </c>
      <c r="J715" s="18"/>
      <c r="K715" s="19" t="n">
        <f aca="false">43.51</f>
        <v>43.51</v>
      </c>
      <c r="L715" s="19" t="n">
        <f aca="false">139.17</f>
        <v>139.17</v>
      </c>
      <c r="M715" s="18" t="n">
        <v>16</v>
      </c>
      <c r="N715" s="18" t="n">
        <v>32</v>
      </c>
      <c r="O715" s="18" t="n">
        <v>139.4</v>
      </c>
      <c r="P715" s="19" t="n">
        <f aca="false">27.45</f>
        <v>27.45</v>
      </c>
      <c r="Q715" s="19" t="n">
        <f aca="false">146.64</f>
        <v>146.64</v>
      </c>
      <c r="R715" s="18" t="n">
        <v>19.05</v>
      </c>
      <c r="S715" s="18" t="n">
        <v>23.95</v>
      </c>
      <c r="T715" s="18" t="n">
        <v>517</v>
      </c>
      <c r="U715" s="20" t="s">
        <v>29</v>
      </c>
      <c r="V715" s="21"/>
      <c r="W715" s="16"/>
      <c r="X715" s="16"/>
      <c r="Y715" s="16"/>
    </row>
    <row r="716" customFormat="false" ht="15.75" hidden="false" customHeight="false" outlineLevel="0" collapsed="false">
      <c r="A716" s="9"/>
      <c r="B716" s="10"/>
      <c r="C716" s="10"/>
      <c r="D716" s="10"/>
      <c r="E716" s="10"/>
      <c r="F716" s="10"/>
      <c r="G716" s="10"/>
      <c r="H716" s="10"/>
      <c r="I716" s="22" t="n">
        <v>3</v>
      </c>
      <c r="J716" s="22" t="s">
        <v>46</v>
      </c>
      <c r="K716" s="23" t="n">
        <f aca="false">42.63</f>
        <v>42.63</v>
      </c>
      <c r="L716" s="23" t="n">
        <f aca="false">104.72</f>
        <v>104.72</v>
      </c>
      <c r="M716" s="22" t="n">
        <v>16</v>
      </c>
      <c r="N716" s="22" t="n">
        <v>25</v>
      </c>
      <c r="O716" s="22" t="n">
        <v>103.65</v>
      </c>
      <c r="P716" s="23" t="n">
        <f aca="false">25.67</f>
        <v>25.67</v>
      </c>
      <c r="Q716" s="23" t="n">
        <f aca="false">139.6</f>
        <v>139.6</v>
      </c>
      <c r="R716" s="22" t="n">
        <v>14.45</v>
      </c>
      <c r="S716" s="22" t="n">
        <v>23.9</v>
      </c>
      <c r="T716" s="22" t="n">
        <v>392</v>
      </c>
      <c r="U716" s="24" t="s">
        <v>29</v>
      </c>
      <c r="V716" s="15"/>
      <c r="W716" s="16"/>
      <c r="X716" s="16"/>
      <c r="Y716" s="16"/>
    </row>
    <row r="717" customFormat="false" ht="15.75" hidden="false" customHeight="false" outlineLevel="0" collapsed="false">
      <c r="A717" s="9"/>
      <c r="B717" s="10"/>
      <c r="C717" s="10"/>
      <c r="D717" s="10"/>
      <c r="E717" s="10"/>
      <c r="F717" s="10"/>
      <c r="G717" s="10"/>
      <c r="H717" s="10"/>
      <c r="I717" s="25" t="n">
        <v>4</v>
      </c>
      <c r="J717" s="25" t="s">
        <v>246</v>
      </c>
      <c r="K717" s="26" t="n">
        <f aca="false">40.38</f>
        <v>40.38</v>
      </c>
      <c r="L717" s="26" t="n">
        <f aca="false">84.22</f>
        <v>84.22</v>
      </c>
      <c r="M717" s="25" t="n">
        <v>16</v>
      </c>
      <c r="N717" s="25" t="n">
        <v>20</v>
      </c>
      <c r="O717" s="25" t="n">
        <v>60.95</v>
      </c>
      <c r="P717" s="26" t="n">
        <f aca="false">25.16</f>
        <v>25.16</v>
      </c>
      <c r="Q717" s="26" t="n">
        <f aca="false">101.3</f>
        <v>101.3</v>
      </c>
      <c r="R717" s="25" t="n">
        <v>8.2</v>
      </c>
      <c r="S717" s="25" t="n">
        <v>21.6</v>
      </c>
      <c r="T717" s="25" t="n">
        <v>254</v>
      </c>
      <c r="U717" s="27" t="s">
        <v>29</v>
      </c>
      <c r="V717" s="21"/>
      <c r="W717" s="16"/>
      <c r="X717" s="16"/>
      <c r="Y717" s="16"/>
    </row>
    <row r="718" customFormat="false" ht="15.75" hidden="false" customHeight="true" outlineLevel="0" collapsed="false">
      <c r="A718" s="9" t="s">
        <v>180</v>
      </c>
      <c r="B718" s="10" t="s">
        <v>26</v>
      </c>
      <c r="C718" s="11" t="s">
        <v>247</v>
      </c>
      <c r="D718" s="10" t="s">
        <v>28</v>
      </c>
      <c r="E718" s="10" t="s">
        <v>28</v>
      </c>
      <c r="F718" s="10"/>
      <c r="G718" s="10" t="n">
        <v>8</v>
      </c>
      <c r="H718" s="10" t="n">
        <v>1.5</v>
      </c>
      <c r="I718" s="12" t="n">
        <v>1</v>
      </c>
      <c r="J718" s="12" t="s">
        <v>49</v>
      </c>
      <c r="K718" s="13" t="n">
        <f aca="false">41.57</f>
        <v>41.57</v>
      </c>
      <c r="L718" s="13" t="n">
        <f aca="false">143.06</f>
        <v>143.06</v>
      </c>
      <c r="M718" s="12" t="n">
        <v>14</v>
      </c>
      <c r="N718" s="12" t="n">
        <v>30</v>
      </c>
      <c r="O718" s="12" t="n">
        <v>130.7</v>
      </c>
      <c r="P718" s="13" t="n">
        <f aca="false">26.48</f>
        <v>26.48</v>
      </c>
      <c r="Q718" s="13" t="n">
        <f aca="false">173.62</f>
        <v>173.62</v>
      </c>
      <c r="R718" s="12" t="n">
        <v>22.8</v>
      </c>
      <c r="S718" s="12" t="n">
        <v>22.6</v>
      </c>
      <c r="T718" s="12" t="n">
        <v>459</v>
      </c>
      <c r="U718" s="14" t="s">
        <v>97</v>
      </c>
      <c r="V718" s="15"/>
      <c r="W718" s="16" t="str">
        <f aca="false">A718</f>
        <v>SH</v>
      </c>
      <c r="X718" s="17" t="e">
        <f aca="false">ifs(C718="","",X718="",NOW(),TRUE(),X718)</f>
        <v>#VALUE!</v>
      </c>
      <c r="Y718" s="17" t="e">
        <f aca="false">ifs(COUNTA(K718:U721)&lt;44,"",Y718="",NOW(),TRUE(),Y718)</f>
        <v>#VALUE!</v>
      </c>
    </row>
    <row r="719" customFormat="false" ht="15.75" hidden="false" customHeight="false" outlineLevel="0" collapsed="false">
      <c r="A719" s="9"/>
      <c r="B719" s="10"/>
      <c r="C719" s="10"/>
      <c r="D719" s="10"/>
      <c r="E719" s="10"/>
      <c r="F719" s="10"/>
      <c r="G719" s="10"/>
      <c r="H719" s="10"/>
      <c r="I719" s="18" t="n">
        <v>2</v>
      </c>
      <c r="J719" s="18" t="s">
        <v>47</v>
      </c>
      <c r="K719" s="19" t="n">
        <f aca="false">40.82</f>
        <v>40.82</v>
      </c>
      <c r="L719" s="19" t="n">
        <f aca="false">143.91</f>
        <v>143.91</v>
      </c>
      <c r="M719" s="18" t="n">
        <v>16</v>
      </c>
      <c r="N719" s="18" t="n">
        <v>36</v>
      </c>
      <c r="O719" s="18" t="n">
        <v>140.35</v>
      </c>
      <c r="P719" s="19" t="n">
        <f aca="false">25.5</f>
        <v>25.5</v>
      </c>
      <c r="Q719" s="19" t="n">
        <f aca="false">159.77</f>
        <v>159.77</v>
      </c>
      <c r="R719" s="18" t="n">
        <v>20.3</v>
      </c>
      <c r="S719" s="18" t="n">
        <v>22.6</v>
      </c>
      <c r="T719" s="18" t="n">
        <v>549</v>
      </c>
      <c r="U719" s="20" t="s">
        <v>97</v>
      </c>
      <c r="V719" s="21"/>
      <c r="W719" s="16"/>
      <c r="X719" s="16"/>
      <c r="Y719" s="16"/>
    </row>
    <row r="720" customFormat="false" ht="15.75" hidden="false" customHeight="false" outlineLevel="0" collapsed="false">
      <c r="A720" s="9"/>
      <c r="B720" s="10"/>
      <c r="C720" s="10"/>
      <c r="D720" s="10"/>
      <c r="E720" s="10"/>
      <c r="F720" s="10"/>
      <c r="G720" s="10"/>
      <c r="H720" s="10"/>
      <c r="I720" s="22" t="n">
        <v>3</v>
      </c>
      <c r="J720" s="22" t="s">
        <v>35</v>
      </c>
      <c r="K720" s="23" t="n">
        <f aca="false">37.59</f>
        <v>37.59</v>
      </c>
      <c r="L720" s="23" t="n">
        <f aca="false">92.32</f>
        <v>92.32</v>
      </c>
      <c r="M720" s="22" t="n">
        <v>16</v>
      </c>
      <c r="N720" s="22" t="n">
        <v>19</v>
      </c>
      <c r="O720" s="22" t="n">
        <v>62</v>
      </c>
      <c r="P720" s="23" t="n">
        <f aca="false">22.9</f>
        <v>22.9</v>
      </c>
      <c r="Q720" s="23" t="n">
        <f aca="false">104.04</f>
        <v>104.04</v>
      </c>
      <c r="R720" s="22" t="n">
        <v>10</v>
      </c>
      <c r="S720" s="22" t="n">
        <v>18.1</v>
      </c>
      <c r="T720" s="22" t="n">
        <v>280</v>
      </c>
      <c r="U720" s="24" t="s">
        <v>97</v>
      </c>
      <c r="V720" s="15"/>
      <c r="W720" s="16"/>
      <c r="X720" s="16"/>
      <c r="Y720" s="16"/>
    </row>
    <row r="721" customFormat="false" ht="15.75" hidden="false" customHeight="false" outlineLevel="0" collapsed="false">
      <c r="A721" s="9"/>
      <c r="B721" s="10"/>
      <c r="C721" s="10"/>
      <c r="D721" s="10"/>
      <c r="E721" s="10"/>
      <c r="F721" s="10"/>
      <c r="G721" s="10"/>
      <c r="H721" s="10"/>
      <c r="I721" s="25" t="n">
        <v>4</v>
      </c>
      <c r="J721" s="25" t="s">
        <v>46</v>
      </c>
      <c r="K721" s="26" t="n">
        <f aca="false">39.47</f>
        <v>39.47</v>
      </c>
      <c r="L721" s="26" t="n">
        <f aca="false">86.55</f>
        <v>86.55</v>
      </c>
      <c r="M721" s="25" t="n">
        <v>14</v>
      </c>
      <c r="N721" s="25" t="n">
        <v>22</v>
      </c>
      <c r="O721" s="25" t="n">
        <v>69.6</v>
      </c>
      <c r="P721" s="26" t="n">
        <f aca="false">23.33</f>
        <v>23.33</v>
      </c>
      <c r="Q721" s="26" t="n">
        <f aca="false">94.22</f>
        <v>94.22</v>
      </c>
      <c r="R721" s="25" t="n">
        <v>11.5</v>
      </c>
      <c r="S721" s="25" t="n">
        <v>20.4</v>
      </c>
      <c r="T721" s="25" t="n">
        <v>282</v>
      </c>
      <c r="U721" s="27" t="s">
        <v>97</v>
      </c>
      <c r="V721" s="21"/>
      <c r="W721" s="16"/>
      <c r="X721" s="16"/>
      <c r="Y721" s="16"/>
    </row>
    <row r="722" customFormat="false" ht="15.75" hidden="false" customHeight="true" outlineLevel="0" collapsed="false">
      <c r="A722" s="9" t="s">
        <v>180</v>
      </c>
      <c r="B722" s="10" t="s">
        <v>44</v>
      </c>
      <c r="C722" s="11" t="s">
        <v>248</v>
      </c>
      <c r="D722" s="10" t="s">
        <v>28</v>
      </c>
      <c r="E722" s="10" t="s">
        <v>28</v>
      </c>
      <c r="F722" s="10"/>
      <c r="G722" s="10" t="n">
        <v>29</v>
      </c>
      <c r="H722" s="10" t="n">
        <v>8.3</v>
      </c>
      <c r="I722" s="12" t="n">
        <v>1</v>
      </c>
      <c r="J722" s="12"/>
      <c r="K722" s="13" t="n">
        <f aca="false">45.32</f>
        <v>45.32</v>
      </c>
      <c r="L722" s="13" t="n">
        <f aca="false">152.57</f>
        <v>152.57</v>
      </c>
      <c r="M722" s="12" t="n">
        <v>16</v>
      </c>
      <c r="N722" s="12" t="n">
        <v>36</v>
      </c>
      <c r="O722" s="12" t="n">
        <v>161.6</v>
      </c>
      <c r="P722" s="13" t="n">
        <f aca="false">24.31</f>
        <v>24.31</v>
      </c>
      <c r="Q722" s="13" t="n">
        <f aca="false">160.41</f>
        <v>160.41</v>
      </c>
      <c r="R722" s="12" t="n">
        <v>14.3</v>
      </c>
      <c r="S722" s="12" t="n">
        <v>23.9</v>
      </c>
      <c r="T722" s="12" t="n">
        <v>581</v>
      </c>
      <c r="U722" s="14" t="s">
        <v>29</v>
      </c>
      <c r="V722" s="15"/>
      <c r="W722" s="16" t="str">
        <f aca="false">A722</f>
        <v>SH</v>
      </c>
      <c r="X722" s="17" t="e">
        <f aca="false">ifs(C722="","",X722="",NOW(),TRUE(),X722)</f>
        <v>#VALUE!</v>
      </c>
      <c r="Y722" s="17" t="e">
        <f aca="false">ifs(COUNTA(K722:U725)&lt;44,"",Y722="",NOW(),TRUE(),Y722)</f>
        <v>#VALUE!</v>
      </c>
    </row>
    <row r="723" customFormat="false" ht="15.75" hidden="false" customHeight="false" outlineLevel="0" collapsed="false">
      <c r="A723" s="9"/>
      <c r="B723" s="10"/>
      <c r="C723" s="10"/>
      <c r="D723" s="10"/>
      <c r="E723" s="10"/>
      <c r="F723" s="10"/>
      <c r="G723" s="10"/>
      <c r="H723" s="10"/>
      <c r="I723" s="18" t="n">
        <v>2</v>
      </c>
      <c r="J723" s="18" t="s">
        <v>49</v>
      </c>
      <c r="K723" s="19" t="n">
        <f aca="false">43.97</f>
        <v>43.97</v>
      </c>
      <c r="L723" s="19" t="n">
        <f aca="false">136.03</f>
        <v>136.03</v>
      </c>
      <c r="M723" s="18" t="n">
        <v>14</v>
      </c>
      <c r="N723" s="18" t="n">
        <v>30</v>
      </c>
      <c r="O723" s="18" t="n">
        <v>123.6</v>
      </c>
      <c r="P723" s="19" t="n">
        <f aca="false">22.81</f>
        <v>22.81</v>
      </c>
      <c r="Q723" s="19" t="n">
        <f aca="false">146.02</f>
        <v>146.02</v>
      </c>
      <c r="R723" s="18" t="n">
        <v>11.4</v>
      </c>
      <c r="S723" s="18" t="n">
        <v>25.7</v>
      </c>
      <c r="T723" s="18" t="n">
        <v>431</v>
      </c>
      <c r="U723" s="20" t="s">
        <v>58</v>
      </c>
      <c r="V723" s="21"/>
      <c r="W723" s="16"/>
      <c r="X723" s="16"/>
      <c r="Y723" s="16"/>
    </row>
    <row r="724" customFormat="false" ht="15.75" hidden="false" customHeight="false" outlineLevel="0" collapsed="false">
      <c r="A724" s="9"/>
      <c r="B724" s="10"/>
      <c r="C724" s="10"/>
      <c r="D724" s="10"/>
      <c r="E724" s="10"/>
      <c r="F724" s="10"/>
      <c r="G724" s="10"/>
      <c r="H724" s="10"/>
      <c r="I724" s="22" t="n">
        <v>3</v>
      </c>
      <c r="J724" s="22" t="s">
        <v>46</v>
      </c>
      <c r="K724" s="23" t="n">
        <f aca="false">46.31</f>
        <v>46.31</v>
      </c>
      <c r="L724" s="23" t="n">
        <f aca="false">129.24</f>
        <v>129.24</v>
      </c>
      <c r="M724" s="22" t="n">
        <v>16</v>
      </c>
      <c r="N724" s="22" t="n">
        <v>28</v>
      </c>
      <c r="O724" s="22" t="n">
        <v>132.8</v>
      </c>
      <c r="P724" s="23" t="n">
        <f aca="false">25.48</f>
        <v>25.48</v>
      </c>
      <c r="Q724" s="23" t="n">
        <f aca="false">147.11</f>
        <v>147.11</v>
      </c>
      <c r="R724" s="22" t="n">
        <v>13.1</v>
      </c>
      <c r="S724" s="22" t="n">
        <v>26.6</v>
      </c>
      <c r="T724" s="22" t="n">
        <v>453</v>
      </c>
      <c r="U724" s="24" t="s">
        <v>58</v>
      </c>
      <c r="V724" s="15"/>
      <c r="W724" s="16"/>
      <c r="X724" s="16"/>
      <c r="Y724" s="16"/>
    </row>
    <row r="725" customFormat="false" ht="15.75" hidden="false" customHeight="false" outlineLevel="0" collapsed="false">
      <c r="A725" s="9"/>
      <c r="B725" s="10"/>
      <c r="C725" s="10"/>
      <c r="D725" s="10"/>
      <c r="E725" s="10"/>
      <c r="F725" s="10"/>
      <c r="G725" s="10"/>
      <c r="H725" s="10"/>
      <c r="I725" s="25" t="n">
        <v>4</v>
      </c>
      <c r="J725" s="25" t="s">
        <v>33</v>
      </c>
      <c r="K725" s="26" t="n">
        <f aca="false">41</f>
        <v>41</v>
      </c>
      <c r="L725" s="26" t="n">
        <f aca="false">102.58</f>
        <v>102.58</v>
      </c>
      <c r="M725" s="25" t="n">
        <v>14</v>
      </c>
      <c r="N725" s="25" t="n">
        <v>31</v>
      </c>
      <c r="O725" s="25" t="n">
        <v>86.4</v>
      </c>
      <c r="P725" s="26" t="n">
        <f aca="false">22.79</f>
        <v>22.79</v>
      </c>
      <c r="Q725" s="26" t="n">
        <f aca="false">133.08</f>
        <v>133.08</v>
      </c>
      <c r="R725" s="25" t="n">
        <v>7.8</v>
      </c>
      <c r="S725" s="25" t="n">
        <v>21.6</v>
      </c>
      <c r="T725" s="25" t="n">
        <v>356</v>
      </c>
      <c r="U725" s="27" t="s">
        <v>58</v>
      </c>
      <c r="V725" s="21"/>
      <c r="W725" s="16"/>
      <c r="X725" s="16"/>
      <c r="Y725" s="16"/>
    </row>
    <row r="726" customFormat="false" ht="15.75" hidden="false" customHeight="true" outlineLevel="0" collapsed="false">
      <c r="A726" s="9" t="s">
        <v>180</v>
      </c>
      <c r="B726" s="10" t="s">
        <v>26</v>
      </c>
      <c r="C726" s="11" t="s">
        <v>249</v>
      </c>
      <c r="D726" s="10" t="s">
        <v>28</v>
      </c>
      <c r="E726" s="10" t="s">
        <v>28</v>
      </c>
      <c r="F726" s="10"/>
      <c r="G726" s="10" t="n">
        <v>6</v>
      </c>
      <c r="H726" s="10" t="n">
        <v>1.2</v>
      </c>
      <c r="I726" s="12" t="n">
        <v>1</v>
      </c>
      <c r="J726" s="12" t="s">
        <v>33</v>
      </c>
      <c r="K726" s="13" t="n">
        <f aca="false">41.16</f>
        <v>41.16</v>
      </c>
      <c r="L726" s="13" t="n">
        <f aca="false">117.55</f>
        <v>117.55</v>
      </c>
      <c r="M726" s="12" t="n">
        <v>16</v>
      </c>
      <c r="N726" s="12" t="n">
        <v>28</v>
      </c>
      <c r="O726" s="12" t="n">
        <v>92.25</v>
      </c>
      <c r="P726" s="13" t="n">
        <f aca="false">25.61</f>
        <v>25.61</v>
      </c>
      <c r="Q726" s="13" t="n">
        <f aca="false">141.22</f>
        <v>141.22</v>
      </c>
      <c r="R726" s="12" t="n">
        <v>10.8</v>
      </c>
      <c r="S726" s="12" t="n">
        <v>21.6</v>
      </c>
      <c r="T726" s="12" t="n">
        <v>397</v>
      </c>
      <c r="U726" s="14" t="s">
        <v>29</v>
      </c>
      <c r="V726" s="15"/>
      <c r="W726" s="16" t="str">
        <f aca="false">A726</f>
        <v>SH</v>
      </c>
      <c r="X726" s="17" t="e">
        <f aca="false">ifs(C726="","",X726="",NOW(),TRUE(),X726)</f>
        <v>#VALUE!</v>
      </c>
      <c r="Y726" s="17" t="e">
        <f aca="false">ifs(COUNTA(K726:U729)&lt;44,"",Y726="",NOW(),TRUE(),Y726)</f>
        <v>#VALUE!</v>
      </c>
    </row>
    <row r="727" customFormat="false" ht="15.75" hidden="false" customHeight="false" outlineLevel="0" collapsed="false">
      <c r="A727" s="9"/>
      <c r="B727" s="10"/>
      <c r="C727" s="10"/>
      <c r="D727" s="10"/>
      <c r="E727" s="10"/>
      <c r="F727" s="10"/>
      <c r="G727" s="10"/>
      <c r="H727" s="10"/>
      <c r="I727" s="18" t="n">
        <v>2</v>
      </c>
      <c r="J727" s="18" t="s">
        <v>33</v>
      </c>
      <c r="K727" s="19" t="n">
        <f aca="false">37.05</f>
        <v>37.05</v>
      </c>
      <c r="L727" s="19" t="n">
        <f aca="false">100.24</f>
        <v>100.24</v>
      </c>
      <c r="M727" s="18" t="n">
        <v>12</v>
      </c>
      <c r="N727" s="18" t="n">
        <v>26</v>
      </c>
      <c r="O727" s="18" t="n">
        <v>63.3</v>
      </c>
      <c r="P727" s="19" t="n">
        <f aca="false">23.26</f>
        <v>23.26</v>
      </c>
      <c r="Q727" s="19" t="n">
        <f aca="false">130.31</f>
        <v>130.31</v>
      </c>
      <c r="R727" s="18" t="n">
        <v>8.85</v>
      </c>
      <c r="S727" s="18" t="n">
        <v>20.85</v>
      </c>
      <c r="T727" s="18" t="n">
        <v>260</v>
      </c>
      <c r="U727" s="20" t="s">
        <v>29</v>
      </c>
      <c r="V727" s="21"/>
      <c r="W727" s="16"/>
      <c r="X727" s="16"/>
      <c r="Y727" s="16"/>
    </row>
    <row r="728" customFormat="false" ht="15.75" hidden="false" customHeight="false" outlineLevel="0" collapsed="false">
      <c r="A728" s="9"/>
      <c r="B728" s="10"/>
      <c r="C728" s="10"/>
      <c r="D728" s="10"/>
      <c r="E728" s="10"/>
      <c r="F728" s="10"/>
      <c r="G728" s="10"/>
      <c r="H728" s="10"/>
      <c r="I728" s="22" t="n">
        <v>3</v>
      </c>
      <c r="J728" s="22" t="s">
        <v>33</v>
      </c>
      <c r="K728" s="23" t="n">
        <f aca="false">39.49</f>
        <v>39.49</v>
      </c>
      <c r="L728" s="23" t="n">
        <f aca="false">94.81</f>
        <v>94.81</v>
      </c>
      <c r="M728" s="22" t="n">
        <v>16</v>
      </c>
      <c r="N728" s="22" t="n">
        <v>22</v>
      </c>
      <c r="O728" s="22" t="n">
        <v>59.35</v>
      </c>
      <c r="P728" s="23" t="n">
        <f aca="false">24.03</f>
        <v>24.03</v>
      </c>
      <c r="Q728" s="23" t="n">
        <f aca="false">122.34</f>
        <v>122.34</v>
      </c>
      <c r="R728" s="22" t="n">
        <v>8.6</v>
      </c>
      <c r="S728" s="22" t="n">
        <v>19.95</v>
      </c>
      <c r="T728" s="22" t="n">
        <v>265</v>
      </c>
      <c r="U728" s="24" t="s">
        <v>29</v>
      </c>
      <c r="V728" s="15"/>
      <c r="W728" s="16"/>
      <c r="X728" s="16"/>
      <c r="Y728" s="16"/>
    </row>
    <row r="729" customFormat="false" ht="15.75" hidden="false" customHeight="false" outlineLevel="0" collapsed="false">
      <c r="A729" s="9"/>
      <c r="B729" s="10"/>
      <c r="C729" s="10"/>
      <c r="D729" s="10"/>
      <c r="E729" s="10"/>
      <c r="F729" s="10"/>
      <c r="G729" s="10"/>
      <c r="H729" s="10"/>
      <c r="I729" s="25" t="n">
        <v>4</v>
      </c>
      <c r="J729" s="25" t="s">
        <v>33</v>
      </c>
      <c r="K729" s="26" t="n">
        <f aca="false">38.38</f>
        <v>38.38</v>
      </c>
      <c r="L729" s="26" t="n">
        <f aca="false">93.71</f>
        <v>93.71</v>
      </c>
      <c r="M729" s="25" t="n">
        <v>16</v>
      </c>
      <c r="N729" s="25" t="n">
        <v>22</v>
      </c>
      <c r="O729" s="25" t="n">
        <v>59.8</v>
      </c>
      <c r="P729" s="26" t="n">
        <f aca="false">26.74</f>
        <v>26.74</v>
      </c>
      <c r="Q729" s="26" t="n">
        <f aca="false">117.22</f>
        <v>117.22</v>
      </c>
      <c r="R729" s="25" t="n">
        <v>8.25</v>
      </c>
      <c r="S729" s="25" t="n">
        <v>20.15</v>
      </c>
      <c r="T729" s="25" t="n">
        <v>262</v>
      </c>
      <c r="U729" s="27" t="s">
        <v>29</v>
      </c>
      <c r="V729" s="21"/>
      <c r="W729" s="16"/>
      <c r="X729" s="16"/>
      <c r="Y729" s="16"/>
    </row>
    <row r="730" customFormat="false" ht="15.75" hidden="false" customHeight="true" outlineLevel="0" collapsed="false">
      <c r="A730" s="9" t="s">
        <v>180</v>
      </c>
      <c r="B730" s="10" t="s">
        <v>26</v>
      </c>
      <c r="C730" s="11" t="s">
        <v>250</v>
      </c>
      <c r="D730" s="10" t="s">
        <v>28</v>
      </c>
      <c r="E730" s="10" t="s">
        <v>28</v>
      </c>
      <c r="F730" s="10"/>
      <c r="G730" s="10" t="n">
        <v>2</v>
      </c>
      <c r="H730" s="10" t="n">
        <v>0.5</v>
      </c>
      <c r="I730" s="12" t="n">
        <v>1</v>
      </c>
      <c r="J730" s="12"/>
      <c r="K730" s="13" t="n">
        <f aca="false">44.44</f>
        <v>44.44</v>
      </c>
      <c r="L730" s="13" t="n">
        <f aca="false">131.69</f>
        <v>131.69</v>
      </c>
      <c r="M730" s="12" t="n">
        <v>14</v>
      </c>
      <c r="N730" s="12" t="n">
        <v>29</v>
      </c>
      <c r="O730" s="12" t="n">
        <v>128.95</v>
      </c>
      <c r="P730" s="13" t="n">
        <f aca="false">26.26</f>
        <v>26.26</v>
      </c>
      <c r="Q730" s="13" t="n">
        <f aca="false">143.15</f>
        <v>143.15</v>
      </c>
      <c r="R730" s="12" t="n">
        <v>13.05</v>
      </c>
      <c r="S730" s="12" t="n">
        <v>29.75</v>
      </c>
      <c r="T730" s="12" t="n">
        <v>399</v>
      </c>
      <c r="U730" s="14" t="s">
        <v>58</v>
      </c>
      <c r="V730" s="15"/>
      <c r="W730" s="16" t="str">
        <f aca="false">A730</f>
        <v>SH</v>
      </c>
      <c r="X730" s="17" t="e">
        <f aca="false">ifs(C730="","",X730="",NOW(),TRUE(),X730)</f>
        <v>#VALUE!</v>
      </c>
      <c r="Y730" s="17" t="e">
        <f aca="false">ifs(COUNTA(K730:U733)&lt;44,"",Y730="",NOW(),TRUE(),Y730)</f>
        <v>#VALUE!</v>
      </c>
    </row>
    <row r="731" customFormat="false" ht="15.75" hidden="false" customHeight="false" outlineLevel="0" collapsed="false">
      <c r="A731" s="9"/>
      <c r="B731" s="10"/>
      <c r="C731" s="10"/>
      <c r="D731" s="10"/>
      <c r="E731" s="10"/>
      <c r="F731" s="10"/>
      <c r="G731" s="10"/>
      <c r="H731" s="10"/>
      <c r="I731" s="18" t="n">
        <v>2</v>
      </c>
      <c r="J731" s="18" t="s">
        <v>49</v>
      </c>
      <c r="K731" s="19" t="n">
        <f aca="false">43.36</f>
        <v>43.36</v>
      </c>
      <c r="L731" s="19" t="n">
        <f aca="false">116.48</f>
        <v>116.48</v>
      </c>
      <c r="M731" s="18" t="n">
        <v>14</v>
      </c>
      <c r="N731" s="18" t="n">
        <v>22</v>
      </c>
      <c r="O731" s="18" t="n">
        <v>107.65</v>
      </c>
      <c r="P731" s="19" t="n">
        <f aca="false">23.99</f>
        <v>23.99</v>
      </c>
      <c r="Q731" s="19" t="n">
        <f aca="false">137.02</f>
        <v>137.02</v>
      </c>
      <c r="R731" s="18" t="n">
        <v>10.6</v>
      </c>
      <c r="S731" s="18" t="n">
        <v>28.6</v>
      </c>
      <c r="T731" s="18" t="n">
        <v>341</v>
      </c>
      <c r="U731" s="20" t="s">
        <v>58</v>
      </c>
      <c r="V731" s="21"/>
      <c r="W731" s="16"/>
      <c r="X731" s="16"/>
      <c r="Y731" s="16"/>
    </row>
    <row r="732" customFormat="false" ht="15.75" hidden="false" customHeight="false" outlineLevel="0" collapsed="false">
      <c r="A732" s="9"/>
      <c r="B732" s="10"/>
      <c r="C732" s="10"/>
      <c r="D732" s="10"/>
      <c r="E732" s="10"/>
      <c r="F732" s="10"/>
      <c r="G732" s="10"/>
      <c r="H732" s="10"/>
      <c r="I732" s="22" t="n">
        <v>3</v>
      </c>
      <c r="J732" s="22" t="s">
        <v>49</v>
      </c>
      <c r="K732" s="23" t="n">
        <f aca="false">42.3</f>
        <v>42.3</v>
      </c>
      <c r="L732" s="23" t="n">
        <f aca="false">117.99</f>
        <v>117.99</v>
      </c>
      <c r="M732" s="22" t="n">
        <v>12</v>
      </c>
      <c r="N732" s="22" t="n">
        <v>27</v>
      </c>
      <c r="O732" s="22" t="n">
        <v>101.45</v>
      </c>
      <c r="P732" s="23" t="n">
        <f aca="false">25</f>
        <v>25</v>
      </c>
      <c r="Q732" s="23" t="n">
        <f aca="false">137.75</f>
        <v>137.75</v>
      </c>
      <c r="R732" s="22" t="n">
        <v>10.45</v>
      </c>
      <c r="S732" s="22" t="n">
        <v>27.2</v>
      </c>
      <c r="T732" s="22" t="n">
        <v>338</v>
      </c>
      <c r="U732" s="24" t="s">
        <v>58</v>
      </c>
      <c r="V732" s="15"/>
      <c r="W732" s="16"/>
      <c r="X732" s="16"/>
      <c r="Y732" s="16"/>
    </row>
    <row r="733" customFormat="false" ht="15.75" hidden="false" customHeight="false" outlineLevel="0" collapsed="false">
      <c r="A733" s="9"/>
      <c r="B733" s="10"/>
      <c r="C733" s="10"/>
      <c r="D733" s="10"/>
      <c r="E733" s="10"/>
      <c r="F733" s="10"/>
      <c r="G733" s="10"/>
      <c r="H733" s="10"/>
      <c r="I733" s="25" t="n">
        <v>4</v>
      </c>
      <c r="J733" s="25" t="s">
        <v>49</v>
      </c>
      <c r="K733" s="26" t="n">
        <f aca="false">43.72</f>
        <v>43.72</v>
      </c>
      <c r="L733" s="26" t="n">
        <f aca="false">96.79</f>
        <v>96.79</v>
      </c>
      <c r="M733" s="25" t="n">
        <v>12</v>
      </c>
      <c r="N733" s="25" t="n">
        <v>23</v>
      </c>
      <c r="O733" s="25" t="n">
        <v>91</v>
      </c>
      <c r="P733" s="26" t="n">
        <f aca="false">22.91</f>
        <v>22.91</v>
      </c>
      <c r="Q733" s="26" t="n">
        <f aca="false">118.25</f>
        <v>118.25</v>
      </c>
      <c r="R733" s="25" t="n">
        <v>7.85</v>
      </c>
      <c r="S733" s="25" t="n">
        <v>29.35</v>
      </c>
      <c r="T733" s="25" t="n">
        <v>284</v>
      </c>
      <c r="U733" s="27" t="s">
        <v>58</v>
      </c>
      <c r="V733" s="21"/>
      <c r="W733" s="16"/>
      <c r="X733" s="16"/>
      <c r="Y733" s="16"/>
    </row>
    <row r="734" customFormat="false" ht="15.75" hidden="false" customHeight="true" outlineLevel="0" collapsed="false">
      <c r="A734" s="9" t="s">
        <v>180</v>
      </c>
      <c r="B734" s="10" t="s">
        <v>26</v>
      </c>
      <c r="C734" s="11" t="s">
        <v>251</v>
      </c>
      <c r="D734" s="10" t="s">
        <v>28</v>
      </c>
      <c r="E734" s="10" t="s">
        <v>28</v>
      </c>
      <c r="F734" s="10"/>
      <c r="G734" s="10" t="n">
        <v>17</v>
      </c>
      <c r="H734" s="10" t="n">
        <v>3.8</v>
      </c>
      <c r="I734" s="12" t="n">
        <v>1</v>
      </c>
      <c r="J734" s="12"/>
      <c r="K734" s="13" t="n">
        <f aca="false">43.03</f>
        <v>43.03</v>
      </c>
      <c r="L734" s="13" t="n">
        <f aca="false">149.95</f>
        <v>149.95</v>
      </c>
      <c r="M734" s="12" t="n">
        <v>14</v>
      </c>
      <c r="N734" s="12" t="n">
        <v>39</v>
      </c>
      <c r="O734" s="12" t="n">
        <v>151.4</v>
      </c>
      <c r="P734" s="13" t="n">
        <f aca="false">26.18</f>
        <v>26.18</v>
      </c>
      <c r="Q734" s="13" t="n">
        <f aca="false">169.32</f>
        <v>169.32</v>
      </c>
      <c r="R734" s="12" t="n">
        <v>21.65</v>
      </c>
      <c r="S734" s="12" t="n">
        <v>24.35</v>
      </c>
      <c r="T734" s="12" t="n">
        <v>527</v>
      </c>
      <c r="U734" s="14" t="s">
        <v>29</v>
      </c>
      <c r="V734" s="15"/>
      <c r="W734" s="16" t="str">
        <f aca="false">A734</f>
        <v>SH</v>
      </c>
      <c r="X734" s="17" t="e">
        <f aca="false">ifs(C734="","",X734="",NOW(),TRUE(),X734)</f>
        <v>#VALUE!</v>
      </c>
      <c r="Y734" s="17" t="e">
        <f aca="false">ifs(COUNTA(K734:U737)&lt;44,"",Y734="",NOW(),TRUE(),Y734)</f>
        <v>#VALUE!</v>
      </c>
    </row>
    <row r="735" customFormat="false" ht="15.75" hidden="false" customHeight="false" outlineLevel="0" collapsed="false">
      <c r="A735" s="9"/>
      <c r="B735" s="10"/>
      <c r="C735" s="10"/>
      <c r="D735" s="10"/>
      <c r="E735" s="10"/>
      <c r="F735" s="10"/>
      <c r="G735" s="10"/>
      <c r="H735" s="10"/>
      <c r="I735" s="18" t="n">
        <v>2</v>
      </c>
      <c r="J735" s="18" t="s">
        <v>46</v>
      </c>
      <c r="K735" s="19" t="n">
        <f aca="false">43.83</f>
        <v>43.83</v>
      </c>
      <c r="L735" s="19" t="n">
        <f aca="false">138.08</f>
        <v>138.08</v>
      </c>
      <c r="M735" s="18" t="n">
        <v>16</v>
      </c>
      <c r="N735" s="18" t="n">
        <v>33</v>
      </c>
      <c r="O735" s="18" t="n">
        <v>144.95</v>
      </c>
      <c r="P735" s="19" t="n">
        <f aca="false">25.92</f>
        <v>25.92</v>
      </c>
      <c r="Q735" s="19" t="n">
        <f aca="false">170.96</f>
        <v>170.96</v>
      </c>
      <c r="R735" s="18" t="n">
        <v>19.5</v>
      </c>
      <c r="S735" s="18" t="n">
        <v>25.85</v>
      </c>
      <c r="T735" s="18" t="n">
        <v>487</v>
      </c>
      <c r="U735" s="20" t="s">
        <v>29</v>
      </c>
      <c r="V735" s="21"/>
      <c r="W735" s="16"/>
      <c r="X735" s="16"/>
      <c r="Y735" s="16"/>
    </row>
    <row r="736" customFormat="false" ht="15.75" hidden="false" customHeight="false" outlineLevel="0" collapsed="false">
      <c r="A736" s="9"/>
      <c r="B736" s="10"/>
      <c r="C736" s="10"/>
      <c r="D736" s="10"/>
      <c r="E736" s="10"/>
      <c r="F736" s="10"/>
      <c r="G736" s="10"/>
      <c r="H736" s="10"/>
      <c r="I736" s="22" t="n">
        <v>3</v>
      </c>
      <c r="J736" s="22" t="s">
        <v>46</v>
      </c>
      <c r="K736" s="23" t="n">
        <f aca="false">43.92</f>
        <v>43.92</v>
      </c>
      <c r="L736" s="23" t="n">
        <f aca="false">122.32</f>
        <v>122.32</v>
      </c>
      <c r="M736" s="22" t="n">
        <v>16</v>
      </c>
      <c r="N736" s="22" t="n">
        <v>27</v>
      </c>
      <c r="O736" s="22" t="n">
        <v>126.55</v>
      </c>
      <c r="P736" s="23" t="n">
        <f aca="false">26.76</f>
        <v>26.76</v>
      </c>
      <c r="Q736" s="23" t="n">
        <f aca="false">154.54</f>
        <v>154.54</v>
      </c>
      <c r="R736" s="22" t="n">
        <v>16.05</v>
      </c>
      <c r="S736" s="22" t="n">
        <v>25.05</v>
      </c>
      <c r="T736" s="22" t="n">
        <v>448</v>
      </c>
      <c r="U736" s="24" t="s">
        <v>29</v>
      </c>
      <c r="V736" s="15"/>
      <c r="W736" s="16"/>
      <c r="X736" s="16"/>
      <c r="Y736" s="16"/>
    </row>
    <row r="737" customFormat="false" ht="15.75" hidden="false" customHeight="false" outlineLevel="0" collapsed="false">
      <c r="A737" s="9"/>
      <c r="B737" s="10"/>
      <c r="C737" s="10"/>
      <c r="D737" s="10"/>
      <c r="E737" s="10"/>
      <c r="F737" s="10"/>
      <c r="G737" s="10"/>
      <c r="H737" s="10"/>
      <c r="I737" s="25" t="n">
        <v>4</v>
      </c>
      <c r="J737" s="25" t="s">
        <v>47</v>
      </c>
      <c r="K737" s="26" t="n">
        <f aca="false">43.28</f>
        <v>43.28</v>
      </c>
      <c r="L737" s="26" t="n">
        <f aca="false">129.44</f>
        <v>129.44</v>
      </c>
      <c r="M737" s="25" t="n">
        <v>16</v>
      </c>
      <c r="N737" s="25" t="n">
        <v>34</v>
      </c>
      <c r="O737" s="25" t="n">
        <v>135.65</v>
      </c>
      <c r="P737" s="26" t="n">
        <f aca="false">25.36</f>
        <v>25.36</v>
      </c>
      <c r="Q737" s="26" t="n">
        <f aca="false">152.54</f>
        <v>152.54</v>
      </c>
      <c r="R737" s="25" t="n">
        <v>19.8</v>
      </c>
      <c r="S737" s="25" t="n">
        <v>25.55</v>
      </c>
      <c r="T737" s="25" t="n">
        <v>470</v>
      </c>
      <c r="U737" s="27" t="s">
        <v>29</v>
      </c>
      <c r="V737" s="21"/>
      <c r="W737" s="16"/>
      <c r="X737" s="16"/>
      <c r="Y737" s="16"/>
    </row>
    <row r="738" customFormat="false" ht="15.75" hidden="false" customHeight="true" outlineLevel="0" collapsed="false">
      <c r="A738" s="9" t="s">
        <v>180</v>
      </c>
      <c r="B738" s="10" t="s">
        <v>26</v>
      </c>
      <c r="C738" s="11" t="s">
        <v>252</v>
      </c>
      <c r="D738" s="10" t="s">
        <v>28</v>
      </c>
      <c r="E738" s="10" t="s">
        <v>28</v>
      </c>
      <c r="F738" s="10"/>
      <c r="G738" s="10" t="n">
        <v>0</v>
      </c>
      <c r="H738" s="10"/>
      <c r="I738" s="12" t="n">
        <v>1</v>
      </c>
      <c r="J738" s="12"/>
      <c r="K738" s="13" t="n">
        <f aca="false">42.35</f>
        <v>42.35</v>
      </c>
      <c r="L738" s="13" t="n">
        <f aca="false">151.07</f>
        <v>151.07</v>
      </c>
      <c r="M738" s="12" t="n">
        <v>14</v>
      </c>
      <c r="N738" s="12" t="n">
        <v>34</v>
      </c>
      <c r="O738" s="12" t="n">
        <v>151</v>
      </c>
      <c r="P738" s="13" t="n">
        <f aca="false">27.29</f>
        <v>27.29</v>
      </c>
      <c r="Q738" s="13" t="n">
        <f aca="false">162.14</f>
        <v>162.14</v>
      </c>
      <c r="R738" s="12" t="n">
        <v>25.05</v>
      </c>
      <c r="S738" s="12" t="n">
        <v>25.6</v>
      </c>
      <c r="T738" s="12" t="n">
        <v>485</v>
      </c>
      <c r="U738" s="14" t="s">
        <v>29</v>
      </c>
      <c r="V738" s="15"/>
      <c r="W738" s="16" t="str">
        <f aca="false">A738</f>
        <v>SH</v>
      </c>
      <c r="X738" s="17" t="e">
        <f aca="false">ifs(C738="","",X738="",NOW(),TRUE(),X738)</f>
        <v>#VALUE!</v>
      </c>
      <c r="Y738" s="17" t="e">
        <f aca="false">ifs(COUNTA(K738:U741)&lt;44,"",Y738="",NOW(),TRUE(),Y738)</f>
        <v>#VALUE!</v>
      </c>
    </row>
    <row r="739" customFormat="false" ht="15.75" hidden="false" customHeight="false" outlineLevel="0" collapsed="false">
      <c r="A739" s="9"/>
      <c r="B739" s="10"/>
      <c r="C739" s="10"/>
      <c r="D739" s="10"/>
      <c r="E739" s="10"/>
      <c r="F739" s="10"/>
      <c r="G739" s="10"/>
      <c r="H739" s="10"/>
      <c r="I739" s="18" t="n">
        <v>2</v>
      </c>
      <c r="J739" s="18" t="s">
        <v>46</v>
      </c>
      <c r="K739" s="19" t="n">
        <f aca="false">40.92</f>
        <v>40.92</v>
      </c>
      <c r="L739" s="19" t="n">
        <f aca="false">101.74</f>
        <v>101.74</v>
      </c>
      <c r="M739" s="18" t="n">
        <v>14</v>
      </c>
      <c r="N739" s="18" t="n">
        <v>24</v>
      </c>
      <c r="O739" s="18" t="n">
        <v>92.95</v>
      </c>
      <c r="P739" s="19" t="n">
        <f aca="false">25.75</f>
        <v>25.75</v>
      </c>
      <c r="Q739" s="19" t="n">
        <f aca="false">129.56</f>
        <v>129.56</v>
      </c>
      <c r="R739" s="18" t="n">
        <v>17.45</v>
      </c>
      <c r="S739" s="18" t="n">
        <v>25.8</v>
      </c>
      <c r="T739" s="18" t="n">
        <v>296</v>
      </c>
      <c r="U739" s="20" t="s">
        <v>29</v>
      </c>
      <c r="V739" s="21"/>
      <c r="W739" s="16"/>
      <c r="X739" s="16"/>
      <c r="Y739" s="16"/>
    </row>
    <row r="740" customFormat="false" ht="15.75" hidden="false" customHeight="false" outlineLevel="0" collapsed="false">
      <c r="A740" s="9"/>
      <c r="B740" s="10"/>
      <c r="C740" s="10"/>
      <c r="D740" s="10"/>
      <c r="E740" s="10"/>
      <c r="F740" s="10"/>
      <c r="G740" s="10"/>
      <c r="H740" s="10"/>
      <c r="I740" s="22" t="n">
        <v>3</v>
      </c>
      <c r="J740" s="22" t="s">
        <v>49</v>
      </c>
      <c r="K740" s="23" t="n">
        <f aca="false">40.23</f>
        <v>40.23</v>
      </c>
      <c r="L740" s="23" t="n">
        <f aca="false">115.53</f>
        <v>115.53</v>
      </c>
      <c r="M740" s="22" t="n">
        <v>14</v>
      </c>
      <c r="N740" s="22" t="n">
        <v>27</v>
      </c>
      <c r="O740" s="22" t="n">
        <v>101.4</v>
      </c>
      <c r="P740" s="23" t="n">
        <f aca="false">26.15</f>
        <v>26.15</v>
      </c>
      <c r="Q740" s="23" t="n">
        <f aca="false">132.99</f>
        <v>132.99</v>
      </c>
      <c r="R740" s="22" t="n">
        <v>17.95</v>
      </c>
      <c r="S740" s="22" t="n">
        <v>23.25</v>
      </c>
      <c r="T740" s="22" t="n">
        <v>352</v>
      </c>
      <c r="U740" s="24" t="s">
        <v>29</v>
      </c>
      <c r="V740" s="15"/>
      <c r="W740" s="16"/>
      <c r="X740" s="16"/>
      <c r="Y740" s="16"/>
    </row>
    <row r="741" customFormat="false" ht="15.75" hidden="false" customHeight="false" outlineLevel="0" collapsed="false">
      <c r="A741" s="9"/>
      <c r="B741" s="10"/>
      <c r="C741" s="10"/>
      <c r="D741" s="10"/>
      <c r="E741" s="10"/>
      <c r="F741" s="10"/>
      <c r="G741" s="10"/>
      <c r="H741" s="10"/>
      <c r="I741" s="25" t="n">
        <v>4</v>
      </c>
      <c r="J741" s="25"/>
      <c r="K741" s="26" t="n">
        <f aca="false">36.25</f>
        <v>36.25</v>
      </c>
      <c r="L741" s="26" t="n">
        <f aca="false">92.71</f>
        <v>92.71</v>
      </c>
      <c r="M741" s="25" t="n">
        <v>12</v>
      </c>
      <c r="N741" s="25" t="n">
        <v>20</v>
      </c>
      <c r="O741" s="25" t="n">
        <v>66.3</v>
      </c>
      <c r="P741" s="26" t="n">
        <f aca="false">24.61</f>
        <v>24.61</v>
      </c>
      <c r="Q741" s="26" t="n">
        <f aca="false">115.12</f>
        <v>115.12</v>
      </c>
      <c r="R741" s="25" t="n">
        <v>12.75</v>
      </c>
      <c r="S741" s="25" t="n">
        <v>22.75</v>
      </c>
      <c r="T741" s="25" t="n">
        <v>241</v>
      </c>
      <c r="U741" s="27" t="s">
        <v>29</v>
      </c>
      <c r="V741" s="21"/>
      <c r="W741" s="16"/>
      <c r="X741" s="16"/>
      <c r="Y741" s="16"/>
    </row>
    <row r="742" customFormat="false" ht="15.75" hidden="false" customHeight="true" outlineLevel="0" collapsed="false">
      <c r="A742" s="9" t="s">
        <v>180</v>
      </c>
      <c r="B742" s="10" t="s">
        <v>176</v>
      </c>
      <c r="C742" s="11" t="s">
        <v>253</v>
      </c>
      <c r="D742" s="10" t="s">
        <v>28</v>
      </c>
      <c r="E742" s="10" t="s">
        <v>28</v>
      </c>
      <c r="F742" s="10"/>
      <c r="G742" s="10" t="n">
        <v>7</v>
      </c>
      <c r="H742" s="10" t="n">
        <v>0.91</v>
      </c>
      <c r="I742" s="12" t="n">
        <v>1</v>
      </c>
      <c r="J742" s="12" t="s">
        <v>49</v>
      </c>
      <c r="K742" s="13" t="n">
        <f aca="false">46.39</f>
        <v>46.39</v>
      </c>
      <c r="L742" s="13" t="n">
        <f aca="false">155.98</f>
        <v>155.98</v>
      </c>
      <c r="M742" s="12" t="n">
        <v>16</v>
      </c>
      <c r="N742" s="12" t="n">
        <v>41</v>
      </c>
      <c r="O742" s="12" t="n">
        <v>158.22</v>
      </c>
      <c r="P742" s="13" t="n">
        <f aca="false">31.27</f>
        <v>31.27</v>
      </c>
      <c r="Q742" s="13" t="n">
        <f aca="false">177.31</f>
        <v>177.31</v>
      </c>
      <c r="R742" s="12" t="n">
        <v>28.22</v>
      </c>
      <c r="S742" s="12" t="n">
        <v>18.47</v>
      </c>
      <c r="T742" s="12" t="n">
        <v>649</v>
      </c>
      <c r="U742" s="14" t="s">
        <v>29</v>
      </c>
      <c r="V742" s="15"/>
      <c r="W742" s="16" t="str">
        <f aca="false">A742</f>
        <v>SH</v>
      </c>
      <c r="X742" s="17" t="e">
        <f aca="false">ifs(C742="","",X742="",NOW(),TRUE(),X742)</f>
        <v>#VALUE!</v>
      </c>
      <c r="Y742" s="17" t="e">
        <f aca="false">ifs(COUNTA(K742:U745)&lt;44,"",Y742="",NOW(),TRUE(),Y742)</f>
        <v>#VALUE!</v>
      </c>
    </row>
    <row r="743" customFormat="false" ht="15.75" hidden="false" customHeight="false" outlineLevel="0" collapsed="false">
      <c r="A743" s="9"/>
      <c r="B743" s="10"/>
      <c r="C743" s="10"/>
      <c r="D743" s="10"/>
      <c r="E743" s="10"/>
      <c r="F743" s="10"/>
      <c r="G743" s="10"/>
      <c r="H743" s="10"/>
      <c r="I743" s="18" t="n">
        <v>2</v>
      </c>
      <c r="J743" s="18" t="s">
        <v>46</v>
      </c>
      <c r="K743" s="19" t="n">
        <f aca="false">46.14</f>
        <v>46.14</v>
      </c>
      <c r="L743" s="19" t="n">
        <f aca="false">139.75</f>
        <v>139.75</v>
      </c>
      <c r="M743" s="18" t="n">
        <v>16</v>
      </c>
      <c r="N743" s="18" t="n">
        <v>34</v>
      </c>
      <c r="O743" s="18" t="n">
        <v>134.71</v>
      </c>
      <c r="P743" s="19" t="n">
        <f aca="false">31.19</f>
        <v>31.19</v>
      </c>
      <c r="Q743" s="19" t="n">
        <f aca="false">159.42</f>
        <v>159.42</v>
      </c>
      <c r="R743" s="18" t="n">
        <v>26.35</v>
      </c>
      <c r="S743" s="18" t="n">
        <v>20.4</v>
      </c>
      <c r="T743" s="18" t="n">
        <v>547</v>
      </c>
      <c r="U743" s="20" t="s">
        <v>29</v>
      </c>
      <c r="V743" s="21"/>
      <c r="W743" s="16"/>
      <c r="X743" s="16"/>
      <c r="Y743" s="16"/>
    </row>
    <row r="744" customFormat="false" ht="15.75" hidden="false" customHeight="false" outlineLevel="0" collapsed="false">
      <c r="A744" s="9"/>
      <c r="B744" s="10"/>
      <c r="C744" s="10"/>
      <c r="D744" s="10"/>
      <c r="E744" s="10"/>
      <c r="F744" s="10"/>
      <c r="G744" s="10"/>
      <c r="H744" s="10"/>
      <c r="I744" s="22" t="n">
        <v>3</v>
      </c>
      <c r="J744" s="22" t="s">
        <v>46</v>
      </c>
      <c r="K744" s="23" t="n">
        <f aca="false">43.63</f>
        <v>43.63</v>
      </c>
      <c r="L744" s="23" t="n">
        <f aca="false">112.25</f>
        <v>112.25</v>
      </c>
      <c r="M744" s="22" t="n">
        <v>14</v>
      </c>
      <c r="N744" s="22" t="n">
        <v>28</v>
      </c>
      <c r="O744" s="22" t="n">
        <v>97.32</v>
      </c>
      <c r="P744" s="23" t="n">
        <f aca="false">29.97</f>
        <v>29.97</v>
      </c>
      <c r="Q744" s="23" t="n">
        <f aca="false">133.97</f>
        <v>133.97</v>
      </c>
      <c r="R744" s="22" t="n">
        <v>18.1</v>
      </c>
      <c r="S744" s="22" t="n">
        <v>20.55</v>
      </c>
      <c r="T744" s="22" t="n">
        <v>379</v>
      </c>
      <c r="U744" s="24" t="s">
        <v>29</v>
      </c>
      <c r="V744" s="15"/>
      <c r="W744" s="16"/>
      <c r="X744" s="16"/>
      <c r="Y744" s="16"/>
    </row>
    <row r="745" customFormat="false" ht="15.75" hidden="false" customHeight="false" outlineLevel="0" collapsed="false">
      <c r="A745" s="9"/>
      <c r="B745" s="10"/>
      <c r="C745" s="10"/>
      <c r="D745" s="10"/>
      <c r="E745" s="10"/>
      <c r="F745" s="10"/>
      <c r="G745" s="10"/>
      <c r="H745" s="10"/>
      <c r="I745" s="25" t="n">
        <v>4</v>
      </c>
      <c r="J745" s="25" t="s">
        <v>49</v>
      </c>
      <c r="K745" s="26" t="n">
        <f aca="false">41.44</f>
        <v>41.44</v>
      </c>
      <c r="L745" s="26" t="n">
        <f aca="false">103.38</f>
        <v>103.38</v>
      </c>
      <c r="M745" s="25" t="n">
        <v>14</v>
      </c>
      <c r="N745" s="25" t="n">
        <v>25</v>
      </c>
      <c r="O745" s="25" t="n">
        <v>88.5</v>
      </c>
      <c r="P745" s="26" t="n">
        <f aca="false">30.21</f>
        <v>30.21</v>
      </c>
      <c r="Q745" s="26" t="n">
        <f aca="false">126.19</f>
        <v>126.19</v>
      </c>
      <c r="R745" s="25" t="n">
        <v>16.71</v>
      </c>
      <c r="S745" s="25" t="n">
        <v>21.29</v>
      </c>
      <c r="T745" s="25" t="n">
        <v>341</v>
      </c>
      <c r="U745" s="27" t="s">
        <v>29</v>
      </c>
      <c r="V745" s="21"/>
      <c r="W745" s="16"/>
      <c r="X745" s="16"/>
      <c r="Y745" s="16"/>
    </row>
    <row r="746" customFormat="false" ht="15.75" hidden="false" customHeight="true" outlineLevel="0" collapsed="false">
      <c r="A746" s="9" t="s">
        <v>180</v>
      </c>
      <c r="B746" s="10" t="s">
        <v>176</v>
      </c>
      <c r="C746" s="11" t="s">
        <v>254</v>
      </c>
      <c r="D746" s="10" t="s">
        <v>28</v>
      </c>
      <c r="E746" s="10" t="s">
        <v>28</v>
      </c>
      <c r="F746" s="10"/>
      <c r="G746" s="10" t="n">
        <v>20</v>
      </c>
      <c r="H746" s="10" t="n">
        <v>5.02</v>
      </c>
      <c r="I746" s="12" t="n">
        <v>1</v>
      </c>
      <c r="J746" s="12" t="s">
        <v>49</v>
      </c>
      <c r="K746" s="13" t="n">
        <f aca="false">45.93</f>
        <v>45.93</v>
      </c>
      <c r="L746" s="13" t="n">
        <f aca="false">167.85</f>
        <v>167.85</v>
      </c>
      <c r="M746" s="12" t="n">
        <v>14</v>
      </c>
      <c r="N746" s="12" t="n">
        <v>41</v>
      </c>
      <c r="O746" s="12" t="n">
        <v>194.79</v>
      </c>
      <c r="P746" s="13" t="n">
        <f aca="false">27.41</f>
        <v>27.41</v>
      </c>
      <c r="Q746" s="13" t="n">
        <f aca="false">177.68</f>
        <v>177.68</v>
      </c>
      <c r="R746" s="12" t="n">
        <v>25.68</v>
      </c>
      <c r="S746" s="12" t="n">
        <v>28.31</v>
      </c>
      <c r="T746" s="12" t="n">
        <v>569</v>
      </c>
      <c r="U746" s="14" t="s">
        <v>58</v>
      </c>
      <c r="V746" s="15"/>
      <c r="W746" s="16" t="str">
        <f aca="false">A746</f>
        <v>SH</v>
      </c>
      <c r="X746" s="17" t="e">
        <f aca="false">ifs(C746="","",X746="",NOW(),TRUE(),X746)</f>
        <v>#VALUE!</v>
      </c>
      <c r="Y746" s="17" t="e">
        <f aca="false">ifs(COUNTA(K746:U749)&lt;44,"",Y746="",NOW(),TRUE(),Y746)</f>
        <v>#VALUE!</v>
      </c>
    </row>
    <row r="747" customFormat="false" ht="15.75" hidden="false" customHeight="false" outlineLevel="0" collapsed="false">
      <c r="A747" s="9"/>
      <c r="B747" s="10"/>
      <c r="C747" s="10"/>
      <c r="D747" s="10"/>
      <c r="E747" s="10"/>
      <c r="F747" s="10"/>
      <c r="G747" s="10"/>
      <c r="H747" s="10"/>
      <c r="I747" s="18" t="n">
        <v>2</v>
      </c>
      <c r="J747" s="18" t="s">
        <v>49</v>
      </c>
      <c r="K747" s="19" t="n">
        <f aca="false">42.12</f>
        <v>42.12</v>
      </c>
      <c r="L747" s="19" t="n">
        <f aca="false">111.12</f>
        <v>111.12</v>
      </c>
      <c r="M747" s="18" t="n">
        <v>14</v>
      </c>
      <c r="N747" s="18" t="n">
        <v>26</v>
      </c>
      <c r="O747" s="18" t="n">
        <v>104.97</v>
      </c>
      <c r="P747" s="19" t="n">
        <f aca="false">25.4</f>
        <v>25.4</v>
      </c>
      <c r="Q747" s="19" t="n">
        <f aca="false">139.29</f>
        <v>139.29</v>
      </c>
      <c r="R747" s="18" t="n">
        <v>12.69</v>
      </c>
      <c r="S747" s="18" t="n">
        <v>25.1</v>
      </c>
      <c r="T747" s="18" t="n">
        <v>351</v>
      </c>
      <c r="U747" s="20" t="s">
        <v>58</v>
      </c>
      <c r="V747" s="21"/>
      <c r="W747" s="16"/>
      <c r="X747" s="16"/>
      <c r="Y747" s="16"/>
    </row>
    <row r="748" customFormat="false" ht="15.75" hidden="false" customHeight="false" outlineLevel="0" collapsed="false">
      <c r="A748" s="9"/>
      <c r="B748" s="10"/>
      <c r="C748" s="10"/>
      <c r="D748" s="10"/>
      <c r="E748" s="10"/>
      <c r="F748" s="10"/>
      <c r="G748" s="10"/>
      <c r="H748" s="10"/>
      <c r="I748" s="22" t="n">
        <v>3</v>
      </c>
      <c r="J748" s="22" t="s">
        <v>49</v>
      </c>
      <c r="K748" s="23" t="n">
        <f aca="false">42.86</f>
        <v>42.86</v>
      </c>
      <c r="L748" s="23" t="n">
        <f aca="false">100.54</f>
        <v>100.54</v>
      </c>
      <c r="M748" s="22" t="n">
        <v>16</v>
      </c>
      <c r="N748" s="22" t="n">
        <v>23</v>
      </c>
      <c r="O748" s="22" t="n">
        <v>104.34</v>
      </c>
      <c r="P748" s="23" t="n">
        <f aca="false">25.77</f>
        <v>25.77</v>
      </c>
      <c r="Q748" s="23" t="n">
        <f aca="false">115.07</f>
        <v>115.07</v>
      </c>
      <c r="R748" s="22" t="n">
        <v>11.27</v>
      </c>
      <c r="S748" s="22" t="n">
        <v>24.69</v>
      </c>
      <c r="T748" s="22" t="n">
        <v>364</v>
      </c>
      <c r="U748" s="24" t="s">
        <v>58</v>
      </c>
      <c r="V748" s="15"/>
      <c r="W748" s="16"/>
      <c r="X748" s="16"/>
      <c r="Y748" s="16"/>
    </row>
    <row r="749" customFormat="false" ht="15.75" hidden="false" customHeight="false" outlineLevel="0" collapsed="false">
      <c r="A749" s="9"/>
      <c r="B749" s="10"/>
      <c r="C749" s="10"/>
      <c r="D749" s="10"/>
      <c r="E749" s="10"/>
      <c r="F749" s="10"/>
      <c r="G749" s="10"/>
      <c r="H749" s="10"/>
      <c r="I749" s="25" t="n">
        <v>4</v>
      </c>
      <c r="J749" s="25" t="s">
        <v>49</v>
      </c>
      <c r="K749" s="26" t="n">
        <f aca="false">42.73</f>
        <v>42.73</v>
      </c>
      <c r="L749" s="26" t="n">
        <f aca="false">88.34</f>
        <v>88.34</v>
      </c>
      <c r="M749" s="25" t="n">
        <v>16</v>
      </c>
      <c r="N749" s="25" t="n">
        <v>24</v>
      </c>
      <c r="O749" s="25" t="n">
        <v>96.38</v>
      </c>
      <c r="P749" s="26" t="n">
        <f aca="false">23.57</f>
        <v>23.57</v>
      </c>
      <c r="Q749" s="26" t="n">
        <f aca="false">111.83</f>
        <v>111.83</v>
      </c>
      <c r="R749" s="25" t="n">
        <v>11.02</v>
      </c>
      <c r="S749" s="25" t="n">
        <v>25</v>
      </c>
      <c r="T749" s="25" t="n">
        <v>329</v>
      </c>
      <c r="U749" s="27" t="s">
        <v>58</v>
      </c>
      <c r="V749" s="21"/>
      <c r="W749" s="16"/>
      <c r="X749" s="16"/>
      <c r="Y749" s="16"/>
    </row>
    <row r="750" customFormat="false" ht="15.75" hidden="false" customHeight="true" outlineLevel="0" collapsed="false">
      <c r="A750" s="9" t="s">
        <v>25</v>
      </c>
      <c r="B750" s="10" t="s">
        <v>26</v>
      </c>
      <c r="C750" s="11" t="s">
        <v>255</v>
      </c>
      <c r="D750" s="10" t="s">
        <v>28</v>
      </c>
      <c r="E750" s="10" t="s">
        <v>28</v>
      </c>
      <c r="F750" s="10"/>
      <c r="G750" s="10" t="n">
        <v>12</v>
      </c>
      <c r="H750" s="10" t="n">
        <v>3.45</v>
      </c>
      <c r="I750" s="12" t="n">
        <v>1</v>
      </c>
      <c r="J750" s="12"/>
      <c r="K750" s="13" t="n">
        <f aca="false">42.95</f>
        <v>42.95</v>
      </c>
      <c r="L750" s="13" t="n">
        <f aca="false">152.59</f>
        <v>152.59</v>
      </c>
      <c r="M750" s="12" t="n">
        <v>14</v>
      </c>
      <c r="N750" s="12" t="n">
        <v>36</v>
      </c>
      <c r="O750" s="12" t="n">
        <v>150</v>
      </c>
      <c r="P750" s="13" t="n">
        <f aca="false">25.13</f>
        <v>25.13</v>
      </c>
      <c r="Q750" s="13" t="n">
        <f aca="false">162.27</f>
        <v>162.27</v>
      </c>
      <c r="R750" s="12" t="n">
        <v>17.35</v>
      </c>
      <c r="S750" s="12" t="n">
        <v>29.2</v>
      </c>
      <c r="T750" s="12" t="n">
        <v>473</v>
      </c>
      <c r="U750" s="14" t="s">
        <v>29</v>
      </c>
      <c r="V750" s="15"/>
      <c r="W750" s="16" t="str">
        <f aca="false">A750</f>
        <v>KL</v>
      </c>
      <c r="X750" s="17" t="e">
        <f aca="false">ifs(C750="","",X750="",NOW(),TRUE(),X750)</f>
        <v>#VALUE!</v>
      </c>
      <c r="Y750" s="17" t="e">
        <f aca="false">ifs(COUNTA(K750:U753)&lt;44,"",Y750="",NOW(),TRUE(),Y750)</f>
        <v>#VALUE!</v>
      </c>
    </row>
    <row r="751" customFormat="false" ht="15.75" hidden="false" customHeight="false" outlineLevel="0" collapsed="false">
      <c r="A751" s="9"/>
      <c r="B751" s="10"/>
      <c r="C751" s="10"/>
      <c r="D751" s="10"/>
      <c r="E751" s="10"/>
      <c r="F751" s="10"/>
      <c r="G751" s="10"/>
      <c r="H751" s="10"/>
      <c r="I751" s="18" t="n">
        <v>2</v>
      </c>
      <c r="J751" s="18"/>
      <c r="K751" s="19" t="n">
        <f aca="false">42.78</f>
        <v>42.78</v>
      </c>
      <c r="L751" s="19" t="n">
        <f aca="false">155.14</f>
        <v>155.14</v>
      </c>
      <c r="M751" s="18" t="n">
        <v>14</v>
      </c>
      <c r="N751" s="18" t="n">
        <v>34</v>
      </c>
      <c r="O751" s="18" t="n">
        <v>150.9</v>
      </c>
      <c r="P751" s="19" t="n">
        <f aca="false">26.15</f>
        <v>26.15</v>
      </c>
      <c r="Q751" s="19" t="n">
        <f aca="false">158.47</f>
        <v>158.47</v>
      </c>
      <c r="R751" s="18" t="n">
        <v>18.65</v>
      </c>
      <c r="S751" s="18" t="n">
        <v>30.5</v>
      </c>
      <c r="T751" s="18" t="n">
        <v>447</v>
      </c>
      <c r="U751" s="20" t="s">
        <v>29</v>
      </c>
      <c r="V751" s="21"/>
      <c r="W751" s="16"/>
      <c r="X751" s="16"/>
      <c r="Y751" s="16"/>
    </row>
    <row r="752" customFormat="false" ht="15.75" hidden="false" customHeight="false" outlineLevel="0" collapsed="false">
      <c r="A752" s="9"/>
      <c r="B752" s="10"/>
      <c r="C752" s="10"/>
      <c r="D752" s="10"/>
      <c r="E752" s="10"/>
      <c r="F752" s="10"/>
      <c r="G752" s="10"/>
      <c r="H752" s="10"/>
      <c r="I752" s="22" t="n">
        <v>3</v>
      </c>
      <c r="J752" s="22"/>
      <c r="K752" s="23" t="n">
        <f aca="false">42.47</f>
        <v>42.47</v>
      </c>
      <c r="L752" s="23" t="n">
        <f aca="false">149.45</f>
        <v>149.45</v>
      </c>
      <c r="M752" s="22" t="n">
        <v>14</v>
      </c>
      <c r="N752" s="22" t="n">
        <v>34</v>
      </c>
      <c r="O752" s="22" t="n">
        <v>145.1</v>
      </c>
      <c r="P752" s="23" t="n">
        <f aca="false">24.72</f>
        <v>24.72</v>
      </c>
      <c r="Q752" s="23" t="n">
        <f aca="false">159.82</f>
        <v>159.82</v>
      </c>
      <c r="R752" s="22" t="n">
        <v>15.5</v>
      </c>
      <c r="S752" s="22" t="n">
        <v>27.55</v>
      </c>
      <c r="T752" s="22" t="n">
        <v>453</v>
      </c>
      <c r="U752" s="24" t="s">
        <v>29</v>
      </c>
      <c r="V752" s="15"/>
      <c r="W752" s="16"/>
      <c r="X752" s="16"/>
      <c r="Y752" s="16"/>
    </row>
    <row r="753" customFormat="false" ht="15.75" hidden="false" customHeight="false" outlineLevel="0" collapsed="false">
      <c r="A753" s="9"/>
      <c r="B753" s="10"/>
      <c r="C753" s="10"/>
      <c r="D753" s="10"/>
      <c r="E753" s="10"/>
      <c r="F753" s="10"/>
      <c r="G753" s="10"/>
      <c r="H753" s="10"/>
      <c r="I753" s="25" t="n">
        <v>4</v>
      </c>
      <c r="J753" s="25"/>
      <c r="K753" s="26" t="n">
        <f aca="false">40.63</f>
        <v>40.63</v>
      </c>
      <c r="L753" s="26" t="n">
        <f aca="false">139.89</f>
        <v>139.89</v>
      </c>
      <c r="M753" s="25" t="n">
        <v>14</v>
      </c>
      <c r="N753" s="25" t="n">
        <v>32</v>
      </c>
      <c r="O753" s="25" t="n">
        <v>127.05</v>
      </c>
      <c r="P753" s="26" t="n">
        <f aca="false">23.61</f>
        <v>23.61</v>
      </c>
      <c r="Q753" s="26" t="n">
        <f aca="false">160.75</f>
        <v>160.75</v>
      </c>
      <c r="R753" s="25" t="n">
        <v>13.5</v>
      </c>
      <c r="S753" s="25" t="n">
        <v>27.25</v>
      </c>
      <c r="T753" s="25" t="n">
        <v>435</v>
      </c>
      <c r="U753" s="27" t="s">
        <v>29</v>
      </c>
      <c r="V753" s="21"/>
      <c r="W753" s="16"/>
      <c r="X753" s="16"/>
      <c r="Y753" s="16"/>
    </row>
    <row r="754" customFormat="false" ht="15.75" hidden="false" customHeight="true" outlineLevel="0" collapsed="false">
      <c r="A754" s="9" t="s">
        <v>180</v>
      </c>
      <c r="B754" s="10" t="s">
        <v>176</v>
      </c>
      <c r="C754" s="11" t="s">
        <v>256</v>
      </c>
      <c r="D754" s="10" t="s">
        <v>28</v>
      </c>
      <c r="E754" s="10" t="s">
        <v>28</v>
      </c>
      <c r="F754" s="10"/>
      <c r="G754" s="10" t="n">
        <v>4</v>
      </c>
      <c r="H754" s="10" t="n">
        <v>1.49</v>
      </c>
      <c r="I754" s="12" t="n">
        <v>1</v>
      </c>
      <c r="J754" s="12"/>
      <c r="K754" s="13" t="n">
        <f aca="false">42.69</f>
        <v>42.69</v>
      </c>
      <c r="L754" s="13" t="n">
        <f aca="false">150.12</f>
        <v>150.12</v>
      </c>
      <c r="M754" s="12" t="n">
        <v>14</v>
      </c>
      <c r="N754" s="12" t="n">
        <v>40</v>
      </c>
      <c r="O754" s="12" t="n">
        <v>152.19</v>
      </c>
      <c r="P754" s="13" t="n">
        <f aca="false">26.76</f>
        <v>26.76</v>
      </c>
      <c r="Q754" s="13" t="n">
        <f aca="false">163.2</f>
        <v>163.2</v>
      </c>
      <c r="R754" s="12" t="n">
        <v>18.57</v>
      </c>
      <c r="S754" s="12" t="n">
        <v>24.18</v>
      </c>
      <c r="T754" s="12" t="n">
        <v>525</v>
      </c>
      <c r="U754" s="14" t="s">
        <v>29</v>
      </c>
      <c r="V754" s="15"/>
      <c r="W754" s="16" t="str">
        <f aca="false">A754</f>
        <v>SH</v>
      </c>
      <c r="X754" s="17" t="e">
        <f aca="false">ifs(C754="","",X754="",NOW(),TRUE(),X754)</f>
        <v>#VALUE!</v>
      </c>
      <c r="Y754" s="17" t="e">
        <f aca="false">ifs(COUNTA(K754:U757)&lt;44,"",Y754="",NOW(),TRUE(),Y754)</f>
        <v>#VALUE!</v>
      </c>
    </row>
    <row r="755" customFormat="false" ht="15.75" hidden="false" customHeight="false" outlineLevel="0" collapsed="false">
      <c r="A755" s="9"/>
      <c r="B755" s="10"/>
      <c r="C755" s="10"/>
      <c r="D755" s="10"/>
      <c r="E755" s="10"/>
      <c r="F755" s="10"/>
      <c r="G755" s="10"/>
      <c r="H755" s="10"/>
      <c r="I755" s="18" t="n">
        <v>2</v>
      </c>
      <c r="J755" s="18" t="s">
        <v>49</v>
      </c>
      <c r="K755" s="19" t="n">
        <f aca="false">42.12</f>
        <v>42.12</v>
      </c>
      <c r="L755" s="19" t="n">
        <f aca="false">118.81</f>
        <v>118.81</v>
      </c>
      <c r="M755" s="18" t="n">
        <v>16</v>
      </c>
      <c r="N755" s="18" t="n">
        <v>28</v>
      </c>
      <c r="O755" s="18" t="n">
        <v>114.6</v>
      </c>
      <c r="P755" s="19" t="n">
        <f aca="false">25.61</f>
        <v>25.61</v>
      </c>
      <c r="Q755" s="19" t="n">
        <f aca="false">127.62</f>
        <v>127.62</v>
      </c>
      <c r="R755" s="18" t="n">
        <v>14.8</v>
      </c>
      <c r="S755" s="18" t="n">
        <v>22.47</v>
      </c>
      <c r="T755" s="18" t="n">
        <v>432</v>
      </c>
      <c r="U755" s="20" t="s">
        <v>29</v>
      </c>
      <c r="V755" s="21"/>
      <c r="W755" s="16"/>
      <c r="X755" s="16"/>
      <c r="Y755" s="16"/>
    </row>
    <row r="756" customFormat="false" ht="15.75" hidden="false" customHeight="false" outlineLevel="0" collapsed="false">
      <c r="A756" s="9"/>
      <c r="B756" s="10"/>
      <c r="C756" s="10"/>
      <c r="D756" s="10"/>
      <c r="E756" s="10"/>
      <c r="F756" s="10"/>
      <c r="G756" s="10"/>
      <c r="H756" s="10"/>
      <c r="I756" s="22" t="n">
        <v>3</v>
      </c>
      <c r="J756" s="22" t="s">
        <v>49</v>
      </c>
      <c r="K756" s="23" t="n">
        <f aca="false">40.17</f>
        <v>40.17</v>
      </c>
      <c r="L756" s="23" t="n">
        <f aca="false">100.28</f>
        <v>100.28</v>
      </c>
      <c r="M756" s="22" t="n">
        <v>12</v>
      </c>
      <c r="N756" s="22" t="n">
        <v>25</v>
      </c>
      <c r="O756" s="22" t="n">
        <v>90.94</v>
      </c>
      <c r="P756" s="23" t="n">
        <f aca="false">22.57</f>
        <v>22.57</v>
      </c>
      <c r="Q756" s="23" t="n">
        <f aca="false">124.32</f>
        <v>124.32</v>
      </c>
      <c r="R756" s="22" t="n">
        <v>11.68</v>
      </c>
      <c r="S756" s="22" t="n">
        <v>24.4</v>
      </c>
      <c r="T756" s="22" t="n">
        <v>302</v>
      </c>
      <c r="U756" s="24" t="s">
        <v>29</v>
      </c>
      <c r="V756" s="15"/>
      <c r="W756" s="16"/>
      <c r="X756" s="16"/>
      <c r="Y756" s="16"/>
    </row>
    <row r="757" customFormat="false" ht="15.75" hidden="false" customHeight="false" outlineLevel="0" collapsed="false">
      <c r="A757" s="9"/>
      <c r="B757" s="10"/>
      <c r="C757" s="10"/>
      <c r="D757" s="10"/>
      <c r="E757" s="10"/>
      <c r="F757" s="10"/>
      <c r="G757" s="10"/>
      <c r="H757" s="10"/>
      <c r="I757" s="25" t="n">
        <v>4</v>
      </c>
      <c r="J757" s="25" t="s">
        <v>49</v>
      </c>
      <c r="K757" s="26" t="n">
        <f aca="false">45.72</f>
        <v>45.72</v>
      </c>
      <c r="L757" s="26" t="n">
        <f aca="false">91.33</f>
        <v>91.33</v>
      </c>
      <c r="M757" s="25" t="n">
        <v>14</v>
      </c>
      <c r="N757" s="25" t="n">
        <v>18</v>
      </c>
      <c r="O757" s="25" t="n">
        <v>103.49</v>
      </c>
      <c r="P757" s="26" t="n">
        <f aca="false">25.89</f>
        <v>25.89</v>
      </c>
      <c r="Q757" s="26" t="n">
        <f aca="false">115.18</f>
        <v>115.18</v>
      </c>
      <c r="R757" s="25" t="n">
        <v>18.6</v>
      </c>
      <c r="S757" s="25" t="n">
        <v>36.66</v>
      </c>
      <c r="T757" s="25" t="n">
        <v>230</v>
      </c>
      <c r="U757" s="27" t="s">
        <v>29</v>
      </c>
      <c r="V757" s="21"/>
      <c r="W757" s="16"/>
      <c r="X757" s="16"/>
      <c r="Y757" s="16"/>
    </row>
    <row r="758" customFormat="false" ht="15.75" hidden="false" customHeight="true" outlineLevel="0" collapsed="false">
      <c r="A758" s="9" t="s">
        <v>180</v>
      </c>
      <c r="B758" s="10" t="s">
        <v>176</v>
      </c>
      <c r="C758" s="11" t="s">
        <v>257</v>
      </c>
      <c r="D758" s="10" t="s">
        <v>28</v>
      </c>
      <c r="E758" s="10" t="s">
        <v>28</v>
      </c>
      <c r="F758" s="10"/>
      <c r="G758" s="10" t="n">
        <v>21</v>
      </c>
      <c r="H758" s="10" t="n">
        <v>5.48</v>
      </c>
      <c r="I758" s="12" t="n">
        <v>1</v>
      </c>
      <c r="J758" s="12" t="s">
        <v>46</v>
      </c>
      <c r="K758" s="13" t="n">
        <f aca="false">50.42</f>
        <v>50.42</v>
      </c>
      <c r="L758" s="13" t="n">
        <f aca="false">171.42</f>
        <v>171.42</v>
      </c>
      <c r="M758" s="12" t="n">
        <v>16</v>
      </c>
      <c r="N758" s="12" t="n">
        <v>38</v>
      </c>
      <c r="O758" s="12" t="n">
        <v>221.05</v>
      </c>
      <c r="P758" s="13" t="n">
        <f aca="false">30.27</f>
        <v>30.27</v>
      </c>
      <c r="Q758" s="13" t="n">
        <f aca="false">186.89</f>
        <v>186.89</v>
      </c>
      <c r="R758" s="12" t="n">
        <v>28.67</v>
      </c>
      <c r="S758" s="12" t="n">
        <v>29.63</v>
      </c>
      <c r="T758" s="12" t="n">
        <v>625</v>
      </c>
      <c r="U758" s="14" t="s">
        <v>29</v>
      </c>
      <c r="V758" s="15"/>
      <c r="W758" s="16" t="str">
        <f aca="false">A758</f>
        <v>SH</v>
      </c>
      <c r="X758" s="17" t="e">
        <f aca="false">ifs(C758="","",X758="",NOW(),TRUE(),X758)</f>
        <v>#VALUE!</v>
      </c>
      <c r="Y758" s="17" t="e">
        <f aca="false">ifs(COUNTA(K758:U761)&lt;44,"",Y758="",NOW(),TRUE(),Y758)</f>
        <v>#VALUE!</v>
      </c>
    </row>
    <row r="759" customFormat="false" ht="15.75" hidden="false" customHeight="false" outlineLevel="0" collapsed="false">
      <c r="A759" s="9"/>
      <c r="B759" s="10"/>
      <c r="C759" s="10"/>
      <c r="D759" s="10"/>
      <c r="E759" s="10"/>
      <c r="F759" s="10"/>
      <c r="G759" s="10"/>
      <c r="H759" s="10"/>
      <c r="I759" s="18" t="n">
        <v>2</v>
      </c>
      <c r="J759" s="18" t="s">
        <v>49</v>
      </c>
      <c r="K759" s="19" t="n">
        <f aca="false">48.97</f>
        <v>48.97</v>
      </c>
      <c r="L759" s="19" t="n">
        <f aca="false">153.26</f>
        <v>153.26</v>
      </c>
      <c r="M759" s="18" t="n">
        <v>14</v>
      </c>
      <c r="N759" s="18" t="n">
        <v>36</v>
      </c>
      <c r="O759" s="18" t="n">
        <v>168.13</v>
      </c>
      <c r="P759" s="19" t="n">
        <f aca="false">31.08</f>
        <v>31.08</v>
      </c>
      <c r="Q759" s="19" t="n">
        <f aca="false">172.78</f>
        <v>172.78</v>
      </c>
      <c r="R759" s="18" t="n">
        <v>23.09</v>
      </c>
      <c r="S759" s="18" t="n">
        <v>26.71</v>
      </c>
      <c r="T759" s="18" t="n">
        <v>497</v>
      </c>
      <c r="U759" s="20" t="s">
        <v>97</v>
      </c>
      <c r="V759" s="21"/>
      <c r="W759" s="16"/>
      <c r="X759" s="16"/>
      <c r="Y759" s="16"/>
    </row>
    <row r="760" customFormat="false" ht="15.75" hidden="false" customHeight="false" outlineLevel="0" collapsed="false">
      <c r="A760" s="9"/>
      <c r="B760" s="10"/>
      <c r="C760" s="10"/>
      <c r="D760" s="10"/>
      <c r="E760" s="10"/>
      <c r="F760" s="10"/>
      <c r="G760" s="10"/>
      <c r="H760" s="10"/>
      <c r="I760" s="22" t="n">
        <v>3</v>
      </c>
      <c r="J760" s="22" t="s">
        <v>49</v>
      </c>
      <c r="K760" s="23" t="n">
        <f aca="false">48.94</f>
        <v>48.94</v>
      </c>
      <c r="L760" s="23" t="n">
        <f aca="false">137.38</f>
        <v>137.38</v>
      </c>
      <c r="M760" s="22" t="n">
        <v>16</v>
      </c>
      <c r="N760" s="22" t="n">
        <v>31</v>
      </c>
      <c r="O760" s="22" t="n">
        <v>160.62</v>
      </c>
      <c r="P760" s="23" t="n">
        <f aca="false">30.33</f>
        <v>30.33</v>
      </c>
      <c r="Q760" s="23" t="n">
        <f aca="false">167.65</f>
        <v>167.65</v>
      </c>
      <c r="R760" s="22" t="n">
        <v>20.2</v>
      </c>
      <c r="S760" s="22" t="n">
        <v>26.91</v>
      </c>
      <c r="T760" s="22" t="n">
        <v>504</v>
      </c>
      <c r="U760" s="24" t="s">
        <v>97</v>
      </c>
      <c r="V760" s="15"/>
      <c r="W760" s="16"/>
      <c r="X760" s="16"/>
      <c r="Y760" s="16"/>
    </row>
    <row r="761" customFormat="false" ht="15.75" hidden="false" customHeight="false" outlineLevel="0" collapsed="false">
      <c r="A761" s="9"/>
      <c r="B761" s="10"/>
      <c r="C761" s="10"/>
      <c r="D761" s="10"/>
      <c r="E761" s="10"/>
      <c r="F761" s="10"/>
      <c r="G761" s="10"/>
      <c r="H761" s="10"/>
      <c r="I761" s="25" t="n">
        <v>4</v>
      </c>
      <c r="J761" s="25" t="s">
        <v>46</v>
      </c>
      <c r="K761" s="26" t="n">
        <f aca="false">47.23</f>
        <v>47.23</v>
      </c>
      <c r="L761" s="26" t="n">
        <f aca="false">140.71</f>
        <v>140.71</v>
      </c>
      <c r="M761" s="25" t="n">
        <v>14</v>
      </c>
      <c r="N761" s="25" t="n">
        <v>33</v>
      </c>
      <c r="O761" s="25" t="n">
        <v>141.81</v>
      </c>
      <c r="P761" s="26" t="n">
        <f aca="false">28.34</f>
        <v>28.34</v>
      </c>
      <c r="Q761" s="26" t="n">
        <f aca="false">149.96</f>
        <v>149.96</v>
      </c>
      <c r="R761" s="25" t="n">
        <v>18.52</v>
      </c>
      <c r="S761" s="25" t="n">
        <v>28.96</v>
      </c>
      <c r="T761" s="25" t="n">
        <v>434</v>
      </c>
      <c r="U761" s="27" t="s">
        <v>97</v>
      </c>
      <c r="V761" s="21"/>
      <c r="W761" s="16"/>
      <c r="X761" s="16"/>
      <c r="Y761" s="16"/>
    </row>
    <row r="762" customFormat="false" ht="15.75" hidden="false" customHeight="true" outlineLevel="0" collapsed="false">
      <c r="A762" s="9" t="s">
        <v>25</v>
      </c>
      <c r="B762" s="10" t="s">
        <v>26</v>
      </c>
      <c r="C762" s="11" t="s">
        <v>258</v>
      </c>
      <c r="D762" s="10" t="s">
        <v>28</v>
      </c>
      <c r="E762" s="10" t="s">
        <v>28</v>
      </c>
      <c r="F762" s="10"/>
      <c r="G762" s="10" t="n">
        <v>3</v>
      </c>
      <c r="H762" s="10" t="n">
        <v>0.85</v>
      </c>
      <c r="I762" s="12" t="n">
        <v>1</v>
      </c>
      <c r="J762" s="12"/>
      <c r="K762" s="13" t="n">
        <f aca="false">46.48</f>
        <v>46.48</v>
      </c>
      <c r="L762" s="13" t="n">
        <f aca="false">151.28</f>
        <v>151.28</v>
      </c>
      <c r="M762" s="12" t="n">
        <v>14</v>
      </c>
      <c r="N762" s="12" t="n">
        <v>36</v>
      </c>
      <c r="O762" s="12" t="n">
        <v>166.55</v>
      </c>
      <c r="P762" s="13" t="n">
        <f aca="false">26.65</f>
        <v>26.65</v>
      </c>
      <c r="Q762" s="13" t="n">
        <f aca="false">166.61</f>
        <v>166.61</v>
      </c>
      <c r="R762" s="12" t="n">
        <v>22.2</v>
      </c>
      <c r="S762" s="12" t="n">
        <v>29.7</v>
      </c>
      <c r="T762" s="12" t="n">
        <v>499</v>
      </c>
      <c r="U762" s="14" t="s">
        <v>29</v>
      </c>
      <c r="V762" s="15"/>
      <c r="W762" s="16" t="str">
        <f aca="false">A762</f>
        <v>KL</v>
      </c>
      <c r="X762" s="17" t="e">
        <f aca="false">ifs(C762="","",X762="",NOW(),TRUE(),X762)</f>
        <v>#VALUE!</v>
      </c>
      <c r="Y762" s="17" t="e">
        <f aca="false">ifs(COUNTA(K762:U765)&lt;44,"",Y762="",NOW(),TRUE(),Y762)</f>
        <v>#VALUE!</v>
      </c>
    </row>
    <row r="763" customFormat="false" ht="15.75" hidden="false" customHeight="false" outlineLevel="0" collapsed="false">
      <c r="A763" s="9"/>
      <c r="B763" s="10"/>
      <c r="C763" s="10"/>
      <c r="D763" s="10"/>
      <c r="E763" s="10"/>
      <c r="F763" s="10"/>
      <c r="G763" s="10"/>
      <c r="H763" s="10"/>
      <c r="I763" s="18" t="n">
        <v>2</v>
      </c>
      <c r="J763" s="18" t="s">
        <v>49</v>
      </c>
      <c r="K763" s="19" t="n">
        <f aca="false">44.53</f>
        <v>44.53</v>
      </c>
      <c r="L763" s="19" t="n">
        <f aca="false">104.78</f>
        <v>104.78</v>
      </c>
      <c r="M763" s="18" t="n">
        <v>16</v>
      </c>
      <c r="N763" s="18" t="n">
        <v>24</v>
      </c>
      <c r="O763" s="18" t="n">
        <v>112.4</v>
      </c>
      <c r="P763" s="19" t="n">
        <f aca="false">26.22</f>
        <v>26.22</v>
      </c>
      <c r="Q763" s="19" t="n">
        <f aca="false">132.58</f>
        <v>132.58</v>
      </c>
      <c r="R763" s="18" t="n">
        <v>16.25</v>
      </c>
      <c r="S763" s="18" t="n">
        <v>26.75</v>
      </c>
      <c r="T763" s="18" t="n">
        <v>380</v>
      </c>
      <c r="U763" s="20" t="s">
        <v>97</v>
      </c>
      <c r="V763" s="21"/>
      <c r="W763" s="16"/>
      <c r="X763" s="16"/>
      <c r="Y763" s="16"/>
    </row>
    <row r="764" customFormat="false" ht="15.75" hidden="false" customHeight="false" outlineLevel="0" collapsed="false">
      <c r="A764" s="9"/>
      <c r="B764" s="10"/>
      <c r="C764" s="10"/>
      <c r="D764" s="10"/>
      <c r="E764" s="10"/>
      <c r="F764" s="10"/>
      <c r="G764" s="10"/>
      <c r="H764" s="10"/>
      <c r="I764" s="22" t="n">
        <v>3</v>
      </c>
      <c r="J764" s="22" t="s">
        <v>49</v>
      </c>
      <c r="K764" s="23" t="n">
        <f aca="false">42.51</f>
        <v>42.51</v>
      </c>
      <c r="L764" s="23" t="n">
        <f aca="false">95.8</f>
        <v>95.8</v>
      </c>
      <c r="M764" s="22" t="n">
        <v>14</v>
      </c>
      <c r="N764" s="22" t="n">
        <v>20</v>
      </c>
      <c r="O764" s="22" t="n">
        <v>88.45</v>
      </c>
      <c r="P764" s="23" t="n">
        <f aca="false">24.96</f>
        <v>24.96</v>
      </c>
      <c r="Q764" s="23" t="n">
        <f aca="false">102.74</f>
        <v>102.74</v>
      </c>
      <c r="R764" s="22" t="n">
        <v>12</v>
      </c>
      <c r="S764" s="22" t="n">
        <v>27.7</v>
      </c>
      <c r="T764" s="22" t="n">
        <v>278</v>
      </c>
      <c r="U764" s="24" t="s">
        <v>29</v>
      </c>
      <c r="V764" s="15"/>
      <c r="W764" s="16"/>
      <c r="X764" s="16"/>
      <c r="Y764" s="16"/>
    </row>
    <row r="765" customFormat="false" ht="15.75" hidden="false" customHeight="false" outlineLevel="0" collapsed="false">
      <c r="A765" s="9"/>
      <c r="B765" s="10"/>
      <c r="C765" s="10"/>
      <c r="D765" s="10"/>
      <c r="E765" s="10"/>
      <c r="F765" s="10"/>
      <c r="G765" s="10"/>
      <c r="H765" s="10"/>
      <c r="I765" s="25" t="n">
        <v>4</v>
      </c>
      <c r="J765" s="25" t="s">
        <v>49</v>
      </c>
      <c r="K765" s="26" t="n">
        <f aca="false">40.72</f>
        <v>40.72</v>
      </c>
      <c r="L765" s="26" t="n">
        <f aca="false">86.63</f>
        <v>86.63</v>
      </c>
      <c r="M765" s="25" t="n">
        <v>14</v>
      </c>
      <c r="N765" s="25" t="n">
        <v>24</v>
      </c>
      <c r="O765" s="25" t="n">
        <v>78.2</v>
      </c>
      <c r="P765" s="26" t="n">
        <f aca="false">24.03</f>
        <v>24.03</v>
      </c>
      <c r="Q765" s="26" t="n">
        <f aca="false">106.93</f>
        <v>106.93</v>
      </c>
      <c r="R765" s="25" t="n">
        <v>12.05</v>
      </c>
      <c r="S765" s="25" t="n">
        <v>28.3</v>
      </c>
      <c r="T765" s="25"/>
      <c r="U765" s="27" t="s">
        <v>97</v>
      </c>
      <c r="V765" s="21"/>
      <c r="W765" s="16"/>
      <c r="X765" s="16"/>
      <c r="Y765" s="16"/>
    </row>
    <row r="766" customFormat="false" ht="15.75" hidden="false" customHeight="true" outlineLevel="0" collapsed="false">
      <c r="A766" s="9" t="s">
        <v>259</v>
      </c>
      <c r="B766" s="10" t="s">
        <v>26</v>
      </c>
      <c r="C766" s="11" t="s">
        <v>260</v>
      </c>
      <c r="D766" s="10" t="s">
        <v>28</v>
      </c>
      <c r="E766" s="10" t="s">
        <v>28</v>
      </c>
      <c r="F766" s="10"/>
      <c r="G766" s="10" t="n">
        <v>7</v>
      </c>
      <c r="H766" s="10" t="n">
        <v>1.8</v>
      </c>
      <c r="I766" s="12" t="n">
        <v>1</v>
      </c>
      <c r="J766" s="12"/>
      <c r="K766" s="13" t="n">
        <f aca="false">48.21</f>
        <v>48.21</v>
      </c>
      <c r="L766" s="13" t="n">
        <f aca="false">217.39</f>
        <v>217.39</v>
      </c>
      <c r="M766" s="12" t="n">
        <v>14</v>
      </c>
      <c r="N766" s="12" t="n">
        <v>35</v>
      </c>
      <c r="O766" s="12" t="n">
        <v>250.4</v>
      </c>
      <c r="P766" s="13" t="n">
        <v>30.22</v>
      </c>
      <c r="Q766" s="13" t="n">
        <f aca="false">217.62</f>
        <v>217.62</v>
      </c>
      <c r="R766" s="12" t="n">
        <v>45.4</v>
      </c>
      <c r="S766" s="12" t="n">
        <v>34.9</v>
      </c>
      <c r="T766" s="12" t="n">
        <v>602</v>
      </c>
      <c r="U766" s="14" t="s">
        <v>58</v>
      </c>
      <c r="V766" s="15"/>
      <c r="W766" s="16" t="str">
        <f aca="false">A766</f>
        <v>SG</v>
      </c>
      <c r="X766" s="17" t="e">
        <f aca="false">ifs(C766="","",X766="",NOW(),TRUE(),X766)</f>
        <v>#VALUE!</v>
      </c>
      <c r="Y766" s="17" t="e">
        <f aca="false">ifs(COUNTA(K766:U769)&lt;44,"",Y766="",NOW(),TRUE(),Y766)</f>
        <v>#VALUE!</v>
      </c>
    </row>
    <row r="767" customFormat="false" ht="15.75" hidden="false" customHeight="false" outlineLevel="0" collapsed="false">
      <c r="A767" s="9"/>
      <c r="B767" s="10"/>
      <c r="C767" s="10"/>
      <c r="D767" s="10"/>
      <c r="E767" s="10"/>
      <c r="F767" s="10"/>
      <c r="G767" s="10"/>
      <c r="H767" s="10"/>
      <c r="I767" s="18" t="n">
        <v>2</v>
      </c>
      <c r="J767" s="18" t="s">
        <v>49</v>
      </c>
      <c r="K767" s="19" t="n">
        <f aca="false">45</f>
        <v>45</v>
      </c>
      <c r="L767" s="19" t="n">
        <f aca="false">158.59</f>
        <v>158.59</v>
      </c>
      <c r="M767" s="18" t="n">
        <v>14</v>
      </c>
      <c r="N767" s="18" t="n">
        <v>44</v>
      </c>
      <c r="O767" s="18" t="n">
        <v>170</v>
      </c>
      <c r="P767" s="19" t="n">
        <f aca="false">28</f>
        <v>28</v>
      </c>
      <c r="Q767" s="19" t="n">
        <f aca="false">178.53</f>
        <v>178.53</v>
      </c>
      <c r="R767" s="18" t="n">
        <v>26.35</v>
      </c>
      <c r="S767" s="18" t="n">
        <v>28.45</v>
      </c>
      <c r="T767" s="18" t="n">
        <v>538</v>
      </c>
      <c r="U767" s="20" t="s">
        <v>97</v>
      </c>
      <c r="V767" s="21"/>
      <c r="W767" s="16"/>
      <c r="X767" s="16"/>
      <c r="Y767" s="16"/>
    </row>
    <row r="768" customFormat="false" ht="15.75" hidden="false" customHeight="false" outlineLevel="0" collapsed="false">
      <c r="A768" s="9"/>
      <c r="B768" s="10"/>
      <c r="C768" s="10"/>
      <c r="D768" s="10"/>
      <c r="E768" s="10"/>
      <c r="F768" s="10"/>
      <c r="G768" s="10"/>
      <c r="H768" s="10"/>
      <c r="I768" s="22" t="n">
        <v>3</v>
      </c>
      <c r="J768" s="22"/>
      <c r="K768" s="23" t="n">
        <f aca="false">46.42</f>
        <v>46.42</v>
      </c>
      <c r="L768" s="23" t="n">
        <f aca="false">179.42</f>
        <v>179.42</v>
      </c>
      <c r="M768" s="22" t="n">
        <v>14</v>
      </c>
      <c r="N768" s="22" t="n">
        <v>48</v>
      </c>
      <c r="O768" s="22" t="n">
        <v>204.95</v>
      </c>
      <c r="P768" s="23" t="n">
        <f aca="false">27.06</f>
        <v>27.06</v>
      </c>
      <c r="Q768" s="23" t="n">
        <f aca="false">191.73</f>
        <v>191.73</v>
      </c>
      <c r="R768" s="22" t="n">
        <v>31.65</v>
      </c>
      <c r="S768" s="22" t="n">
        <v>29.1</v>
      </c>
      <c r="T768" s="22" t="n">
        <v>634</v>
      </c>
      <c r="U768" s="24" t="s">
        <v>29</v>
      </c>
      <c r="V768" s="15"/>
      <c r="W768" s="16"/>
      <c r="X768" s="16"/>
      <c r="Y768" s="16"/>
    </row>
    <row r="769" customFormat="false" ht="15.75" hidden="false" customHeight="false" outlineLevel="0" collapsed="false">
      <c r="A769" s="9"/>
      <c r="B769" s="10"/>
      <c r="C769" s="10"/>
      <c r="D769" s="10"/>
      <c r="E769" s="10"/>
      <c r="F769" s="10"/>
      <c r="G769" s="10"/>
      <c r="H769" s="10"/>
      <c r="I769" s="25" t="n">
        <v>4</v>
      </c>
      <c r="J769" s="25"/>
      <c r="K769" s="26" t="n">
        <f aca="false">44.35</f>
        <v>44.35</v>
      </c>
      <c r="L769" s="26" t="n">
        <f aca="false">164.15</f>
        <v>164.15</v>
      </c>
      <c r="M769" s="25" t="n">
        <v>14</v>
      </c>
      <c r="N769" s="25" t="n">
        <v>41</v>
      </c>
      <c r="O769" s="25" t="n">
        <v>188.35</v>
      </c>
      <c r="P769" s="26" t="n">
        <f aca="false">27.54</f>
        <v>27.54</v>
      </c>
      <c r="Q769" s="26" t="n">
        <f aca="false">184.38</f>
        <v>184.38</v>
      </c>
      <c r="R769" s="25" t="n">
        <v>30.35</v>
      </c>
      <c r="S769" s="25" t="n">
        <v>28.5</v>
      </c>
      <c r="T769" s="25" t="n">
        <v>579</v>
      </c>
      <c r="U769" s="27" t="s">
        <v>29</v>
      </c>
      <c r="V769" s="21"/>
      <c r="W769" s="16"/>
      <c r="X769" s="16"/>
      <c r="Y769" s="16"/>
    </row>
    <row r="770" customFormat="false" ht="15.75" hidden="false" customHeight="true" outlineLevel="0" collapsed="false">
      <c r="A770" s="9" t="s">
        <v>43</v>
      </c>
      <c r="B770" s="10" t="s">
        <v>44</v>
      </c>
      <c r="C770" s="11" t="s">
        <v>261</v>
      </c>
      <c r="D770" s="10" t="s">
        <v>28</v>
      </c>
      <c r="E770" s="10" t="s">
        <v>28</v>
      </c>
      <c r="F770" s="10"/>
      <c r="G770" s="10" t="n">
        <v>45</v>
      </c>
      <c r="H770" s="10" t="n">
        <v>10.6</v>
      </c>
      <c r="I770" s="12" t="n">
        <v>1</v>
      </c>
      <c r="J770" s="12" t="s">
        <v>33</v>
      </c>
      <c r="K770" s="13" t="n">
        <f aca="false">37.39</f>
        <v>37.39</v>
      </c>
      <c r="L770" s="13" t="n">
        <f aca="false">79.91</f>
        <v>79.91</v>
      </c>
      <c r="M770" s="12" t="n">
        <v>12</v>
      </c>
      <c r="N770" s="12" t="n">
        <v>18</v>
      </c>
      <c r="O770" s="12" t="n">
        <v>53.7</v>
      </c>
      <c r="P770" s="13" t="n">
        <f aca="false">24.45</f>
        <v>24.45</v>
      </c>
      <c r="Q770" s="13" t="n">
        <f aca="false">111.22</f>
        <v>111.22</v>
      </c>
      <c r="R770" s="12" t="n">
        <v>8</v>
      </c>
      <c r="S770" s="12" t="n">
        <v>22.1</v>
      </c>
      <c r="T770" s="12" t="n">
        <v>207</v>
      </c>
      <c r="U770" s="14" t="s">
        <v>58</v>
      </c>
      <c r="V770" s="15"/>
      <c r="W770" s="16" t="str">
        <f aca="false">A770</f>
        <v>JB</v>
      </c>
      <c r="X770" s="17" t="e">
        <f aca="false">ifs(C770="","",X770="",NOW(),TRUE(),X770)</f>
        <v>#VALUE!</v>
      </c>
      <c r="Y770" s="17" t="e">
        <f aca="false">ifs(COUNTA(K770:U773)&lt;44,"",Y770="",NOW(),TRUE(),Y770)</f>
        <v>#VALUE!</v>
      </c>
    </row>
    <row r="771" customFormat="false" ht="15.75" hidden="false" customHeight="false" outlineLevel="0" collapsed="false">
      <c r="A771" s="9"/>
      <c r="B771" s="10"/>
      <c r="C771" s="10"/>
      <c r="D771" s="10"/>
      <c r="E771" s="10"/>
      <c r="F771" s="10"/>
      <c r="G771" s="10"/>
      <c r="H771" s="10"/>
      <c r="I771" s="18" t="n">
        <v>2</v>
      </c>
      <c r="J771" s="18" t="s">
        <v>49</v>
      </c>
      <c r="K771" s="19" t="n">
        <f aca="false">36.15</f>
        <v>36.15</v>
      </c>
      <c r="L771" s="19" t="n">
        <f aca="false">74.8</f>
        <v>74.8</v>
      </c>
      <c r="M771" s="18" t="n">
        <v>12</v>
      </c>
      <c r="N771" s="18" t="n">
        <v>18</v>
      </c>
      <c r="O771" s="18" t="n">
        <v>54.3</v>
      </c>
      <c r="P771" s="19" t="n">
        <f aca="false">23.35</f>
        <v>23.35</v>
      </c>
      <c r="Q771" s="19" t="n">
        <f aca="false">100.83</f>
        <v>100.83</v>
      </c>
      <c r="R771" s="18" t="n">
        <v>7.7</v>
      </c>
      <c r="S771" s="18" t="n">
        <v>23.5</v>
      </c>
      <c r="T771" s="18" t="n">
        <v>202</v>
      </c>
      <c r="U771" s="20" t="s">
        <v>58</v>
      </c>
      <c r="V771" s="21"/>
      <c r="W771" s="16"/>
      <c r="X771" s="16"/>
      <c r="Y771" s="16"/>
    </row>
    <row r="772" customFormat="false" ht="15.75" hidden="false" customHeight="false" outlineLevel="0" collapsed="false">
      <c r="A772" s="9"/>
      <c r="B772" s="10"/>
      <c r="C772" s="10"/>
      <c r="D772" s="10"/>
      <c r="E772" s="10"/>
      <c r="F772" s="10"/>
      <c r="G772" s="10"/>
      <c r="H772" s="10"/>
      <c r="I772" s="22" t="n">
        <v>3</v>
      </c>
      <c r="J772" s="22" t="s">
        <v>49</v>
      </c>
      <c r="K772" s="23" t="n">
        <f aca="false">42.79</f>
        <v>42.79</v>
      </c>
      <c r="L772" s="23" t="n">
        <f aca="false">114.42</f>
        <v>114.42</v>
      </c>
      <c r="M772" s="22" t="n">
        <v>14</v>
      </c>
      <c r="N772" s="22" t="n">
        <v>24</v>
      </c>
      <c r="O772" s="22" t="n">
        <v>103.3</v>
      </c>
      <c r="P772" s="23" t="n">
        <f aca="false">24.76</f>
        <v>24.76</v>
      </c>
      <c r="Q772" s="23" t="n">
        <f aca="false">143.14</f>
        <v>143.14</v>
      </c>
      <c r="R772" s="22" t="n">
        <v>15.8</v>
      </c>
      <c r="S772" s="22" t="n">
        <v>25.1</v>
      </c>
      <c r="T772" s="22" t="n">
        <v>344</v>
      </c>
      <c r="U772" s="24" t="s">
        <v>58</v>
      </c>
      <c r="V772" s="15"/>
      <c r="W772" s="16"/>
      <c r="X772" s="16"/>
      <c r="Y772" s="16"/>
    </row>
    <row r="773" customFormat="false" ht="15.75" hidden="false" customHeight="false" outlineLevel="0" collapsed="false">
      <c r="A773" s="9"/>
      <c r="B773" s="10"/>
      <c r="C773" s="10"/>
      <c r="D773" s="10"/>
      <c r="E773" s="10"/>
      <c r="F773" s="10"/>
      <c r="G773" s="10"/>
      <c r="H773" s="10"/>
      <c r="I773" s="25" t="n">
        <v>4</v>
      </c>
      <c r="J773" s="25" t="s">
        <v>49</v>
      </c>
      <c r="K773" s="26" t="n">
        <f aca="false">36.65</f>
        <v>36.65</v>
      </c>
      <c r="L773" s="26" t="n">
        <f aca="false">73.6</f>
        <v>73.6</v>
      </c>
      <c r="M773" s="25" t="n">
        <v>14</v>
      </c>
      <c r="N773" s="25" t="n">
        <v>18</v>
      </c>
      <c r="O773" s="25" t="n">
        <v>43.7</v>
      </c>
      <c r="P773" s="26" t="n">
        <f aca="false">24.49</f>
        <v>24.49</v>
      </c>
      <c r="Q773" s="26" t="n">
        <f aca="false">87.48</f>
        <v>87.48</v>
      </c>
      <c r="R773" s="25" t="n">
        <v>6.3</v>
      </c>
      <c r="S773" s="25" t="n">
        <v>22.1</v>
      </c>
      <c r="T773" s="25" t="n">
        <v>172</v>
      </c>
      <c r="U773" s="27" t="s">
        <v>58</v>
      </c>
      <c r="V773" s="21"/>
      <c r="W773" s="16"/>
      <c r="X773" s="16"/>
      <c r="Y773" s="16"/>
    </row>
    <row r="774" customFormat="false" ht="15.75" hidden="false" customHeight="true" outlineLevel="0" collapsed="false">
      <c r="A774" s="9" t="s">
        <v>43</v>
      </c>
      <c r="B774" s="10" t="s">
        <v>44</v>
      </c>
      <c r="C774" s="11" t="s">
        <v>262</v>
      </c>
      <c r="D774" s="10" t="s">
        <v>28</v>
      </c>
      <c r="E774" s="10" t="s">
        <v>28</v>
      </c>
      <c r="F774" s="10"/>
      <c r="G774" s="10" t="n">
        <v>10</v>
      </c>
      <c r="H774" s="10" t="n">
        <v>2.1</v>
      </c>
      <c r="I774" s="12" t="n">
        <v>1</v>
      </c>
      <c r="J774" s="12" t="s">
        <v>46</v>
      </c>
      <c r="K774" s="13" t="n">
        <f aca="false">40.01</f>
        <v>40.01</v>
      </c>
      <c r="L774" s="13" t="n">
        <f aca="false">103.15</f>
        <v>103.15</v>
      </c>
      <c r="M774" s="12" t="n">
        <v>12</v>
      </c>
      <c r="N774" s="12" t="n">
        <v>22</v>
      </c>
      <c r="O774" s="12" t="n">
        <v>76.7</v>
      </c>
      <c r="P774" s="13" t="n">
        <f aca="false">24.95</f>
        <v>24.95</v>
      </c>
      <c r="Q774" s="13" t="n">
        <f aca="false">131.17</f>
        <v>131.17</v>
      </c>
      <c r="R774" s="12" t="n">
        <v>12.3</v>
      </c>
      <c r="S774" s="12" t="n">
        <v>23.4</v>
      </c>
      <c r="T774" s="12" t="n">
        <v>279</v>
      </c>
      <c r="U774" s="14" t="s">
        <v>58</v>
      </c>
      <c r="V774" s="15"/>
      <c r="W774" s="16" t="str">
        <f aca="false">A774</f>
        <v>JB</v>
      </c>
      <c r="X774" s="17" t="e">
        <f aca="false">ifs(C774="","",X774="",NOW(),TRUE(),X774)</f>
        <v>#VALUE!</v>
      </c>
      <c r="Y774" s="17" t="e">
        <f aca="false">ifs(COUNTA(K774:U777)&lt;44,"",Y774="",NOW(),TRUE(),Y774)</f>
        <v>#VALUE!</v>
      </c>
    </row>
    <row r="775" customFormat="false" ht="15.75" hidden="false" customHeight="false" outlineLevel="0" collapsed="false">
      <c r="A775" s="9"/>
      <c r="B775" s="10"/>
      <c r="C775" s="10"/>
      <c r="D775" s="10"/>
      <c r="E775" s="10"/>
      <c r="F775" s="10"/>
      <c r="G775" s="10"/>
      <c r="H775" s="10"/>
      <c r="I775" s="18" t="n">
        <v>2</v>
      </c>
      <c r="J775" s="18" t="s">
        <v>35</v>
      </c>
      <c r="K775" s="19" t="n">
        <f aca="false">37.9</f>
        <v>37.9</v>
      </c>
      <c r="L775" s="19" t="n">
        <f aca="false">90.52</f>
        <v>90.52</v>
      </c>
      <c r="M775" s="18" t="n">
        <v>12</v>
      </c>
      <c r="N775" s="18" t="n">
        <v>20</v>
      </c>
      <c r="O775" s="18" t="n">
        <v>58.4</v>
      </c>
      <c r="P775" s="19" t="n">
        <f aca="false">23.3</f>
        <v>23.3</v>
      </c>
      <c r="Q775" s="19" t="n">
        <f aca="false">106.04</f>
        <v>106.04</v>
      </c>
      <c r="R775" s="18" t="n">
        <v>9</v>
      </c>
      <c r="S775" s="18" t="n">
        <v>25</v>
      </c>
      <c r="T775" s="18" t="n">
        <v>207</v>
      </c>
      <c r="U775" s="20" t="s">
        <v>58</v>
      </c>
      <c r="V775" s="21"/>
      <c r="W775" s="16"/>
      <c r="X775" s="16"/>
      <c r="Y775" s="16"/>
    </row>
    <row r="776" customFormat="false" ht="15.75" hidden="false" customHeight="false" outlineLevel="0" collapsed="false">
      <c r="A776" s="9"/>
      <c r="B776" s="10"/>
      <c r="C776" s="10"/>
      <c r="D776" s="10"/>
      <c r="E776" s="10"/>
      <c r="F776" s="10"/>
      <c r="G776" s="10"/>
      <c r="H776" s="10"/>
      <c r="I776" s="22" t="n">
        <v>3</v>
      </c>
      <c r="J776" s="22" t="s">
        <v>106</v>
      </c>
      <c r="K776" s="23" t="n">
        <f aca="false">33.53</f>
        <v>33.53</v>
      </c>
      <c r="L776" s="23" t="n">
        <f aca="false">95.81</f>
        <v>95.81</v>
      </c>
      <c r="M776" s="22" t="n">
        <v>10</v>
      </c>
      <c r="N776" s="22" t="n">
        <v>26</v>
      </c>
      <c r="O776" s="22" t="n">
        <v>57.2</v>
      </c>
      <c r="P776" s="23" t="n">
        <f aca="false">24.24</f>
        <v>24.24</v>
      </c>
      <c r="Q776" s="23" t="n">
        <f aca="false">111.58</f>
        <v>111.58</v>
      </c>
      <c r="R776" s="22" t="n">
        <v>10</v>
      </c>
      <c r="S776" s="22" t="n">
        <v>22.3</v>
      </c>
      <c r="T776" s="22" t="n">
        <v>215</v>
      </c>
      <c r="U776" s="24" t="s">
        <v>58</v>
      </c>
      <c r="V776" s="15"/>
      <c r="W776" s="16"/>
      <c r="X776" s="16"/>
      <c r="Y776" s="16"/>
    </row>
    <row r="777" customFormat="false" ht="15.75" hidden="false" customHeight="false" outlineLevel="0" collapsed="false">
      <c r="A777" s="9"/>
      <c r="B777" s="10"/>
      <c r="C777" s="10"/>
      <c r="D777" s="10"/>
      <c r="E777" s="10"/>
      <c r="F777" s="10"/>
      <c r="G777" s="10"/>
      <c r="H777" s="10"/>
      <c r="I777" s="25" t="n">
        <v>4</v>
      </c>
      <c r="J777" s="25" t="s">
        <v>46</v>
      </c>
      <c r="K777" s="26" t="n">
        <f aca="false">41.63</f>
        <v>41.63</v>
      </c>
      <c r="L777" s="26" t="n">
        <f aca="false">99.67</f>
        <v>99.67</v>
      </c>
      <c r="M777" s="25" t="n">
        <v>14</v>
      </c>
      <c r="N777" s="25" t="n">
        <v>22</v>
      </c>
      <c r="O777" s="25" t="n">
        <v>72</v>
      </c>
      <c r="P777" s="26" t="n">
        <f aca="false">28.9</f>
        <v>28.9</v>
      </c>
      <c r="Q777" s="26" t="n">
        <f aca="false">115.69</f>
        <v>115.69</v>
      </c>
      <c r="R777" s="25" t="n">
        <v>11.6</v>
      </c>
      <c r="S777" s="25" t="n">
        <v>21.5</v>
      </c>
      <c r="T777" s="25" t="n">
        <v>290</v>
      </c>
      <c r="U777" s="27" t="s">
        <v>58</v>
      </c>
      <c r="V777" s="21"/>
      <c r="W777" s="16"/>
      <c r="X777" s="16"/>
      <c r="Y777" s="16"/>
    </row>
    <row r="778" customFormat="false" ht="15.75" hidden="false" customHeight="true" outlineLevel="0" collapsed="false">
      <c r="A778" s="9" t="s">
        <v>43</v>
      </c>
      <c r="B778" s="10" t="s">
        <v>44</v>
      </c>
      <c r="C778" s="11" t="s">
        <v>263</v>
      </c>
      <c r="D778" s="10" t="s">
        <v>28</v>
      </c>
      <c r="E778" s="10" t="s">
        <v>28</v>
      </c>
      <c r="F778" s="10"/>
      <c r="G778" s="10" t="n">
        <v>20</v>
      </c>
      <c r="H778" s="10" t="n">
        <v>6.8</v>
      </c>
      <c r="I778" s="12" t="n">
        <v>1</v>
      </c>
      <c r="J778" s="12" t="s">
        <v>46</v>
      </c>
      <c r="K778" s="13" t="n">
        <f aca="false">41.52</f>
        <v>41.52</v>
      </c>
      <c r="L778" s="13" t="n">
        <f aca="false">112.63</f>
        <v>112.63</v>
      </c>
      <c r="M778" s="12" t="n">
        <v>16</v>
      </c>
      <c r="N778" s="12" t="n">
        <v>28</v>
      </c>
      <c r="O778" s="12" t="n">
        <v>92.5</v>
      </c>
      <c r="P778" s="13" t="n">
        <f aca="false">25.9</f>
        <v>25.9</v>
      </c>
      <c r="Q778" s="13" t="n">
        <f aca="false">129.11</f>
        <v>129.11</v>
      </c>
      <c r="R778" s="12" t="n">
        <v>10.1</v>
      </c>
      <c r="S778" s="12" t="n">
        <v>20.4</v>
      </c>
      <c r="T778" s="12" t="n">
        <v>385</v>
      </c>
      <c r="U778" s="14" t="s">
        <v>58</v>
      </c>
      <c r="V778" s="15"/>
      <c r="W778" s="16" t="str">
        <f aca="false">A778</f>
        <v>JB</v>
      </c>
      <c r="X778" s="17" t="e">
        <f aca="false">ifs(C778="","",X778="",NOW(),TRUE(),X778)</f>
        <v>#VALUE!</v>
      </c>
      <c r="Y778" s="17" t="e">
        <f aca="false">ifs(COUNTA(K778:U781)&lt;44,"",Y778="",NOW(),TRUE(),Y778)</f>
        <v>#VALUE!</v>
      </c>
    </row>
    <row r="779" customFormat="false" ht="15.75" hidden="false" customHeight="false" outlineLevel="0" collapsed="false">
      <c r="A779" s="9"/>
      <c r="B779" s="10"/>
      <c r="C779" s="10"/>
      <c r="D779" s="10"/>
      <c r="E779" s="10"/>
      <c r="F779" s="10"/>
      <c r="G779" s="10"/>
      <c r="H779" s="10"/>
      <c r="I779" s="18" t="n">
        <v>2</v>
      </c>
      <c r="J779" s="18" t="s">
        <v>35</v>
      </c>
      <c r="K779" s="19" t="n">
        <f aca="false">41.59</f>
        <v>41.59</v>
      </c>
      <c r="L779" s="19" t="n">
        <f aca="false">161.42</f>
        <v>161.42</v>
      </c>
      <c r="M779" s="18" t="n">
        <v>10</v>
      </c>
      <c r="N779" s="18" t="n">
        <v>36</v>
      </c>
      <c r="O779" s="18" t="n">
        <v>145.1</v>
      </c>
      <c r="P779" s="19" t="n">
        <f aca="false">28.62</f>
        <v>28.62</v>
      </c>
      <c r="Q779" s="19" t="n">
        <f aca="false">174.84</f>
        <v>174.84</v>
      </c>
      <c r="R779" s="18" t="n">
        <v>26.5</v>
      </c>
      <c r="S779" s="18" t="n">
        <v>30</v>
      </c>
      <c r="T779" s="18" t="n">
        <v>384</v>
      </c>
      <c r="U779" s="20" t="s">
        <v>58</v>
      </c>
      <c r="V779" s="21"/>
      <c r="W779" s="16"/>
      <c r="X779" s="16"/>
      <c r="Y779" s="16"/>
    </row>
    <row r="780" customFormat="false" ht="15.75" hidden="false" customHeight="false" outlineLevel="0" collapsed="false">
      <c r="A780" s="9"/>
      <c r="B780" s="10"/>
      <c r="C780" s="10"/>
      <c r="D780" s="10"/>
      <c r="E780" s="10"/>
      <c r="F780" s="10"/>
      <c r="G780" s="10"/>
      <c r="H780" s="10"/>
      <c r="I780" s="22" t="n">
        <v>3</v>
      </c>
      <c r="J780" s="22" t="s">
        <v>47</v>
      </c>
      <c r="K780" s="23" t="n">
        <f aca="false">39.49</f>
        <v>39.49</v>
      </c>
      <c r="L780" s="23" t="n">
        <f aca="false">109.68</f>
        <v>109.68</v>
      </c>
      <c r="M780" s="22" t="n">
        <v>12</v>
      </c>
      <c r="N780" s="22" t="n">
        <v>22</v>
      </c>
      <c r="O780" s="22" t="n">
        <v>86.8</v>
      </c>
      <c r="P780" s="23" t="n">
        <f aca="false">25.93</f>
        <v>25.93</v>
      </c>
      <c r="Q780" s="23" t="n">
        <f aca="false">122.81</f>
        <v>122.81</v>
      </c>
      <c r="R780" s="22" t="n">
        <v>13.6</v>
      </c>
      <c r="S780" s="22" t="n">
        <v>29.6</v>
      </c>
      <c r="T780" s="22" t="n">
        <v>250</v>
      </c>
      <c r="U780" s="24" t="s">
        <v>58</v>
      </c>
      <c r="V780" s="15"/>
      <c r="W780" s="16"/>
      <c r="X780" s="16"/>
      <c r="Y780" s="16"/>
    </row>
    <row r="781" customFormat="false" ht="15.75" hidden="false" customHeight="false" outlineLevel="0" collapsed="false">
      <c r="A781" s="9"/>
      <c r="B781" s="10"/>
      <c r="C781" s="10"/>
      <c r="D781" s="10"/>
      <c r="E781" s="10"/>
      <c r="F781" s="10"/>
      <c r="G781" s="10"/>
      <c r="H781" s="10"/>
      <c r="I781" s="25" t="n">
        <v>4</v>
      </c>
      <c r="J781" s="25" t="s">
        <v>35</v>
      </c>
      <c r="K781" s="26" t="n">
        <f aca="false">44.62</f>
        <v>44.62</v>
      </c>
      <c r="L781" s="26" t="n">
        <f aca="false">90.01</f>
        <v>90.01</v>
      </c>
      <c r="M781" s="25" t="n">
        <v>12</v>
      </c>
      <c r="N781" s="25" t="n">
        <v>16</v>
      </c>
      <c r="O781" s="25" t="n">
        <v>75.6</v>
      </c>
      <c r="P781" s="26" t="n">
        <f aca="false">30.33</f>
        <v>30.33</v>
      </c>
      <c r="Q781" s="26" t="n">
        <f aca="false">103.61</f>
        <v>103.61</v>
      </c>
      <c r="R781" s="25" t="n">
        <v>17.7</v>
      </c>
      <c r="S781" s="25" t="n">
        <v>38</v>
      </c>
      <c r="T781" s="25" t="n">
        <v>156</v>
      </c>
      <c r="U781" s="27" t="s">
        <v>58</v>
      </c>
      <c r="V781" s="21"/>
      <c r="W781" s="16"/>
      <c r="X781" s="16"/>
      <c r="Y781" s="16"/>
    </row>
    <row r="782" customFormat="false" ht="15.75" hidden="false" customHeight="true" outlineLevel="0" collapsed="false">
      <c r="A782" s="9" t="s">
        <v>43</v>
      </c>
      <c r="B782" s="10" t="s">
        <v>44</v>
      </c>
      <c r="C782" s="11" t="s">
        <v>264</v>
      </c>
      <c r="D782" s="10" t="s">
        <v>28</v>
      </c>
      <c r="E782" s="10" t="s">
        <v>28</v>
      </c>
      <c r="F782" s="10"/>
      <c r="G782" s="10" t="n">
        <v>7</v>
      </c>
      <c r="H782" s="10" t="n">
        <v>1.2</v>
      </c>
      <c r="I782" s="12" t="n">
        <v>1</v>
      </c>
      <c r="J782" s="12" t="s">
        <v>35</v>
      </c>
      <c r="K782" s="13" t="n">
        <f aca="false">37.15</f>
        <v>37.15</v>
      </c>
      <c r="L782" s="13" t="n">
        <f aca="false">81.4</f>
        <v>81.4</v>
      </c>
      <c r="M782" s="12" t="n">
        <v>14</v>
      </c>
      <c r="N782" s="12" t="n">
        <v>20</v>
      </c>
      <c r="O782" s="12" t="n">
        <v>47.6</v>
      </c>
      <c r="P782" s="13" t="n">
        <f aca="false">24</f>
        <v>24</v>
      </c>
      <c r="Q782" s="13" t="n">
        <f aca="false">85.36</f>
        <v>85.36</v>
      </c>
      <c r="R782" s="12" t="n">
        <v>8.7</v>
      </c>
      <c r="S782" s="12" t="n">
        <v>18.8</v>
      </c>
      <c r="T782" s="12" t="n">
        <v>204</v>
      </c>
      <c r="U782" s="14" t="s">
        <v>29</v>
      </c>
      <c r="V782" s="15"/>
      <c r="W782" s="16" t="str">
        <f aca="false">A782</f>
        <v>JB</v>
      </c>
      <c r="X782" s="17" t="e">
        <f aca="false">ifs(C782="","",X782="",NOW(),TRUE(),X782)</f>
        <v>#VALUE!</v>
      </c>
      <c r="Y782" s="17" t="e">
        <f aca="false">ifs(COUNTA(K782:U785)&lt;44,"",Y782="",NOW(),TRUE(),Y782)</f>
        <v>#VALUE!</v>
      </c>
    </row>
    <row r="783" customFormat="false" ht="15.75" hidden="false" customHeight="false" outlineLevel="0" collapsed="false">
      <c r="A783" s="9"/>
      <c r="B783" s="10"/>
      <c r="C783" s="10"/>
      <c r="D783" s="10"/>
      <c r="E783" s="10"/>
      <c r="F783" s="10"/>
      <c r="G783" s="10"/>
      <c r="H783" s="10"/>
      <c r="I783" s="18" t="n">
        <v>2</v>
      </c>
      <c r="J783" s="18" t="s">
        <v>47</v>
      </c>
      <c r="K783" s="19" t="n">
        <f aca="false">41.04</f>
        <v>41.04</v>
      </c>
      <c r="L783" s="19" t="n">
        <f aca="false">79.37</f>
        <v>79.37</v>
      </c>
      <c r="M783" s="18" t="n">
        <v>14</v>
      </c>
      <c r="N783" s="18" t="n">
        <v>18</v>
      </c>
      <c r="O783" s="18" t="n">
        <v>58</v>
      </c>
      <c r="P783" s="19" t="n">
        <f aca="false">24.53</f>
        <v>24.53</v>
      </c>
      <c r="Q783" s="19" t="n">
        <f aca="false">92.28</f>
        <v>92.28</v>
      </c>
      <c r="R783" s="18" t="n">
        <v>9.7</v>
      </c>
      <c r="S783" s="18" t="n">
        <v>21.3</v>
      </c>
      <c r="T783" s="18" t="n">
        <v>243</v>
      </c>
      <c r="U783" s="20" t="s">
        <v>29</v>
      </c>
      <c r="V783" s="21"/>
      <c r="W783" s="16"/>
      <c r="X783" s="16"/>
      <c r="Y783" s="16"/>
    </row>
    <row r="784" customFormat="false" ht="15.75" hidden="false" customHeight="false" outlineLevel="0" collapsed="false">
      <c r="A784" s="9"/>
      <c r="B784" s="10"/>
      <c r="C784" s="10"/>
      <c r="D784" s="10"/>
      <c r="E784" s="10"/>
      <c r="F784" s="10"/>
      <c r="G784" s="10"/>
      <c r="H784" s="10"/>
      <c r="I784" s="22" t="n">
        <v>3</v>
      </c>
      <c r="J784" s="22" t="s">
        <v>47</v>
      </c>
      <c r="K784" s="23" t="n">
        <f aca="false">39.74</f>
        <v>39.74</v>
      </c>
      <c r="L784" s="23" t="n">
        <f aca="false">74.62</f>
        <v>74.62</v>
      </c>
      <c r="M784" s="22" t="n">
        <v>16</v>
      </c>
      <c r="N784" s="22" t="n">
        <v>16</v>
      </c>
      <c r="O784" s="22" t="n">
        <v>51</v>
      </c>
      <c r="P784" s="23" t="n">
        <f aca="false">24.66</f>
        <v>24.66</v>
      </c>
      <c r="Q784" s="23" t="n">
        <f aca="false">78.24</f>
        <v>78.24</v>
      </c>
      <c r="R784" s="22" t="n">
        <v>8.2</v>
      </c>
      <c r="S784" s="22" t="n">
        <v>17.5</v>
      </c>
      <c r="T784" s="22" t="n">
        <v>237</v>
      </c>
      <c r="U784" s="24" t="s">
        <v>29</v>
      </c>
      <c r="V784" s="15"/>
      <c r="W784" s="16"/>
      <c r="X784" s="16"/>
      <c r="Y784" s="16"/>
    </row>
    <row r="785" customFormat="false" ht="15.75" hidden="false" customHeight="false" outlineLevel="0" collapsed="false">
      <c r="A785" s="9"/>
      <c r="B785" s="10"/>
      <c r="C785" s="10"/>
      <c r="D785" s="10"/>
      <c r="E785" s="10"/>
      <c r="F785" s="10"/>
      <c r="G785" s="10"/>
      <c r="H785" s="10"/>
      <c r="I785" s="25" t="n">
        <v>4</v>
      </c>
      <c r="J785" s="25"/>
      <c r="K785" s="26" t="n">
        <f aca="false">37.23</f>
        <v>37.23</v>
      </c>
      <c r="L785" s="26" t="n">
        <f aca="false">72.55</f>
        <v>72.55</v>
      </c>
      <c r="M785" s="25" t="n">
        <v>12</v>
      </c>
      <c r="N785" s="25" t="n">
        <v>20</v>
      </c>
      <c r="O785" s="25" t="n">
        <v>48.1</v>
      </c>
      <c r="P785" s="26" t="n">
        <f aca="false">23.23</f>
        <v>23.23</v>
      </c>
      <c r="Q785" s="26" t="n">
        <f aca="false">87.15</f>
        <v>87.15</v>
      </c>
      <c r="R785" s="25" t="n">
        <v>8.4</v>
      </c>
      <c r="S785" s="25" t="n">
        <v>18.4</v>
      </c>
      <c r="T785" s="25" t="n">
        <v>222</v>
      </c>
      <c r="U785" s="27" t="s">
        <v>97</v>
      </c>
      <c r="V785" s="21"/>
      <c r="W785" s="16"/>
      <c r="X785" s="16"/>
      <c r="Y785" s="16"/>
    </row>
    <row r="786" customFormat="false" ht="15.75" hidden="false" customHeight="true" outlineLevel="0" collapsed="false">
      <c r="A786" s="9" t="s">
        <v>43</v>
      </c>
      <c r="B786" s="10" t="s">
        <v>44</v>
      </c>
      <c r="C786" s="11" t="s">
        <v>265</v>
      </c>
      <c r="D786" s="10" t="s">
        <v>28</v>
      </c>
      <c r="E786" s="10" t="s">
        <v>28</v>
      </c>
      <c r="F786" s="10"/>
      <c r="G786" s="10" t="n">
        <v>31</v>
      </c>
      <c r="H786" s="10" t="n">
        <v>4.6</v>
      </c>
      <c r="I786" s="12" t="n">
        <v>1</v>
      </c>
      <c r="J786" s="12"/>
      <c r="K786" s="13" t="n">
        <f aca="false">43.03</f>
        <v>43.03</v>
      </c>
      <c r="L786" s="13" t="n">
        <f aca="false">98.23</f>
        <v>98.23</v>
      </c>
      <c r="M786" s="12" t="n">
        <v>16</v>
      </c>
      <c r="N786" s="12" t="n">
        <v>24</v>
      </c>
      <c r="O786" s="12" t="n">
        <v>76.5</v>
      </c>
      <c r="P786" s="13" t="n">
        <f aca="false">27.97</f>
        <v>27.97</v>
      </c>
      <c r="Q786" s="13" t="n">
        <f aca="false">110.58</f>
        <v>110.58</v>
      </c>
      <c r="R786" s="12" t="n">
        <v>15.3</v>
      </c>
      <c r="S786" s="12" t="n">
        <v>16.6</v>
      </c>
      <c r="T786" s="12" t="n">
        <v>359</v>
      </c>
      <c r="U786" s="14" t="s">
        <v>29</v>
      </c>
      <c r="V786" s="15"/>
      <c r="W786" s="16" t="str">
        <f aca="false">A786</f>
        <v>JB</v>
      </c>
      <c r="X786" s="17" t="e">
        <f aca="false">ifs(C786="","",X786="",NOW(),TRUE(),X786)</f>
        <v>#VALUE!</v>
      </c>
      <c r="Y786" s="17" t="e">
        <f aca="false">ifs(COUNTA(K786:U789)&lt;44,"",Y786="",NOW(),TRUE(),Y786)</f>
        <v>#VALUE!</v>
      </c>
    </row>
    <row r="787" customFormat="false" ht="15.75" hidden="false" customHeight="false" outlineLevel="0" collapsed="false">
      <c r="A787" s="9"/>
      <c r="B787" s="10"/>
      <c r="C787" s="10"/>
      <c r="D787" s="10"/>
      <c r="E787" s="10"/>
      <c r="F787" s="10"/>
      <c r="G787" s="10"/>
      <c r="H787" s="10"/>
      <c r="I787" s="18" t="n">
        <v>2</v>
      </c>
      <c r="J787" s="18" t="s">
        <v>50</v>
      </c>
      <c r="K787" s="19" t="n">
        <f aca="false">40.79</f>
        <v>40.79</v>
      </c>
      <c r="L787" s="19" t="n">
        <f aca="false">120.92</f>
        <v>120.92</v>
      </c>
      <c r="M787" s="18" t="n">
        <v>13</v>
      </c>
      <c r="N787" s="18" t="n">
        <v>33</v>
      </c>
      <c r="O787" s="18" t="n">
        <v>92.4</v>
      </c>
      <c r="P787" s="19" t="n">
        <f aca="false">28.19</f>
        <v>28.19</v>
      </c>
      <c r="Q787" s="19" t="n">
        <f aca="false">135.82</f>
        <v>135.82</v>
      </c>
      <c r="R787" s="18" t="n">
        <v>18.8</v>
      </c>
      <c r="S787" s="18" t="n">
        <v>19.3</v>
      </c>
      <c r="T787" s="18" t="n">
        <v>371</v>
      </c>
      <c r="U787" s="20" t="s">
        <v>29</v>
      </c>
      <c r="V787" s="21"/>
      <c r="W787" s="16"/>
      <c r="X787" s="16"/>
      <c r="Y787" s="16"/>
    </row>
    <row r="788" customFormat="false" ht="15.75" hidden="false" customHeight="false" outlineLevel="0" collapsed="false">
      <c r="A788" s="9"/>
      <c r="B788" s="10"/>
      <c r="C788" s="10"/>
      <c r="D788" s="10"/>
      <c r="E788" s="10"/>
      <c r="F788" s="10"/>
      <c r="G788" s="10"/>
      <c r="H788" s="10"/>
      <c r="I788" s="22" t="n">
        <v>3</v>
      </c>
      <c r="J788" s="22" t="s">
        <v>47</v>
      </c>
      <c r="K788" s="23" t="n">
        <f aca="false">40.28</f>
        <v>40.28</v>
      </c>
      <c r="L788" s="23" t="n">
        <f aca="false">81.99</f>
        <v>81.99</v>
      </c>
      <c r="M788" s="22" t="n">
        <v>16</v>
      </c>
      <c r="N788" s="22" t="n">
        <v>20</v>
      </c>
      <c r="O788" s="22" t="n">
        <v>51.3</v>
      </c>
      <c r="P788" s="23" t="n">
        <f aca="false">27.56</f>
        <v>27.56</v>
      </c>
      <c r="Q788" s="23" t="n">
        <f aca="false">101.1</f>
        <v>101.1</v>
      </c>
      <c r="R788" s="22" t="n">
        <v>13.5</v>
      </c>
      <c r="S788" s="22" t="n">
        <v>14.5</v>
      </c>
      <c r="T788" s="22" t="n">
        <v>253</v>
      </c>
      <c r="U788" s="24" t="s">
        <v>29</v>
      </c>
      <c r="V788" s="15"/>
      <c r="W788" s="16"/>
      <c r="X788" s="16"/>
      <c r="Y788" s="16"/>
    </row>
    <row r="789" customFormat="false" ht="15.75" hidden="false" customHeight="false" outlineLevel="0" collapsed="false">
      <c r="A789" s="9"/>
      <c r="B789" s="10"/>
      <c r="C789" s="10"/>
      <c r="D789" s="10"/>
      <c r="E789" s="10"/>
      <c r="F789" s="10"/>
      <c r="G789" s="10"/>
      <c r="H789" s="10"/>
      <c r="I789" s="25" t="n">
        <v>4</v>
      </c>
      <c r="J789" s="25" t="s">
        <v>111</v>
      </c>
      <c r="K789" s="26" t="n">
        <f aca="false">39.55</f>
        <v>39.55</v>
      </c>
      <c r="L789" s="26" t="n">
        <f aca="false">95.27</f>
        <v>95.27</v>
      </c>
      <c r="M789" s="25" t="n">
        <v>14</v>
      </c>
      <c r="N789" s="25" t="n">
        <v>22</v>
      </c>
      <c r="O789" s="25" t="n">
        <v>56.8</v>
      </c>
      <c r="P789" s="26" t="n">
        <f aca="false">26.19</f>
        <v>26.19</v>
      </c>
      <c r="Q789" s="26" t="n">
        <f aca="false">112.2</f>
        <v>112.2</v>
      </c>
      <c r="R789" s="25" t="n">
        <v>12.1</v>
      </c>
      <c r="S789" s="25" t="n">
        <v>15.5</v>
      </c>
      <c r="T789" s="25" t="n">
        <v>288</v>
      </c>
      <c r="U789" s="27" t="s">
        <v>29</v>
      </c>
      <c r="V789" s="21"/>
      <c r="W789" s="16"/>
      <c r="X789" s="16"/>
      <c r="Y789" s="16"/>
    </row>
    <row r="790" customFormat="false" ht="15.75" hidden="false" customHeight="true" outlineLevel="0" collapsed="false">
      <c r="A790" s="9" t="s">
        <v>43</v>
      </c>
      <c r="B790" s="10" t="s">
        <v>44</v>
      </c>
      <c r="C790" s="11" t="s">
        <v>266</v>
      </c>
      <c r="D790" s="10" t="s">
        <v>28</v>
      </c>
      <c r="E790" s="10" t="s">
        <v>28</v>
      </c>
      <c r="F790" s="10"/>
      <c r="G790" s="10" t="n">
        <v>5</v>
      </c>
      <c r="H790" s="10" t="n">
        <v>2</v>
      </c>
      <c r="I790" s="12" t="n">
        <v>1</v>
      </c>
      <c r="J790" s="12" t="s">
        <v>47</v>
      </c>
      <c r="K790" s="13" t="n">
        <f aca="false">45.5</f>
        <v>45.5</v>
      </c>
      <c r="L790" s="13" t="n">
        <f aca="false">89.68</f>
        <v>89.68</v>
      </c>
      <c r="M790" s="12" t="n">
        <v>16</v>
      </c>
      <c r="N790" s="12" t="n">
        <v>24</v>
      </c>
      <c r="O790" s="12" t="n">
        <v>84.6</v>
      </c>
      <c r="P790" s="13" t="n">
        <f aca="false">29.28</f>
        <v>29.28</v>
      </c>
      <c r="Q790" s="13" t="n">
        <f aca="false">100.22</f>
        <v>100.22</v>
      </c>
      <c r="R790" s="12" t="n">
        <v>14</v>
      </c>
      <c r="S790" s="12" t="n">
        <v>22.5</v>
      </c>
      <c r="T790" s="12" t="n">
        <v>318</v>
      </c>
      <c r="U790" s="14" t="s">
        <v>58</v>
      </c>
      <c r="V790" s="15"/>
      <c r="W790" s="16" t="str">
        <f aca="false">A790</f>
        <v>JB</v>
      </c>
      <c r="X790" s="17" t="e">
        <f aca="false">ifs(C790="","",X790="",NOW(),TRUE(),X790)</f>
        <v>#VALUE!</v>
      </c>
      <c r="Y790" s="17" t="e">
        <f aca="false">ifs(COUNTA(K790:U793)&lt;44,"",Y790="",NOW(),TRUE(),Y790)</f>
        <v>#VALUE!</v>
      </c>
    </row>
    <row r="791" customFormat="false" ht="15.75" hidden="false" customHeight="false" outlineLevel="0" collapsed="false">
      <c r="A791" s="9"/>
      <c r="B791" s="10"/>
      <c r="C791" s="10"/>
      <c r="D791" s="10"/>
      <c r="E791" s="10"/>
      <c r="F791" s="10"/>
      <c r="G791" s="10"/>
      <c r="H791" s="10"/>
      <c r="I791" s="18" t="n">
        <v>2</v>
      </c>
      <c r="J791" s="18" t="s">
        <v>47</v>
      </c>
      <c r="K791" s="19" t="n">
        <f aca="false">46.48</f>
        <v>46.48</v>
      </c>
      <c r="L791" s="19" t="n">
        <f aca="false">125.13</f>
        <v>125.13</v>
      </c>
      <c r="M791" s="18" t="n">
        <v>16</v>
      </c>
      <c r="N791" s="18" t="n">
        <v>34</v>
      </c>
      <c r="O791" s="18" t="n">
        <v>113.4</v>
      </c>
      <c r="P791" s="19" t="n">
        <f aca="false">29.65</f>
        <v>29.65</v>
      </c>
      <c r="Q791" s="19" t="n">
        <f aca="false">125.07</f>
        <v>125.07</v>
      </c>
      <c r="R791" s="18" t="n">
        <v>21.3</v>
      </c>
      <c r="S791" s="18" t="n">
        <v>21.3</v>
      </c>
      <c r="T791" s="18" t="n">
        <v>433</v>
      </c>
      <c r="U791" s="20" t="s">
        <v>58</v>
      </c>
      <c r="V791" s="21"/>
      <c r="W791" s="16"/>
      <c r="X791" s="16"/>
      <c r="Y791" s="16"/>
    </row>
    <row r="792" customFormat="false" ht="15.75" hidden="false" customHeight="false" outlineLevel="0" collapsed="false">
      <c r="A792" s="9"/>
      <c r="B792" s="10"/>
      <c r="C792" s="10"/>
      <c r="D792" s="10"/>
      <c r="E792" s="10"/>
      <c r="F792" s="10"/>
      <c r="G792" s="10"/>
      <c r="H792" s="10"/>
      <c r="I792" s="22" t="n">
        <v>3</v>
      </c>
      <c r="J792" s="22" t="s">
        <v>147</v>
      </c>
      <c r="K792" s="23" t="n">
        <f aca="false">43.47</f>
        <v>43.47</v>
      </c>
      <c r="L792" s="23" t="n">
        <f aca="false">89.04</f>
        <v>89.04</v>
      </c>
      <c r="M792" s="22" t="n">
        <v>14</v>
      </c>
      <c r="N792" s="22" t="n">
        <v>22</v>
      </c>
      <c r="O792" s="22" t="n">
        <v>661</v>
      </c>
      <c r="P792" s="23" t="n">
        <f aca="false">29.11</f>
        <v>29.11</v>
      </c>
      <c r="Q792" s="23" t="n">
        <f aca="false">98.6</f>
        <v>98.6</v>
      </c>
      <c r="R792" s="22" t="n">
        <v>13.5</v>
      </c>
      <c r="S792" s="22" t="n">
        <v>22</v>
      </c>
      <c r="T792" s="22" t="n">
        <v>241</v>
      </c>
      <c r="U792" s="24" t="s">
        <v>58</v>
      </c>
      <c r="V792" s="15"/>
      <c r="W792" s="16"/>
      <c r="X792" s="16"/>
      <c r="Y792" s="16"/>
    </row>
    <row r="793" customFormat="false" ht="15.75" hidden="false" customHeight="false" outlineLevel="0" collapsed="false">
      <c r="A793" s="9"/>
      <c r="B793" s="10"/>
      <c r="C793" s="10"/>
      <c r="D793" s="10"/>
      <c r="E793" s="10"/>
      <c r="F793" s="10"/>
      <c r="G793" s="10"/>
      <c r="H793" s="10"/>
      <c r="I793" s="25" t="n">
        <v>4</v>
      </c>
      <c r="J793" s="25" t="s">
        <v>35</v>
      </c>
      <c r="K793" s="26" t="n">
        <f aca="false">36.96</f>
        <v>36.96</v>
      </c>
      <c r="L793" s="26" t="n">
        <f aca="false">64.53</f>
        <v>64.53</v>
      </c>
      <c r="M793" s="25" t="n">
        <v>12</v>
      </c>
      <c r="N793" s="25" t="n">
        <v>15</v>
      </c>
      <c r="O793" s="25" t="n">
        <v>37</v>
      </c>
      <c r="P793" s="26" t="n">
        <f aca="false">23.73</f>
        <v>23.73</v>
      </c>
      <c r="Q793" s="26" t="n">
        <f aca="false">69.7</f>
        <v>69.7</v>
      </c>
      <c r="R793" s="25" t="n">
        <v>6.9</v>
      </c>
      <c r="S793" s="25" t="n">
        <v>19.2</v>
      </c>
      <c r="T793" s="25" t="n">
        <v>158</v>
      </c>
      <c r="U793" s="27" t="s">
        <v>58</v>
      </c>
      <c r="V793" s="21"/>
      <c r="W793" s="16"/>
      <c r="X793" s="16"/>
      <c r="Y793" s="16"/>
    </row>
    <row r="794" customFormat="false" ht="15.75" hidden="false" customHeight="true" outlineLevel="0" collapsed="false">
      <c r="A794" s="9" t="s">
        <v>43</v>
      </c>
      <c r="B794" s="10" t="s">
        <v>44</v>
      </c>
      <c r="C794" s="11" t="s">
        <v>267</v>
      </c>
      <c r="D794" s="10" t="s">
        <v>28</v>
      </c>
      <c r="E794" s="10" t="s">
        <v>28</v>
      </c>
      <c r="F794" s="10"/>
      <c r="G794" s="10" t="n">
        <v>5</v>
      </c>
      <c r="H794" s="10" t="n">
        <v>1</v>
      </c>
      <c r="I794" s="12" t="n">
        <v>1</v>
      </c>
      <c r="J794" s="12" t="s">
        <v>103</v>
      </c>
      <c r="K794" s="13" t="n">
        <f aca="false">37.38</f>
        <v>37.38</v>
      </c>
      <c r="L794" s="13" t="n">
        <f aca="false">91.15</f>
        <v>91.15</v>
      </c>
      <c r="M794" s="12" t="n">
        <v>10</v>
      </c>
      <c r="N794" s="12" t="n">
        <v>24</v>
      </c>
      <c r="O794" s="12" t="n">
        <v>49.3</v>
      </c>
      <c r="P794" s="13" t="n">
        <f aca="false">30.78</f>
        <v>30.78</v>
      </c>
      <c r="Q794" s="13" t="n">
        <f aca="false">101.67</f>
        <v>101.67</v>
      </c>
      <c r="R794" s="12" t="n">
        <v>9</v>
      </c>
      <c r="S794" s="12" t="n">
        <v>20.7</v>
      </c>
      <c r="T794" s="12" t="n">
        <v>197</v>
      </c>
      <c r="U794" s="14" t="s">
        <v>29</v>
      </c>
      <c r="V794" s="15"/>
      <c r="W794" s="16" t="str">
        <f aca="false">A794</f>
        <v>JB</v>
      </c>
      <c r="X794" s="17" t="e">
        <f aca="false">ifs(C794="","",X794="",NOW(),TRUE(),X794)</f>
        <v>#VALUE!</v>
      </c>
      <c r="Y794" s="17" t="e">
        <f aca="false">ifs(COUNTA(K794:U797)&lt;44,"",Y794="",NOW(),TRUE(),Y794)</f>
        <v>#VALUE!</v>
      </c>
    </row>
    <row r="795" customFormat="false" ht="15.75" hidden="false" customHeight="false" outlineLevel="0" collapsed="false">
      <c r="A795" s="9"/>
      <c r="B795" s="10"/>
      <c r="C795" s="10"/>
      <c r="D795" s="10"/>
      <c r="E795" s="10"/>
      <c r="F795" s="10"/>
      <c r="G795" s="10"/>
      <c r="H795" s="10"/>
      <c r="I795" s="18" t="n">
        <v>2</v>
      </c>
      <c r="J795" s="18" t="s">
        <v>33</v>
      </c>
      <c r="K795" s="19" t="n">
        <f aca="false">39.43</f>
        <v>39.43</v>
      </c>
      <c r="L795" s="19" t="n">
        <f aca="false">97.01</f>
        <v>97.01</v>
      </c>
      <c r="M795" s="18" t="n">
        <v>14</v>
      </c>
      <c r="N795" s="18" t="n">
        <v>26</v>
      </c>
      <c r="O795" s="18" t="n">
        <v>60.1</v>
      </c>
      <c r="P795" s="19" t="n">
        <f aca="false">26.17</f>
        <v>26.17</v>
      </c>
      <c r="Q795" s="19" t="n">
        <f aca="false">113.87</f>
        <v>113.87</v>
      </c>
      <c r="R795" s="18" t="n">
        <v>10.4</v>
      </c>
      <c r="S795" s="18" t="n">
        <v>100</v>
      </c>
      <c r="T795" s="18" t="n">
        <v>255</v>
      </c>
      <c r="U795" s="20" t="s">
        <v>29</v>
      </c>
      <c r="V795" s="21"/>
      <c r="W795" s="16"/>
      <c r="X795" s="16"/>
      <c r="Y795" s="16"/>
    </row>
    <row r="796" customFormat="false" ht="15.75" hidden="false" customHeight="false" outlineLevel="0" collapsed="false">
      <c r="A796" s="9"/>
      <c r="B796" s="10"/>
      <c r="C796" s="10"/>
      <c r="D796" s="10"/>
      <c r="E796" s="10"/>
      <c r="F796" s="10"/>
      <c r="G796" s="10"/>
      <c r="H796" s="10"/>
      <c r="I796" s="22" t="n">
        <v>3</v>
      </c>
      <c r="J796" s="22" t="s">
        <v>46</v>
      </c>
      <c r="K796" s="23" t="n">
        <f aca="false">40.24</f>
        <v>40.24</v>
      </c>
      <c r="L796" s="23" t="n">
        <f aca="false">85.74</f>
        <v>85.74</v>
      </c>
      <c r="M796" s="22" t="n">
        <v>12</v>
      </c>
      <c r="N796" s="22" t="n">
        <v>20</v>
      </c>
      <c r="O796" s="22" t="n">
        <v>53.8</v>
      </c>
      <c r="P796" s="23" t="n">
        <f aca="false">26.5</f>
        <v>26.5</v>
      </c>
      <c r="Q796" s="23" t="n">
        <f aca="false">123.19</f>
        <v>123.19</v>
      </c>
      <c r="R796" s="22" t="n">
        <v>9.8</v>
      </c>
      <c r="S796" s="22" t="n">
        <v>19.7</v>
      </c>
      <c r="T796" s="22" t="n">
        <v>224</v>
      </c>
      <c r="U796" s="24" t="s">
        <v>29</v>
      </c>
      <c r="V796" s="15"/>
      <c r="W796" s="16"/>
      <c r="X796" s="16"/>
      <c r="Y796" s="16"/>
    </row>
    <row r="797" customFormat="false" ht="15.75" hidden="false" customHeight="false" outlineLevel="0" collapsed="false">
      <c r="A797" s="9"/>
      <c r="B797" s="10"/>
      <c r="C797" s="10"/>
      <c r="D797" s="10"/>
      <c r="E797" s="10"/>
      <c r="F797" s="10"/>
      <c r="G797" s="10"/>
      <c r="H797" s="10"/>
      <c r="I797" s="25" t="n">
        <v>4</v>
      </c>
      <c r="J797" s="25" t="s">
        <v>103</v>
      </c>
      <c r="K797" s="26" t="n">
        <f aca="false">38.27</f>
        <v>38.27</v>
      </c>
      <c r="L797" s="26" t="n">
        <f aca="false">83.34</f>
        <v>83.34</v>
      </c>
      <c r="M797" s="25" t="n">
        <v>10</v>
      </c>
      <c r="N797" s="25" t="n">
        <v>22</v>
      </c>
      <c r="O797" s="25" t="n">
        <v>39</v>
      </c>
      <c r="P797" s="26" t="n">
        <f aca="false">23.39</f>
        <v>23.39</v>
      </c>
      <c r="Q797" s="26" t="n">
        <f aca="false">82.64</f>
        <v>82.64</v>
      </c>
      <c r="R797" s="25" t="n">
        <v>7.1</v>
      </c>
      <c r="S797" s="25" t="n">
        <v>16.7</v>
      </c>
      <c r="T797" s="25" t="n">
        <v>184</v>
      </c>
      <c r="U797" s="27" t="s">
        <v>29</v>
      </c>
      <c r="V797" s="21"/>
      <c r="W797" s="16"/>
      <c r="X797" s="16"/>
      <c r="Y797" s="16"/>
    </row>
    <row r="798" customFormat="false" ht="15.75" hidden="false" customHeight="true" outlineLevel="0" collapsed="false">
      <c r="A798" s="9" t="s">
        <v>43</v>
      </c>
      <c r="B798" s="10" t="s">
        <v>44</v>
      </c>
      <c r="C798" s="11" t="s">
        <v>268</v>
      </c>
      <c r="D798" s="10" t="s">
        <v>28</v>
      </c>
      <c r="E798" s="10" t="s">
        <v>28</v>
      </c>
      <c r="F798" s="10"/>
      <c r="G798" s="10" t="n">
        <v>35</v>
      </c>
      <c r="H798" s="10" t="n">
        <v>8.4</v>
      </c>
      <c r="I798" s="12" t="n">
        <v>1</v>
      </c>
      <c r="J798" s="12" t="s">
        <v>49</v>
      </c>
      <c r="K798" s="13" t="n">
        <f aca="false">41.48</f>
        <v>41.48</v>
      </c>
      <c r="L798" s="13" t="n">
        <f aca="false">122.49</f>
        <v>122.49</v>
      </c>
      <c r="M798" s="12" t="n">
        <v>16</v>
      </c>
      <c r="N798" s="12" t="n">
        <v>28</v>
      </c>
      <c r="O798" s="12" t="n">
        <v>96.9</v>
      </c>
      <c r="P798" s="13" t="n">
        <f aca="false">24.58</f>
        <v>24.58</v>
      </c>
      <c r="Q798" s="13" t="n">
        <f aca="false">141.61</f>
        <v>141.61</v>
      </c>
      <c r="R798" s="12" t="n">
        <v>11</v>
      </c>
      <c r="S798" s="12" t="n">
        <v>18.4</v>
      </c>
      <c r="T798" s="12" t="n">
        <v>469</v>
      </c>
      <c r="U798" s="14" t="s">
        <v>29</v>
      </c>
      <c r="V798" s="15"/>
      <c r="W798" s="16" t="str">
        <f aca="false">A798</f>
        <v>JB</v>
      </c>
      <c r="X798" s="17" t="e">
        <f aca="false">ifs(C798="","",X798="",NOW(),TRUE(),X798)</f>
        <v>#VALUE!</v>
      </c>
      <c r="Y798" s="17" t="e">
        <f aca="false">ifs(COUNTA(K798:U801)&lt;44,"",Y798="",NOW(),TRUE(),Y798)</f>
        <v>#VALUE!</v>
      </c>
    </row>
    <row r="799" customFormat="false" ht="15.75" hidden="false" customHeight="false" outlineLevel="0" collapsed="false">
      <c r="A799" s="9"/>
      <c r="B799" s="10"/>
      <c r="C799" s="10"/>
      <c r="D799" s="10"/>
      <c r="E799" s="10"/>
      <c r="F799" s="10"/>
      <c r="G799" s="10"/>
      <c r="H799" s="10"/>
      <c r="I799" s="18" t="n">
        <v>2</v>
      </c>
      <c r="J799" s="18" t="s">
        <v>49</v>
      </c>
      <c r="K799" s="19" t="n">
        <f aca="false">41.15</f>
        <v>41.15</v>
      </c>
      <c r="L799" s="19" t="n">
        <f aca="false">108.11</f>
        <v>108.11</v>
      </c>
      <c r="M799" s="18" t="n">
        <v>17</v>
      </c>
      <c r="N799" s="18" t="n">
        <v>24</v>
      </c>
      <c r="O799" s="18" t="n">
        <v>94.7</v>
      </c>
      <c r="P799" s="19" t="n">
        <f aca="false">27.59</f>
        <v>27.59</v>
      </c>
      <c r="Q799" s="19" t="n">
        <f aca="false">129.34</f>
        <v>129.34</v>
      </c>
      <c r="R799" s="18" t="n">
        <v>11.2</v>
      </c>
      <c r="S799" s="18" t="n">
        <v>19.6</v>
      </c>
      <c r="T799" s="18" t="n">
        <v>444</v>
      </c>
      <c r="U799" s="20" t="s">
        <v>29</v>
      </c>
      <c r="V799" s="21"/>
      <c r="W799" s="16"/>
      <c r="X799" s="16"/>
      <c r="Y799" s="16"/>
    </row>
    <row r="800" customFormat="false" ht="15.75" hidden="false" customHeight="false" outlineLevel="0" collapsed="false">
      <c r="A800" s="9"/>
      <c r="B800" s="10"/>
      <c r="C800" s="10"/>
      <c r="D800" s="10"/>
      <c r="E800" s="10"/>
      <c r="F800" s="10"/>
      <c r="G800" s="10"/>
      <c r="H800" s="10"/>
      <c r="I800" s="22" t="n">
        <v>3</v>
      </c>
      <c r="J800" s="22"/>
      <c r="K800" s="23" t="n">
        <f aca="false">42.08</f>
        <v>42.08</v>
      </c>
      <c r="L800" s="23" t="n">
        <f aca="false">150.43</f>
        <v>150.43</v>
      </c>
      <c r="M800" s="22" t="n">
        <v>16</v>
      </c>
      <c r="N800" s="22" t="n">
        <v>32</v>
      </c>
      <c r="O800" s="22" t="n">
        <v>136.1</v>
      </c>
      <c r="P800" s="23" t="n">
        <f aca="false">24.93</f>
        <v>24.93</v>
      </c>
      <c r="Q800" s="23" t="n">
        <f aca="false">157.54</f>
        <v>157.54</v>
      </c>
      <c r="R800" s="22" t="n">
        <v>13.2</v>
      </c>
      <c r="S800" s="22" t="n">
        <v>23</v>
      </c>
      <c r="T800" s="22" t="n">
        <v>553</v>
      </c>
      <c r="U800" s="24" t="s">
        <v>29</v>
      </c>
      <c r="V800" s="15"/>
      <c r="W800" s="16"/>
      <c r="X800" s="16"/>
      <c r="Y800" s="16"/>
    </row>
    <row r="801" customFormat="false" ht="15.75" hidden="false" customHeight="false" outlineLevel="0" collapsed="false">
      <c r="A801" s="9"/>
      <c r="B801" s="10"/>
      <c r="C801" s="10"/>
      <c r="D801" s="10"/>
      <c r="E801" s="10"/>
      <c r="F801" s="10"/>
      <c r="G801" s="10"/>
      <c r="H801" s="10"/>
      <c r="I801" s="25" t="n">
        <v>4</v>
      </c>
      <c r="J801" s="25" t="s">
        <v>49</v>
      </c>
      <c r="K801" s="26" t="n">
        <f aca="false">41.56</f>
        <v>41.56</v>
      </c>
      <c r="L801" s="26" t="n">
        <f aca="false">101.9</f>
        <v>101.9</v>
      </c>
      <c r="M801" s="25" t="n">
        <v>16</v>
      </c>
      <c r="N801" s="25" t="n">
        <v>22</v>
      </c>
      <c r="O801" s="25" t="n">
        <v>74.6</v>
      </c>
      <c r="P801" s="26" t="n">
        <f aca="false">25.81</f>
        <v>25.81</v>
      </c>
      <c r="Q801" s="26" t="n">
        <f aca="false">118.05</f>
        <v>118.05</v>
      </c>
      <c r="R801" s="25" t="n">
        <v>9.5</v>
      </c>
      <c r="S801" s="25" t="n">
        <v>21.9</v>
      </c>
      <c r="T801" s="25"/>
      <c r="U801" s="27" t="s">
        <v>29</v>
      </c>
      <c r="V801" s="21"/>
      <c r="W801" s="16"/>
      <c r="X801" s="16"/>
      <c r="Y801" s="16"/>
    </row>
    <row r="802" customFormat="false" ht="15.75" hidden="false" customHeight="true" outlineLevel="0" collapsed="false">
      <c r="A802" s="9" t="s">
        <v>259</v>
      </c>
      <c r="B802" s="10" t="s">
        <v>26</v>
      </c>
      <c r="C802" s="11" t="s">
        <v>269</v>
      </c>
      <c r="D802" s="10" t="s">
        <v>28</v>
      </c>
      <c r="E802" s="10" t="s">
        <v>28</v>
      </c>
      <c r="F802" s="10"/>
      <c r="G802" s="10" t="n">
        <v>6</v>
      </c>
      <c r="H802" s="10" t="n">
        <v>1.25</v>
      </c>
      <c r="I802" s="12" t="n">
        <v>1</v>
      </c>
      <c r="J802" s="12" t="s">
        <v>49</v>
      </c>
      <c r="K802" s="13" t="n">
        <f aca="false">45.92</f>
        <v>45.92</v>
      </c>
      <c r="L802" s="13" t="n">
        <f aca="false">162.16</f>
        <v>162.16</v>
      </c>
      <c r="M802" s="12" t="n">
        <v>14</v>
      </c>
      <c r="N802" s="12" t="n">
        <v>42</v>
      </c>
      <c r="O802" s="12" t="n">
        <v>177.6</v>
      </c>
      <c r="P802" s="13" t="n">
        <f aca="false">28.07</f>
        <v>28.07</v>
      </c>
      <c r="Q802" s="13" t="n">
        <f aca="false">179.91</f>
        <v>179.91</v>
      </c>
      <c r="R802" s="12" t="n">
        <v>25.7</v>
      </c>
      <c r="S802" s="12" t="n">
        <v>23.3</v>
      </c>
      <c r="T802" s="12" t="n">
        <v>630</v>
      </c>
      <c r="U802" s="14" t="s">
        <v>29</v>
      </c>
      <c r="V802" s="15"/>
      <c r="W802" s="16" t="str">
        <f aca="false">A802</f>
        <v>SG</v>
      </c>
      <c r="X802" s="17" t="e">
        <f aca="false">ifs(C802="","",X802="",NOW(),TRUE(),X802)</f>
        <v>#VALUE!</v>
      </c>
      <c r="Y802" s="17" t="e">
        <f aca="false">ifs(COUNTA(K802:U805)&lt;44,"",Y802="",NOW(),TRUE(),Y802)</f>
        <v>#VALUE!</v>
      </c>
    </row>
    <row r="803" customFormat="false" ht="15.75" hidden="false" customHeight="false" outlineLevel="0" collapsed="false">
      <c r="A803" s="9"/>
      <c r="B803" s="10"/>
      <c r="C803" s="10"/>
      <c r="D803" s="10"/>
      <c r="E803" s="10"/>
      <c r="F803" s="10"/>
      <c r="G803" s="10"/>
      <c r="H803" s="10"/>
      <c r="I803" s="18" t="n">
        <v>2</v>
      </c>
      <c r="J803" s="18" t="s">
        <v>49</v>
      </c>
      <c r="K803" s="19" t="n">
        <f aca="false">44.2</f>
        <v>44.2</v>
      </c>
      <c r="L803" s="19" t="n">
        <f aca="false">145.62</f>
        <v>145.62</v>
      </c>
      <c r="M803" s="18" t="n">
        <v>14</v>
      </c>
      <c r="N803" s="18" t="n">
        <v>40</v>
      </c>
      <c r="O803" s="18" t="n">
        <v>155.65</v>
      </c>
      <c r="P803" s="19" t="n">
        <f aca="false">26.99</f>
        <v>26.99</v>
      </c>
      <c r="Q803" s="19" t="n">
        <f aca="false">167.23</f>
        <v>167.23</v>
      </c>
      <c r="R803" s="18" t="n">
        <v>23.25</v>
      </c>
      <c r="S803" s="18" t="n">
        <v>25.5</v>
      </c>
      <c r="T803" s="18" t="n">
        <v>558</v>
      </c>
      <c r="U803" s="20" t="s">
        <v>29</v>
      </c>
      <c r="V803" s="21"/>
      <c r="W803" s="16"/>
      <c r="X803" s="16"/>
      <c r="Y803" s="16"/>
    </row>
    <row r="804" customFormat="false" ht="15.75" hidden="false" customHeight="false" outlineLevel="0" collapsed="false">
      <c r="A804" s="9"/>
      <c r="B804" s="10"/>
      <c r="C804" s="10"/>
      <c r="D804" s="10"/>
      <c r="E804" s="10"/>
      <c r="F804" s="10"/>
      <c r="G804" s="10"/>
      <c r="H804" s="10"/>
      <c r="I804" s="22" t="n">
        <v>3</v>
      </c>
      <c r="J804" s="22"/>
      <c r="K804" s="23" t="n">
        <f aca="false">45.15</f>
        <v>45.15</v>
      </c>
      <c r="L804" s="23" t="n">
        <f aca="false">154.8</f>
        <v>154.8</v>
      </c>
      <c r="M804" s="22" t="n">
        <v>16</v>
      </c>
      <c r="N804" s="22" t="n">
        <v>39</v>
      </c>
      <c r="O804" s="22" t="n">
        <v>173.2</v>
      </c>
      <c r="P804" s="23" t="n">
        <f aca="false">29.03</f>
        <v>29.03</v>
      </c>
      <c r="Q804" s="23" t="n">
        <f aca="false">173.73</f>
        <v>173.73</v>
      </c>
      <c r="R804" s="22" t="n">
        <v>25.75</v>
      </c>
      <c r="S804" s="22" t="n">
        <v>24.15</v>
      </c>
      <c r="T804" s="22" t="n">
        <v>631</v>
      </c>
      <c r="U804" s="24" t="s">
        <v>29</v>
      </c>
      <c r="V804" s="15"/>
      <c r="W804" s="16"/>
      <c r="X804" s="16"/>
      <c r="Y804" s="16"/>
    </row>
    <row r="805" customFormat="false" ht="15.75" hidden="false" customHeight="false" outlineLevel="0" collapsed="false">
      <c r="A805" s="9"/>
      <c r="B805" s="10"/>
      <c r="C805" s="10"/>
      <c r="D805" s="10"/>
      <c r="E805" s="10"/>
      <c r="F805" s="10"/>
      <c r="G805" s="10"/>
      <c r="H805" s="10"/>
      <c r="I805" s="25" t="n">
        <v>4</v>
      </c>
      <c r="J805" s="25" t="s">
        <v>49</v>
      </c>
      <c r="K805" s="26" t="n">
        <f aca="false">43.3</f>
        <v>43.3</v>
      </c>
      <c r="L805" s="26" t="n">
        <f aca="false">137.14</f>
        <v>137.14</v>
      </c>
      <c r="M805" s="25" t="n">
        <v>14</v>
      </c>
      <c r="N805" s="25" t="n">
        <v>36</v>
      </c>
      <c r="O805" s="25" t="n">
        <v>141.85</v>
      </c>
      <c r="P805" s="26" t="n">
        <f aca="false">27.67</f>
        <v>27.67</v>
      </c>
      <c r="Q805" s="26" t="n">
        <f aca="false">163.23</f>
        <v>163.23</v>
      </c>
      <c r="R805" s="25" t="n">
        <v>20.1</v>
      </c>
      <c r="S805" s="25" t="n">
        <v>23.9</v>
      </c>
      <c r="T805" s="25" t="n">
        <v>563</v>
      </c>
      <c r="U805" s="27" t="s">
        <v>29</v>
      </c>
      <c r="V805" s="21"/>
      <c r="W805" s="16"/>
      <c r="X805" s="16"/>
      <c r="Y805" s="16"/>
    </row>
    <row r="806" customFormat="false" ht="15.75" hidden="false" customHeight="true" outlineLevel="0" collapsed="false">
      <c r="A806" s="9" t="s">
        <v>259</v>
      </c>
      <c r="B806" s="10" t="s">
        <v>26</v>
      </c>
      <c r="C806" s="11" t="s">
        <v>270</v>
      </c>
      <c r="D806" s="10" t="s">
        <v>28</v>
      </c>
      <c r="E806" s="10" t="s">
        <v>28</v>
      </c>
      <c r="F806" s="10"/>
      <c r="G806" s="10" t="n">
        <v>27</v>
      </c>
      <c r="H806" s="10" t="n">
        <v>6.1</v>
      </c>
      <c r="I806" s="12" t="n">
        <v>1</v>
      </c>
      <c r="J806" s="12"/>
      <c r="K806" s="13" t="n">
        <f aca="false">42.83</f>
        <v>42.83</v>
      </c>
      <c r="L806" s="13" t="n">
        <f aca="false">150.82</f>
        <v>150.82</v>
      </c>
      <c r="M806" s="12" t="n">
        <v>16</v>
      </c>
      <c r="N806" s="12" t="n">
        <v>36</v>
      </c>
      <c r="O806" s="12" t="n">
        <v>148.5</v>
      </c>
      <c r="P806" s="13" t="n">
        <f aca="false">24.73</f>
        <v>24.73</v>
      </c>
      <c r="Q806" s="13" t="n">
        <f aca="false">163.26</f>
        <v>163.26</v>
      </c>
      <c r="R806" s="12" t="n">
        <v>16.1</v>
      </c>
      <c r="S806" s="12" t="n">
        <v>24.1</v>
      </c>
      <c r="T806" s="12" t="n">
        <v>566</v>
      </c>
      <c r="U806" s="14" t="s">
        <v>29</v>
      </c>
      <c r="V806" s="15"/>
      <c r="W806" s="16" t="str">
        <f aca="false">A806</f>
        <v>SG</v>
      </c>
      <c r="X806" s="17" t="e">
        <f aca="false">ifs(C806="","",X806="",NOW(),TRUE(),X806)</f>
        <v>#VALUE!</v>
      </c>
      <c r="Y806" s="17" t="e">
        <f aca="false">ifs(COUNTA(K806:U809)&lt;44,"",Y806="",NOW(),TRUE(),Y806)</f>
        <v>#VALUE!</v>
      </c>
    </row>
    <row r="807" customFormat="false" ht="15.75" hidden="false" customHeight="false" outlineLevel="0" collapsed="false">
      <c r="A807" s="9"/>
      <c r="B807" s="10"/>
      <c r="C807" s="10"/>
      <c r="D807" s="10"/>
      <c r="E807" s="10"/>
      <c r="F807" s="10"/>
      <c r="G807" s="10"/>
      <c r="H807" s="10"/>
      <c r="I807" s="18" t="n">
        <v>2</v>
      </c>
      <c r="J807" s="18"/>
      <c r="K807" s="19" t="n">
        <f aca="false">41.54</f>
        <v>41.54</v>
      </c>
      <c r="L807" s="19" t="n">
        <f aca="false">134.04</f>
        <v>134.04</v>
      </c>
      <c r="M807" s="18" t="n">
        <v>14</v>
      </c>
      <c r="N807" s="18" t="n">
        <v>34</v>
      </c>
      <c r="O807" s="18" t="n">
        <v>121</v>
      </c>
      <c r="P807" s="19" t="n">
        <f aca="false">26.23</f>
        <v>26.23</v>
      </c>
      <c r="Q807" s="19" t="n">
        <f aca="false">145.43</f>
        <v>145.43</v>
      </c>
      <c r="R807" s="18" t="n">
        <v>15.4</v>
      </c>
      <c r="S807" s="18" t="n">
        <v>24.1</v>
      </c>
      <c r="T807" s="18" t="n">
        <v>466</v>
      </c>
      <c r="U807" s="20" t="s">
        <v>29</v>
      </c>
      <c r="V807" s="21"/>
      <c r="W807" s="16"/>
      <c r="X807" s="16"/>
      <c r="Y807" s="16"/>
    </row>
    <row r="808" customFormat="false" ht="15.75" hidden="false" customHeight="false" outlineLevel="0" collapsed="false">
      <c r="A808" s="9"/>
      <c r="B808" s="10"/>
      <c r="C808" s="10"/>
      <c r="D808" s="10"/>
      <c r="E808" s="10"/>
      <c r="F808" s="10"/>
      <c r="G808" s="10"/>
      <c r="H808" s="10"/>
      <c r="I808" s="22" t="n">
        <v>3</v>
      </c>
      <c r="J808" s="22" t="s">
        <v>47</v>
      </c>
      <c r="K808" s="23" t="n">
        <f aca="false">44.32</f>
        <v>44.32</v>
      </c>
      <c r="L808" s="23" t="n">
        <f aca="false">141.81</f>
        <v>141.81</v>
      </c>
      <c r="M808" s="22" t="n">
        <v>16</v>
      </c>
      <c r="N808" s="22" t="n">
        <v>34</v>
      </c>
      <c r="O808" s="22" t="n">
        <v>144.85</v>
      </c>
      <c r="P808" s="23" t="n">
        <f aca="false">25.24</f>
        <v>25.24</v>
      </c>
      <c r="Q808" s="23" t="n">
        <f aca="false">154.25</f>
        <v>154.25</v>
      </c>
      <c r="R808" s="22" t="n">
        <v>16.8</v>
      </c>
      <c r="S808" s="22" t="n">
        <v>24.4</v>
      </c>
      <c r="T808" s="22" t="n">
        <v>532</v>
      </c>
      <c r="U808" s="24" t="s">
        <v>29</v>
      </c>
      <c r="V808" s="15"/>
      <c r="W808" s="16"/>
      <c r="X808" s="16"/>
      <c r="Y808" s="16"/>
    </row>
    <row r="809" customFormat="false" ht="15.75" hidden="false" customHeight="false" outlineLevel="0" collapsed="false">
      <c r="A809" s="9"/>
      <c r="B809" s="10"/>
      <c r="C809" s="10"/>
      <c r="D809" s="10"/>
      <c r="E809" s="10"/>
      <c r="F809" s="10"/>
      <c r="G809" s="10"/>
      <c r="H809" s="10"/>
      <c r="I809" s="25" t="n">
        <v>4</v>
      </c>
      <c r="J809" s="25"/>
      <c r="K809" s="26" t="n">
        <f aca="false">46.53</f>
        <v>46.53</v>
      </c>
      <c r="L809" s="26" t="n">
        <f aca="false">163.39</f>
        <v>163.39</v>
      </c>
      <c r="M809" s="25" t="n">
        <v>14</v>
      </c>
      <c r="N809" s="25" t="n">
        <v>36</v>
      </c>
      <c r="O809" s="25" t="n">
        <v>174.55</v>
      </c>
      <c r="P809" s="26" t="n">
        <f aca="false">27</f>
        <v>27</v>
      </c>
      <c r="Q809" s="26" t="n">
        <f aca="false">167.21</f>
        <v>167.21</v>
      </c>
      <c r="R809" s="25" t="n">
        <v>21.5</v>
      </c>
      <c r="S809" s="25" t="n">
        <v>29.35</v>
      </c>
      <c r="T809" s="25" t="n">
        <v>520</v>
      </c>
      <c r="U809" s="27" t="s">
        <v>29</v>
      </c>
      <c r="V809" s="21"/>
      <c r="W809" s="16"/>
      <c r="X809" s="16"/>
      <c r="Y809" s="16"/>
    </row>
    <row r="810" customFormat="false" ht="15.75" hidden="false" customHeight="true" outlineLevel="0" collapsed="false">
      <c r="A810" s="9" t="s">
        <v>259</v>
      </c>
      <c r="B810" s="10" t="s">
        <v>26</v>
      </c>
      <c r="C810" s="11" t="s">
        <v>271</v>
      </c>
      <c r="D810" s="10" t="s">
        <v>28</v>
      </c>
      <c r="E810" s="10" t="s">
        <v>73</v>
      </c>
      <c r="F810" s="10"/>
      <c r="G810" s="10" t="n">
        <v>44</v>
      </c>
      <c r="H810" s="10" t="n">
        <v>8.8</v>
      </c>
      <c r="I810" s="12" t="n">
        <v>1</v>
      </c>
      <c r="J810" s="12"/>
      <c r="K810" s="13" t="n">
        <f aca="false">45.03</f>
        <v>45.03</v>
      </c>
      <c r="L810" s="13" t="n">
        <f aca="false">133.51</f>
        <v>133.51</v>
      </c>
      <c r="M810" s="12" t="n">
        <v>16</v>
      </c>
      <c r="N810" s="12" t="n">
        <v>30</v>
      </c>
      <c r="O810" s="12" t="n">
        <v>130.5</v>
      </c>
      <c r="P810" s="13" t="n">
        <f aca="false">29.64</f>
        <v>29.64</v>
      </c>
      <c r="Q810" s="13" t="n">
        <f aca="false">144.97</f>
        <v>144.97</v>
      </c>
      <c r="R810" s="12" t="n">
        <v>18.55</v>
      </c>
      <c r="S810" s="12" t="n">
        <v>24.7</v>
      </c>
      <c r="T810" s="12" t="n">
        <v>463</v>
      </c>
      <c r="U810" s="14" t="s">
        <v>29</v>
      </c>
      <c r="V810" s="15"/>
      <c r="W810" s="16" t="str">
        <f aca="false">A810</f>
        <v>SG</v>
      </c>
      <c r="X810" s="17" t="e">
        <f aca="false">ifs(C810="","",X810="",NOW(),TRUE(),X810)</f>
        <v>#VALUE!</v>
      </c>
      <c r="Y810" s="17" t="e">
        <f aca="false">ifs(COUNTA(K810:U813)&lt;44,"",Y810="",NOW(),TRUE(),Y810)</f>
        <v>#VALUE!</v>
      </c>
    </row>
    <row r="811" customFormat="false" ht="15.75" hidden="false" customHeight="false" outlineLevel="0" collapsed="false">
      <c r="A811" s="9"/>
      <c r="B811" s="10"/>
      <c r="C811" s="10"/>
      <c r="D811" s="10"/>
      <c r="E811" s="10"/>
      <c r="F811" s="10"/>
      <c r="G811" s="10"/>
      <c r="H811" s="10"/>
      <c r="I811" s="18" t="n">
        <v>2</v>
      </c>
      <c r="J811" s="18"/>
      <c r="K811" s="19" t="n">
        <f aca="false">35.11</f>
        <v>35.11</v>
      </c>
      <c r="L811" s="19" t="n">
        <f aca="false">136.05</f>
        <v>136.05</v>
      </c>
      <c r="M811" s="18" t="n">
        <v>16</v>
      </c>
      <c r="N811" s="18" t="n">
        <v>30</v>
      </c>
      <c r="O811" s="18" t="n">
        <v>131.35</v>
      </c>
      <c r="P811" s="19" t="n">
        <v>24.34</v>
      </c>
      <c r="Q811" s="19" t="n">
        <v>137.12</v>
      </c>
      <c r="R811" s="18" t="n">
        <v>14.1</v>
      </c>
      <c r="S811" s="18" t="n">
        <v>24.3</v>
      </c>
      <c r="T811" s="18" t="n">
        <v>488</v>
      </c>
      <c r="U811" s="20" t="s">
        <v>29</v>
      </c>
      <c r="V811" s="21"/>
      <c r="W811" s="16"/>
      <c r="X811" s="16"/>
      <c r="Y811" s="16"/>
    </row>
    <row r="812" customFormat="false" ht="15.75" hidden="false" customHeight="false" outlineLevel="0" collapsed="false">
      <c r="A812" s="9"/>
      <c r="B812" s="10"/>
      <c r="C812" s="10"/>
      <c r="D812" s="10"/>
      <c r="E812" s="10"/>
      <c r="F812" s="10"/>
      <c r="G812" s="10"/>
      <c r="H812" s="10"/>
      <c r="I812" s="22" t="n">
        <v>3</v>
      </c>
      <c r="J812" s="22" t="s">
        <v>36</v>
      </c>
      <c r="K812" s="23" t="n">
        <f aca="false">44.09</f>
        <v>44.09</v>
      </c>
      <c r="L812" s="23" t="n">
        <f aca="false">143.07</f>
        <v>143.07</v>
      </c>
      <c r="M812" s="22" t="n">
        <v>14</v>
      </c>
      <c r="N812" s="22" t="n">
        <v>34</v>
      </c>
      <c r="O812" s="22" t="n">
        <v>134.85</v>
      </c>
      <c r="P812" s="23" t="n">
        <f aca="false">26.38</f>
        <v>26.38</v>
      </c>
      <c r="Q812" s="23" t="n">
        <f aca="false">162.58</f>
        <v>162.58</v>
      </c>
      <c r="R812" s="22" t="n">
        <v>16.4</v>
      </c>
      <c r="S812" s="22" t="n">
        <v>25.85</v>
      </c>
      <c r="T812" s="22" t="n">
        <v>459</v>
      </c>
      <c r="U812" s="24" t="s">
        <v>58</v>
      </c>
      <c r="V812" s="15"/>
      <c r="W812" s="16"/>
      <c r="X812" s="16"/>
      <c r="Y812" s="16"/>
    </row>
    <row r="813" customFormat="false" ht="15.75" hidden="false" customHeight="false" outlineLevel="0" collapsed="false">
      <c r="A813" s="9"/>
      <c r="B813" s="10"/>
      <c r="C813" s="10"/>
      <c r="D813" s="10"/>
      <c r="E813" s="10"/>
      <c r="F813" s="10"/>
      <c r="G813" s="10"/>
      <c r="H813" s="10"/>
      <c r="I813" s="25" t="n">
        <v>4</v>
      </c>
      <c r="J813" s="25"/>
      <c r="K813" s="26"/>
      <c r="L813" s="26"/>
      <c r="M813" s="25"/>
      <c r="N813" s="25"/>
      <c r="O813" s="25"/>
      <c r="P813" s="26"/>
      <c r="Q813" s="26"/>
      <c r="R813" s="25"/>
      <c r="S813" s="25"/>
      <c r="T813" s="25"/>
      <c r="U813" s="27"/>
      <c r="V813" s="21"/>
      <c r="W813" s="16"/>
      <c r="X813" s="16"/>
      <c r="Y813" s="16"/>
    </row>
    <row r="814" customFormat="false" ht="15.75" hidden="false" customHeight="true" outlineLevel="0" collapsed="false">
      <c r="A814" s="9" t="s">
        <v>259</v>
      </c>
      <c r="B814" s="10" t="s">
        <v>26</v>
      </c>
      <c r="C814" s="11" t="s">
        <v>272</v>
      </c>
      <c r="D814" s="10" t="s">
        <v>28</v>
      </c>
      <c r="E814" s="10" t="s">
        <v>28</v>
      </c>
      <c r="F814" s="10"/>
      <c r="G814" s="10" t="n">
        <v>78</v>
      </c>
      <c r="H814" s="10" t="n">
        <v>23.65</v>
      </c>
      <c r="I814" s="12" t="n">
        <v>1</v>
      </c>
      <c r="J814" s="12" t="s">
        <v>120</v>
      </c>
      <c r="K814" s="13" t="n">
        <f aca="false">47.5</f>
        <v>47.5</v>
      </c>
      <c r="L814" s="13" t="n">
        <f aca="false">161.94</f>
        <v>161.94</v>
      </c>
      <c r="M814" s="12" t="n">
        <v>14</v>
      </c>
      <c r="N814" s="12" t="n">
        <v>35</v>
      </c>
      <c r="O814" s="12" t="n">
        <v>202.5</v>
      </c>
      <c r="P814" s="13" t="n">
        <f aca="false">28.48</f>
        <v>28.48</v>
      </c>
      <c r="Q814" s="13" t="n">
        <f aca="false">180.09</f>
        <v>180.09</v>
      </c>
      <c r="R814" s="12" t="n">
        <v>25.25</v>
      </c>
      <c r="S814" s="12" t="n">
        <v>35.7</v>
      </c>
      <c r="T814" s="12" t="n">
        <v>506</v>
      </c>
      <c r="U814" s="14" t="s">
        <v>58</v>
      </c>
      <c r="V814" s="15"/>
      <c r="W814" s="16" t="str">
        <f aca="false">A814</f>
        <v>SG</v>
      </c>
      <c r="X814" s="17" t="e">
        <f aca="false">ifs(C814="","",X814="",NOW(),TRUE(),X814)</f>
        <v>#VALUE!</v>
      </c>
      <c r="Y814" s="17" t="e">
        <f aca="false">ifs(COUNTA(K814:U817)&lt;44,"",Y814="",NOW(),TRUE(),Y814)</f>
        <v>#VALUE!</v>
      </c>
    </row>
    <row r="815" customFormat="false" ht="15.75" hidden="false" customHeight="false" outlineLevel="0" collapsed="false">
      <c r="A815" s="9"/>
      <c r="B815" s="10"/>
      <c r="C815" s="10"/>
      <c r="D815" s="10"/>
      <c r="E815" s="10"/>
      <c r="F815" s="10"/>
      <c r="G815" s="10"/>
      <c r="H815" s="10"/>
      <c r="I815" s="18" t="n">
        <v>2</v>
      </c>
      <c r="J815" s="18"/>
      <c r="K815" s="19" t="n">
        <f aca="false">45.34</f>
        <v>45.34</v>
      </c>
      <c r="L815" s="19" t="n">
        <f aca="false">181.97</f>
        <v>181.97</v>
      </c>
      <c r="M815" s="18" t="n">
        <v>14</v>
      </c>
      <c r="N815" s="18" t="n">
        <v>40</v>
      </c>
      <c r="O815" s="18" t="n">
        <v>210.8</v>
      </c>
      <c r="P815" s="19" t="n">
        <f aca="false">29.17</f>
        <v>29.17</v>
      </c>
      <c r="Q815" s="19" t="n">
        <f aca="false">195.54</f>
        <v>195.54</v>
      </c>
      <c r="R815" s="18" t="n">
        <v>25.45</v>
      </c>
      <c r="S815" s="18" t="n">
        <v>32.85</v>
      </c>
      <c r="T815" s="18" t="n">
        <v>565</v>
      </c>
      <c r="U815" s="20" t="s">
        <v>58</v>
      </c>
      <c r="V815" s="21"/>
      <c r="W815" s="16"/>
      <c r="X815" s="16"/>
      <c r="Y815" s="16"/>
    </row>
    <row r="816" customFormat="false" ht="15.75" hidden="false" customHeight="false" outlineLevel="0" collapsed="false">
      <c r="A816" s="9"/>
      <c r="B816" s="10"/>
      <c r="C816" s="10"/>
      <c r="D816" s="10"/>
      <c r="E816" s="10"/>
      <c r="F816" s="10"/>
      <c r="G816" s="10"/>
      <c r="H816" s="10"/>
      <c r="I816" s="22" t="n">
        <v>3</v>
      </c>
      <c r="J816" s="22" t="s">
        <v>36</v>
      </c>
      <c r="K816" s="23" t="n">
        <f aca="false">46.61</f>
        <v>46.61</v>
      </c>
      <c r="L816" s="23" t="n">
        <f aca="false">184.2</f>
        <v>184.2</v>
      </c>
      <c r="M816" s="22" t="n">
        <v>14</v>
      </c>
      <c r="N816" s="22" t="n">
        <v>40</v>
      </c>
      <c r="O816" s="22" t="n">
        <v>221.35</v>
      </c>
      <c r="P816" s="23" t="n">
        <f aca="false">27.61</f>
        <v>27.61</v>
      </c>
      <c r="Q816" s="23" t="n">
        <f aca="false">194</f>
        <v>194</v>
      </c>
      <c r="R816" s="22" t="n">
        <v>27.35</v>
      </c>
      <c r="S816" s="22" t="n">
        <v>37.15</v>
      </c>
      <c r="T816" s="22" t="n">
        <v>553</v>
      </c>
      <c r="U816" s="24" t="s">
        <v>58</v>
      </c>
      <c r="V816" s="15"/>
      <c r="W816" s="16"/>
      <c r="X816" s="16"/>
      <c r="Y816" s="16"/>
    </row>
    <row r="817" customFormat="false" ht="15.75" hidden="false" customHeight="false" outlineLevel="0" collapsed="false">
      <c r="A817" s="9"/>
      <c r="B817" s="10"/>
      <c r="C817" s="10"/>
      <c r="D817" s="10"/>
      <c r="E817" s="10"/>
      <c r="F817" s="10"/>
      <c r="G817" s="10"/>
      <c r="H817" s="10"/>
      <c r="I817" s="25" t="n">
        <v>4</v>
      </c>
      <c r="J817" s="25"/>
      <c r="K817" s="26" t="n">
        <f aca="false">48.58</f>
        <v>48.58</v>
      </c>
      <c r="L817" s="26" t="n">
        <f aca="false">176</f>
        <v>176</v>
      </c>
      <c r="M817" s="25" t="n">
        <v>14</v>
      </c>
      <c r="N817" s="25" t="n">
        <v>40</v>
      </c>
      <c r="O817" s="25" t="n">
        <v>218.6</v>
      </c>
      <c r="P817" s="26" t="n">
        <f aca="false">27.73</f>
        <v>27.73</v>
      </c>
      <c r="Q817" s="26" t="n">
        <f aca="false">185.15</f>
        <v>185.15</v>
      </c>
      <c r="R817" s="25" t="n">
        <v>25.95</v>
      </c>
      <c r="S817" s="25" t="n">
        <v>37.3</v>
      </c>
      <c r="T817" s="25" t="n">
        <v>530</v>
      </c>
      <c r="U817" s="27" t="s">
        <v>58</v>
      </c>
      <c r="V817" s="21"/>
      <c r="W817" s="16"/>
      <c r="X817" s="16"/>
      <c r="Y817" s="16"/>
    </row>
    <row r="818" customFormat="false" ht="15.75" hidden="false" customHeight="true" outlineLevel="0" collapsed="false">
      <c r="A818" s="9" t="s">
        <v>259</v>
      </c>
      <c r="B818" s="10" t="s">
        <v>26</v>
      </c>
      <c r="C818" s="11" t="s">
        <v>273</v>
      </c>
      <c r="D818" s="10" t="s">
        <v>28</v>
      </c>
      <c r="E818" s="10" t="s">
        <v>28</v>
      </c>
      <c r="F818" s="10"/>
      <c r="G818" s="10" t="n">
        <v>2</v>
      </c>
      <c r="H818" s="10" t="n">
        <v>0.45</v>
      </c>
      <c r="I818" s="12" t="n">
        <v>1</v>
      </c>
      <c r="J818" s="12"/>
      <c r="K818" s="13" t="n">
        <f aca="false">45.61</f>
        <v>45.61</v>
      </c>
      <c r="L818" s="13" t="n">
        <f aca="false">172.79</f>
        <v>172.79</v>
      </c>
      <c r="M818" s="12" t="n">
        <v>16</v>
      </c>
      <c r="N818" s="12" t="n">
        <v>42</v>
      </c>
      <c r="O818" s="12" t="n">
        <v>191.55</v>
      </c>
      <c r="P818" s="13" t="n">
        <f aca="false">30.45</f>
        <v>30.45</v>
      </c>
      <c r="Q818" s="13" t="n">
        <f aca="false">186</f>
        <v>186</v>
      </c>
      <c r="R818" s="12" t="n">
        <v>32.9</v>
      </c>
      <c r="S818" s="12" t="n">
        <v>24.1</v>
      </c>
      <c r="T818" s="12" t="n">
        <v>682</v>
      </c>
      <c r="U818" s="14" t="s">
        <v>29</v>
      </c>
      <c r="V818" s="15"/>
      <c r="W818" s="16" t="str">
        <f aca="false">A818</f>
        <v>SG</v>
      </c>
      <c r="X818" s="17" t="e">
        <f aca="false">ifs(C818="","",X818="",NOW(),TRUE(),X818)</f>
        <v>#VALUE!</v>
      </c>
      <c r="Y818" s="17" t="e">
        <f aca="false">ifs(COUNTA(K818:U821)&lt;44,"",Y818="",NOW(),TRUE(),Y818)</f>
        <v>#VALUE!</v>
      </c>
    </row>
    <row r="819" customFormat="false" ht="15.75" hidden="false" customHeight="false" outlineLevel="0" collapsed="false">
      <c r="A819" s="9"/>
      <c r="B819" s="10"/>
      <c r="C819" s="10"/>
      <c r="D819" s="10"/>
      <c r="E819" s="10"/>
      <c r="F819" s="10"/>
      <c r="G819" s="10"/>
      <c r="H819" s="10"/>
      <c r="I819" s="18" t="n">
        <v>2</v>
      </c>
      <c r="J819" s="18" t="s">
        <v>46</v>
      </c>
      <c r="K819" s="19" t="n">
        <f aca="false">45.34</f>
        <v>45.34</v>
      </c>
      <c r="L819" s="19" t="n">
        <f aca="false">137.62</f>
        <v>137.62</v>
      </c>
      <c r="M819" s="18" t="n">
        <v>16</v>
      </c>
      <c r="N819" s="18" t="n">
        <v>31</v>
      </c>
      <c r="O819" s="18" t="n">
        <v>159</v>
      </c>
      <c r="P819" s="19" t="n">
        <f aca="false">29.36</f>
        <v>29.36</v>
      </c>
      <c r="Q819" s="19" t="n">
        <f aca="false">164.23</f>
        <v>164.23</v>
      </c>
      <c r="R819" s="18" t="n">
        <v>29.75</v>
      </c>
      <c r="S819" s="18" t="n">
        <v>22.7</v>
      </c>
      <c r="T819" s="18" t="n">
        <v>535</v>
      </c>
      <c r="U819" s="20" t="s">
        <v>29</v>
      </c>
      <c r="V819" s="21"/>
      <c r="W819" s="16"/>
      <c r="X819" s="16"/>
      <c r="Y819" s="16"/>
    </row>
    <row r="820" customFormat="false" ht="15.75" hidden="false" customHeight="false" outlineLevel="0" collapsed="false">
      <c r="A820" s="9"/>
      <c r="B820" s="10"/>
      <c r="C820" s="10"/>
      <c r="D820" s="10"/>
      <c r="E820" s="10"/>
      <c r="F820" s="10"/>
      <c r="G820" s="10"/>
      <c r="H820" s="10"/>
      <c r="I820" s="22" t="n">
        <v>3</v>
      </c>
      <c r="J820" s="22" t="s">
        <v>49</v>
      </c>
      <c r="K820" s="23" t="n">
        <f aca="false">46.29</f>
        <v>46.29</v>
      </c>
      <c r="L820" s="23" t="n">
        <f aca="false">138.73</f>
        <v>138.73</v>
      </c>
      <c r="M820" s="22" t="n">
        <v>18</v>
      </c>
      <c r="N820" s="22" t="n">
        <v>35</v>
      </c>
      <c r="O820" s="22" t="n">
        <v>164.55</v>
      </c>
      <c r="P820" s="23" t="n">
        <f aca="false">31.69</f>
        <v>31.69</v>
      </c>
      <c r="Q820" s="23" t="n">
        <f aca="false">162.5</f>
        <v>162.5</v>
      </c>
      <c r="R820" s="22" t="n">
        <v>32.75</v>
      </c>
      <c r="S820" s="22" t="n">
        <v>22.9</v>
      </c>
      <c r="T820" s="22" t="n">
        <v>618</v>
      </c>
      <c r="U820" s="24" t="s">
        <v>29</v>
      </c>
      <c r="V820" s="15"/>
      <c r="W820" s="16"/>
      <c r="X820" s="16"/>
      <c r="Y820" s="16"/>
    </row>
    <row r="821" customFormat="false" ht="15.75" hidden="false" customHeight="false" outlineLevel="0" collapsed="false">
      <c r="A821" s="9"/>
      <c r="B821" s="10"/>
      <c r="C821" s="10"/>
      <c r="D821" s="10"/>
      <c r="E821" s="10"/>
      <c r="F821" s="10"/>
      <c r="G821" s="10"/>
      <c r="H821" s="10"/>
      <c r="I821" s="25" t="n">
        <v>4</v>
      </c>
      <c r="J821" s="25" t="s">
        <v>46</v>
      </c>
      <c r="K821" s="26" t="n">
        <f aca="false">48.82</f>
        <v>48.82</v>
      </c>
      <c r="L821" s="26" t="n">
        <f aca="false">146.18</f>
        <v>146.18</v>
      </c>
      <c r="M821" s="25" t="n">
        <v>16</v>
      </c>
      <c r="N821" s="25" t="n">
        <v>40</v>
      </c>
      <c r="O821" s="25" t="n">
        <v>178.45</v>
      </c>
      <c r="P821" s="26" t="n">
        <f aca="false">30.04</f>
        <v>30.04</v>
      </c>
      <c r="Q821" s="26" t="n">
        <f aca="false">168.1</f>
        <v>168.1</v>
      </c>
      <c r="R821" s="25" t="n">
        <v>33.25</v>
      </c>
      <c r="S821" s="25" t="n">
        <v>25.55</v>
      </c>
      <c r="T821" s="25" t="n">
        <v>635</v>
      </c>
      <c r="U821" s="27" t="s">
        <v>29</v>
      </c>
      <c r="V821" s="21"/>
      <c r="W821" s="16"/>
      <c r="X821" s="16"/>
      <c r="Y821" s="16"/>
    </row>
    <row r="822" customFormat="false" ht="15.75" hidden="false" customHeight="true" outlineLevel="0" collapsed="false">
      <c r="A822" s="9" t="s">
        <v>259</v>
      </c>
      <c r="B822" s="10" t="s">
        <v>26</v>
      </c>
      <c r="C822" s="11" t="s">
        <v>274</v>
      </c>
      <c r="D822" s="10" t="s">
        <v>28</v>
      </c>
      <c r="E822" s="10" t="s">
        <v>28</v>
      </c>
      <c r="F822" s="10"/>
      <c r="G822" s="10" t="n">
        <v>0</v>
      </c>
      <c r="H822" s="10" t="n">
        <v>0</v>
      </c>
      <c r="I822" s="12" t="n">
        <v>1</v>
      </c>
      <c r="J822" s="12" t="s">
        <v>49</v>
      </c>
      <c r="K822" s="13" t="n">
        <f aca="false">43.09</f>
        <v>43.09</v>
      </c>
      <c r="L822" s="13" t="n">
        <f aca="false">194</f>
        <v>194</v>
      </c>
      <c r="M822" s="12" t="n">
        <v>12</v>
      </c>
      <c r="N822" s="12" t="n">
        <v>48</v>
      </c>
      <c r="O822" s="12" t="n">
        <v>201.5</v>
      </c>
      <c r="P822" s="13" t="n">
        <f aca="false">26.68</f>
        <v>26.68</v>
      </c>
      <c r="Q822" s="13" t="n">
        <f aca="false">206.08</f>
        <v>206.08</v>
      </c>
      <c r="R822" s="12" t="n">
        <v>27.45</v>
      </c>
      <c r="S822" s="12" t="n">
        <v>27.65</v>
      </c>
      <c r="T822" s="12" t="n">
        <v>617</v>
      </c>
      <c r="U822" s="27" t="s">
        <v>97</v>
      </c>
      <c r="V822" s="15"/>
      <c r="W822" s="16" t="str">
        <f aca="false">A822</f>
        <v>SG</v>
      </c>
      <c r="X822" s="17" t="e">
        <f aca="false">ifs(C822="","",X822="",NOW(),TRUE(),X822)</f>
        <v>#VALUE!</v>
      </c>
      <c r="Y822" s="17" t="e">
        <f aca="false">ifs(COUNTA(K822:U825)&lt;44,"",Y822="",NOW(),TRUE(),Y822)</f>
        <v>#VALUE!</v>
      </c>
    </row>
    <row r="823" customFormat="false" ht="15.75" hidden="false" customHeight="false" outlineLevel="0" collapsed="false">
      <c r="A823" s="9"/>
      <c r="B823" s="10"/>
      <c r="C823" s="10"/>
      <c r="D823" s="10"/>
      <c r="E823" s="10"/>
      <c r="F823" s="10"/>
      <c r="G823" s="10"/>
      <c r="H823" s="10"/>
      <c r="I823" s="18" t="n">
        <v>2</v>
      </c>
      <c r="J823" s="18" t="s">
        <v>46</v>
      </c>
      <c r="K823" s="19" t="n">
        <f aca="false">45.77</f>
        <v>45.77</v>
      </c>
      <c r="L823" s="19" t="n">
        <f aca="false">160.56</f>
        <v>160.56</v>
      </c>
      <c r="M823" s="18" t="n">
        <v>16</v>
      </c>
      <c r="N823" s="18" t="n">
        <v>38</v>
      </c>
      <c r="O823" s="18" t="n">
        <v>161.85</v>
      </c>
      <c r="P823" s="19" t="n">
        <f aca="false">26.99</f>
        <v>26.99</v>
      </c>
      <c r="Q823" s="19" t="n">
        <f aca="false">177.44</f>
        <v>177.44</v>
      </c>
      <c r="R823" s="18" t="n">
        <v>22.35</v>
      </c>
      <c r="S823" s="18" t="n">
        <v>25.5</v>
      </c>
      <c r="T823" s="18" t="n">
        <v>553</v>
      </c>
      <c r="U823" s="27" t="s">
        <v>97</v>
      </c>
      <c r="V823" s="21"/>
      <c r="W823" s="16"/>
      <c r="X823" s="16"/>
      <c r="Y823" s="16"/>
    </row>
    <row r="824" customFormat="false" ht="15.75" hidden="false" customHeight="false" outlineLevel="0" collapsed="false">
      <c r="A824" s="9"/>
      <c r="B824" s="10"/>
      <c r="C824" s="10"/>
      <c r="D824" s="10"/>
      <c r="E824" s="10"/>
      <c r="F824" s="10"/>
      <c r="G824" s="10"/>
      <c r="H824" s="10"/>
      <c r="I824" s="22" t="n">
        <v>3</v>
      </c>
      <c r="J824" s="22" t="s">
        <v>46</v>
      </c>
      <c r="K824" s="23" t="n">
        <f aca="false">43.98</f>
        <v>43.98</v>
      </c>
      <c r="L824" s="23" t="n">
        <f aca="false">134.97</f>
        <v>134.97</v>
      </c>
      <c r="M824" s="22" t="n">
        <v>14</v>
      </c>
      <c r="N824" s="22" t="n">
        <v>36</v>
      </c>
      <c r="O824" s="22" t="n">
        <v>149.1</v>
      </c>
      <c r="P824" s="23" t="n">
        <f aca="false">26.62</f>
        <v>26.62</v>
      </c>
      <c r="Q824" s="23" t="n">
        <f aca="false">166.67</f>
        <v>166.67</v>
      </c>
      <c r="R824" s="22" t="n">
        <v>22.05</v>
      </c>
      <c r="S824" s="22" t="n">
        <v>28.55</v>
      </c>
      <c r="T824" s="22" t="n">
        <v>447</v>
      </c>
      <c r="U824" s="27" t="s">
        <v>97</v>
      </c>
      <c r="V824" s="15"/>
      <c r="W824" s="16"/>
      <c r="X824" s="16"/>
      <c r="Y824" s="16"/>
    </row>
    <row r="825" customFormat="false" ht="15.75" hidden="false" customHeight="false" outlineLevel="0" collapsed="false">
      <c r="A825" s="9"/>
      <c r="B825" s="10"/>
      <c r="C825" s="10"/>
      <c r="D825" s="10"/>
      <c r="E825" s="10"/>
      <c r="F825" s="10"/>
      <c r="G825" s="10"/>
      <c r="H825" s="10"/>
      <c r="I825" s="25" t="n">
        <v>4</v>
      </c>
      <c r="J825" s="25" t="s">
        <v>49</v>
      </c>
      <c r="K825" s="26" t="n">
        <f aca="false">42.15</f>
        <v>42.15</v>
      </c>
      <c r="L825" s="26" t="n">
        <f aca="false">163.14</f>
        <v>163.14</v>
      </c>
      <c r="M825" s="25" t="n">
        <v>12</v>
      </c>
      <c r="N825" s="25" t="n">
        <v>40</v>
      </c>
      <c r="O825" s="25" t="n">
        <v>164.4</v>
      </c>
      <c r="P825" s="26" t="n">
        <f aca="false">25.68</f>
        <v>25.68</v>
      </c>
      <c r="Q825" s="26" t="n">
        <f aca="false">181.67</f>
        <v>181.67</v>
      </c>
      <c r="R825" s="25" t="n">
        <v>23.65</v>
      </c>
      <c r="S825" s="25" t="n">
        <v>30.4</v>
      </c>
      <c r="T825" s="25" t="n">
        <v>474</v>
      </c>
      <c r="U825" s="27" t="s">
        <v>97</v>
      </c>
      <c r="V825" s="21"/>
      <c r="W825" s="16"/>
      <c r="X825" s="16"/>
      <c r="Y825" s="16"/>
    </row>
    <row r="826" customFormat="false" ht="15.75" hidden="false" customHeight="true" outlineLevel="0" collapsed="false">
      <c r="A826" s="9" t="s">
        <v>259</v>
      </c>
      <c r="B826" s="10" t="s">
        <v>26</v>
      </c>
      <c r="C826" s="11" t="s">
        <v>275</v>
      </c>
      <c r="D826" s="10" t="s">
        <v>28</v>
      </c>
      <c r="E826" s="10" t="s">
        <v>28</v>
      </c>
      <c r="F826" s="10"/>
      <c r="G826" s="10" t="n">
        <v>0</v>
      </c>
      <c r="H826" s="10" t="n">
        <v>0</v>
      </c>
      <c r="I826" s="12" t="n">
        <v>1</v>
      </c>
      <c r="J826" s="12"/>
      <c r="K826" s="13" t="n">
        <f aca="false">40.71</f>
        <v>40.71</v>
      </c>
      <c r="L826" s="13" t="n">
        <f aca="false">157.93</f>
        <v>157.93</v>
      </c>
      <c r="M826" s="12" t="n">
        <v>12</v>
      </c>
      <c r="N826" s="12" t="n">
        <v>35</v>
      </c>
      <c r="O826" s="12" t="n">
        <v>137.9</v>
      </c>
      <c r="P826" s="13" t="n">
        <f aca="false">22.98</f>
        <v>22.98</v>
      </c>
      <c r="Q826" s="13" t="n">
        <f aca="false">160.77</f>
        <v>160.77</v>
      </c>
      <c r="R826" s="12" t="n">
        <v>18.2</v>
      </c>
      <c r="S826" s="12" t="n">
        <v>30.35</v>
      </c>
      <c r="T826" s="12" t="n">
        <v>409</v>
      </c>
      <c r="U826" s="14" t="s">
        <v>29</v>
      </c>
      <c r="V826" s="15"/>
      <c r="W826" s="16" t="str">
        <f aca="false">A826</f>
        <v>SG</v>
      </c>
      <c r="X826" s="17" t="e">
        <f aca="false">ifs(C826="","",X826="",NOW(),TRUE(),X826)</f>
        <v>#VALUE!</v>
      </c>
      <c r="Y826" s="17" t="e">
        <f aca="false">ifs(COUNTA(K826:U829)&lt;44,"",Y826="",NOW(),TRUE(),Y826)</f>
        <v>#VALUE!</v>
      </c>
    </row>
    <row r="827" customFormat="false" ht="15.75" hidden="false" customHeight="false" outlineLevel="0" collapsed="false">
      <c r="A827" s="9"/>
      <c r="B827" s="10"/>
      <c r="C827" s="10"/>
      <c r="D827" s="10"/>
      <c r="E827" s="10"/>
      <c r="F827" s="10"/>
      <c r="G827" s="10"/>
      <c r="H827" s="10"/>
      <c r="I827" s="18" t="n">
        <v>2</v>
      </c>
      <c r="J827" s="18" t="s">
        <v>46</v>
      </c>
      <c r="K827" s="19" t="n">
        <f aca="false">45.73</f>
        <v>45.73</v>
      </c>
      <c r="L827" s="19" t="n">
        <f aca="false">137.36</f>
        <v>137.36</v>
      </c>
      <c r="M827" s="18" t="n">
        <v>16</v>
      </c>
      <c r="N827" s="18" t="n">
        <v>35</v>
      </c>
      <c r="O827" s="18" t="n">
        <v>153.4</v>
      </c>
      <c r="P827" s="19" t="n">
        <f aca="false">26.51</f>
        <v>26.51</v>
      </c>
      <c r="Q827" s="19" t="n">
        <f aca="false">165.08</f>
        <v>165.08</v>
      </c>
      <c r="R827" s="18" t="n">
        <v>22.35</v>
      </c>
      <c r="S827" s="18" t="n">
        <v>24.6</v>
      </c>
      <c r="T827" s="18" t="n">
        <v>541</v>
      </c>
      <c r="U827" s="20" t="s">
        <v>29</v>
      </c>
      <c r="V827" s="21"/>
      <c r="W827" s="16"/>
      <c r="X827" s="16"/>
      <c r="Y827" s="16"/>
    </row>
    <row r="828" customFormat="false" ht="15.75" hidden="false" customHeight="false" outlineLevel="0" collapsed="false">
      <c r="A828" s="9"/>
      <c r="B828" s="10"/>
      <c r="C828" s="10"/>
      <c r="D828" s="10"/>
      <c r="E828" s="10"/>
      <c r="F828" s="10"/>
      <c r="G828" s="10"/>
      <c r="H828" s="10"/>
      <c r="I828" s="22" t="n">
        <v>3</v>
      </c>
      <c r="J828" s="22" t="s">
        <v>46</v>
      </c>
      <c r="K828" s="23" t="n">
        <f aca="false">42.96</f>
        <v>42.96</v>
      </c>
      <c r="L828" s="23" t="n">
        <f aca="false">132.72</f>
        <v>132.72</v>
      </c>
      <c r="M828" s="22" t="n">
        <v>14</v>
      </c>
      <c r="N828" s="22" t="n">
        <v>36</v>
      </c>
      <c r="O828" s="22" t="n">
        <v>135.85</v>
      </c>
      <c r="P828" s="23" t="n">
        <f aca="false">23.92</f>
        <v>23.92</v>
      </c>
      <c r="Q828" s="23" t="n">
        <f aca="false">159.97</f>
        <v>159.97</v>
      </c>
      <c r="R828" s="22" t="n">
        <v>15.05</v>
      </c>
      <c r="S828" s="22" t="n">
        <v>25.9</v>
      </c>
      <c r="T828" s="22" t="n">
        <v>487</v>
      </c>
      <c r="U828" s="24" t="s">
        <v>29</v>
      </c>
      <c r="V828" s="15"/>
      <c r="W828" s="16"/>
      <c r="X828" s="16"/>
      <c r="Y828" s="16"/>
    </row>
    <row r="829" customFormat="false" ht="15.75" hidden="false" customHeight="false" outlineLevel="0" collapsed="false">
      <c r="A829" s="9"/>
      <c r="B829" s="10"/>
      <c r="C829" s="10"/>
      <c r="D829" s="10"/>
      <c r="E829" s="10"/>
      <c r="F829" s="10"/>
      <c r="G829" s="10"/>
      <c r="H829" s="10"/>
      <c r="I829" s="25" t="n">
        <v>4</v>
      </c>
      <c r="J829" s="25"/>
      <c r="K829" s="26" t="n">
        <f aca="false">45.9</f>
        <v>45.9</v>
      </c>
      <c r="L829" s="26" t="n">
        <f aca="false">181.65</f>
        <v>181.65</v>
      </c>
      <c r="M829" s="25" t="n">
        <v>16</v>
      </c>
      <c r="N829" s="25" t="n">
        <v>39</v>
      </c>
      <c r="O829" s="25" t="n">
        <v>196.1</v>
      </c>
      <c r="P829" s="26" t="n">
        <f aca="false">27.6</f>
        <v>27.6</v>
      </c>
      <c r="Q829" s="26" t="n">
        <f aca="false">181.72</f>
        <v>181.72</v>
      </c>
      <c r="R829" s="25" t="n">
        <v>23.45</v>
      </c>
      <c r="S829" s="25" t="n">
        <v>27.9</v>
      </c>
      <c r="T829" s="25" t="n">
        <v>640</v>
      </c>
      <c r="U829" s="27" t="s">
        <v>29</v>
      </c>
      <c r="V829" s="21"/>
      <c r="W829" s="16"/>
      <c r="X829" s="16"/>
      <c r="Y829" s="16"/>
    </row>
    <row r="830" customFormat="false" ht="15.75" hidden="false" customHeight="true" outlineLevel="0" collapsed="false">
      <c r="A830" s="9" t="s">
        <v>158</v>
      </c>
      <c r="B830" s="10" t="s">
        <v>176</v>
      </c>
      <c r="C830" s="11" t="s">
        <v>276</v>
      </c>
      <c r="D830" s="10" t="s">
        <v>28</v>
      </c>
      <c r="E830" s="10" t="s">
        <v>28</v>
      </c>
      <c r="F830" s="10"/>
      <c r="G830" s="10" t="n">
        <v>6</v>
      </c>
      <c r="H830" s="10" t="n">
        <v>1.87</v>
      </c>
      <c r="I830" s="12" t="n">
        <v>1</v>
      </c>
      <c r="J830" s="12" t="s">
        <v>46</v>
      </c>
      <c r="K830" s="13" t="n">
        <f aca="false">46.18</f>
        <v>46.18</v>
      </c>
      <c r="L830" s="13" t="n">
        <f aca="false">169.84</f>
        <v>169.84</v>
      </c>
      <c r="M830" s="12" t="n">
        <v>14</v>
      </c>
      <c r="N830" s="12" t="n">
        <v>42</v>
      </c>
      <c r="O830" s="12" t="n">
        <v>183.13</v>
      </c>
      <c r="P830" s="13" t="n">
        <f aca="false">28.16</f>
        <v>28.16</v>
      </c>
      <c r="Q830" s="13" t="n">
        <f aca="false">186.17</f>
        <v>186.17</v>
      </c>
      <c r="R830" s="12" t="n">
        <v>27.14</v>
      </c>
      <c r="S830" s="12" t="n">
        <v>27.08</v>
      </c>
      <c r="T830" s="12" t="n">
        <v>569</v>
      </c>
      <c r="U830" s="14" t="s">
        <v>58</v>
      </c>
      <c r="V830" s="15"/>
      <c r="W830" s="16" t="str">
        <f aca="false">A830</f>
        <v>AK</v>
      </c>
      <c r="X830" s="17" t="e">
        <f aca="false">ifs(C830="","",X830="",NOW(),TRUE(),X830)</f>
        <v>#VALUE!</v>
      </c>
      <c r="Y830" s="17" t="e">
        <f aca="false">ifs(COUNTA(K830:U833)&lt;44,"",Y830="",NOW(),TRUE(),Y830)</f>
        <v>#VALUE!</v>
      </c>
    </row>
    <row r="831" customFormat="false" ht="15.75" hidden="false" customHeight="false" outlineLevel="0" collapsed="false">
      <c r="A831" s="9"/>
      <c r="B831" s="10"/>
      <c r="C831" s="10"/>
      <c r="D831" s="10"/>
      <c r="E831" s="10"/>
      <c r="F831" s="10"/>
      <c r="G831" s="10"/>
      <c r="H831" s="10"/>
      <c r="I831" s="18" t="n">
        <v>2</v>
      </c>
      <c r="J831" s="18" t="s">
        <v>49</v>
      </c>
      <c r="K831" s="19" t="n">
        <f aca="false">44.62</f>
        <v>44.62</v>
      </c>
      <c r="L831" s="19" t="n">
        <f aca="false">171.58</f>
        <v>171.58</v>
      </c>
      <c r="M831" s="18" t="n">
        <v>14</v>
      </c>
      <c r="N831" s="18" t="n">
        <v>44</v>
      </c>
      <c r="O831" s="18" t="n">
        <v>181.34</v>
      </c>
      <c r="P831" s="19" t="n">
        <f aca="false">25.83</f>
        <v>25.83</v>
      </c>
      <c r="Q831" s="19" t="n">
        <f aca="false">182.36</f>
        <v>182.36</v>
      </c>
      <c r="R831" s="18" t="n">
        <v>28.1</v>
      </c>
      <c r="S831" s="18" t="n">
        <v>24.79</v>
      </c>
      <c r="T831" s="18" t="n">
        <v>602</v>
      </c>
      <c r="U831" s="20" t="s">
        <v>58</v>
      </c>
      <c r="V831" s="21"/>
      <c r="W831" s="16"/>
      <c r="X831" s="16"/>
      <c r="Y831" s="16"/>
    </row>
    <row r="832" customFormat="false" ht="15.75" hidden="false" customHeight="false" outlineLevel="0" collapsed="false">
      <c r="A832" s="9"/>
      <c r="B832" s="10"/>
      <c r="C832" s="10"/>
      <c r="D832" s="10"/>
      <c r="E832" s="10"/>
      <c r="F832" s="10"/>
      <c r="G832" s="10"/>
      <c r="H832" s="10"/>
      <c r="I832" s="22" t="n">
        <v>3</v>
      </c>
      <c r="J832" s="22" t="s">
        <v>50</v>
      </c>
      <c r="K832" s="23" t="n">
        <f aca="false">44.99</f>
        <v>44.99</v>
      </c>
      <c r="L832" s="23" t="n">
        <f aca="false">175.57</f>
        <v>175.57</v>
      </c>
      <c r="M832" s="22" t="n">
        <v>16</v>
      </c>
      <c r="N832" s="22" t="n">
        <v>36</v>
      </c>
      <c r="O832" s="22" t="n">
        <v>178.13</v>
      </c>
      <c r="P832" s="23" t="n">
        <f aca="false">25.95</f>
        <v>25.95</v>
      </c>
      <c r="Q832" s="23" t="n">
        <f aca="false">189.41</f>
        <v>189.41</v>
      </c>
      <c r="R832" s="22" t="n">
        <v>29.14</v>
      </c>
      <c r="S832" s="22" t="n">
        <v>28.16</v>
      </c>
      <c r="T832" s="22" t="n">
        <v>525</v>
      </c>
      <c r="U832" s="24" t="s">
        <v>58</v>
      </c>
      <c r="V832" s="15"/>
      <c r="W832" s="16"/>
      <c r="X832" s="16"/>
      <c r="Y832" s="16"/>
    </row>
    <row r="833" customFormat="false" ht="15.75" hidden="false" customHeight="false" outlineLevel="0" collapsed="false">
      <c r="A833" s="9"/>
      <c r="B833" s="10"/>
      <c r="C833" s="10"/>
      <c r="D833" s="10"/>
      <c r="E833" s="10"/>
      <c r="F833" s="10"/>
      <c r="G833" s="10"/>
      <c r="H833" s="10"/>
      <c r="I833" s="25" t="n">
        <v>4</v>
      </c>
      <c r="J833" s="25" t="s">
        <v>46</v>
      </c>
      <c r="K833" s="26" t="n">
        <f aca="false">41.96</f>
        <v>41.96</v>
      </c>
      <c r="L833" s="26" t="n">
        <f aca="false">144.96</f>
        <v>144.96</v>
      </c>
      <c r="M833" s="25" t="n">
        <v>12</v>
      </c>
      <c r="N833" s="25" t="n">
        <v>32</v>
      </c>
      <c r="O833" s="25" t="n">
        <v>128.47</v>
      </c>
      <c r="P833" s="26" t="n">
        <f aca="false">27.14</f>
        <v>27.14</v>
      </c>
      <c r="Q833" s="26" t="n">
        <f aca="false">164.25</f>
        <v>164.25</v>
      </c>
      <c r="R833" s="25" t="n">
        <v>22.93</v>
      </c>
      <c r="S833" s="25" t="n">
        <v>24.36</v>
      </c>
      <c r="T833" s="25" t="n">
        <v>431</v>
      </c>
      <c r="U833" s="27" t="s">
        <v>58</v>
      </c>
      <c r="V833" s="21"/>
      <c r="W833" s="16"/>
      <c r="X833" s="16"/>
      <c r="Y833" s="16"/>
    </row>
    <row r="834" customFormat="false" ht="15.75" hidden="false" customHeight="true" outlineLevel="0" collapsed="false">
      <c r="A834" s="9" t="s">
        <v>158</v>
      </c>
      <c r="B834" s="10" t="s">
        <v>176</v>
      </c>
      <c r="C834" s="11" t="s">
        <v>277</v>
      </c>
      <c r="D834" s="10" t="s">
        <v>28</v>
      </c>
      <c r="E834" s="10" t="s">
        <v>28</v>
      </c>
      <c r="F834" s="10"/>
      <c r="G834" s="10" t="n">
        <v>29</v>
      </c>
      <c r="H834" s="10" t="n">
        <v>6.62</v>
      </c>
      <c r="I834" s="12" t="n">
        <v>1</v>
      </c>
      <c r="J834" s="12" t="s">
        <v>49</v>
      </c>
      <c r="K834" s="13" t="n">
        <f aca="false">44.97</f>
        <v>44.97</v>
      </c>
      <c r="L834" s="13" t="n">
        <f aca="false">160.52</f>
        <v>160.52</v>
      </c>
      <c r="M834" s="12" t="n">
        <v>16</v>
      </c>
      <c r="N834" s="12" t="n">
        <v>38</v>
      </c>
      <c r="O834" s="12" t="n">
        <v>146.4</v>
      </c>
      <c r="P834" s="13" t="n">
        <f aca="false">25.3</f>
        <v>25.3</v>
      </c>
      <c r="Q834" s="13" t="n">
        <f aca="false">169.13</f>
        <v>169.13</v>
      </c>
      <c r="R834" s="12" t="n">
        <v>14.75</v>
      </c>
      <c r="S834" s="12" t="n">
        <v>21.26</v>
      </c>
      <c r="T834" s="12" t="n">
        <v>598</v>
      </c>
      <c r="U834" s="14" t="s">
        <v>97</v>
      </c>
      <c r="V834" s="15"/>
      <c r="W834" s="16" t="str">
        <f aca="false">A834</f>
        <v>AK</v>
      </c>
      <c r="X834" s="17" t="e">
        <f aca="false">ifs(C834="","",X834="",NOW(),TRUE(),X834)</f>
        <v>#VALUE!</v>
      </c>
      <c r="Y834" s="17" t="e">
        <f aca="false">ifs(COUNTA(K834:U837)&lt;44,"",Y834="",NOW(),TRUE(),Y834)</f>
        <v>#VALUE!</v>
      </c>
    </row>
    <row r="835" customFormat="false" ht="15.75" hidden="false" customHeight="false" outlineLevel="0" collapsed="false">
      <c r="A835" s="9"/>
      <c r="B835" s="10"/>
      <c r="C835" s="10"/>
      <c r="D835" s="10"/>
      <c r="E835" s="10"/>
      <c r="F835" s="10"/>
      <c r="G835" s="10"/>
      <c r="H835" s="10"/>
      <c r="I835" s="18" t="n">
        <v>2</v>
      </c>
      <c r="J835" s="18" t="s">
        <v>49</v>
      </c>
      <c r="K835" s="19" t="n">
        <f aca="false">41.71</f>
        <v>41.71</v>
      </c>
      <c r="L835" s="19" t="n">
        <f aca="false">104.18</f>
        <v>104.18</v>
      </c>
      <c r="M835" s="18" t="n">
        <v>14</v>
      </c>
      <c r="N835" s="18" t="n">
        <v>29</v>
      </c>
      <c r="O835" s="18" t="n">
        <v>82.76</v>
      </c>
      <c r="P835" s="19" t="n">
        <f aca="false">27.1</f>
        <v>27.1</v>
      </c>
      <c r="Q835" s="19" t="n">
        <f aca="false">133.34</f>
        <v>133.34</v>
      </c>
      <c r="R835" s="18" t="n">
        <v>12.04</v>
      </c>
      <c r="S835" s="18" t="n">
        <v>23.05</v>
      </c>
      <c r="T835" s="18" t="n">
        <v>304</v>
      </c>
      <c r="U835" s="20" t="s">
        <v>97</v>
      </c>
      <c r="V835" s="21"/>
      <c r="W835" s="16"/>
      <c r="X835" s="16"/>
      <c r="Y835" s="16"/>
    </row>
    <row r="836" customFormat="false" ht="15.75" hidden="false" customHeight="false" outlineLevel="0" collapsed="false">
      <c r="A836" s="9"/>
      <c r="B836" s="10"/>
      <c r="C836" s="10"/>
      <c r="D836" s="10"/>
      <c r="E836" s="10"/>
      <c r="F836" s="10"/>
      <c r="G836" s="10"/>
      <c r="H836" s="10"/>
      <c r="I836" s="22" t="n">
        <v>3</v>
      </c>
      <c r="J836" s="22" t="s">
        <v>49</v>
      </c>
      <c r="K836" s="23" t="n">
        <f aca="false">46.32</f>
        <v>46.32</v>
      </c>
      <c r="L836" s="23" t="n">
        <f aca="false">118.48</f>
        <v>118.48</v>
      </c>
      <c r="M836" s="22" t="n">
        <v>20</v>
      </c>
      <c r="N836" s="22" t="n">
        <v>23</v>
      </c>
      <c r="O836" s="22" t="n">
        <v>111.38</v>
      </c>
      <c r="P836" s="23" t="n">
        <f aca="false">28.61</f>
        <v>28.61</v>
      </c>
      <c r="Q836" s="23" t="n">
        <f aca="false">133.88</f>
        <v>133.88</v>
      </c>
      <c r="R836" s="22" t="n">
        <v>14.2</v>
      </c>
      <c r="S836" s="22" t="n">
        <v>21.47</v>
      </c>
      <c r="T836" s="22" t="n">
        <v>435</v>
      </c>
      <c r="U836" s="24" t="s">
        <v>97</v>
      </c>
      <c r="V836" s="15"/>
      <c r="W836" s="16"/>
      <c r="X836" s="16"/>
      <c r="Y836" s="16"/>
    </row>
    <row r="837" customFormat="false" ht="15.75" hidden="false" customHeight="false" outlineLevel="0" collapsed="false">
      <c r="A837" s="9"/>
      <c r="B837" s="10"/>
      <c r="C837" s="10"/>
      <c r="D837" s="10"/>
      <c r="E837" s="10"/>
      <c r="F837" s="10"/>
      <c r="G837" s="10"/>
      <c r="H837" s="10"/>
      <c r="I837" s="25" t="n">
        <v>4</v>
      </c>
      <c r="J837" s="25" t="s">
        <v>49</v>
      </c>
      <c r="K837" s="26" t="n">
        <f aca="false">42.25</f>
        <v>42.25</v>
      </c>
      <c r="L837" s="26" t="n">
        <f aca="false">105.49</f>
        <v>105.49</v>
      </c>
      <c r="M837" s="25" t="n">
        <v>14</v>
      </c>
      <c r="N837" s="25" t="n">
        <v>27</v>
      </c>
      <c r="O837" s="25" t="n">
        <v>76.1</v>
      </c>
      <c r="P837" s="26" t="n">
        <f aca="false">26.37</f>
        <v>26.37</v>
      </c>
      <c r="Q837" s="26" t="n">
        <f aca="false">121.1</f>
        <v>121.1</v>
      </c>
      <c r="R837" s="25" t="n">
        <v>10.8</v>
      </c>
      <c r="S837" s="25" t="n">
        <v>23.6</v>
      </c>
      <c r="T837" s="25" t="n">
        <v>275</v>
      </c>
      <c r="U837" s="27" t="s">
        <v>97</v>
      </c>
      <c r="V837" s="21"/>
      <c r="W837" s="16"/>
      <c r="X837" s="16"/>
      <c r="Y837" s="16"/>
    </row>
    <row r="838" customFormat="false" ht="15.75" hidden="false" customHeight="true" outlineLevel="0" collapsed="false">
      <c r="A838" s="9" t="s">
        <v>158</v>
      </c>
      <c r="B838" s="10" t="s">
        <v>176</v>
      </c>
      <c r="C838" s="11" t="s">
        <v>278</v>
      </c>
      <c r="D838" s="10" t="s">
        <v>28</v>
      </c>
      <c r="E838" s="10" t="s">
        <v>28</v>
      </c>
      <c r="F838" s="10"/>
      <c r="G838" s="10" t="n">
        <v>17</v>
      </c>
      <c r="H838" s="10" t="n">
        <v>3.73</v>
      </c>
      <c r="I838" s="12" t="n">
        <v>1</v>
      </c>
      <c r="J838" s="12" t="s">
        <v>104</v>
      </c>
      <c r="K838" s="13" t="n">
        <f aca="false">46.38</f>
        <v>46.38</v>
      </c>
      <c r="L838" s="13" t="n">
        <f aca="false">172.74</f>
        <v>172.74</v>
      </c>
      <c r="M838" s="12" t="n">
        <v>16</v>
      </c>
      <c r="N838" s="12" t="n">
        <v>36</v>
      </c>
      <c r="O838" s="12" t="n">
        <v>187.7</v>
      </c>
      <c r="P838" s="13" t="n">
        <f aca="false">28.63</f>
        <v>28.63</v>
      </c>
      <c r="Q838" s="13" t="n">
        <f aca="false">173.91</f>
        <v>173.91</v>
      </c>
      <c r="R838" s="12" t="n">
        <v>28.5</v>
      </c>
      <c r="S838" s="12" t="n">
        <v>26.9</v>
      </c>
      <c r="T838" s="12" t="n">
        <v>586</v>
      </c>
      <c r="U838" s="14" t="s">
        <v>29</v>
      </c>
      <c r="V838" s="15"/>
      <c r="W838" s="16" t="str">
        <f aca="false">A838</f>
        <v>AK</v>
      </c>
      <c r="X838" s="17" t="e">
        <f aca="false">ifs(C838="","",X838="",NOW(),TRUE(),X838)</f>
        <v>#VALUE!</v>
      </c>
      <c r="Y838" s="17" t="e">
        <f aca="false">ifs(COUNTA(K838:U841)&lt;44,"",Y838="",NOW(),TRUE(),Y838)</f>
        <v>#VALUE!</v>
      </c>
    </row>
    <row r="839" customFormat="false" ht="15.75" hidden="false" customHeight="false" outlineLevel="0" collapsed="false">
      <c r="A839" s="9"/>
      <c r="B839" s="10"/>
      <c r="C839" s="10"/>
      <c r="D839" s="10"/>
      <c r="E839" s="10"/>
      <c r="F839" s="10"/>
      <c r="G839" s="10"/>
      <c r="H839" s="10"/>
      <c r="I839" s="18" t="n">
        <v>2</v>
      </c>
      <c r="J839" s="18" t="s">
        <v>33</v>
      </c>
      <c r="K839" s="19" t="n">
        <f aca="false">38.45</f>
        <v>38.45</v>
      </c>
      <c r="L839" s="19" t="n">
        <f aca="false">96.14</f>
        <v>96.14</v>
      </c>
      <c r="M839" s="18" t="n">
        <v>12</v>
      </c>
      <c r="N839" s="18" t="n">
        <v>18</v>
      </c>
      <c r="O839" s="18" t="n">
        <v>60.56</v>
      </c>
      <c r="P839" s="19" t="n">
        <f aca="false">23.98</f>
        <v>23.98</v>
      </c>
      <c r="Q839" s="19" t="n">
        <f aca="false">118.13</f>
        <v>118.13</v>
      </c>
      <c r="R839" s="18" t="n">
        <v>9.99</v>
      </c>
      <c r="S839" s="18" t="n">
        <v>24.88</v>
      </c>
      <c r="T839" s="18" t="n">
        <v>199</v>
      </c>
      <c r="U839" s="20" t="s">
        <v>29</v>
      </c>
      <c r="V839" s="21"/>
      <c r="W839" s="16"/>
      <c r="X839" s="16"/>
      <c r="Y839" s="16"/>
    </row>
    <row r="840" customFormat="false" ht="15.75" hidden="false" customHeight="false" outlineLevel="0" collapsed="false">
      <c r="A840" s="9"/>
      <c r="B840" s="10"/>
      <c r="C840" s="10"/>
      <c r="D840" s="10"/>
      <c r="E840" s="10"/>
      <c r="F840" s="10"/>
      <c r="G840" s="10"/>
      <c r="H840" s="10"/>
      <c r="I840" s="22" t="n">
        <v>3</v>
      </c>
      <c r="J840" s="22" t="s">
        <v>57</v>
      </c>
      <c r="K840" s="23" t="n">
        <f aca="false">37.64</f>
        <v>37.64</v>
      </c>
      <c r="L840" s="23" t="n">
        <f aca="false">81.9</f>
        <v>81.9</v>
      </c>
      <c r="M840" s="22" t="n">
        <v>14</v>
      </c>
      <c r="N840" s="22" t="n">
        <v>14</v>
      </c>
      <c r="O840" s="22" t="n">
        <v>54.45</v>
      </c>
      <c r="P840" s="23" t="n">
        <f aca="false">23.63</f>
        <v>23.63</v>
      </c>
      <c r="Q840" s="23" t="n">
        <f aca="false">123.14</f>
        <v>123.14</v>
      </c>
      <c r="R840" s="22" t="n">
        <v>9</v>
      </c>
      <c r="S840" s="22" t="n">
        <v>23.59</v>
      </c>
      <c r="T840" s="22" t="n">
        <v>188</v>
      </c>
      <c r="U840" s="24" t="s">
        <v>29</v>
      </c>
      <c r="V840" s="15"/>
      <c r="W840" s="16"/>
      <c r="X840" s="16"/>
      <c r="Y840" s="16"/>
    </row>
    <row r="841" customFormat="false" ht="15.75" hidden="false" customHeight="false" outlineLevel="0" collapsed="false">
      <c r="A841" s="9"/>
      <c r="B841" s="10"/>
      <c r="C841" s="10"/>
      <c r="D841" s="10"/>
      <c r="E841" s="10"/>
      <c r="F841" s="10"/>
      <c r="G841" s="10"/>
      <c r="H841" s="10"/>
      <c r="I841" s="25" t="n">
        <v>4</v>
      </c>
      <c r="J841" s="25" t="s">
        <v>33</v>
      </c>
      <c r="K841" s="26" t="n">
        <f aca="false">37.28</f>
        <v>37.28</v>
      </c>
      <c r="L841" s="26" t="n">
        <f aca="false">84.5</f>
        <v>84.5</v>
      </c>
      <c r="M841" s="25" t="n">
        <v>12</v>
      </c>
      <c r="N841" s="25" t="n">
        <v>20</v>
      </c>
      <c r="O841" s="25" t="n">
        <v>58.09</v>
      </c>
      <c r="P841" s="26" t="n">
        <f aca="false">24.64</f>
        <v>24.64</v>
      </c>
      <c r="Q841" s="26" t="n">
        <f aca="false">126.01</f>
        <v>126.01</v>
      </c>
      <c r="R841" s="25" t="n">
        <v>8.27</v>
      </c>
      <c r="S841" s="25" t="n">
        <v>21.35</v>
      </c>
      <c r="T841" s="25" t="n">
        <v>228</v>
      </c>
      <c r="U841" s="27" t="s">
        <v>29</v>
      </c>
      <c r="V841" s="21"/>
      <c r="W841" s="16"/>
      <c r="X841" s="16"/>
      <c r="Y841" s="16"/>
    </row>
    <row r="842" customFormat="false" ht="15.75" hidden="false" customHeight="true" outlineLevel="0" collapsed="false">
      <c r="A842" s="9" t="s">
        <v>158</v>
      </c>
      <c r="B842" s="10" t="s">
        <v>176</v>
      </c>
      <c r="C842" s="11" t="s">
        <v>279</v>
      </c>
      <c r="D842" s="10" t="s">
        <v>28</v>
      </c>
      <c r="E842" s="10" t="s">
        <v>28</v>
      </c>
      <c r="F842" s="10"/>
      <c r="G842" s="10" t="n">
        <v>41</v>
      </c>
      <c r="H842" s="10" t="n">
        <v>9.33</v>
      </c>
      <c r="I842" s="12" t="n">
        <v>1</v>
      </c>
      <c r="J842" s="12" t="s">
        <v>49</v>
      </c>
      <c r="K842" s="13" t="n">
        <f aca="false">40.61</f>
        <v>40.61</v>
      </c>
      <c r="L842" s="13" t="n">
        <f aca="false">142.61</f>
        <v>142.61</v>
      </c>
      <c r="M842" s="12" t="n">
        <v>14</v>
      </c>
      <c r="N842" s="12" t="n">
        <v>28</v>
      </c>
      <c r="O842" s="12" t="n">
        <v>107.3</v>
      </c>
      <c r="P842" s="13" t="n">
        <f aca="false">24.06</f>
        <v>24.06</v>
      </c>
      <c r="Q842" s="13" t="n">
        <f aca="false">150.25</f>
        <v>150.25</v>
      </c>
      <c r="R842" s="12" t="n">
        <v>12.78</v>
      </c>
      <c r="S842" s="12" t="n">
        <v>23.28</v>
      </c>
      <c r="T842" s="12" t="n">
        <v>411</v>
      </c>
      <c r="U842" s="14" t="s">
        <v>58</v>
      </c>
      <c r="V842" s="15"/>
      <c r="W842" s="16" t="str">
        <f aca="false">A842</f>
        <v>AK</v>
      </c>
      <c r="X842" s="17" t="e">
        <f aca="false">ifs(C842="","",X842="",NOW(),TRUE(),X842)</f>
        <v>#VALUE!</v>
      </c>
      <c r="Y842" s="17" t="e">
        <f aca="false">ifs(COUNTA(K842:U845)&lt;44,"",Y842="",NOW(),TRUE(),Y842)</f>
        <v>#VALUE!</v>
      </c>
    </row>
    <row r="843" customFormat="false" ht="15.75" hidden="false" customHeight="false" outlineLevel="0" collapsed="false">
      <c r="A843" s="9"/>
      <c r="B843" s="10"/>
      <c r="C843" s="10"/>
      <c r="D843" s="10"/>
      <c r="E843" s="10"/>
      <c r="F843" s="10"/>
      <c r="G843" s="10"/>
      <c r="H843" s="10"/>
      <c r="I843" s="18" t="n">
        <v>2</v>
      </c>
      <c r="J843" s="18" t="s">
        <v>49</v>
      </c>
      <c r="K843" s="19" t="n">
        <f aca="false">36.71</f>
        <v>36.71</v>
      </c>
      <c r="L843" s="19" t="n">
        <f aca="false">115.37</f>
        <v>115.37</v>
      </c>
      <c r="M843" s="18" t="n">
        <v>12</v>
      </c>
      <c r="N843" s="18" t="n">
        <v>22</v>
      </c>
      <c r="O843" s="18" t="n">
        <v>74.89</v>
      </c>
      <c r="P843" s="19" t="n">
        <f aca="false">22.02</f>
        <v>22.02</v>
      </c>
      <c r="Q843" s="19" t="n">
        <f aca="false">143.05</f>
        <v>143.05</v>
      </c>
      <c r="R843" s="18" t="n">
        <v>9.68</v>
      </c>
      <c r="S843" s="18" t="n">
        <v>23.15</v>
      </c>
      <c r="T843" s="18" t="n">
        <v>273</v>
      </c>
      <c r="U843" s="20" t="s">
        <v>58</v>
      </c>
      <c r="V843" s="21"/>
      <c r="W843" s="16"/>
      <c r="X843" s="16"/>
      <c r="Y843" s="16"/>
    </row>
    <row r="844" customFormat="false" ht="15.75" hidden="false" customHeight="false" outlineLevel="0" collapsed="false">
      <c r="A844" s="9"/>
      <c r="B844" s="10"/>
      <c r="C844" s="10"/>
      <c r="D844" s="10"/>
      <c r="E844" s="10"/>
      <c r="F844" s="10"/>
      <c r="G844" s="10"/>
      <c r="H844" s="10"/>
      <c r="I844" s="22" t="n">
        <v>3</v>
      </c>
      <c r="J844" s="22" t="s">
        <v>49</v>
      </c>
      <c r="K844" s="23" t="n">
        <f aca="false">39.9</f>
        <v>39.9</v>
      </c>
      <c r="L844" s="23" t="n">
        <f aca="false">93.64</f>
        <v>93.64</v>
      </c>
      <c r="M844" s="22" t="n">
        <v>16</v>
      </c>
      <c r="N844" s="22" t="n">
        <v>20</v>
      </c>
      <c r="O844" s="22" t="n">
        <v>67.72</v>
      </c>
      <c r="P844" s="23" t="n">
        <f aca="false">25.08</f>
        <v>25.08</v>
      </c>
      <c r="Q844" s="23" t="n">
        <f aca="false">124.05</f>
        <v>124.05</v>
      </c>
      <c r="R844" s="22" t="n">
        <v>8.8</v>
      </c>
      <c r="S844" s="22" t="n">
        <v>22.25</v>
      </c>
      <c r="T844" s="22" t="n">
        <v>253</v>
      </c>
      <c r="U844" s="24" t="s">
        <v>58</v>
      </c>
      <c r="V844" s="15"/>
      <c r="W844" s="16"/>
      <c r="X844" s="16"/>
      <c r="Y844" s="16"/>
    </row>
    <row r="845" customFormat="false" ht="15.75" hidden="false" customHeight="false" outlineLevel="0" collapsed="false">
      <c r="A845" s="9"/>
      <c r="B845" s="10"/>
      <c r="C845" s="10"/>
      <c r="D845" s="10"/>
      <c r="E845" s="10"/>
      <c r="F845" s="10"/>
      <c r="G845" s="10"/>
      <c r="H845" s="10"/>
      <c r="I845" s="25" t="n">
        <v>4</v>
      </c>
      <c r="J845" s="25" t="s">
        <v>49</v>
      </c>
      <c r="K845" s="26" t="n">
        <f aca="false">38.26</f>
        <v>38.26</v>
      </c>
      <c r="L845" s="26" t="n">
        <f aca="false">94.7</f>
        <v>94.7</v>
      </c>
      <c r="M845" s="25" t="n">
        <v>14</v>
      </c>
      <c r="N845" s="25" t="n">
        <v>18</v>
      </c>
      <c r="O845" s="25" t="n">
        <v>71.18</v>
      </c>
      <c r="P845" s="26" t="n">
        <f aca="false">23.83</f>
        <v>23.83</v>
      </c>
      <c r="Q845" s="26" t="n">
        <f aca="false">138.51</f>
        <v>138.51</v>
      </c>
      <c r="R845" s="25" t="n">
        <v>8.93</v>
      </c>
      <c r="S845" s="25" t="n">
        <v>24.39</v>
      </c>
      <c r="T845" s="25" t="n">
        <v>251</v>
      </c>
      <c r="U845" s="27" t="s">
        <v>58</v>
      </c>
      <c r="V845" s="21"/>
      <c r="W845" s="16"/>
      <c r="X845" s="16"/>
      <c r="Y845" s="16"/>
    </row>
    <row r="846" customFormat="false" ht="15.75" hidden="false" customHeight="true" outlineLevel="0" collapsed="false">
      <c r="A846" s="9" t="s">
        <v>158</v>
      </c>
      <c r="B846" s="10" t="s">
        <v>176</v>
      </c>
      <c r="C846" s="11" t="s">
        <v>280</v>
      </c>
      <c r="D846" s="10" t="s">
        <v>28</v>
      </c>
      <c r="E846" s="10" t="s">
        <v>28</v>
      </c>
      <c r="F846" s="10"/>
      <c r="G846" s="10" t="n">
        <v>51</v>
      </c>
      <c r="H846" s="10" t="n">
        <v>10.96</v>
      </c>
      <c r="I846" s="12" t="n">
        <v>1</v>
      </c>
      <c r="J846" s="12" t="s">
        <v>49</v>
      </c>
      <c r="K846" s="13" t="n">
        <f aca="false">42.91</f>
        <v>42.91</v>
      </c>
      <c r="L846" s="13" t="n">
        <f aca="false">122.52</f>
        <v>122.52</v>
      </c>
      <c r="M846" s="12" t="n">
        <v>18</v>
      </c>
      <c r="N846" s="12" t="n">
        <v>27</v>
      </c>
      <c r="O846" s="12" t="n">
        <v>113.75</v>
      </c>
      <c r="P846" s="13" t="n">
        <f aca="false">23.4</f>
        <v>23.4</v>
      </c>
      <c r="Q846" s="13" t="n">
        <f aca="false">153.6</f>
        <v>153.6</v>
      </c>
      <c r="R846" s="12" t="n">
        <v>12.63</v>
      </c>
      <c r="S846" s="12" t="n">
        <v>21.9</v>
      </c>
      <c r="T846" s="12" t="n">
        <v>445</v>
      </c>
      <c r="U846" s="14" t="s">
        <v>58</v>
      </c>
      <c r="V846" s="15"/>
      <c r="W846" s="16" t="str">
        <f aca="false">A846</f>
        <v>AK</v>
      </c>
      <c r="X846" s="17" t="e">
        <f aca="false">ifs(C846="","",X846="",NOW(),TRUE(),X846)</f>
        <v>#VALUE!</v>
      </c>
      <c r="Y846" s="17" t="e">
        <f aca="false">ifs(COUNTA(K846:U849)&lt;44,"",Y846="",NOW(),TRUE(),Y846)</f>
        <v>#VALUE!</v>
      </c>
    </row>
    <row r="847" customFormat="false" ht="15.75" hidden="false" customHeight="false" outlineLevel="0" collapsed="false">
      <c r="A847" s="9"/>
      <c r="B847" s="10"/>
      <c r="C847" s="10"/>
      <c r="D847" s="10"/>
      <c r="E847" s="10"/>
      <c r="F847" s="10"/>
      <c r="G847" s="10"/>
      <c r="H847" s="10"/>
      <c r="I847" s="18" t="n">
        <v>2</v>
      </c>
      <c r="J847" s="18" t="s">
        <v>49</v>
      </c>
      <c r="K847" s="19" t="n">
        <f aca="false">37.79</f>
        <v>37.79</v>
      </c>
      <c r="L847" s="19" t="n">
        <f aca="false">111.18</f>
        <v>111.18</v>
      </c>
      <c r="M847" s="18" t="n">
        <v>16</v>
      </c>
      <c r="N847" s="18" t="n">
        <v>20</v>
      </c>
      <c r="O847" s="18" t="n">
        <v>83.56</v>
      </c>
      <c r="P847" s="19" t="n">
        <f aca="false">22.69</f>
        <v>22.69</v>
      </c>
      <c r="Q847" s="19" t="n">
        <f aca="false">131.78</f>
        <v>131.78</v>
      </c>
      <c r="R847" s="18" t="n">
        <v>7</v>
      </c>
      <c r="S847" s="18" t="n">
        <v>20.64</v>
      </c>
      <c r="T847" s="18" t="n">
        <v>354</v>
      </c>
      <c r="U847" s="20" t="s">
        <v>58</v>
      </c>
      <c r="V847" s="21"/>
      <c r="W847" s="16"/>
      <c r="X847" s="16"/>
      <c r="Y847" s="16"/>
    </row>
    <row r="848" customFormat="false" ht="15.75" hidden="false" customHeight="false" outlineLevel="0" collapsed="false">
      <c r="A848" s="9"/>
      <c r="B848" s="10"/>
      <c r="C848" s="10"/>
      <c r="D848" s="10"/>
      <c r="E848" s="10"/>
      <c r="F848" s="10"/>
      <c r="G848" s="10"/>
      <c r="H848" s="10"/>
      <c r="I848" s="22" t="n">
        <v>3</v>
      </c>
      <c r="J848" s="22" t="s">
        <v>33</v>
      </c>
      <c r="K848" s="23" t="n">
        <f aca="false">43.74</f>
        <v>43.74</v>
      </c>
      <c r="L848" s="23" t="n">
        <f aca="false">102.9</f>
        <v>102.9</v>
      </c>
      <c r="M848" s="22" t="n">
        <v>16</v>
      </c>
      <c r="N848" s="22" t="n">
        <v>20</v>
      </c>
      <c r="O848" s="22" t="n">
        <v>90.62</v>
      </c>
      <c r="P848" s="23" t="n">
        <f aca="false">25.78</f>
        <v>25.78</v>
      </c>
      <c r="Q848" s="23" t="n">
        <f aca="false">131.9</f>
        <v>131.9</v>
      </c>
      <c r="R848" s="22" t="n">
        <v>9.38</v>
      </c>
      <c r="S848" s="22" t="n">
        <v>23.84</v>
      </c>
      <c r="T848" s="22" t="n">
        <v>342</v>
      </c>
      <c r="U848" s="24" t="s">
        <v>58</v>
      </c>
      <c r="V848" s="15"/>
      <c r="W848" s="16"/>
      <c r="X848" s="16"/>
      <c r="Y848" s="16"/>
    </row>
    <row r="849" customFormat="false" ht="15.75" hidden="false" customHeight="false" outlineLevel="0" collapsed="false">
      <c r="A849" s="9"/>
      <c r="B849" s="10"/>
      <c r="C849" s="10"/>
      <c r="D849" s="10"/>
      <c r="E849" s="10"/>
      <c r="F849" s="10"/>
      <c r="G849" s="10"/>
      <c r="H849" s="10"/>
      <c r="I849" s="25" t="n">
        <v>4</v>
      </c>
      <c r="J849" s="25" t="s">
        <v>33</v>
      </c>
      <c r="K849" s="26" t="n">
        <f aca="false">40.02</f>
        <v>40.02</v>
      </c>
      <c r="L849" s="26" t="n">
        <f aca="false">73.24</f>
        <v>73.24</v>
      </c>
      <c r="M849" s="25" t="n">
        <v>17</v>
      </c>
      <c r="N849" s="25" t="n">
        <v>16</v>
      </c>
      <c r="O849" s="25" t="n">
        <v>42.54</v>
      </c>
      <c r="P849" s="26" t="n">
        <f aca="false">22.15</f>
        <v>22.15</v>
      </c>
      <c r="Q849" s="26" t="n">
        <f aca="false">96.53</f>
        <v>96.53</v>
      </c>
      <c r="R849" s="25" t="n">
        <v>4.58</v>
      </c>
      <c r="S849" s="25" t="n">
        <v>23.54</v>
      </c>
      <c r="T849" s="25" t="n">
        <v>157</v>
      </c>
      <c r="U849" s="27" t="s">
        <v>58</v>
      </c>
      <c r="V849" s="21"/>
      <c r="W849" s="16"/>
      <c r="X849" s="16"/>
      <c r="Y849" s="16"/>
    </row>
    <row r="850" customFormat="false" ht="15.75" hidden="false" customHeight="true" outlineLevel="0" collapsed="false">
      <c r="A850" s="9" t="s">
        <v>158</v>
      </c>
      <c r="B850" s="10" t="s">
        <v>176</v>
      </c>
      <c r="C850" s="11" t="s">
        <v>281</v>
      </c>
      <c r="D850" s="10" t="s">
        <v>28</v>
      </c>
      <c r="E850" s="10" t="s">
        <v>28</v>
      </c>
      <c r="F850" s="10"/>
      <c r="G850" s="10" t="n">
        <v>20</v>
      </c>
      <c r="H850" s="10" t="n">
        <v>3.26</v>
      </c>
      <c r="I850" s="12" t="n">
        <v>1</v>
      </c>
      <c r="J850" s="12" t="s">
        <v>49</v>
      </c>
      <c r="K850" s="13" t="n">
        <f aca="false">37.21</f>
        <v>37.21</v>
      </c>
      <c r="L850" s="13" t="n">
        <f aca="false">80.23</f>
        <v>80.23</v>
      </c>
      <c r="M850" s="12" t="n">
        <v>14</v>
      </c>
      <c r="N850" s="12" t="n">
        <v>18</v>
      </c>
      <c r="O850" s="12" t="n">
        <v>51.76</v>
      </c>
      <c r="P850" s="13" t="n">
        <f aca="false">25.74</f>
        <v>25.74</v>
      </c>
      <c r="Q850" s="13" t="n">
        <f aca="false">95.48</f>
        <v>95.48</v>
      </c>
      <c r="R850" s="12" t="n">
        <v>10.58</v>
      </c>
      <c r="S850" s="12" t="n">
        <v>19.48</v>
      </c>
      <c r="T850" s="12" t="n">
        <v>207</v>
      </c>
      <c r="U850" s="14" t="s">
        <v>29</v>
      </c>
      <c r="V850" s="15"/>
      <c r="W850" s="16" t="str">
        <f aca="false">A850</f>
        <v>AK</v>
      </c>
      <c r="X850" s="17" t="e">
        <f aca="false">ifs(C850="","",X850="",NOW(),TRUE(),X850)</f>
        <v>#VALUE!</v>
      </c>
      <c r="Y850" s="17" t="e">
        <f aca="false">ifs(COUNTA(K850:U853)&lt;44,"",Y850="",NOW(),TRUE(),Y850)</f>
        <v>#VALUE!</v>
      </c>
    </row>
    <row r="851" customFormat="false" ht="15.75" hidden="false" customHeight="false" outlineLevel="0" collapsed="false">
      <c r="A851" s="9"/>
      <c r="B851" s="10"/>
      <c r="C851" s="10"/>
      <c r="D851" s="10"/>
      <c r="E851" s="10"/>
      <c r="F851" s="10"/>
      <c r="G851" s="10"/>
      <c r="H851" s="10"/>
      <c r="I851" s="18" t="n">
        <v>2</v>
      </c>
      <c r="J851" s="18" t="s">
        <v>46</v>
      </c>
      <c r="K851" s="19" t="n">
        <f aca="false">36.58</f>
        <v>36.58</v>
      </c>
      <c r="L851" s="19" t="n">
        <f aca="false">63.6</f>
        <v>63.6</v>
      </c>
      <c r="M851" s="18" t="n">
        <v>14</v>
      </c>
      <c r="N851" s="18" t="n">
        <v>15</v>
      </c>
      <c r="O851" s="18" t="n">
        <v>45.75</v>
      </c>
      <c r="P851" s="19" t="n">
        <f aca="false">25.84</f>
        <v>25.84</v>
      </c>
      <c r="Q851" s="19" t="n">
        <f aca="false">100.15</f>
        <v>100.15</v>
      </c>
      <c r="R851" s="18" t="n">
        <v>9.85</v>
      </c>
      <c r="S851" s="18" t="n">
        <v>20.57</v>
      </c>
      <c r="T851" s="18" t="n">
        <v>171</v>
      </c>
      <c r="U851" s="20" t="s">
        <v>29</v>
      </c>
      <c r="V851" s="21"/>
      <c r="W851" s="16"/>
      <c r="X851" s="16"/>
      <c r="Y851" s="16"/>
    </row>
    <row r="852" customFormat="false" ht="15.75" hidden="false" customHeight="false" outlineLevel="0" collapsed="false">
      <c r="A852" s="9"/>
      <c r="B852" s="10"/>
      <c r="C852" s="10"/>
      <c r="D852" s="10"/>
      <c r="E852" s="10"/>
      <c r="F852" s="10"/>
      <c r="G852" s="10"/>
      <c r="H852" s="10"/>
      <c r="I852" s="22" t="n">
        <v>3</v>
      </c>
      <c r="J852" s="22" t="s">
        <v>46</v>
      </c>
      <c r="K852" s="23" t="n">
        <f aca="false">36.85</f>
        <v>36.85</v>
      </c>
      <c r="L852" s="23" t="n">
        <f aca="false">78.72</f>
        <v>78.72</v>
      </c>
      <c r="M852" s="22" t="n">
        <v>12</v>
      </c>
      <c r="N852" s="22" t="n">
        <v>20</v>
      </c>
      <c r="O852" s="22" t="n">
        <v>54.96</v>
      </c>
      <c r="P852" s="23" t="n">
        <f aca="false">25.42</f>
        <v>25.42</v>
      </c>
      <c r="Q852" s="23" t="n">
        <f aca="false">116.05</f>
        <v>116.05</v>
      </c>
      <c r="R852" s="22" t="n">
        <v>11.08</v>
      </c>
      <c r="S852" s="22" t="n">
        <v>20.74</v>
      </c>
      <c r="T852" s="22" t="n">
        <v>206</v>
      </c>
      <c r="U852" s="24" t="s">
        <v>29</v>
      </c>
      <c r="V852" s="15"/>
      <c r="W852" s="16"/>
      <c r="X852" s="16"/>
      <c r="Y852" s="16"/>
    </row>
    <row r="853" customFormat="false" ht="15.75" hidden="false" customHeight="false" outlineLevel="0" collapsed="false">
      <c r="A853" s="9"/>
      <c r="B853" s="10"/>
      <c r="C853" s="10"/>
      <c r="D853" s="10"/>
      <c r="E853" s="10"/>
      <c r="F853" s="10"/>
      <c r="G853" s="10"/>
      <c r="H853" s="10"/>
      <c r="I853" s="25" t="n">
        <v>4</v>
      </c>
      <c r="J853" s="25" t="s">
        <v>46</v>
      </c>
      <c r="K853" s="26" t="n">
        <f aca="false">36.82</f>
        <v>36.82</v>
      </c>
      <c r="L853" s="26" t="n">
        <f aca="false">78.43</f>
        <v>78.43</v>
      </c>
      <c r="M853" s="25" t="n">
        <v>14</v>
      </c>
      <c r="N853" s="25" t="n">
        <v>17</v>
      </c>
      <c r="O853" s="25" t="n">
        <v>43.33</v>
      </c>
      <c r="P853" s="26" t="n">
        <f aca="false">26.19</f>
        <v>26.19</v>
      </c>
      <c r="Q853" s="26" t="n">
        <f aca="false">108.34</f>
        <v>108.34</v>
      </c>
      <c r="R853" s="25" t="n">
        <v>10.28</v>
      </c>
      <c r="S853" s="25" t="n">
        <v>18.36</v>
      </c>
      <c r="T853" s="25" t="n">
        <v>175</v>
      </c>
      <c r="U853" s="27" t="s">
        <v>29</v>
      </c>
      <c r="V853" s="21"/>
      <c r="W853" s="16"/>
      <c r="X853" s="16"/>
      <c r="Y853" s="16"/>
    </row>
    <row r="854" customFormat="false" ht="15.75" hidden="false" customHeight="true" outlineLevel="0" collapsed="false">
      <c r="A854" s="9" t="s">
        <v>158</v>
      </c>
      <c r="B854" s="10" t="s">
        <v>176</v>
      </c>
      <c r="C854" s="11" t="s">
        <v>282</v>
      </c>
      <c r="D854" s="10" t="s">
        <v>28</v>
      </c>
      <c r="E854" s="10" t="s">
        <v>28</v>
      </c>
      <c r="F854" s="10"/>
      <c r="G854" s="10" t="n">
        <v>23</v>
      </c>
      <c r="H854" s="10" t="n">
        <v>3.05</v>
      </c>
      <c r="I854" s="12" t="n">
        <v>1</v>
      </c>
      <c r="J854" s="12" t="s">
        <v>46</v>
      </c>
      <c r="K854" s="13" t="n">
        <f aca="false">38.94</f>
        <v>38.94</v>
      </c>
      <c r="L854" s="13" t="n">
        <f aca="false">79.77</f>
        <v>79.77</v>
      </c>
      <c r="M854" s="12" t="n">
        <v>12</v>
      </c>
      <c r="N854" s="12" t="n">
        <v>25</v>
      </c>
      <c r="O854" s="12" t="n">
        <v>67.73</v>
      </c>
      <c r="P854" s="13" t="n">
        <f aca="false">23.83</f>
        <v>23.83</v>
      </c>
      <c r="Q854" s="13" t="n">
        <f aca="false">111.9</f>
        <v>111.9</v>
      </c>
      <c r="R854" s="12" t="n">
        <v>13.07</v>
      </c>
      <c r="S854" s="12" t="n">
        <v>23.02</v>
      </c>
      <c r="T854" s="12" t="n">
        <v>239</v>
      </c>
      <c r="U854" s="14" t="s">
        <v>29</v>
      </c>
      <c r="V854" s="15"/>
      <c r="W854" s="16" t="str">
        <f aca="false">A854</f>
        <v>AK</v>
      </c>
      <c r="X854" s="17" t="e">
        <f aca="false">ifs(C854="","",X854="",NOW(),TRUE(),X854)</f>
        <v>#VALUE!</v>
      </c>
      <c r="Y854" s="17" t="e">
        <f aca="false">ifs(COUNTA(K854:U857)&lt;44,"",Y854="",NOW(),TRUE(),Y854)</f>
        <v>#VALUE!</v>
      </c>
    </row>
    <row r="855" customFormat="false" ht="15.75" hidden="false" customHeight="false" outlineLevel="0" collapsed="false">
      <c r="A855" s="9"/>
      <c r="B855" s="10"/>
      <c r="C855" s="10"/>
      <c r="D855" s="10"/>
      <c r="E855" s="10"/>
      <c r="F855" s="10"/>
      <c r="G855" s="10"/>
      <c r="H855" s="10"/>
      <c r="I855" s="18" t="n">
        <v>2</v>
      </c>
      <c r="J855" s="18" t="s">
        <v>46</v>
      </c>
      <c r="K855" s="19" t="n">
        <f aca="false">42.37</f>
        <v>42.37</v>
      </c>
      <c r="L855" s="19" t="n">
        <f aca="false">96.56</f>
        <v>96.56</v>
      </c>
      <c r="M855" s="18" t="n">
        <v>14</v>
      </c>
      <c r="N855" s="18" t="n">
        <v>24</v>
      </c>
      <c r="O855" s="18" t="n">
        <v>91.6</v>
      </c>
      <c r="P855" s="19" t="n">
        <f aca="false">26.86</f>
        <v>26.86</v>
      </c>
      <c r="Q855" s="19" t="n">
        <f aca="false">126.2</f>
        <v>126.2</v>
      </c>
      <c r="R855" s="18" t="n">
        <v>16.52</v>
      </c>
      <c r="S855" s="18" t="n">
        <v>23.43</v>
      </c>
      <c r="T855" s="18" t="n">
        <v>314</v>
      </c>
      <c r="U855" s="20" t="s">
        <v>29</v>
      </c>
      <c r="V855" s="21"/>
      <c r="W855" s="16"/>
      <c r="X855" s="16"/>
      <c r="Y855" s="16"/>
    </row>
    <row r="856" customFormat="false" ht="15.75" hidden="false" customHeight="false" outlineLevel="0" collapsed="false">
      <c r="A856" s="9"/>
      <c r="B856" s="10"/>
      <c r="C856" s="10"/>
      <c r="D856" s="10"/>
      <c r="E856" s="10"/>
      <c r="F856" s="10"/>
      <c r="G856" s="10"/>
      <c r="H856" s="10"/>
      <c r="I856" s="22" t="n">
        <v>3</v>
      </c>
      <c r="J856" s="22" t="s">
        <v>46</v>
      </c>
      <c r="K856" s="23" t="n">
        <f aca="false">38.25</f>
        <v>38.25</v>
      </c>
      <c r="L856" s="23" t="n">
        <f aca="false">71.54</f>
        <v>71.54</v>
      </c>
      <c r="M856" s="22" t="n">
        <v>14</v>
      </c>
      <c r="N856" s="22" t="n">
        <v>18</v>
      </c>
      <c r="O856" s="22" t="n">
        <v>56.09</v>
      </c>
      <c r="P856" s="23" t="n">
        <f aca="false">23.24</f>
        <v>23.24</v>
      </c>
      <c r="Q856" s="23" t="n">
        <f aca="false">102.48</f>
        <v>102.48</v>
      </c>
      <c r="R856" s="22" t="n">
        <v>10.95</v>
      </c>
      <c r="S856" s="22" t="n">
        <v>20.6</v>
      </c>
      <c r="T856" s="22" t="n">
        <v>214</v>
      </c>
      <c r="U856" s="24" t="s">
        <v>29</v>
      </c>
      <c r="V856" s="15"/>
      <c r="W856" s="16"/>
      <c r="X856" s="16"/>
      <c r="Y856" s="16"/>
    </row>
    <row r="857" customFormat="false" ht="15.75" hidden="false" customHeight="false" outlineLevel="0" collapsed="false">
      <c r="A857" s="9"/>
      <c r="B857" s="10"/>
      <c r="C857" s="10"/>
      <c r="D857" s="10"/>
      <c r="E857" s="10"/>
      <c r="F857" s="10"/>
      <c r="G857" s="10"/>
      <c r="H857" s="10"/>
      <c r="I857" s="25" t="n">
        <v>4</v>
      </c>
      <c r="J857" s="25" t="s">
        <v>46</v>
      </c>
      <c r="K857" s="26" t="n">
        <f aca="false">39.65</f>
        <v>39.65</v>
      </c>
      <c r="L857" s="26" t="n">
        <f aca="false">82.12</f>
        <v>82.12</v>
      </c>
      <c r="M857" s="25" t="n">
        <v>14</v>
      </c>
      <c r="N857" s="25" t="n">
        <v>19</v>
      </c>
      <c r="O857" s="25" t="n">
        <v>56.9</v>
      </c>
      <c r="P857" s="26" t="n">
        <f aca="false">27.16</f>
        <v>27.16</v>
      </c>
      <c r="Q857" s="26" t="n">
        <f aca="false">103.78</f>
        <v>103.78</v>
      </c>
      <c r="R857" s="25" t="n">
        <v>13.24</v>
      </c>
      <c r="S857" s="25" t="n">
        <v>18.7</v>
      </c>
      <c r="T857" s="25" t="n">
        <v>236</v>
      </c>
      <c r="U857" s="27" t="s">
        <v>29</v>
      </c>
      <c r="V857" s="21"/>
      <c r="W857" s="16"/>
      <c r="X857" s="16"/>
      <c r="Y857" s="16"/>
    </row>
    <row r="858" customFormat="false" ht="15.75" hidden="false" customHeight="true" outlineLevel="0" collapsed="false">
      <c r="A858" s="9" t="s">
        <v>158</v>
      </c>
      <c r="B858" s="10" t="s">
        <v>176</v>
      </c>
      <c r="C858" s="11" t="s">
        <v>283</v>
      </c>
      <c r="D858" s="10" t="s">
        <v>28</v>
      </c>
      <c r="E858" s="10" t="s">
        <v>28</v>
      </c>
      <c r="F858" s="10"/>
      <c r="G858" s="10" t="n">
        <v>4</v>
      </c>
      <c r="H858" s="10" t="n">
        <v>1.17</v>
      </c>
      <c r="I858" s="12" t="n">
        <v>1</v>
      </c>
      <c r="J858" s="12" t="s">
        <v>284</v>
      </c>
      <c r="K858" s="13" t="n">
        <f aca="false">39.36</f>
        <v>39.36</v>
      </c>
      <c r="L858" s="13" t="n">
        <f aca="false">156.26</f>
        <v>156.26</v>
      </c>
      <c r="M858" s="12" t="n">
        <v>10</v>
      </c>
      <c r="N858" s="12" t="n">
        <v>25</v>
      </c>
      <c r="O858" s="12" t="n">
        <v>66.38</v>
      </c>
      <c r="P858" s="13" t="n">
        <f aca="false">25.67</f>
        <v>25.67</v>
      </c>
      <c r="Q858" s="13" t="n">
        <f aca="false">153.47</f>
        <v>153.47</v>
      </c>
      <c r="R858" s="12" t="n">
        <v>17.04</v>
      </c>
      <c r="S858" s="12" t="n">
        <v>36.26</v>
      </c>
      <c r="T858" s="12" t="n">
        <v>135</v>
      </c>
      <c r="U858" s="14" t="s">
        <v>58</v>
      </c>
      <c r="V858" s="15"/>
      <c r="W858" s="16" t="str">
        <f aca="false">A858</f>
        <v>AK</v>
      </c>
      <c r="X858" s="17" t="e">
        <f aca="false">ifs(C858="","",X858="",NOW(),TRUE(),X858)</f>
        <v>#VALUE!</v>
      </c>
      <c r="Y858" s="17" t="e">
        <f aca="false">ifs(COUNTA(K858:U861)&lt;44,"",Y858="",NOW(),TRUE(),Y858)</f>
        <v>#VALUE!</v>
      </c>
    </row>
    <row r="859" customFormat="false" ht="15.75" hidden="false" customHeight="false" outlineLevel="0" collapsed="false">
      <c r="A859" s="9"/>
      <c r="B859" s="10"/>
      <c r="C859" s="10"/>
      <c r="D859" s="10"/>
      <c r="E859" s="10"/>
      <c r="F859" s="10"/>
      <c r="G859" s="10"/>
      <c r="H859" s="10"/>
      <c r="I859" s="18" t="n">
        <v>2</v>
      </c>
      <c r="J859" s="18" t="s">
        <v>285</v>
      </c>
      <c r="K859" s="19" t="n">
        <f aca="false">38.3</f>
        <v>38.3</v>
      </c>
      <c r="L859" s="19" t="n">
        <f aca="false">81.73</f>
        <v>81.73</v>
      </c>
      <c r="M859" s="18" t="n">
        <v>10</v>
      </c>
      <c r="N859" s="18" t="n">
        <v>18</v>
      </c>
      <c r="O859" s="18" t="n">
        <v>55.64</v>
      </c>
      <c r="P859" s="19" t="n">
        <f aca="false">22.79</f>
        <v>22.79</v>
      </c>
      <c r="Q859" s="19" t="n">
        <f aca="false">94.74</f>
        <v>94.74</v>
      </c>
      <c r="R859" s="18" t="n">
        <v>7.94</v>
      </c>
      <c r="S859" s="18" t="n">
        <v>29.94</v>
      </c>
      <c r="T859" s="18" t="n">
        <v>154</v>
      </c>
      <c r="U859" s="20" t="s">
        <v>58</v>
      </c>
      <c r="V859" s="21"/>
      <c r="W859" s="16"/>
      <c r="X859" s="16"/>
      <c r="Y859" s="16"/>
    </row>
    <row r="860" customFormat="false" ht="15.75" hidden="false" customHeight="false" outlineLevel="0" collapsed="false">
      <c r="A860" s="9"/>
      <c r="B860" s="10"/>
      <c r="C860" s="10"/>
      <c r="D860" s="10"/>
      <c r="E860" s="10"/>
      <c r="F860" s="10"/>
      <c r="G860" s="10"/>
      <c r="H860" s="10"/>
      <c r="I860" s="22" t="n">
        <v>3</v>
      </c>
      <c r="J860" s="22" t="s">
        <v>33</v>
      </c>
      <c r="K860" s="23" t="n">
        <f aca="false">42.83</f>
        <v>42.83</v>
      </c>
      <c r="L860" s="23" t="n">
        <f aca="false">110.9</f>
        <v>110.9</v>
      </c>
      <c r="M860" s="22" t="n">
        <v>12</v>
      </c>
      <c r="N860" s="22" t="n">
        <v>29</v>
      </c>
      <c r="O860" s="22" t="n">
        <v>93.58</v>
      </c>
      <c r="P860" s="23" t="n">
        <f aca="false">23.06</f>
        <v>23.06</v>
      </c>
      <c r="Q860" s="23" t="n">
        <f aca="false">128.1</f>
        <v>128.1</v>
      </c>
      <c r="R860" s="22" t="n">
        <v>12.28</v>
      </c>
      <c r="S860" s="22" t="n">
        <v>30.4</v>
      </c>
      <c r="T860" s="22" t="n">
        <v>135</v>
      </c>
      <c r="U860" s="24" t="s">
        <v>58</v>
      </c>
      <c r="V860" s="15"/>
      <c r="W860" s="16"/>
      <c r="X860" s="16"/>
      <c r="Y860" s="16"/>
    </row>
    <row r="861" customFormat="false" ht="15.75" hidden="false" customHeight="false" outlineLevel="0" collapsed="false">
      <c r="A861" s="9"/>
      <c r="B861" s="10"/>
      <c r="C861" s="10"/>
      <c r="D861" s="10"/>
      <c r="E861" s="10"/>
      <c r="F861" s="10"/>
      <c r="G861" s="10"/>
      <c r="H861" s="10"/>
      <c r="I861" s="25" t="n">
        <v>4</v>
      </c>
      <c r="J861" s="25" t="s">
        <v>111</v>
      </c>
      <c r="K861" s="26" t="n">
        <f aca="false">40.27</f>
        <v>40.27</v>
      </c>
      <c r="L861" s="26" t="n">
        <f aca="false">41.01</f>
        <v>41.01</v>
      </c>
      <c r="M861" s="25" t="n">
        <v>12</v>
      </c>
      <c r="N861" s="25" t="n">
        <v>7</v>
      </c>
      <c r="O861" s="25" t="n">
        <v>37.47</v>
      </c>
      <c r="P861" s="26" t="n">
        <f aca="false">17.28</f>
        <v>17.28</v>
      </c>
      <c r="Q861" s="26" t="n">
        <f aca="false">136.61</f>
        <v>136.61</v>
      </c>
      <c r="R861" s="25" t="n">
        <v>12.87</v>
      </c>
      <c r="S861" s="25"/>
      <c r="T861" s="25" t="n">
        <v>54</v>
      </c>
      <c r="U861" s="27" t="s">
        <v>58</v>
      </c>
      <c r="V861" s="21"/>
      <c r="W861" s="16"/>
      <c r="X861" s="16"/>
      <c r="Y861" s="16"/>
    </row>
    <row r="862" customFormat="false" ht="15.75" hidden="false" customHeight="true" outlineLevel="0" collapsed="false">
      <c r="A862" s="9" t="s">
        <v>158</v>
      </c>
      <c r="B862" s="10" t="s">
        <v>176</v>
      </c>
      <c r="C862" s="11" t="s">
        <v>286</v>
      </c>
      <c r="D862" s="10" t="s">
        <v>28</v>
      </c>
      <c r="E862" s="10" t="s">
        <v>28</v>
      </c>
      <c r="F862" s="10"/>
      <c r="G862" s="10" t="n">
        <v>15</v>
      </c>
      <c r="H862" s="10" t="n">
        <v>3.16</v>
      </c>
      <c r="I862" s="12" t="n">
        <v>1</v>
      </c>
      <c r="J862" s="12" t="s">
        <v>49</v>
      </c>
      <c r="K862" s="13" t="n">
        <f aca="false">41.16</f>
        <v>41.16</v>
      </c>
      <c r="L862" s="13" t="n">
        <f aca="false">119.99</f>
        <v>119.99</v>
      </c>
      <c r="M862" s="12" t="n">
        <v>12</v>
      </c>
      <c r="N862" s="12" t="n">
        <v>30</v>
      </c>
      <c r="O862" s="12" t="n">
        <v>84.66</v>
      </c>
      <c r="P862" s="13" t="n">
        <f aca="false">27.14</f>
        <v>27.14</v>
      </c>
      <c r="Q862" s="13" t="n">
        <f aca="false">119.2</f>
        <v>119.2</v>
      </c>
      <c r="R862" s="12" t="n">
        <v>10.16</v>
      </c>
      <c r="S862" s="12" t="n">
        <v>25.72</v>
      </c>
      <c r="T862" s="12" t="n">
        <v>279</v>
      </c>
      <c r="U862" s="14" t="s">
        <v>58</v>
      </c>
      <c r="V862" s="15"/>
      <c r="W862" s="16" t="str">
        <f aca="false">A862</f>
        <v>AK</v>
      </c>
      <c r="X862" s="17" t="e">
        <f aca="false">ifs(C862="","",X862="",NOW(),TRUE(),X862)</f>
        <v>#VALUE!</v>
      </c>
      <c r="Y862" s="17" t="e">
        <f aca="false">ifs(COUNTA(K862:U865)&lt;44,"",Y862="",NOW(),TRUE(),Y862)</f>
        <v>#VALUE!</v>
      </c>
    </row>
    <row r="863" customFormat="false" ht="15.75" hidden="false" customHeight="false" outlineLevel="0" collapsed="false">
      <c r="A863" s="9"/>
      <c r="B863" s="10"/>
      <c r="C863" s="10"/>
      <c r="D863" s="10"/>
      <c r="E863" s="10"/>
      <c r="F863" s="10"/>
      <c r="G863" s="10"/>
      <c r="H863" s="10"/>
      <c r="I863" s="18" t="n">
        <v>2</v>
      </c>
      <c r="J863" s="18" t="s">
        <v>33</v>
      </c>
      <c r="K863" s="19" t="n">
        <f aca="false">40.8</f>
        <v>40.8</v>
      </c>
      <c r="L863" s="19" t="n">
        <f aca="false">97.66</f>
        <v>97.66</v>
      </c>
      <c r="M863" s="18" t="n">
        <v>16</v>
      </c>
      <c r="N863" s="18" t="n">
        <v>25</v>
      </c>
      <c r="O863" s="18" t="n">
        <v>72.13</v>
      </c>
      <c r="P863" s="19" t="n">
        <f aca="false">22.86</f>
        <v>22.86</v>
      </c>
      <c r="Q863" s="19" t="n">
        <f aca="false">116.94</f>
        <v>116.94</v>
      </c>
      <c r="R863" s="18" t="n">
        <v>7.96</v>
      </c>
      <c r="S863" s="18" t="n">
        <v>21.83</v>
      </c>
      <c r="T863" s="18" t="n">
        <v>288</v>
      </c>
      <c r="U863" s="20" t="s">
        <v>58</v>
      </c>
      <c r="V863" s="21"/>
      <c r="W863" s="16"/>
      <c r="X863" s="16"/>
      <c r="Y863" s="16"/>
    </row>
    <row r="864" customFormat="false" ht="15.75" hidden="false" customHeight="false" outlineLevel="0" collapsed="false">
      <c r="A864" s="9"/>
      <c r="B864" s="10"/>
      <c r="C864" s="10"/>
      <c r="D864" s="10"/>
      <c r="E864" s="10"/>
      <c r="F864" s="10"/>
      <c r="G864" s="10"/>
      <c r="H864" s="10"/>
      <c r="I864" s="22" t="n">
        <v>3</v>
      </c>
      <c r="J864" s="22" t="s">
        <v>49</v>
      </c>
      <c r="K864" s="23" t="n">
        <f aca="false">37.38</f>
        <v>37.38</v>
      </c>
      <c r="L864" s="23" t="n">
        <f aca="false">93.06</f>
        <v>93.06</v>
      </c>
      <c r="M864" s="22" t="n">
        <v>12</v>
      </c>
      <c r="N864" s="22" t="n">
        <v>20</v>
      </c>
      <c r="O864" s="22" t="n">
        <v>54.89</v>
      </c>
      <c r="P864" s="23" t="n">
        <f aca="false">19.6</f>
        <v>19.6</v>
      </c>
      <c r="Q864" s="23" t="n">
        <f aca="false">95.77</f>
        <v>95.77</v>
      </c>
      <c r="R864" s="22" t="n">
        <v>5.99</v>
      </c>
      <c r="S864" s="22" t="n">
        <v>23.64</v>
      </c>
      <c r="T864" s="22" t="n">
        <v>205</v>
      </c>
      <c r="U864" s="24" t="s">
        <v>58</v>
      </c>
      <c r="V864" s="15"/>
      <c r="W864" s="16"/>
      <c r="X864" s="16"/>
      <c r="Y864" s="16"/>
    </row>
    <row r="865" customFormat="false" ht="15.75" hidden="false" customHeight="false" outlineLevel="0" collapsed="false">
      <c r="A865" s="9"/>
      <c r="B865" s="10"/>
      <c r="C865" s="10"/>
      <c r="D865" s="10"/>
      <c r="E865" s="10"/>
      <c r="F865" s="10"/>
      <c r="G865" s="10"/>
      <c r="H865" s="10"/>
      <c r="I865" s="25" t="n">
        <v>4</v>
      </c>
      <c r="J865" s="25" t="s">
        <v>46</v>
      </c>
      <c r="K865" s="26" t="n">
        <f aca="false">37.56</f>
        <v>37.56</v>
      </c>
      <c r="L865" s="26" t="n">
        <f aca="false">85.91</f>
        <v>85.91</v>
      </c>
      <c r="M865" s="25" t="n">
        <v>10</v>
      </c>
      <c r="N865" s="25" t="n">
        <v>20</v>
      </c>
      <c r="O865" s="25" t="n">
        <v>46.53</v>
      </c>
      <c r="P865" s="26" t="n">
        <f aca="false">19.17</f>
        <v>19.17</v>
      </c>
      <c r="Q865" s="26" t="n">
        <f aca="false">84.39</f>
        <v>84.39</v>
      </c>
      <c r="R865" s="25" t="n">
        <v>4.29</v>
      </c>
      <c r="S865" s="25" t="n">
        <v>26.72</v>
      </c>
      <c r="T865" s="25" t="n">
        <v>156</v>
      </c>
      <c r="U865" s="27" t="s">
        <v>58</v>
      </c>
      <c r="V865" s="21"/>
      <c r="W865" s="16"/>
      <c r="X865" s="16"/>
      <c r="Y865" s="16"/>
    </row>
    <row r="866" customFormat="false" ht="15.75" hidden="false" customHeight="false" outlineLevel="0" collapsed="false">
      <c r="A866" s="9"/>
      <c r="B866" s="10"/>
      <c r="C866" s="11"/>
      <c r="D866" s="10"/>
      <c r="E866" s="10"/>
      <c r="F866" s="10"/>
      <c r="G866" s="10"/>
      <c r="H866" s="10"/>
      <c r="I866" s="12" t="n">
        <v>1</v>
      </c>
      <c r="J866" s="12"/>
      <c r="K866" s="13"/>
      <c r="L866" s="13"/>
      <c r="M866" s="12"/>
      <c r="N866" s="12"/>
      <c r="O866" s="12"/>
      <c r="P866" s="13"/>
      <c r="Q866" s="13"/>
      <c r="R866" s="12"/>
      <c r="S866" s="12"/>
      <c r="T866" s="12"/>
      <c r="U866" s="14"/>
      <c r="V866" s="15"/>
      <c r="W866" s="16" t="n">
        <f aca="false">A866</f>
        <v>0</v>
      </c>
      <c r="X866" s="17" t="e">
        <f aca="false">ifs(C866="","",X866="",NOW(),TRUE(),X866)</f>
        <v>#VALUE!</v>
      </c>
      <c r="Y866" s="17" t="e">
        <f aca="false">ifs(COUNTA(K866:U869)&lt;44,"",Y866="",NOW(),TRUE(),Y866)</f>
        <v>#VALUE!</v>
      </c>
    </row>
    <row r="867" customFormat="false" ht="15.75" hidden="false" customHeight="false" outlineLevel="0" collapsed="false">
      <c r="A867" s="9"/>
      <c r="B867" s="10"/>
      <c r="C867" s="10"/>
      <c r="D867" s="10"/>
      <c r="E867" s="10"/>
      <c r="F867" s="10"/>
      <c r="G867" s="10"/>
      <c r="H867" s="10"/>
      <c r="I867" s="18" t="n">
        <v>2</v>
      </c>
      <c r="J867" s="18"/>
      <c r="K867" s="19"/>
      <c r="L867" s="19"/>
      <c r="M867" s="18"/>
      <c r="N867" s="18"/>
      <c r="O867" s="18"/>
      <c r="P867" s="19"/>
      <c r="Q867" s="19"/>
      <c r="R867" s="18"/>
      <c r="S867" s="18"/>
      <c r="T867" s="18"/>
      <c r="U867" s="20"/>
      <c r="V867" s="21"/>
      <c r="W867" s="16"/>
      <c r="X867" s="16"/>
      <c r="Y867" s="16"/>
    </row>
    <row r="868" customFormat="false" ht="15.75" hidden="false" customHeight="false" outlineLevel="0" collapsed="false">
      <c r="A868" s="9"/>
      <c r="B868" s="10"/>
      <c r="C868" s="10"/>
      <c r="D868" s="10"/>
      <c r="E868" s="10"/>
      <c r="F868" s="10"/>
      <c r="G868" s="10"/>
      <c r="H868" s="10"/>
      <c r="I868" s="22" t="n">
        <v>3</v>
      </c>
      <c r="J868" s="22"/>
      <c r="K868" s="23"/>
      <c r="L868" s="23"/>
      <c r="M868" s="22"/>
      <c r="N868" s="22"/>
      <c r="O868" s="22"/>
      <c r="P868" s="23"/>
      <c r="Q868" s="23"/>
      <c r="R868" s="22"/>
      <c r="S868" s="22"/>
      <c r="T868" s="22"/>
      <c r="U868" s="24"/>
      <c r="V868" s="15"/>
      <c r="W868" s="16"/>
      <c r="X868" s="16"/>
      <c r="Y868" s="16"/>
    </row>
    <row r="869" customFormat="false" ht="15.75" hidden="false" customHeight="false" outlineLevel="0" collapsed="false">
      <c r="A869" s="9"/>
      <c r="B869" s="10"/>
      <c r="C869" s="10"/>
      <c r="D869" s="10"/>
      <c r="E869" s="10"/>
      <c r="F869" s="10"/>
      <c r="G869" s="10"/>
      <c r="H869" s="10"/>
      <c r="I869" s="25" t="n">
        <v>4</v>
      </c>
      <c r="J869" s="25"/>
      <c r="K869" s="26"/>
      <c r="L869" s="26"/>
      <c r="M869" s="25"/>
      <c r="N869" s="25"/>
      <c r="O869" s="25"/>
      <c r="P869" s="26"/>
      <c r="Q869" s="26"/>
      <c r="R869" s="25"/>
      <c r="S869" s="25"/>
      <c r="T869" s="25"/>
      <c r="U869" s="27"/>
      <c r="V869" s="21"/>
      <c r="W869" s="16"/>
      <c r="X869" s="16"/>
      <c r="Y869" s="16"/>
    </row>
    <row r="870" customFormat="false" ht="15.75" hidden="false" customHeight="false" outlineLevel="0" collapsed="false">
      <c r="A870" s="9"/>
      <c r="B870" s="10"/>
      <c r="C870" s="11"/>
      <c r="D870" s="10"/>
      <c r="E870" s="10"/>
      <c r="F870" s="10"/>
      <c r="G870" s="10"/>
      <c r="H870" s="10"/>
      <c r="I870" s="12" t="n">
        <v>1</v>
      </c>
      <c r="J870" s="12"/>
      <c r="K870" s="13"/>
      <c r="L870" s="13"/>
      <c r="M870" s="12"/>
      <c r="N870" s="12"/>
      <c r="O870" s="12"/>
      <c r="P870" s="13"/>
      <c r="Q870" s="13"/>
      <c r="R870" s="12"/>
      <c r="S870" s="12"/>
      <c r="T870" s="12"/>
      <c r="U870" s="14"/>
      <c r="V870" s="15"/>
      <c r="W870" s="16" t="n">
        <f aca="false">A870</f>
        <v>0</v>
      </c>
      <c r="X870" s="17" t="e">
        <f aca="false">ifs(C870="","",X870="",NOW(),TRUE(),X870)</f>
        <v>#VALUE!</v>
      </c>
      <c r="Y870" s="17" t="e">
        <f aca="false">ifs(COUNTA(K870:U873)&lt;44,"",Y870="",NOW(),TRUE(),Y870)</f>
        <v>#VALUE!</v>
      </c>
    </row>
    <row r="871" customFormat="false" ht="15.75" hidden="false" customHeight="false" outlineLevel="0" collapsed="false">
      <c r="A871" s="9"/>
      <c r="B871" s="10"/>
      <c r="C871" s="10"/>
      <c r="D871" s="10"/>
      <c r="E871" s="10"/>
      <c r="F871" s="10"/>
      <c r="G871" s="10"/>
      <c r="H871" s="10"/>
      <c r="I871" s="18" t="n">
        <v>2</v>
      </c>
      <c r="J871" s="18"/>
      <c r="K871" s="19"/>
      <c r="L871" s="19"/>
      <c r="M871" s="18"/>
      <c r="N871" s="18"/>
      <c r="O871" s="18"/>
      <c r="P871" s="19"/>
      <c r="Q871" s="19"/>
      <c r="R871" s="18"/>
      <c r="S871" s="18"/>
      <c r="T871" s="18"/>
      <c r="U871" s="20"/>
      <c r="V871" s="21"/>
      <c r="W871" s="16"/>
      <c r="X871" s="16"/>
      <c r="Y871" s="16"/>
    </row>
    <row r="872" customFormat="false" ht="15.75" hidden="false" customHeight="false" outlineLevel="0" collapsed="false">
      <c r="A872" s="9"/>
      <c r="B872" s="10"/>
      <c r="C872" s="10"/>
      <c r="D872" s="10"/>
      <c r="E872" s="10"/>
      <c r="F872" s="10"/>
      <c r="G872" s="10"/>
      <c r="H872" s="10"/>
      <c r="I872" s="22" t="n">
        <v>3</v>
      </c>
      <c r="J872" s="22"/>
      <c r="K872" s="23"/>
      <c r="L872" s="23"/>
      <c r="M872" s="22"/>
      <c r="N872" s="22"/>
      <c r="O872" s="22"/>
      <c r="P872" s="23"/>
      <c r="Q872" s="23"/>
      <c r="R872" s="22"/>
      <c r="S872" s="22"/>
      <c r="T872" s="22"/>
      <c r="U872" s="24"/>
      <c r="V872" s="15"/>
      <c r="W872" s="16"/>
      <c r="X872" s="16"/>
      <c r="Y872" s="16"/>
    </row>
    <row r="873" customFormat="false" ht="15.75" hidden="false" customHeight="false" outlineLevel="0" collapsed="false">
      <c r="A873" s="9"/>
      <c r="B873" s="10"/>
      <c r="C873" s="10"/>
      <c r="D873" s="10"/>
      <c r="E873" s="10"/>
      <c r="F873" s="10"/>
      <c r="G873" s="10"/>
      <c r="H873" s="10"/>
      <c r="I873" s="25" t="n">
        <v>4</v>
      </c>
      <c r="J873" s="25"/>
      <c r="K873" s="26"/>
      <c r="L873" s="26"/>
      <c r="M873" s="25"/>
      <c r="N873" s="25"/>
      <c r="O873" s="25"/>
      <c r="P873" s="26"/>
      <c r="Q873" s="26"/>
      <c r="R873" s="25"/>
      <c r="S873" s="25"/>
      <c r="T873" s="25"/>
      <c r="U873" s="27"/>
      <c r="V873" s="21"/>
      <c r="W873" s="16"/>
      <c r="X873" s="16"/>
      <c r="Y873" s="16"/>
    </row>
    <row r="874" customFormat="false" ht="15.75" hidden="false" customHeight="false" outlineLevel="0" collapsed="false">
      <c r="A874" s="9"/>
      <c r="B874" s="10"/>
      <c r="C874" s="11"/>
      <c r="D874" s="10"/>
      <c r="E874" s="10"/>
      <c r="F874" s="10"/>
      <c r="G874" s="10"/>
      <c r="H874" s="10"/>
      <c r="I874" s="12" t="n">
        <v>1</v>
      </c>
      <c r="J874" s="12"/>
      <c r="K874" s="13"/>
      <c r="L874" s="13"/>
      <c r="M874" s="12"/>
      <c r="N874" s="12"/>
      <c r="O874" s="12"/>
      <c r="P874" s="13"/>
      <c r="Q874" s="13"/>
      <c r="R874" s="12"/>
      <c r="S874" s="12"/>
      <c r="T874" s="12"/>
      <c r="U874" s="14"/>
      <c r="V874" s="15"/>
      <c r="W874" s="16" t="n">
        <f aca="false">A874</f>
        <v>0</v>
      </c>
      <c r="X874" s="17" t="e">
        <f aca="false">ifs(C874="","",X874="",NOW(),TRUE(),X874)</f>
        <v>#VALUE!</v>
      </c>
      <c r="Y874" s="17" t="e">
        <f aca="false">ifs(COUNTA(K874:U877)&lt;44,"",Y874="",NOW(),TRUE(),Y874)</f>
        <v>#VALUE!</v>
      </c>
    </row>
    <row r="875" customFormat="false" ht="15.75" hidden="false" customHeight="false" outlineLevel="0" collapsed="false">
      <c r="A875" s="9"/>
      <c r="B875" s="10"/>
      <c r="C875" s="10"/>
      <c r="D875" s="10"/>
      <c r="E875" s="10"/>
      <c r="F875" s="10"/>
      <c r="G875" s="10"/>
      <c r="H875" s="10"/>
      <c r="I875" s="18" t="n">
        <v>2</v>
      </c>
      <c r="J875" s="18"/>
      <c r="K875" s="19"/>
      <c r="L875" s="19"/>
      <c r="M875" s="18"/>
      <c r="N875" s="18"/>
      <c r="O875" s="18"/>
      <c r="P875" s="19"/>
      <c r="Q875" s="19"/>
      <c r="R875" s="18"/>
      <c r="S875" s="18"/>
      <c r="T875" s="18"/>
      <c r="U875" s="20"/>
      <c r="V875" s="21"/>
      <c r="W875" s="16"/>
      <c r="X875" s="16"/>
      <c r="Y875" s="16"/>
    </row>
    <row r="876" customFormat="false" ht="15.75" hidden="false" customHeight="false" outlineLevel="0" collapsed="false">
      <c r="A876" s="9"/>
      <c r="B876" s="10"/>
      <c r="C876" s="10"/>
      <c r="D876" s="10"/>
      <c r="E876" s="10"/>
      <c r="F876" s="10"/>
      <c r="G876" s="10"/>
      <c r="H876" s="10"/>
      <c r="I876" s="22" t="n">
        <v>3</v>
      </c>
      <c r="J876" s="22"/>
      <c r="K876" s="23"/>
      <c r="L876" s="23"/>
      <c r="M876" s="22"/>
      <c r="N876" s="22"/>
      <c r="O876" s="22"/>
      <c r="P876" s="23"/>
      <c r="Q876" s="23"/>
      <c r="R876" s="22"/>
      <c r="S876" s="22"/>
      <c r="T876" s="22"/>
      <c r="U876" s="24"/>
      <c r="V876" s="15"/>
      <c r="W876" s="16"/>
      <c r="X876" s="16"/>
      <c r="Y876" s="16"/>
    </row>
    <row r="877" customFormat="false" ht="15.75" hidden="false" customHeight="false" outlineLevel="0" collapsed="false">
      <c r="A877" s="9"/>
      <c r="B877" s="10"/>
      <c r="C877" s="10"/>
      <c r="D877" s="10"/>
      <c r="E877" s="10"/>
      <c r="F877" s="10"/>
      <c r="G877" s="10"/>
      <c r="H877" s="10"/>
      <c r="I877" s="25" t="n">
        <v>4</v>
      </c>
      <c r="J877" s="25"/>
      <c r="K877" s="26"/>
      <c r="L877" s="26"/>
      <c r="M877" s="25"/>
      <c r="N877" s="25"/>
      <c r="O877" s="25"/>
      <c r="P877" s="26"/>
      <c r="Q877" s="26"/>
      <c r="R877" s="25"/>
      <c r="S877" s="25"/>
      <c r="T877" s="25"/>
      <c r="U877" s="27"/>
      <c r="V877" s="21"/>
      <c r="W877" s="16"/>
      <c r="X877" s="16"/>
      <c r="Y877" s="16"/>
    </row>
    <row r="878" customFormat="false" ht="15.75" hidden="false" customHeight="false" outlineLevel="0" collapsed="false">
      <c r="A878" s="9"/>
      <c r="B878" s="10"/>
      <c r="C878" s="11"/>
      <c r="D878" s="10"/>
      <c r="E878" s="10"/>
      <c r="F878" s="10"/>
      <c r="G878" s="10"/>
      <c r="H878" s="10"/>
      <c r="I878" s="12" t="n">
        <v>1</v>
      </c>
      <c r="J878" s="12"/>
      <c r="K878" s="13"/>
      <c r="L878" s="13"/>
      <c r="M878" s="12"/>
      <c r="N878" s="12"/>
      <c r="O878" s="12"/>
      <c r="P878" s="13"/>
      <c r="Q878" s="13"/>
      <c r="R878" s="12"/>
      <c r="S878" s="12"/>
      <c r="T878" s="12"/>
      <c r="U878" s="14"/>
      <c r="V878" s="15"/>
      <c r="W878" s="16" t="n">
        <f aca="false">A878</f>
        <v>0</v>
      </c>
      <c r="X878" s="17" t="e">
        <f aca="false">ifs(C878="","",X878="",NOW(),TRUE(),X878)</f>
        <v>#VALUE!</v>
      </c>
      <c r="Y878" s="17" t="e">
        <f aca="false">ifs(COUNTA(K878:U881)&lt;44,"",Y878="",NOW(),TRUE(),Y878)</f>
        <v>#VALUE!</v>
      </c>
    </row>
    <row r="879" customFormat="false" ht="15.75" hidden="false" customHeight="false" outlineLevel="0" collapsed="false">
      <c r="A879" s="9"/>
      <c r="B879" s="10"/>
      <c r="C879" s="10"/>
      <c r="D879" s="10"/>
      <c r="E879" s="10"/>
      <c r="F879" s="10"/>
      <c r="G879" s="10"/>
      <c r="H879" s="10"/>
      <c r="I879" s="18" t="n">
        <v>2</v>
      </c>
      <c r="J879" s="18"/>
      <c r="K879" s="19"/>
      <c r="L879" s="19"/>
      <c r="M879" s="18"/>
      <c r="N879" s="18"/>
      <c r="O879" s="18"/>
      <c r="P879" s="19"/>
      <c r="Q879" s="19"/>
      <c r="R879" s="18"/>
      <c r="S879" s="18"/>
      <c r="T879" s="18"/>
      <c r="U879" s="20"/>
      <c r="V879" s="21"/>
      <c r="W879" s="16"/>
      <c r="X879" s="16"/>
      <c r="Y879" s="16"/>
    </row>
    <row r="880" customFormat="false" ht="15.75" hidden="false" customHeight="false" outlineLevel="0" collapsed="false">
      <c r="A880" s="9"/>
      <c r="B880" s="10"/>
      <c r="C880" s="10"/>
      <c r="D880" s="10"/>
      <c r="E880" s="10"/>
      <c r="F880" s="10"/>
      <c r="G880" s="10"/>
      <c r="H880" s="10"/>
      <c r="I880" s="22" t="n">
        <v>3</v>
      </c>
      <c r="J880" s="22"/>
      <c r="K880" s="23"/>
      <c r="L880" s="23"/>
      <c r="M880" s="22"/>
      <c r="N880" s="22"/>
      <c r="O880" s="22"/>
      <c r="P880" s="23"/>
      <c r="Q880" s="23"/>
      <c r="R880" s="22"/>
      <c r="S880" s="22"/>
      <c r="T880" s="22"/>
      <c r="U880" s="24"/>
      <c r="V880" s="15"/>
      <c r="W880" s="16"/>
      <c r="X880" s="16"/>
      <c r="Y880" s="16"/>
    </row>
    <row r="881" customFormat="false" ht="15.75" hidden="false" customHeight="false" outlineLevel="0" collapsed="false">
      <c r="A881" s="9"/>
      <c r="B881" s="10"/>
      <c r="C881" s="10"/>
      <c r="D881" s="10"/>
      <c r="E881" s="10"/>
      <c r="F881" s="10"/>
      <c r="G881" s="10"/>
      <c r="H881" s="10"/>
      <c r="I881" s="25" t="n">
        <v>4</v>
      </c>
      <c r="J881" s="25"/>
      <c r="K881" s="26"/>
      <c r="L881" s="26"/>
      <c r="M881" s="25"/>
      <c r="N881" s="25"/>
      <c r="O881" s="25"/>
      <c r="P881" s="26"/>
      <c r="Q881" s="26"/>
      <c r="R881" s="25"/>
      <c r="S881" s="25"/>
      <c r="T881" s="25"/>
      <c r="U881" s="27"/>
      <c r="V881" s="21"/>
      <c r="W881" s="16"/>
      <c r="X881" s="16"/>
      <c r="Y881" s="16"/>
    </row>
    <row r="882" customFormat="false" ht="15.75" hidden="false" customHeight="false" outlineLevel="0" collapsed="false">
      <c r="A882" s="9"/>
      <c r="B882" s="10"/>
      <c r="C882" s="11"/>
      <c r="D882" s="10"/>
      <c r="E882" s="10"/>
      <c r="F882" s="10"/>
      <c r="G882" s="10"/>
      <c r="H882" s="10"/>
      <c r="I882" s="12" t="n">
        <v>1</v>
      </c>
      <c r="J882" s="12"/>
      <c r="K882" s="13"/>
      <c r="L882" s="13"/>
      <c r="M882" s="12"/>
      <c r="N882" s="12"/>
      <c r="O882" s="12"/>
      <c r="P882" s="13"/>
      <c r="Q882" s="13"/>
      <c r="R882" s="12"/>
      <c r="S882" s="12"/>
      <c r="T882" s="12"/>
      <c r="U882" s="14"/>
      <c r="V882" s="15"/>
      <c r="W882" s="16" t="n">
        <f aca="false">A882</f>
        <v>0</v>
      </c>
      <c r="X882" s="17" t="e">
        <f aca="false">ifs(C882="","",X882="",NOW(),TRUE(),X882)</f>
        <v>#VALUE!</v>
      </c>
      <c r="Y882" s="17" t="e">
        <f aca="false">ifs(COUNTA(K882:U885)&lt;44,"",Y882="",NOW(),TRUE(),Y882)</f>
        <v>#VALUE!</v>
      </c>
    </row>
    <row r="883" customFormat="false" ht="15.75" hidden="false" customHeight="false" outlineLevel="0" collapsed="false">
      <c r="A883" s="9"/>
      <c r="B883" s="10"/>
      <c r="C883" s="10"/>
      <c r="D883" s="10"/>
      <c r="E883" s="10"/>
      <c r="F883" s="10"/>
      <c r="G883" s="10"/>
      <c r="H883" s="10"/>
      <c r="I883" s="18" t="n">
        <v>2</v>
      </c>
      <c r="J883" s="18"/>
      <c r="K883" s="19"/>
      <c r="L883" s="19"/>
      <c r="M883" s="18"/>
      <c r="N883" s="18"/>
      <c r="O883" s="18"/>
      <c r="P883" s="19"/>
      <c r="Q883" s="19"/>
      <c r="R883" s="18"/>
      <c r="S883" s="18"/>
      <c r="T883" s="18"/>
      <c r="U883" s="20"/>
      <c r="V883" s="21"/>
      <c r="W883" s="16"/>
      <c r="X883" s="16"/>
      <c r="Y883" s="16"/>
    </row>
    <row r="884" customFormat="false" ht="15.75" hidden="false" customHeight="false" outlineLevel="0" collapsed="false">
      <c r="A884" s="9"/>
      <c r="B884" s="10"/>
      <c r="C884" s="10"/>
      <c r="D884" s="10"/>
      <c r="E884" s="10"/>
      <c r="F884" s="10"/>
      <c r="G884" s="10"/>
      <c r="H884" s="10"/>
      <c r="I884" s="22" t="n">
        <v>3</v>
      </c>
      <c r="J884" s="22"/>
      <c r="K884" s="23"/>
      <c r="L884" s="23"/>
      <c r="M884" s="22"/>
      <c r="N884" s="22"/>
      <c r="O884" s="22"/>
      <c r="P884" s="23"/>
      <c r="Q884" s="23"/>
      <c r="R884" s="22"/>
      <c r="S884" s="22"/>
      <c r="T884" s="22"/>
      <c r="U884" s="24"/>
      <c r="V884" s="15"/>
      <c r="W884" s="16"/>
      <c r="X884" s="16"/>
      <c r="Y884" s="16"/>
    </row>
    <row r="885" customFormat="false" ht="15.75" hidden="false" customHeight="false" outlineLevel="0" collapsed="false">
      <c r="A885" s="9"/>
      <c r="B885" s="10"/>
      <c r="C885" s="10"/>
      <c r="D885" s="10"/>
      <c r="E885" s="10"/>
      <c r="F885" s="10"/>
      <c r="G885" s="10"/>
      <c r="H885" s="10"/>
      <c r="I885" s="25" t="n">
        <v>4</v>
      </c>
      <c r="J885" s="25"/>
      <c r="K885" s="26"/>
      <c r="L885" s="26"/>
      <c r="M885" s="25"/>
      <c r="N885" s="25"/>
      <c r="O885" s="25"/>
      <c r="P885" s="26"/>
      <c r="Q885" s="26"/>
      <c r="R885" s="25"/>
      <c r="S885" s="25"/>
      <c r="T885" s="25"/>
      <c r="U885" s="27"/>
      <c r="V885" s="21"/>
      <c r="W885" s="16"/>
      <c r="X885" s="16"/>
      <c r="Y885" s="16"/>
    </row>
    <row r="886" customFormat="false" ht="15.75" hidden="false" customHeight="false" outlineLevel="0" collapsed="false">
      <c r="A886" s="9"/>
      <c r="B886" s="10"/>
      <c r="C886" s="11"/>
      <c r="D886" s="10"/>
      <c r="E886" s="10"/>
      <c r="F886" s="10"/>
      <c r="G886" s="10"/>
      <c r="H886" s="10"/>
      <c r="I886" s="12" t="n">
        <v>1</v>
      </c>
      <c r="J886" s="12"/>
      <c r="K886" s="13"/>
      <c r="L886" s="13"/>
      <c r="M886" s="12"/>
      <c r="N886" s="12"/>
      <c r="O886" s="12"/>
      <c r="P886" s="13"/>
      <c r="Q886" s="13"/>
      <c r="R886" s="12"/>
      <c r="S886" s="12"/>
      <c r="T886" s="12"/>
      <c r="U886" s="14"/>
      <c r="V886" s="15"/>
      <c r="W886" s="16" t="n">
        <f aca="false">A886</f>
        <v>0</v>
      </c>
      <c r="X886" s="17" t="e">
        <f aca="false">ifs(C886="","",X886="",NOW(),TRUE(),X886)</f>
        <v>#VALUE!</v>
      </c>
      <c r="Y886" s="17" t="e">
        <f aca="false">ifs(COUNTA(K886:U889)&lt;44,"",Y886="",NOW(),TRUE(),Y886)</f>
        <v>#VALUE!</v>
      </c>
    </row>
    <row r="887" customFormat="false" ht="15.75" hidden="false" customHeight="false" outlineLevel="0" collapsed="false">
      <c r="A887" s="9"/>
      <c r="B887" s="10"/>
      <c r="C887" s="10"/>
      <c r="D887" s="10"/>
      <c r="E887" s="10"/>
      <c r="F887" s="10"/>
      <c r="G887" s="10"/>
      <c r="H887" s="10"/>
      <c r="I887" s="18" t="n">
        <v>2</v>
      </c>
      <c r="J887" s="18"/>
      <c r="K887" s="19"/>
      <c r="L887" s="19"/>
      <c r="M887" s="18"/>
      <c r="N887" s="18"/>
      <c r="O887" s="18"/>
      <c r="P887" s="19"/>
      <c r="Q887" s="19"/>
      <c r="R887" s="18"/>
      <c r="S887" s="18"/>
      <c r="T887" s="18"/>
      <c r="U887" s="20"/>
      <c r="V887" s="21"/>
      <c r="W887" s="16"/>
      <c r="X887" s="16"/>
      <c r="Y887" s="16"/>
    </row>
    <row r="888" customFormat="false" ht="15.75" hidden="false" customHeight="false" outlineLevel="0" collapsed="false">
      <c r="A888" s="9"/>
      <c r="B888" s="10"/>
      <c r="C888" s="10"/>
      <c r="D888" s="10"/>
      <c r="E888" s="10"/>
      <c r="F888" s="10"/>
      <c r="G888" s="10"/>
      <c r="H888" s="10"/>
      <c r="I888" s="22" t="n">
        <v>3</v>
      </c>
      <c r="J888" s="22"/>
      <c r="K888" s="23"/>
      <c r="L888" s="23"/>
      <c r="M888" s="22"/>
      <c r="N888" s="22"/>
      <c r="O888" s="22"/>
      <c r="P888" s="23"/>
      <c r="Q888" s="23"/>
      <c r="R888" s="22"/>
      <c r="S888" s="22"/>
      <c r="T888" s="22"/>
      <c r="U888" s="24"/>
      <c r="V888" s="15"/>
      <c r="W888" s="16"/>
      <c r="X888" s="16"/>
      <c r="Y888" s="16"/>
    </row>
    <row r="889" customFormat="false" ht="15.75" hidden="false" customHeight="false" outlineLevel="0" collapsed="false">
      <c r="A889" s="9"/>
      <c r="B889" s="10"/>
      <c r="C889" s="10"/>
      <c r="D889" s="10"/>
      <c r="E889" s="10"/>
      <c r="F889" s="10"/>
      <c r="G889" s="10"/>
      <c r="H889" s="10"/>
      <c r="I889" s="25" t="n">
        <v>4</v>
      </c>
      <c r="J889" s="25"/>
      <c r="K889" s="26"/>
      <c r="L889" s="26"/>
      <c r="M889" s="25"/>
      <c r="N889" s="25"/>
      <c r="O889" s="25"/>
      <c r="P889" s="26"/>
      <c r="Q889" s="26"/>
      <c r="R889" s="25"/>
      <c r="S889" s="25"/>
      <c r="T889" s="25"/>
      <c r="U889" s="27"/>
      <c r="V889" s="21"/>
      <c r="W889" s="16"/>
      <c r="X889" s="16"/>
      <c r="Y889" s="16"/>
    </row>
    <row r="890" customFormat="false" ht="15.75" hidden="false" customHeight="false" outlineLevel="0" collapsed="false">
      <c r="A890" s="9"/>
      <c r="B890" s="10"/>
      <c r="C890" s="11"/>
      <c r="D890" s="10"/>
      <c r="E890" s="10"/>
      <c r="F890" s="10"/>
      <c r="G890" s="10"/>
      <c r="H890" s="10"/>
      <c r="I890" s="12" t="n">
        <v>1</v>
      </c>
      <c r="J890" s="12"/>
      <c r="K890" s="13"/>
      <c r="L890" s="13"/>
      <c r="M890" s="12"/>
      <c r="N890" s="12"/>
      <c r="O890" s="12"/>
      <c r="P890" s="13"/>
      <c r="Q890" s="13"/>
      <c r="R890" s="12"/>
      <c r="S890" s="12"/>
      <c r="T890" s="12"/>
      <c r="U890" s="14"/>
      <c r="V890" s="15"/>
      <c r="W890" s="16" t="n">
        <f aca="false">A890</f>
        <v>0</v>
      </c>
      <c r="X890" s="17" t="e">
        <f aca="false">ifs(C890="","",X890="",NOW(),TRUE(),X890)</f>
        <v>#VALUE!</v>
      </c>
      <c r="Y890" s="17" t="e">
        <f aca="false">ifs(COUNTA(K890:U893)&lt;44,"",Y890="",NOW(),TRUE(),Y890)</f>
        <v>#VALUE!</v>
      </c>
    </row>
    <row r="891" customFormat="false" ht="15.75" hidden="false" customHeight="false" outlineLevel="0" collapsed="false">
      <c r="A891" s="9"/>
      <c r="B891" s="10"/>
      <c r="C891" s="10"/>
      <c r="D891" s="10"/>
      <c r="E891" s="10"/>
      <c r="F891" s="10"/>
      <c r="G891" s="10"/>
      <c r="H891" s="10"/>
      <c r="I891" s="18" t="n">
        <v>2</v>
      </c>
      <c r="J891" s="18"/>
      <c r="K891" s="19"/>
      <c r="L891" s="19"/>
      <c r="M891" s="18"/>
      <c r="N891" s="18"/>
      <c r="O891" s="18"/>
      <c r="P891" s="19"/>
      <c r="Q891" s="19"/>
      <c r="R891" s="18"/>
      <c r="S891" s="18"/>
      <c r="T891" s="18"/>
      <c r="U891" s="20"/>
      <c r="V891" s="21"/>
      <c r="W891" s="16"/>
      <c r="X891" s="16"/>
      <c r="Y891" s="16"/>
    </row>
    <row r="892" customFormat="false" ht="15.75" hidden="false" customHeight="false" outlineLevel="0" collapsed="false">
      <c r="A892" s="9"/>
      <c r="B892" s="10"/>
      <c r="C892" s="10"/>
      <c r="D892" s="10"/>
      <c r="E892" s="10"/>
      <c r="F892" s="10"/>
      <c r="G892" s="10"/>
      <c r="H892" s="10"/>
      <c r="I892" s="22" t="n">
        <v>3</v>
      </c>
      <c r="J892" s="22"/>
      <c r="K892" s="23"/>
      <c r="L892" s="23"/>
      <c r="M892" s="22"/>
      <c r="N892" s="22"/>
      <c r="O892" s="22"/>
      <c r="P892" s="23"/>
      <c r="Q892" s="23"/>
      <c r="R892" s="22"/>
      <c r="S892" s="22"/>
      <c r="T892" s="22"/>
      <c r="U892" s="24"/>
      <c r="V892" s="15"/>
      <c r="W892" s="16"/>
      <c r="X892" s="16"/>
      <c r="Y892" s="16"/>
    </row>
    <row r="893" customFormat="false" ht="15.75" hidden="false" customHeight="false" outlineLevel="0" collapsed="false">
      <c r="A893" s="9"/>
      <c r="B893" s="10"/>
      <c r="C893" s="10"/>
      <c r="D893" s="10"/>
      <c r="E893" s="10"/>
      <c r="F893" s="10"/>
      <c r="G893" s="10"/>
      <c r="H893" s="10"/>
      <c r="I893" s="25" t="n">
        <v>4</v>
      </c>
      <c r="J893" s="25"/>
      <c r="K893" s="26"/>
      <c r="L893" s="26"/>
      <c r="M893" s="25"/>
      <c r="N893" s="25"/>
      <c r="O893" s="25"/>
      <c r="P893" s="26"/>
      <c r="Q893" s="26"/>
      <c r="R893" s="25"/>
      <c r="S893" s="25"/>
      <c r="T893" s="25"/>
      <c r="U893" s="27"/>
      <c r="V893" s="21"/>
      <c r="W893" s="16"/>
      <c r="X893" s="16"/>
      <c r="Y893" s="16"/>
    </row>
    <row r="894" customFormat="false" ht="15.75" hidden="false" customHeight="false" outlineLevel="0" collapsed="false">
      <c r="A894" s="9"/>
      <c r="B894" s="10"/>
      <c r="C894" s="11"/>
      <c r="D894" s="10"/>
      <c r="E894" s="10"/>
      <c r="F894" s="10"/>
      <c r="G894" s="10"/>
      <c r="H894" s="10"/>
      <c r="I894" s="12" t="n">
        <v>1</v>
      </c>
      <c r="J894" s="12"/>
      <c r="K894" s="13"/>
      <c r="L894" s="13"/>
      <c r="M894" s="12"/>
      <c r="N894" s="12"/>
      <c r="O894" s="12"/>
      <c r="P894" s="13"/>
      <c r="Q894" s="13"/>
      <c r="R894" s="12"/>
      <c r="S894" s="12"/>
      <c r="T894" s="12"/>
      <c r="U894" s="14"/>
      <c r="V894" s="15"/>
      <c r="W894" s="16" t="n">
        <f aca="false">A894</f>
        <v>0</v>
      </c>
      <c r="X894" s="17" t="e">
        <f aca="false">ifs(C894="","",X894="",NOW(),TRUE(),X894)</f>
        <v>#VALUE!</v>
      </c>
      <c r="Y894" s="17" t="e">
        <f aca="false">ifs(COUNTA(K894:U897)&lt;44,"",Y894="",NOW(),TRUE(),Y894)</f>
        <v>#VALUE!</v>
      </c>
    </row>
    <row r="895" customFormat="false" ht="15.75" hidden="false" customHeight="false" outlineLevel="0" collapsed="false">
      <c r="A895" s="9"/>
      <c r="B895" s="10"/>
      <c r="C895" s="10"/>
      <c r="D895" s="10"/>
      <c r="E895" s="10"/>
      <c r="F895" s="10"/>
      <c r="G895" s="10"/>
      <c r="H895" s="10"/>
      <c r="I895" s="18" t="n">
        <v>2</v>
      </c>
      <c r="J895" s="18"/>
      <c r="K895" s="19"/>
      <c r="L895" s="19"/>
      <c r="M895" s="18"/>
      <c r="N895" s="18"/>
      <c r="O895" s="18"/>
      <c r="P895" s="19"/>
      <c r="Q895" s="19"/>
      <c r="R895" s="18"/>
      <c r="S895" s="18"/>
      <c r="T895" s="18"/>
      <c r="U895" s="20"/>
      <c r="V895" s="21"/>
      <c r="W895" s="16"/>
      <c r="X895" s="16"/>
      <c r="Y895" s="16"/>
    </row>
    <row r="896" customFormat="false" ht="15.75" hidden="false" customHeight="false" outlineLevel="0" collapsed="false">
      <c r="A896" s="9"/>
      <c r="B896" s="10"/>
      <c r="C896" s="10"/>
      <c r="D896" s="10"/>
      <c r="E896" s="10"/>
      <c r="F896" s="10"/>
      <c r="G896" s="10"/>
      <c r="H896" s="10"/>
      <c r="I896" s="22" t="n">
        <v>3</v>
      </c>
      <c r="J896" s="22"/>
      <c r="K896" s="23"/>
      <c r="L896" s="23"/>
      <c r="M896" s="22"/>
      <c r="N896" s="22"/>
      <c r="O896" s="22"/>
      <c r="P896" s="23"/>
      <c r="Q896" s="23"/>
      <c r="R896" s="22"/>
      <c r="S896" s="22"/>
      <c r="T896" s="22"/>
      <c r="U896" s="24"/>
      <c r="V896" s="15"/>
      <c r="W896" s="16"/>
      <c r="X896" s="16"/>
      <c r="Y896" s="16"/>
    </row>
    <row r="897" customFormat="false" ht="15.75" hidden="false" customHeight="false" outlineLevel="0" collapsed="false">
      <c r="A897" s="9"/>
      <c r="B897" s="10"/>
      <c r="C897" s="10"/>
      <c r="D897" s="10"/>
      <c r="E897" s="10"/>
      <c r="F897" s="10"/>
      <c r="G897" s="10"/>
      <c r="H897" s="10"/>
      <c r="I897" s="25" t="n">
        <v>4</v>
      </c>
      <c r="J897" s="25"/>
      <c r="K897" s="26"/>
      <c r="L897" s="26"/>
      <c r="M897" s="25"/>
      <c r="N897" s="25"/>
      <c r="O897" s="25"/>
      <c r="P897" s="26"/>
      <c r="Q897" s="26"/>
      <c r="R897" s="25"/>
      <c r="S897" s="25"/>
      <c r="T897" s="25"/>
      <c r="U897" s="27"/>
      <c r="V897" s="21"/>
      <c r="W897" s="16"/>
      <c r="X897" s="16"/>
      <c r="Y897" s="16"/>
    </row>
    <row r="898" customFormat="false" ht="15.75" hidden="false" customHeight="false" outlineLevel="0" collapsed="false">
      <c r="A898" s="9"/>
      <c r="B898" s="10"/>
      <c r="C898" s="11"/>
      <c r="D898" s="10"/>
      <c r="E898" s="10"/>
      <c r="F898" s="10"/>
      <c r="G898" s="10"/>
      <c r="H898" s="10"/>
      <c r="I898" s="12" t="n">
        <v>1</v>
      </c>
      <c r="J898" s="12"/>
      <c r="K898" s="13"/>
      <c r="L898" s="13"/>
      <c r="M898" s="12"/>
      <c r="N898" s="12"/>
      <c r="O898" s="12"/>
      <c r="P898" s="13"/>
      <c r="Q898" s="13"/>
      <c r="R898" s="12"/>
      <c r="S898" s="12"/>
      <c r="T898" s="12"/>
      <c r="U898" s="14"/>
      <c r="V898" s="15"/>
      <c r="W898" s="16" t="n">
        <f aca="false">A898</f>
        <v>0</v>
      </c>
      <c r="X898" s="17" t="e">
        <f aca="false">ifs(C898="","",X898="",NOW(),TRUE(),X898)</f>
        <v>#VALUE!</v>
      </c>
      <c r="Y898" s="17" t="e">
        <f aca="false">ifs(COUNTA(K898:U901)&lt;44,"",Y898="",NOW(),TRUE(),Y898)</f>
        <v>#VALUE!</v>
      </c>
    </row>
    <row r="899" customFormat="false" ht="15.75" hidden="false" customHeight="false" outlineLevel="0" collapsed="false">
      <c r="A899" s="9"/>
      <c r="B899" s="10"/>
      <c r="C899" s="10"/>
      <c r="D899" s="10"/>
      <c r="E899" s="10"/>
      <c r="F899" s="10"/>
      <c r="G899" s="10"/>
      <c r="H899" s="10"/>
      <c r="I899" s="18" t="n">
        <v>2</v>
      </c>
      <c r="J899" s="18"/>
      <c r="K899" s="19"/>
      <c r="L899" s="19"/>
      <c r="M899" s="18"/>
      <c r="N899" s="18"/>
      <c r="O899" s="18"/>
      <c r="P899" s="19"/>
      <c r="Q899" s="19"/>
      <c r="R899" s="18"/>
      <c r="S899" s="18"/>
      <c r="T899" s="18"/>
      <c r="U899" s="20"/>
      <c r="V899" s="21"/>
      <c r="W899" s="16"/>
      <c r="X899" s="16"/>
      <c r="Y899" s="16"/>
    </row>
    <row r="900" customFormat="false" ht="15.75" hidden="false" customHeight="false" outlineLevel="0" collapsed="false">
      <c r="A900" s="9"/>
      <c r="B900" s="10"/>
      <c r="C900" s="10"/>
      <c r="D900" s="10"/>
      <c r="E900" s="10"/>
      <c r="F900" s="10"/>
      <c r="G900" s="10"/>
      <c r="H900" s="10"/>
      <c r="I900" s="22" t="n">
        <v>3</v>
      </c>
      <c r="J900" s="22"/>
      <c r="K900" s="23"/>
      <c r="L900" s="23"/>
      <c r="M900" s="22"/>
      <c r="N900" s="22"/>
      <c r="O900" s="22"/>
      <c r="P900" s="23"/>
      <c r="Q900" s="23"/>
      <c r="R900" s="22"/>
      <c r="S900" s="22"/>
      <c r="T900" s="22"/>
      <c r="U900" s="24"/>
      <c r="V900" s="15"/>
      <c r="W900" s="16"/>
      <c r="X900" s="16"/>
      <c r="Y900" s="16"/>
    </row>
    <row r="901" customFormat="false" ht="15.75" hidden="false" customHeight="false" outlineLevel="0" collapsed="false">
      <c r="A901" s="9"/>
      <c r="B901" s="10"/>
      <c r="C901" s="10"/>
      <c r="D901" s="10"/>
      <c r="E901" s="10"/>
      <c r="F901" s="10"/>
      <c r="G901" s="10"/>
      <c r="H901" s="10"/>
      <c r="I901" s="25" t="n">
        <v>4</v>
      </c>
      <c r="J901" s="25"/>
      <c r="K901" s="26"/>
      <c r="L901" s="26"/>
      <c r="M901" s="25"/>
      <c r="N901" s="25"/>
      <c r="O901" s="25"/>
      <c r="P901" s="26"/>
      <c r="Q901" s="26"/>
      <c r="R901" s="25"/>
      <c r="S901" s="25"/>
      <c r="T901" s="25"/>
      <c r="U901" s="27"/>
      <c r="V901" s="21"/>
      <c r="W901" s="16"/>
      <c r="X901" s="16"/>
      <c r="Y901" s="16"/>
    </row>
    <row r="902" customFormat="false" ht="15.75" hidden="false" customHeight="false" outlineLevel="0" collapsed="false">
      <c r="A902" s="9"/>
      <c r="B902" s="10"/>
      <c r="C902" s="11"/>
      <c r="D902" s="10"/>
      <c r="E902" s="10"/>
      <c r="F902" s="10"/>
      <c r="G902" s="10"/>
      <c r="H902" s="10"/>
      <c r="I902" s="12" t="n">
        <v>1</v>
      </c>
      <c r="J902" s="12"/>
      <c r="K902" s="13"/>
      <c r="L902" s="13"/>
      <c r="M902" s="12"/>
      <c r="N902" s="12"/>
      <c r="O902" s="12"/>
      <c r="P902" s="13"/>
      <c r="Q902" s="13"/>
      <c r="R902" s="12"/>
      <c r="S902" s="12"/>
      <c r="T902" s="12"/>
      <c r="U902" s="14"/>
      <c r="V902" s="15"/>
      <c r="W902" s="16" t="n">
        <f aca="false">A902</f>
        <v>0</v>
      </c>
      <c r="X902" s="17" t="e">
        <f aca="false">ifs(C902="","",X902="",NOW(),TRUE(),X902)</f>
        <v>#VALUE!</v>
      </c>
      <c r="Y902" s="17" t="e">
        <f aca="false">ifs(COUNTA(K902:U905)&lt;44,"",Y902="",NOW(),TRUE(),Y902)</f>
        <v>#VALUE!</v>
      </c>
    </row>
    <row r="903" customFormat="false" ht="15.75" hidden="false" customHeight="false" outlineLevel="0" collapsed="false">
      <c r="A903" s="9"/>
      <c r="B903" s="10"/>
      <c r="C903" s="10"/>
      <c r="D903" s="10"/>
      <c r="E903" s="10"/>
      <c r="F903" s="10"/>
      <c r="G903" s="10"/>
      <c r="H903" s="10"/>
      <c r="I903" s="18" t="n">
        <v>2</v>
      </c>
      <c r="J903" s="18"/>
      <c r="K903" s="19"/>
      <c r="L903" s="19"/>
      <c r="M903" s="18"/>
      <c r="N903" s="18"/>
      <c r="O903" s="18"/>
      <c r="P903" s="19"/>
      <c r="Q903" s="19"/>
      <c r="R903" s="18"/>
      <c r="S903" s="18"/>
      <c r="T903" s="18"/>
      <c r="U903" s="20"/>
      <c r="V903" s="21"/>
      <c r="W903" s="16"/>
      <c r="X903" s="16"/>
      <c r="Y903" s="16"/>
    </row>
    <row r="904" customFormat="false" ht="15.75" hidden="false" customHeight="false" outlineLevel="0" collapsed="false">
      <c r="A904" s="9"/>
      <c r="B904" s="10"/>
      <c r="C904" s="10"/>
      <c r="D904" s="10"/>
      <c r="E904" s="10"/>
      <c r="F904" s="10"/>
      <c r="G904" s="10"/>
      <c r="H904" s="10"/>
      <c r="I904" s="22" t="n">
        <v>3</v>
      </c>
      <c r="J904" s="22"/>
      <c r="K904" s="23"/>
      <c r="L904" s="23"/>
      <c r="M904" s="22"/>
      <c r="N904" s="22"/>
      <c r="O904" s="22"/>
      <c r="P904" s="23"/>
      <c r="Q904" s="23"/>
      <c r="R904" s="22"/>
      <c r="S904" s="22"/>
      <c r="T904" s="22"/>
      <c r="U904" s="24"/>
      <c r="V904" s="15"/>
      <c r="W904" s="16"/>
      <c r="X904" s="16"/>
      <c r="Y904" s="16"/>
    </row>
    <row r="905" customFormat="false" ht="15.75" hidden="false" customHeight="false" outlineLevel="0" collapsed="false">
      <c r="A905" s="9"/>
      <c r="B905" s="10"/>
      <c r="C905" s="10"/>
      <c r="D905" s="10"/>
      <c r="E905" s="10"/>
      <c r="F905" s="10"/>
      <c r="G905" s="10"/>
      <c r="H905" s="10"/>
      <c r="I905" s="25" t="n">
        <v>4</v>
      </c>
      <c r="J905" s="25"/>
      <c r="K905" s="26"/>
      <c r="L905" s="26"/>
      <c r="M905" s="25"/>
      <c r="N905" s="25"/>
      <c r="O905" s="25"/>
      <c r="P905" s="26"/>
      <c r="Q905" s="26"/>
      <c r="R905" s="25"/>
      <c r="S905" s="25"/>
      <c r="T905" s="25"/>
      <c r="U905" s="27"/>
      <c r="V905" s="21"/>
      <c r="W905" s="16"/>
      <c r="X905" s="16"/>
      <c r="Y905" s="16"/>
    </row>
    <row r="906" customFormat="false" ht="15.75" hidden="false" customHeight="false" outlineLevel="0" collapsed="false">
      <c r="A906" s="9"/>
      <c r="B906" s="10"/>
      <c r="C906" s="11"/>
      <c r="D906" s="10"/>
      <c r="E906" s="10"/>
      <c r="F906" s="10"/>
      <c r="G906" s="10"/>
      <c r="H906" s="10"/>
      <c r="I906" s="12" t="n">
        <v>1</v>
      </c>
      <c r="J906" s="12"/>
      <c r="K906" s="13"/>
      <c r="L906" s="13"/>
      <c r="M906" s="12"/>
      <c r="N906" s="12"/>
      <c r="O906" s="12"/>
      <c r="P906" s="13"/>
      <c r="Q906" s="13"/>
      <c r="R906" s="12"/>
      <c r="S906" s="12"/>
      <c r="T906" s="12"/>
      <c r="U906" s="14"/>
      <c r="V906" s="15"/>
      <c r="W906" s="16" t="n">
        <f aca="false">A906</f>
        <v>0</v>
      </c>
      <c r="X906" s="17" t="e">
        <f aca="false">ifs(C906="","",X906="",NOW(),TRUE(),X906)</f>
        <v>#VALUE!</v>
      </c>
      <c r="Y906" s="17" t="e">
        <f aca="false">ifs(COUNTA(K906:U909)&lt;44,"",Y906="",NOW(),TRUE(),Y906)</f>
        <v>#VALUE!</v>
      </c>
    </row>
    <row r="907" customFormat="false" ht="15.75" hidden="false" customHeight="false" outlineLevel="0" collapsed="false">
      <c r="A907" s="9"/>
      <c r="B907" s="10"/>
      <c r="C907" s="10"/>
      <c r="D907" s="10"/>
      <c r="E907" s="10"/>
      <c r="F907" s="10"/>
      <c r="G907" s="10"/>
      <c r="H907" s="10"/>
      <c r="I907" s="18" t="n">
        <v>2</v>
      </c>
      <c r="J907" s="18"/>
      <c r="K907" s="19"/>
      <c r="L907" s="19"/>
      <c r="M907" s="18"/>
      <c r="N907" s="18"/>
      <c r="O907" s="18"/>
      <c r="P907" s="19"/>
      <c r="Q907" s="19"/>
      <c r="R907" s="18"/>
      <c r="S907" s="18"/>
      <c r="T907" s="18"/>
      <c r="U907" s="20"/>
      <c r="V907" s="21"/>
      <c r="W907" s="16"/>
      <c r="X907" s="16"/>
      <c r="Y907" s="16"/>
    </row>
    <row r="908" customFormat="false" ht="15.75" hidden="false" customHeight="false" outlineLevel="0" collapsed="false">
      <c r="A908" s="9"/>
      <c r="B908" s="10"/>
      <c r="C908" s="10"/>
      <c r="D908" s="10"/>
      <c r="E908" s="10"/>
      <c r="F908" s="10"/>
      <c r="G908" s="10"/>
      <c r="H908" s="10"/>
      <c r="I908" s="22" t="n">
        <v>3</v>
      </c>
      <c r="J908" s="22"/>
      <c r="K908" s="23"/>
      <c r="L908" s="23"/>
      <c r="M908" s="22"/>
      <c r="N908" s="22"/>
      <c r="O908" s="22"/>
      <c r="P908" s="23"/>
      <c r="Q908" s="23"/>
      <c r="R908" s="22"/>
      <c r="S908" s="22"/>
      <c r="T908" s="22"/>
      <c r="U908" s="24"/>
      <c r="V908" s="15"/>
      <c r="W908" s="16"/>
      <c r="X908" s="16"/>
      <c r="Y908" s="16"/>
    </row>
    <row r="909" customFormat="false" ht="15.75" hidden="false" customHeight="false" outlineLevel="0" collapsed="false">
      <c r="A909" s="9"/>
      <c r="B909" s="10"/>
      <c r="C909" s="10"/>
      <c r="D909" s="10"/>
      <c r="E909" s="10"/>
      <c r="F909" s="10"/>
      <c r="G909" s="10"/>
      <c r="H909" s="10"/>
      <c r="I909" s="25" t="n">
        <v>4</v>
      </c>
      <c r="J909" s="25"/>
      <c r="K909" s="26"/>
      <c r="L909" s="26"/>
      <c r="M909" s="25"/>
      <c r="N909" s="25"/>
      <c r="O909" s="25"/>
      <c r="P909" s="26"/>
      <c r="Q909" s="26"/>
      <c r="R909" s="25"/>
      <c r="S909" s="25"/>
      <c r="T909" s="25"/>
      <c r="U909" s="27"/>
      <c r="V909" s="21"/>
      <c r="W909" s="16"/>
      <c r="X909" s="16"/>
      <c r="Y909" s="16"/>
    </row>
    <row r="910" customFormat="false" ht="15.75" hidden="false" customHeight="false" outlineLevel="0" collapsed="false">
      <c r="A910" s="9"/>
      <c r="B910" s="10"/>
      <c r="C910" s="11"/>
      <c r="D910" s="10"/>
      <c r="E910" s="10"/>
      <c r="F910" s="10"/>
      <c r="G910" s="10"/>
      <c r="H910" s="10"/>
      <c r="I910" s="12" t="n">
        <v>1</v>
      </c>
      <c r="J910" s="12"/>
      <c r="K910" s="13"/>
      <c r="L910" s="13"/>
      <c r="M910" s="12"/>
      <c r="N910" s="12"/>
      <c r="O910" s="12"/>
      <c r="P910" s="13"/>
      <c r="Q910" s="13"/>
      <c r="R910" s="12"/>
      <c r="S910" s="12"/>
      <c r="T910" s="12"/>
      <c r="U910" s="14"/>
      <c r="V910" s="15"/>
      <c r="W910" s="16" t="n">
        <f aca="false">A910</f>
        <v>0</v>
      </c>
      <c r="X910" s="17" t="e">
        <f aca="false">ifs(C910="","",X910="",NOW(),TRUE(),X910)</f>
        <v>#VALUE!</v>
      </c>
      <c r="Y910" s="17" t="e">
        <f aca="false">ifs(COUNTA(K910:U913)&lt;44,"",Y910="",NOW(),TRUE(),Y910)</f>
        <v>#VALUE!</v>
      </c>
    </row>
    <row r="911" customFormat="false" ht="15.75" hidden="false" customHeight="false" outlineLevel="0" collapsed="false">
      <c r="A911" s="9"/>
      <c r="B911" s="10"/>
      <c r="C911" s="10"/>
      <c r="D911" s="10"/>
      <c r="E911" s="10"/>
      <c r="F911" s="10"/>
      <c r="G911" s="10"/>
      <c r="H911" s="10"/>
      <c r="I911" s="18" t="n">
        <v>2</v>
      </c>
      <c r="J911" s="18"/>
      <c r="K911" s="19"/>
      <c r="L911" s="19"/>
      <c r="M911" s="18"/>
      <c r="N911" s="18"/>
      <c r="O911" s="18"/>
      <c r="P911" s="19"/>
      <c r="Q911" s="19"/>
      <c r="R911" s="18"/>
      <c r="S911" s="18"/>
      <c r="T911" s="18"/>
      <c r="U911" s="20"/>
      <c r="V911" s="21"/>
      <c r="W911" s="16"/>
      <c r="X911" s="16"/>
      <c r="Y911" s="16"/>
    </row>
    <row r="912" customFormat="false" ht="15.75" hidden="false" customHeight="false" outlineLevel="0" collapsed="false">
      <c r="A912" s="9"/>
      <c r="B912" s="10"/>
      <c r="C912" s="10"/>
      <c r="D912" s="10"/>
      <c r="E912" s="10"/>
      <c r="F912" s="10"/>
      <c r="G912" s="10"/>
      <c r="H912" s="10"/>
      <c r="I912" s="22" t="n">
        <v>3</v>
      </c>
      <c r="J912" s="22"/>
      <c r="K912" s="23"/>
      <c r="L912" s="23"/>
      <c r="M912" s="22"/>
      <c r="N912" s="22"/>
      <c r="O912" s="22"/>
      <c r="P912" s="23"/>
      <c r="Q912" s="23"/>
      <c r="R912" s="22"/>
      <c r="S912" s="22"/>
      <c r="T912" s="22"/>
      <c r="U912" s="24"/>
      <c r="V912" s="15"/>
      <c r="W912" s="16"/>
      <c r="X912" s="16"/>
      <c r="Y912" s="16"/>
    </row>
    <row r="913" customFormat="false" ht="15.75" hidden="false" customHeight="false" outlineLevel="0" collapsed="false">
      <c r="A913" s="9"/>
      <c r="B913" s="10"/>
      <c r="C913" s="10"/>
      <c r="D913" s="10"/>
      <c r="E913" s="10"/>
      <c r="F913" s="10"/>
      <c r="G913" s="10"/>
      <c r="H913" s="10"/>
      <c r="I913" s="25" t="n">
        <v>4</v>
      </c>
      <c r="J913" s="25"/>
      <c r="K913" s="26"/>
      <c r="L913" s="26"/>
      <c r="M913" s="25"/>
      <c r="N913" s="25"/>
      <c r="O913" s="25"/>
      <c r="P913" s="26"/>
      <c r="Q913" s="26"/>
      <c r="R913" s="25"/>
      <c r="S913" s="25"/>
      <c r="T913" s="25"/>
      <c r="U913" s="27"/>
      <c r="V913" s="21"/>
      <c r="W913" s="16"/>
      <c r="X913" s="16"/>
      <c r="Y913" s="16"/>
    </row>
    <row r="914" customFormat="false" ht="15.75" hidden="false" customHeight="false" outlineLevel="0" collapsed="false">
      <c r="A914" s="9"/>
      <c r="B914" s="10"/>
      <c r="C914" s="11"/>
      <c r="D914" s="10"/>
      <c r="E914" s="10"/>
      <c r="F914" s="10"/>
      <c r="G914" s="10"/>
      <c r="H914" s="10"/>
      <c r="I914" s="12" t="n">
        <v>1</v>
      </c>
      <c r="J914" s="12"/>
      <c r="K914" s="13"/>
      <c r="L914" s="13"/>
      <c r="M914" s="12"/>
      <c r="N914" s="12"/>
      <c r="O914" s="12"/>
      <c r="P914" s="13"/>
      <c r="Q914" s="13"/>
      <c r="R914" s="12"/>
      <c r="S914" s="12"/>
      <c r="T914" s="12"/>
      <c r="U914" s="14"/>
      <c r="V914" s="15"/>
      <c r="W914" s="16" t="n">
        <f aca="false">A914</f>
        <v>0</v>
      </c>
      <c r="X914" s="17" t="e">
        <f aca="false">ifs(C914="","",X914="",NOW(),TRUE(),X914)</f>
        <v>#VALUE!</v>
      </c>
      <c r="Y914" s="17" t="e">
        <f aca="false">ifs(COUNTA(K914:U917)&lt;44,"",Y914="",NOW(),TRUE(),Y914)</f>
        <v>#VALUE!</v>
      </c>
    </row>
    <row r="915" customFormat="false" ht="15.75" hidden="false" customHeight="false" outlineLevel="0" collapsed="false">
      <c r="A915" s="9"/>
      <c r="B915" s="10"/>
      <c r="C915" s="10"/>
      <c r="D915" s="10"/>
      <c r="E915" s="10"/>
      <c r="F915" s="10"/>
      <c r="G915" s="10"/>
      <c r="H915" s="10"/>
      <c r="I915" s="18" t="n">
        <v>2</v>
      </c>
      <c r="J915" s="18"/>
      <c r="K915" s="19"/>
      <c r="L915" s="19"/>
      <c r="M915" s="18"/>
      <c r="N915" s="18"/>
      <c r="O915" s="18"/>
      <c r="P915" s="19"/>
      <c r="Q915" s="19"/>
      <c r="R915" s="18"/>
      <c r="S915" s="18"/>
      <c r="T915" s="18"/>
      <c r="U915" s="20"/>
      <c r="V915" s="21"/>
      <c r="W915" s="16"/>
      <c r="X915" s="16"/>
      <c r="Y915" s="16"/>
    </row>
    <row r="916" customFormat="false" ht="15.75" hidden="false" customHeight="false" outlineLevel="0" collapsed="false">
      <c r="A916" s="9"/>
      <c r="B916" s="10"/>
      <c r="C916" s="10"/>
      <c r="D916" s="10"/>
      <c r="E916" s="10"/>
      <c r="F916" s="10"/>
      <c r="G916" s="10"/>
      <c r="H916" s="10"/>
      <c r="I916" s="22" t="n">
        <v>3</v>
      </c>
      <c r="J916" s="22"/>
      <c r="K916" s="23"/>
      <c r="L916" s="23"/>
      <c r="M916" s="22"/>
      <c r="N916" s="22"/>
      <c r="O916" s="22"/>
      <c r="P916" s="23"/>
      <c r="Q916" s="23"/>
      <c r="R916" s="22"/>
      <c r="S916" s="22"/>
      <c r="T916" s="22"/>
      <c r="U916" s="24"/>
      <c r="V916" s="15"/>
      <c r="W916" s="16"/>
      <c r="X916" s="16"/>
      <c r="Y916" s="16"/>
    </row>
    <row r="917" customFormat="false" ht="15.75" hidden="false" customHeight="false" outlineLevel="0" collapsed="false">
      <c r="A917" s="9"/>
      <c r="B917" s="10"/>
      <c r="C917" s="10"/>
      <c r="D917" s="10"/>
      <c r="E917" s="10"/>
      <c r="F917" s="10"/>
      <c r="G917" s="10"/>
      <c r="H917" s="10"/>
      <c r="I917" s="25" t="n">
        <v>4</v>
      </c>
      <c r="J917" s="25"/>
      <c r="K917" s="26"/>
      <c r="L917" s="26"/>
      <c r="M917" s="25"/>
      <c r="N917" s="25"/>
      <c r="O917" s="25"/>
      <c r="P917" s="26"/>
      <c r="Q917" s="26"/>
      <c r="R917" s="25"/>
      <c r="S917" s="25"/>
      <c r="T917" s="25"/>
      <c r="U917" s="27"/>
      <c r="V917" s="21"/>
      <c r="W917" s="16"/>
      <c r="X917" s="16"/>
      <c r="Y917" s="16"/>
    </row>
    <row r="918" customFormat="false" ht="15.75" hidden="false" customHeight="false" outlineLevel="0" collapsed="false">
      <c r="A918" s="9"/>
      <c r="B918" s="10"/>
      <c r="C918" s="11"/>
      <c r="D918" s="10"/>
      <c r="E918" s="10"/>
      <c r="F918" s="10"/>
      <c r="G918" s="10"/>
      <c r="H918" s="10"/>
      <c r="I918" s="12" t="n">
        <v>1</v>
      </c>
      <c r="J918" s="12"/>
      <c r="K918" s="13"/>
      <c r="L918" s="13"/>
      <c r="M918" s="12"/>
      <c r="N918" s="12"/>
      <c r="O918" s="12"/>
      <c r="P918" s="13"/>
      <c r="Q918" s="13"/>
      <c r="R918" s="12"/>
      <c r="S918" s="12"/>
      <c r="T918" s="12"/>
      <c r="U918" s="14"/>
      <c r="V918" s="15"/>
      <c r="W918" s="16" t="n">
        <f aca="false">A918</f>
        <v>0</v>
      </c>
      <c r="X918" s="17" t="e">
        <f aca="false">ifs(C918="","",X918="",NOW(),TRUE(),X918)</f>
        <v>#VALUE!</v>
      </c>
      <c r="Y918" s="17" t="e">
        <f aca="false">ifs(COUNTA(K918:U921)&lt;44,"",Y918="",NOW(),TRUE(),Y918)</f>
        <v>#VALUE!</v>
      </c>
    </row>
    <row r="919" customFormat="false" ht="15.75" hidden="false" customHeight="false" outlineLevel="0" collapsed="false">
      <c r="A919" s="9"/>
      <c r="B919" s="10"/>
      <c r="C919" s="10"/>
      <c r="D919" s="10"/>
      <c r="E919" s="10"/>
      <c r="F919" s="10"/>
      <c r="G919" s="10"/>
      <c r="H919" s="10"/>
      <c r="I919" s="18" t="n">
        <v>2</v>
      </c>
      <c r="J919" s="18"/>
      <c r="K919" s="19"/>
      <c r="L919" s="19"/>
      <c r="M919" s="18"/>
      <c r="N919" s="18"/>
      <c r="O919" s="18"/>
      <c r="P919" s="19"/>
      <c r="Q919" s="19"/>
      <c r="R919" s="18"/>
      <c r="S919" s="18"/>
      <c r="T919" s="18"/>
      <c r="U919" s="20"/>
      <c r="V919" s="21"/>
      <c r="W919" s="16"/>
      <c r="X919" s="16"/>
      <c r="Y919" s="16"/>
    </row>
    <row r="920" customFormat="false" ht="15.75" hidden="false" customHeight="false" outlineLevel="0" collapsed="false">
      <c r="A920" s="9"/>
      <c r="B920" s="10"/>
      <c r="C920" s="10"/>
      <c r="D920" s="10"/>
      <c r="E920" s="10"/>
      <c r="F920" s="10"/>
      <c r="G920" s="10"/>
      <c r="H920" s="10"/>
      <c r="I920" s="22" t="n">
        <v>3</v>
      </c>
      <c r="J920" s="22"/>
      <c r="K920" s="23"/>
      <c r="L920" s="23"/>
      <c r="M920" s="22"/>
      <c r="N920" s="22"/>
      <c r="O920" s="22"/>
      <c r="P920" s="23"/>
      <c r="Q920" s="23"/>
      <c r="R920" s="22"/>
      <c r="S920" s="22"/>
      <c r="T920" s="22"/>
      <c r="U920" s="24"/>
      <c r="V920" s="15"/>
      <c r="W920" s="16"/>
      <c r="X920" s="16"/>
      <c r="Y920" s="16"/>
    </row>
    <row r="921" customFormat="false" ht="15.75" hidden="false" customHeight="false" outlineLevel="0" collapsed="false">
      <c r="A921" s="9"/>
      <c r="B921" s="10"/>
      <c r="C921" s="10"/>
      <c r="D921" s="10"/>
      <c r="E921" s="10"/>
      <c r="F921" s="10"/>
      <c r="G921" s="10"/>
      <c r="H921" s="10"/>
      <c r="I921" s="25" t="n">
        <v>4</v>
      </c>
      <c r="J921" s="25"/>
      <c r="K921" s="26"/>
      <c r="L921" s="26"/>
      <c r="M921" s="25"/>
      <c r="N921" s="25"/>
      <c r="O921" s="25"/>
      <c r="P921" s="26"/>
      <c r="Q921" s="26"/>
      <c r="R921" s="25"/>
      <c r="S921" s="25"/>
      <c r="T921" s="25"/>
      <c r="U921" s="27"/>
      <c r="V921" s="21"/>
      <c r="W921" s="16"/>
      <c r="X921" s="16"/>
      <c r="Y921" s="16"/>
    </row>
    <row r="922" customFormat="false" ht="15.75" hidden="false" customHeight="false" outlineLevel="0" collapsed="false">
      <c r="A922" s="9"/>
      <c r="B922" s="10"/>
      <c r="C922" s="11"/>
      <c r="D922" s="10"/>
      <c r="E922" s="10"/>
      <c r="F922" s="10"/>
      <c r="G922" s="10"/>
      <c r="H922" s="10"/>
      <c r="I922" s="12" t="n">
        <v>1</v>
      </c>
      <c r="J922" s="12"/>
      <c r="K922" s="13"/>
      <c r="L922" s="13"/>
      <c r="M922" s="12"/>
      <c r="N922" s="12"/>
      <c r="O922" s="12"/>
      <c r="P922" s="13"/>
      <c r="Q922" s="13"/>
      <c r="R922" s="12"/>
      <c r="S922" s="12"/>
      <c r="T922" s="12"/>
      <c r="U922" s="14"/>
      <c r="V922" s="15"/>
      <c r="W922" s="16" t="n">
        <f aca="false">A922</f>
        <v>0</v>
      </c>
      <c r="X922" s="17" t="e">
        <f aca="false">ifs(C922="","",X922="",NOW(),TRUE(),X922)</f>
        <v>#VALUE!</v>
      </c>
      <c r="Y922" s="17" t="e">
        <f aca="false">ifs(COUNTA(K922:U925)&lt;44,"",Y922="",NOW(),TRUE(),Y922)</f>
        <v>#VALUE!</v>
      </c>
    </row>
    <row r="923" customFormat="false" ht="15.75" hidden="false" customHeight="false" outlineLevel="0" collapsed="false">
      <c r="A923" s="9"/>
      <c r="B923" s="10"/>
      <c r="C923" s="10"/>
      <c r="D923" s="10"/>
      <c r="E923" s="10"/>
      <c r="F923" s="10"/>
      <c r="G923" s="10"/>
      <c r="H923" s="10"/>
      <c r="I923" s="18" t="n">
        <v>2</v>
      </c>
      <c r="J923" s="18"/>
      <c r="K923" s="19"/>
      <c r="L923" s="19"/>
      <c r="M923" s="18"/>
      <c r="N923" s="18"/>
      <c r="O923" s="18"/>
      <c r="P923" s="19"/>
      <c r="Q923" s="19"/>
      <c r="R923" s="18"/>
      <c r="S923" s="18"/>
      <c r="T923" s="18"/>
      <c r="U923" s="20"/>
      <c r="V923" s="21"/>
      <c r="W923" s="16"/>
      <c r="X923" s="16"/>
      <c r="Y923" s="16"/>
    </row>
    <row r="924" customFormat="false" ht="15.75" hidden="false" customHeight="false" outlineLevel="0" collapsed="false">
      <c r="A924" s="9"/>
      <c r="B924" s="10"/>
      <c r="C924" s="10"/>
      <c r="D924" s="10"/>
      <c r="E924" s="10"/>
      <c r="F924" s="10"/>
      <c r="G924" s="10"/>
      <c r="H924" s="10"/>
      <c r="I924" s="22" t="n">
        <v>3</v>
      </c>
      <c r="J924" s="22"/>
      <c r="K924" s="23"/>
      <c r="L924" s="23"/>
      <c r="M924" s="22"/>
      <c r="N924" s="22"/>
      <c r="O924" s="22"/>
      <c r="P924" s="23"/>
      <c r="Q924" s="23"/>
      <c r="R924" s="22"/>
      <c r="S924" s="22"/>
      <c r="T924" s="22"/>
      <c r="U924" s="24"/>
      <c r="V924" s="15"/>
      <c r="W924" s="16"/>
      <c r="X924" s="16"/>
      <c r="Y924" s="16"/>
    </row>
    <row r="925" customFormat="false" ht="15.75" hidden="false" customHeight="false" outlineLevel="0" collapsed="false">
      <c r="A925" s="9"/>
      <c r="B925" s="10"/>
      <c r="C925" s="10"/>
      <c r="D925" s="10"/>
      <c r="E925" s="10"/>
      <c r="F925" s="10"/>
      <c r="G925" s="10"/>
      <c r="H925" s="10"/>
      <c r="I925" s="25" t="n">
        <v>4</v>
      </c>
      <c r="J925" s="25"/>
      <c r="K925" s="26"/>
      <c r="L925" s="26"/>
      <c r="M925" s="25"/>
      <c r="N925" s="25"/>
      <c r="O925" s="25"/>
      <c r="P925" s="26"/>
      <c r="Q925" s="26"/>
      <c r="R925" s="25"/>
      <c r="S925" s="25"/>
      <c r="T925" s="25"/>
      <c r="U925" s="27"/>
      <c r="V925" s="21"/>
      <c r="W925" s="16"/>
      <c r="X925" s="16"/>
      <c r="Y925" s="16"/>
    </row>
    <row r="926" customFormat="false" ht="15.75" hidden="false" customHeight="false" outlineLevel="0" collapsed="false">
      <c r="A926" s="9"/>
      <c r="B926" s="10"/>
      <c r="C926" s="11"/>
      <c r="D926" s="10"/>
      <c r="E926" s="10"/>
      <c r="F926" s="10"/>
      <c r="G926" s="10"/>
      <c r="H926" s="10"/>
      <c r="I926" s="12" t="n">
        <v>1</v>
      </c>
      <c r="J926" s="12"/>
      <c r="K926" s="13"/>
      <c r="L926" s="13"/>
      <c r="M926" s="12"/>
      <c r="N926" s="12"/>
      <c r="O926" s="12"/>
      <c r="P926" s="13"/>
      <c r="Q926" s="13"/>
      <c r="R926" s="12"/>
      <c r="S926" s="12"/>
      <c r="T926" s="12"/>
      <c r="U926" s="14"/>
      <c r="V926" s="15"/>
      <c r="W926" s="16" t="n">
        <f aca="false">A926</f>
        <v>0</v>
      </c>
      <c r="X926" s="17" t="e">
        <f aca="false">ifs(C926="","",X926="",NOW(),TRUE(),X926)</f>
        <v>#VALUE!</v>
      </c>
      <c r="Y926" s="17" t="e">
        <f aca="false">ifs(COUNTA(K926:U929)&lt;44,"",Y926="",NOW(),TRUE(),Y926)</f>
        <v>#VALUE!</v>
      </c>
    </row>
    <row r="927" customFormat="false" ht="15.75" hidden="false" customHeight="false" outlineLevel="0" collapsed="false">
      <c r="A927" s="9"/>
      <c r="B927" s="10"/>
      <c r="C927" s="10"/>
      <c r="D927" s="10"/>
      <c r="E927" s="10"/>
      <c r="F927" s="10"/>
      <c r="G927" s="10"/>
      <c r="H927" s="10"/>
      <c r="I927" s="18" t="n">
        <v>2</v>
      </c>
      <c r="J927" s="18"/>
      <c r="K927" s="19"/>
      <c r="L927" s="19"/>
      <c r="M927" s="18"/>
      <c r="N927" s="18"/>
      <c r="O927" s="18"/>
      <c r="P927" s="19"/>
      <c r="Q927" s="19"/>
      <c r="R927" s="18"/>
      <c r="S927" s="18"/>
      <c r="T927" s="18"/>
      <c r="U927" s="20"/>
      <c r="V927" s="21"/>
      <c r="W927" s="16"/>
      <c r="X927" s="16"/>
      <c r="Y927" s="16"/>
    </row>
    <row r="928" customFormat="false" ht="15.75" hidden="false" customHeight="false" outlineLevel="0" collapsed="false">
      <c r="A928" s="9"/>
      <c r="B928" s="10"/>
      <c r="C928" s="10"/>
      <c r="D928" s="10"/>
      <c r="E928" s="10"/>
      <c r="F928" s="10"/>
      <c r="G928" s="10"/>
      <c r="H928" s="10"/>
      <c r="I928" s="22" t="n">
        <v>3</v>
      </c>
      <c r="J928" s="22"/>
      <c r="K928" s="23"/>
      <c r="L928" s="23"/>
      <c r="M928" s="22"/>
      <c r="N928" s="22"/>
      <c r="O928" s="22"/>
      <c r="P928" s="23"/>
      <c r="Q928" s="23"/>
      <c r="R928" s="22"/>
      <c r="S928" s="22"/>
      <c r="T928" s="22"/>
      <c r="U928" s="24"/>
      <c r="V928" s="15"/>
      <c r="W928" s="16"/>
      <c r="X928" s="16"/>
      <c r="Y928" s="16"/>
    </row>
    <row r="929" customFormat="false" ht="15.75" hidden="false" customHeight="false" outlineLevel="0" collapsed="false">
      <c r="A929" s="9"/>
      <c r="B929" s="10"/>
      <c r="C929" s="10"/>
      <c r="D929" s="10"/>
      <c r="E929" s="10"/>
      <c r="F929" s="10"/>
      <c r="G929" s="10"/>
      <c r="H929" s="10"/>
      <c r="I929" s="25" t="n">
        <v>4</v>
      </c>
      <c r="J929" s="25"/>
      <c r="K929" s="26"/>
      <c r="L929" s="26"/>
      <c r="M929" s="25"/>
      <c r="N929" s="25"/>
      <c r="O929" s="25"/>
      <c r="P929" s="26"/>
      <c r="Q929" s="26"/>
      <c r="R929" s="25"/>
      <c r="S929" s="25"/>
      <c r="T929" s="25"/>
      <c r="U929" s="27"/>
      <c r="V929" s="21"/>
      <c r="W929" s="16"/>
      <c r="X929" s="16"/>
      <c r="Y929" s="16"/>
    </row>
    <row r="930" customFormat="false" ht="15.75" hidden="false" customHeight="true" outlineLevel="0" collapsed="false">
      <c r="A930" s="9" t="s">
        <v>226</v>
      </c>
      <c r="B930" s="10" t="s">
        <v>44</v>
      </c>
      <c r="C930" s="11" t="s">
        <v>287</v>
      </c>
      <c r="D930" s="10" t="s">
        <v>28</v>
      </c>
      <c r="E930" s="10" t="s">
        <v>28</v>
      </c>
      <c r="F930" s="10"/>
      <c r="G930" s="10" t="n">
        <v>4</v>
      </c>
      <c r="H930" s="10" t="n">
        <v>1</v>
      </c>
      <c r="I930" s="12" t="n">
        <v>1</v>
      </c>
      <c r="J930" s="12" t="s">
        <v>47</v>
      </c>
      <c r="K930" s="13" t="n">
        <f aca="false">44.74</f>
        <v>44.74</v>
      </c>
      <c r="L930" s="13" t="n">
        <f aca="false">155.9</f>
        <v>155.9</v>
      </c>
      <c r="M930" s="12" t="n">
        <v>14</v>
      </c>
      <c r="N930" s="12" t="n">
        <v>34</v>
      </c>
      <c r="O930" s="12" t="n">
        <v>152.5</v>
      </c>
      <c r="P930" s="13" t="n">
        <f aca="false">28.05</f>
        <v>28.05</v>
      </c>
      <c r="Q930" s="13" t="n">
        <f aca="false">166.52</f>
        <v>166.52</v>
      </c>
      <c r="R930" s="12" t="n">
        <v>24.9</v>
      </c>
      <c r="S930" s="12" t="n">
        <v>25.7</v>
      </c>
      <c r="T930" s="12" t="n">
        <v>509</v>
      </c>
      <c r="U930" s="14" t="s">
        <v>29</v>
      </c>
      <c r="V930" s="15"/>
      <c r="W930" s="16" t="str">
        <f aca="false">A930</f>
        <v>OK</v>
      </c>
      <c r="X930" s="17" t="e">
        <f aca="false">ifs(C930="","",X930="",NOW(),TRUE(),X930)</f>
        <v>#VALUE!</v>
      </c>
      <c r="Y930" s="17" t="e">
        <f aca="false">ifs(COUNTA(K930:U933)&lt;44,"",Y930="",NOW(),TRUE(),Y930)</f>
        <v>#VALUE!</v>
      </c>
    </row>
    <row r="931" customFormat="false" ht="15.75" hidden="false" customHeight="false" outlineLevel="0" collapsed="false">
      <c r="A931" s="9"/>
      <c r="B931" s="10"/>
      <c r="C931" s="10"/>
      <c r="D931" s="10"/>
      <c r="E931" s="10"/>
      <c r="F931" s="10"/>
      <c r="G931" s="10"/>
      <c r="H931" s="10"/>
      <c r="I931" s="18" t="n">
        <v>2</v>
      </c>
      <c r="J931" s="18" t="s">
        <v>49</v>
      </c>
      <c r="K931" s="19" t="n">
        <f aca="false">41.31</f>
        <v>41.31</v>
      </c>
      <c r="L931" s="19" t="n">
        <f aca="false">110.78</f>
        <v>110.78</v>
      </c>
      <c r="M931" s="18" t="n">
        <v>14</v>
      </c>
      <c r="N931" s="18" t="n">
        <v>26</v>
      </c>
      <c r="O931" s="18" t="n">
        <v>90.5</v>
      </c>
      <c r="P931" s="19" t="n">
        <f aca="false">27.59</f>
        <v>27.59</v>
      </c>
      <c r="Q931" s="19" t="n">
        <f aca="false">128.01</f>
        <v>128.01</v>
      </c>
      <c r="R931" s="18" t="n">
        <v>15.1</v>
      </c>
      <c r="S931" s="18" t="n">
        <v>21.5</v>
      </c>
      <c r="T931" s="18" t="n">
        <v>337</v>
      </c>
      <c r="U931" s="20" t="s">
        <v>29</v>
      </c>
      <c r="V931" s="21"/>
      <c r="W931" s="16"/>
      <c r="X931" s="16"/>
      <c r="Y931" s="16"/>
    </row>
    <row r="932" customFormat="false" ht="15.75" hidden="false" customHeight="false" outlineLevel="0" collapsed="false">
      <c r="A932" s="9"/>
      <c r="B932" s="10"/>
      <c r="C932" s="10"/>
      <c r="D932" s="10"/>
      <c r="E932" s="10"/>
      <c r="F932" s="10"/>
      <c r="G932" s="10"/>
      <c r="H932" s="10"/>
      <c r="I932" s="22" t="n">
        <v>3</v>
      </c>
      <c r="J932" s="22" t="s">
        <v>49</v>
      </c>
      <c r="K932" s="23" t="n">
        <f aca="false">42.64</f>
        <v>42.64</v>
      </c>
      <c r="L932" s="23" t="n">
        <f aca="false">119.79</f>
        <v>119.79</v>
      </c>
      <c r="M932" s="22" t="n">
        <v>14</v>
      </c>
      <c r="N932" s="22" t="n">
        <v>28</v>
      </c>
      <c r="O932" s="22" t="n">
        <v>111.3</v>
      </c>
      <c r="P932" s="23" t="n">
        <f aca="false">27.07</f>
        <v>27.07</v>
      </c>
      <c r="Q932" s="23" t="n">
        <f aca="false">134.85</f>
        <v>134.85</v>
      </c>
      <c r="R932" s="22" t="n">
        <v>17.9</v>
      </c>
      <c r="S932" s="22" t="n">
        <v>22.5</v>
      </c>
      <c r="T932" s="22" t="n">
        <v>433</v>
      </c>
      <c r="U932" s="24" t="s">
        <v>29</v>
      </c>
      <c r="V932" s="15"/>
      <c r="W932" s="16"/>
      <c r="X932" s="16"/>
      <c r="Y932" s="16"/>
    </row>
    <row r="933" customFormat="false" ht="15.75" hidden="false" customHeight="false" outlineLevel="0" collapsed="false">
      <c r="A933" s="9"/>
      <c r="B933" s="10"/>
      <c r="C933" s="10"/>
      <c r="D933" s="10"/>
      <c r="E933" s="10"/>
      <c r="F933" s="10"/>
      <c r="G933" s="10"/>
      <c r="H933" s="10"/>
      <c r="I933" s="25" t="n">
        <v>4</v>
      </c>
      <c r="J933" s="25" t="s">
        <v>49</v>
      </c>
      <c r="K933" s="26" t="n">
        <f aca="false">37.4</f>
        <v>37.4</v>
      </c>
      <c r="L933" s="26" t="n">
        <f aca="false">103.51</f>
        <v>103.51</v>
      </c>
      <c r="M933" s="25" t="n">
        <v>12</v>
      </c>
      <c r="N933" s="25" t="n">
        <v>22</v>
      </c>
      <c r="O933" s="25" t="n">
        <v>71.8</v>
      </c>
      <c r="P933" s="26" t="n">
        <f aca="false">24.96</f>
        <v>24.96</v>
      </c>
      <c r="Q933" s="26" t="n">
        <f aca="false">123.08</f>
        <v>123.08</v>
      </c>
      <c r="R933" s="25" t="n">
        <v>12.1</v>
      </c>
      <c r="S933" s="25" t="n">
        <v>19.1</v>
      </c>
      <c r="T933" s="25" t="n">
        <v>316</v>
      </c>
      <c r="U933" s="27" t="s">
        <v>97</v>
      </c>
      <c r="V933" s="21"/>
      <c r="W933" s="16"/>
      <c r="X933" s="16"/>
      <c r="Y933" s="16"/>
    </row>
    <row r="934" customFormat="false" ht="15.75" hidden="false" customHeight="true" outlineLevel="0" collapsed="false">
      <c r="A934" s="9" t="s">
        <v>226</v>
      </c>
      <c r="B934" s="10" t="s">
        <v>44</v>
      </c>
      <c r="C934" s="11" t="s">
        <v>288</v>
      </c>
      <c r="D934" s="10" t="s">
        <v>28</v>
      </c>
      <c r="E934" s="10" t="s">
        <v>28</v>
      </c>
      <c r="F934" s="10"/>
      <c r="G934" s="10" t="n">
        <v>32</v>
      </c>
      <c r="H934" s="10" t="n">
        <v>5.7</v>
      </c>
      <c r="I934" s="12" t="n">
        <v>1</v>
      </c>
      <c r="J934" s="12"/>
      <c r="K934" s="13" t="n">
        <f aca="false">41</f>
        <v>41</v>
      </c>
      <c r="L934" s="13" t="n">
        <f aca="false">135.48</f>
        <v>135.48</v>
      </c>
      <c r="M934" s="12" t="n">
        <v>16</v>
      </c>
      <c r="N934" s="12" t="n">
        <v>33</v>
      </c>
      <c r="O934" s="12" t="n">
        <v>103.1</v>
      </c>
      <c r="P934" s="13" t="n">
        <f aca="false">27.68</f>
        <v>27.68</v>
      </c>
      <c r="Q934" s="13" t="n">
        <f aca="false">144.91</f>
        <v>144.91</v>
      </c>
      <c r="R934" s="12" t="n">
        <v>12.1</v>
      </c>
      <c r="S934" s="12" t="n">
        <v>16.2</v>
      </c>
      <c r="T934" s="12" t="n">
        <v>564</v>
      </c>
      <c r="U934" s="14" t="s">
        <v>29</v>
      </c>
      <c r="V934" s="15"/>
      <c r="W934" s="16" t="str">
        <f aca="false">A934</f>
        <v>OK</v>
      </c>
      <c r="X934" s="17" t="e">
        <f aca="false">ifs(C934="","",X934="",NOW(),TRUE(),X934)</f>
        <v>#VALUE!</v>
      </c>
      <c r="Y934" s="17" t="e">
        <f aca="false">ifs(COUNTA(K934:U937)&lt;44,"",Y934="",NOW(),TRUE(),Y934)</f>
        <v>#VALUE!</v>
      </c>
    </row>
    <row r="935" customFormat="false" ht="15.75" hidden="false" customHeight="false" outlineLevel="0" collapsed="false">
      <c r="A935" s="9"/>
      <c r="B935" s="10"/>
      <c r="C935" s="10"/>
      <c r="D935" s="10"/>
      <c r="E935" s="10"/>
      <c r="F935" s="10"/>
      <c r="G935" s="10"/>
      <c r="H935" s="10"/>
      <c r="I935" s="18" t="n">
        <v>2</v>
      </c>
      <c r="J935" s="18" t="s">
        <v>46</v>
      </c>
      <c r="K935" s="19" t="n">
        <f aca="false">39.71</f>
        <v>39.71</v>
      </c>
      <c r="L935" s="19" t="n">
        <f aca="false">125.57</f>
        <v>125.57</v>
      </c>
      <c r="M935" s="18" t="n">
        <v>18</v>
      </c>
      <c r="N935" s="18" t="n">
        <v>30</v>
      </c>
      <c r="O935" s="18" t="n">
        <v>97.7</v>
      </c>
      <c r="P935" s="19" t="n">
        <f aca="false">28.17</f>
        <v>28.17</v>
      </c>
      <c r="Q935" s="19" t="n">
        <f aca="false">143.87</f>
        <v>143.87</v>
      </c>
      <c r="R935" s="18" t="n">
        <v>11.6</v>
      </c>
      <c r="S935" s="18" t="n">
        <v>15.5</v>
      </c>
      <c r="T935" s="18" t="n">
        <v>529</v>
      </c>
      <c r="U935" s="20" t="s">
        <v>29</v>
      </c>
      <c r="V935" s="21"/>
      <c r="W935" s="16"/>
      <c r="X935" s="16"/>
      <c r="Y935" s="16"/>
    </row>
    <row r="936" customFormat="false" ht="15.75" hidden="false" customHeight="false" outlineLevel="0" collapsed="false">
      <c r="A936" s="9"/>
      <c r="B936" s="10"/>
      <c r="C936" s="10"/>
      <c r="D936" s="10"/>
      <c r="E936" s="10"/>
      <c r="F936" s="10"/>
      <c r="G936" s="10"/>
      <c r="H936" s="10"/>
      <c r="I936" s="22" t="n">
        <v>3</v>
      </c>
      <c r="J936" s="22" t="s">
        <v>46</v>
      </c>
      <c r="K936" s="23" t="n">
        <f aca="false">36.35</f>
        <v>36.35</v>
      </c>
      <c r="L936" s="23" t="n">
        <f aca="false">111.36</f>
        <v>111.36</v>
      </c>
      <c r="M936" s="22" t="n">
        <v>14</v>
      </c>
      <c r="N936" s="22" t="n">
        <v>28</v>
      </c>
      <c r="O936" s="22" t="n">
        <v>58.9</v>
      </c>
      <c r="P936" s="23" t="n">
        <f aca="false">25</f>
        <v>25</v>
      </c>
      <c r="Q936" s="23" t="n">
        <f aca="false">124.83</f>
        <v>124.83</v>
      </c>
      <c r="R936" s="22" t="n">
        <v>9.5</v>
      </c>
      <c r="S936" s="22" t="n">
        <v>15.6</v>
      </c>
      <c r="T936" s="22" t="n">
        <v>307</v>
      </c>
      <c r="U936" s="24" t="s">
        <v>29</v>
      </c>
      <c r="V936" s="15"/>
      <c r="W936" s="16"/>
      <c r="X936" s="16"/>
      <c r="Y936" s="16"/>
    </row>
    <row r="937" customFormat="false" ht="15.75" hidden="false" customHeight="false" outlineLevel="0" collapsed="false">
      <c r="A937" s="9"/>
      <c r="B937" s="10"/>
      <c r="C937" s="10"/>
      <c r="D937" s="10"/>
      <c r="E937" s="10"/>
      <c r="F937" s="10"/>
      <c r="G937" s="10"/>
      <c r="H937" s="10"/>
      <c r="I937" s="25" t="n">
        <v>4</v>
      </c>
      <c r="J937" s="25" t="s">
        <v>46</v>
      </c>
      <c r="K937" s="26" t="n">
        <f aca="false">39.1</f>
        <v>39.1</v>
      </c>
      <c r="L937" s="26" t="n">
        <f aca="false">102.13</f>
        <v>102.13</v>
      </c>
      <c r="M937" s="25" t="n">
        <v>16</v>
      </c>
      <c r="N937" s="25" t="n">
        <v>23</v>
      </c>
      <c r="O937" s="25" t="n">
        <v>61</v>
      </c>
      <c r="P937" s="26" t="n">
        <f aca="false">26.98</f>
        <v>26.98</v>
      </c>
      <c r="Q937" s="26" t="n">
        <f aca="false">107.05</f>
        <v>107.05</v>
      </c>
      <c r="R937" s="25" t="n">
        <v>7.1</v>
      </c>
      <c r="S937" s="25" t="n">
        <v>16.9</v>
      </c>
      <c r="T937" s="25" t="n">
        <v>311</v>
      </c>
      <c r="U937" s="27" t="s">
        <v>29</v>
      </c>
      <c r="V937" s="21"/>
      <c r="W937" s="16"/>
      <c r="X937" s="16"/>
      <c r="Y937" s="16"/>
    </row>
    <row r="938" customFormat="false" ht="15.75" hidden="false" customHeight="true" outlineLevel="0" collapsed="false">
      <c r="A938" s="9" t="s">
        <v>226</v>
      </c>
      <c r="B938" s="10" t="s">
        <v>44</v>
      </c>
      <c r="C938" s="11" t="s">
        <v>289</v>
      </c>
      <c r="D938" s="10" t="s">
        <v>28</v>
      </c>
      <c r="E938" s="10" t="s">
        <v>28</v>
      </c>
      <c r="F938" s="10"/>
      <c r="G938" s="10" t="n">
        <v>4</v>
      </c>
      <c r="H938" s="10" t="n">
        <v>0.2</v>
      </c>
      <c r="I938" s="12" t="n">
        <v>1</v>
      </c>
      <c r="J938" s="12" t="s">
        <v>49</v>
      </c>
      <c r="K938" s="13" t="n">
        <f aca="false">46.92</f>
        <v>46.92</v>
      </c>
      <c r="L938" s="13" t="n">
        <f aca="false">127.53</f>
        <v>127.53</v>
      </c>
      <c r="M938" s="12" t="n">
        <v>18</v>
      </c>
      <c r="N938" s="12" t="n">
        <v>33</v>
      </c>
      <c r="O938" s="12" t="n">
        <v>133.4</v>
      </c>
      <c r="P938" s="13" t="n">
        <f aca="false">28.95</f>
        <v>28.95</v>
      </c>
      <c r="Q938" s="13" t="n">
        <f aca="false">145.8</f>
        <v>145.8</v>
      </c>
      <c r="R938" s="12" t="n">
        <v>20.9</v>
      </c>
      <c r="S938" s="12" t="n">
        <v>18.8</v>
      </c>
      <c r="T938" s="12" t="n">
        <v>576</v>
      </c>
      <c r="U938" s="14" t="s">
        <v>29</v>
      </c>
      <c r="V938" s="15"/>
      <c r="W938" s="16" t="str">
        <f aca="false">A938</f>
        <v>OK</v>
      </c>
      <c r="X938" s="17" t="e">
        <f aca="false">ifs(C938="","",X938="",NOW(),TRUE(),X938)</f>
        <v>#VALUE!</v>
      </c>
      <c r="Y938" s="17" t="e">
        <f aca="false">ifs(COUNTA(K938:U941)&lt;44,"",Y938="",NOW(),TRUE(),Y938)</f>
        <v>#VALUE!</v>
      </c>
    </row>
    <row r="939" customFormat="false" ht="15.75" hidden="false" customHeight="false" outlineLevel="0" collapsed="false">
      <c r="A939" s="9"/>
      <c r="B939" s="10"/>
      <c r="C939" s="10"/>
      <c r="D939" s="10"/>
      <c r="E939" s="10"/>
      <c r="F939" s="10"/>
      <c r="G939" s="10"/>
      <c r="H939" s="10"/>
      <c r="I939" s="18" t="n">
        <v>2</v>
      </c>
      <c r="J939" s="18" t="s">
        <v>49</v>
      </c>
      <c r="K939" s="19" t="n">
        <f aca="false">43.4</f>
        <v>43.4</v>
      </c>
      <c r="L939" s="19" t="n">
        <f aca="false">133.76</f>
        <v>133.76</v>
      </c>
      <c r="M939" s="18" t="n">
        <v>18</v>
      </c>
      <c r="N939" s="18" t="n">
        <v>40</v>
      </c>
      <c r="O939" s="18" t="n">
        <v>131.8</v>
      </c>
      <c r="P939" s="19" t="n">
        <f aca="false">29.46</f>
        <v>29.46</v>
      </c>
      <c r="Q939" s="19" t="n">
        <f aca="false">152.32</f>
        <v>152.32</v>
      </c>
      <c r="R939" s="18" t="n">
        <v>24.1</v>
      </c>
      <c r="S939" s="18" t="n">
        <v>18.6</v>
      </c>
      <c r="T939" s="18" t="n">
        <v>581</v>
      </c>
      <c r="U939" s="20" t="s">
        <v>29</v>
      </c>
      <c r="V939" s="21"/>
      <c r="W939" s="16"/>
      <c r="X939" s="16"/>
      <c r="Y939" s="16"/>
    </row>
    <row r="940" customFormat="false" ht="15.75" hidden="false" customHeight="false" outlineLevel="0" collapsed="false">
      <c r="A940" s="9"/>
      <c r="B940" s="10"/>
      <c r="C940" s="10"/>
      <c r="D940" s="10"/>
      <c r="E940" s="10"/>
      <c r="F940" s="10"/>
      <c r="G940" s="10"/>
      <c r="H940" s="10"/>
      <c r="I940" s="22" t="n">
        <v>3</v>
      </c>
      <c r="J940" s="22" t="s">
        <v>46</v>
      </c>
      <c r="K940" s="23" t="n">
        <f aca="false">41.51</f>
        <v>41.51</v>
      </c>
      <c r="L940" s="23" t="n">
        <f aca="false">114.67</f>
        <v>114.67</v>
      </c>
      <c r="M940" s="22" t="n">
        <v>15</v>
      </c>
      <c r="N940" s="22" t="n">
        <v>28</v>
      </c>
      <c r="O940" s="22" t="n">
        <v>91.8</v>
      </c>
      <c r="P940" s="23" t="n">
        <f aca="false">28.55</f>
        <v>28.55</v>
      </c>
      <c r="Q940" s="23" t="n">
        <f aca="false">127.03</f>
        <v>127.03</v>
      </c>
      <c r="R940" s="22" t="n">
        <v>17.7</v>
      </c>
      <c r="S940" s="22" t="n">
        <v>17.1</v>
      </c>
      <c r="T940" s="22" t="n">
        <v>327</v>
      </c>
      <c r="U940" s="24" t="s">
        <v>29</v>
      </c>
      <c r="V940" s="15"/>
      <c r="W940" s="16"/>
      <c r="X940" s="16"/>
      <c r="Y940" s="16"/>
    </row>
    <row r="941" customFormat="false" ht="15.75" hidden="false" customHeight="false" outlineLevel="0" collapsed="false">
      <c r="A941" s="9"/>
      <c r="B941" s="10"/>
      <c r="C941" s="10"/>
      <c r="D941" s="10"/>
      <c r="E941" s="10"/>
      <c r="F941" s="10"/>
      <c r="G941" s="10"/>
      <c r="H941" s="10"/>
      <c r="I941" s="25" t="n">
        <v>4</v>
      </c>
      <c r="J941" s="25" t="s">
        <v>46</v>
      </c>
      <c r="K941" s="26" t="n">
        <f aca="false">40.95</f>
        <v>40.95</v>
      </c>
      <c r="L941" s="26" t="n">
        <f aca="false">104.13</f>
        <v>104.13</v>
      </c>
      <c r="M941" s="25" t="n">
        <v>15</v>
      </c>
      <c r="N941" s="25" t="n">
        <v>21</v>
      </c>
      <c r="O941" s="25" t="n">
        <v>75.8</v>
      </c>
      <c r="P941" s="26" t="n">
        <f aca="false">25.51</f>
        <v>25.51</v>
      </c>
      <c r="Q941" s="26" t="n">
        <f aca="false">108.59</f>
        <v>108.59</v>
      </c>
      <c r="R941" s="25" t="n">
        <v>14.2</v>
      </c>
      <c r="S941" s="25" t="n">
        <v>16.8</v>
      </c>
      <c r="T941" s="25" t="n">
        <v>397</v>
      </c>
      <c r="U941" s="27" t="s">
        <v>29</v>
      </c>
      <c r="V941" s="21"/>
      <c r="W941" s="16"/>
      <c r="X941" s="16"/>
      <c r="Y941" s="16"/>
    </row>
    <row r="942" customFormat="false" ht="15.75" hidden="false" customHeight="true" outlineLevel="0" collapsed="false">
      <c r="A942" s="9" t="s">
        <v>226</v>
      </c>
      <c r="B942" s="10" t="s">
        <v>44</v>
      </c>
      <c r="C942" s="11" t="s">
        <v>290</v>
      </c>
      <c r="D942" s="10" t="s">
        <v>28</v>
      </c>
      <c r="E942" s="10" t="s">
        <v>28</v>
      </c>
      <c r="F942" s="10"/>
      <c r="G942" s="10" t="n">
        <v>77</v>
      </c>
      <c r="H942" s="10" t="n">
        <v>14.3</v>
      </c>
      <c r="I942" s="12" t="n">
        <v>1</v>
      </c>
      <c r="J942" s="12" t="s">
        <v>120</v>
      </c>
      <c r="K942" s="13" t="n">
        <f aca="false">49.22</f>
        <v>49.22</v>
      </c>
      <c r="L942" s="13" t="n">
        <f aca="false">164.27</f>
        <v>164.27</v>
      </c>
      <c r="M942" s="12" t="n">
        <v>14</v>
      </c>
      <c r="N942" s="12" t="n">
        <v>40</v>
      </c>
      <c r="O942" s="12" t="n">
        <v>189.7</v>
      </c>
      <c r="P942" s="13" t="n">
        <f aca="false">29.63</f>
        <v>29.63</v>
      </c>
      <c r="Q942" s="13" t="n">
        <f aca="false">166.82</f>
        <v>166.82</v>
      </c>
      <c r="R942" s="12" t="n">
        <v>21.1</v>
      </c>
      <c r="S942" s="12" t="n">
        <v>23.7</v>
      </c>
      <c r="T942" s="12" t="n">
        <v>719</v>
      </c>
      <c r="U942" s="14" t="s">
        <v>29</v>
      </c>
      <c r="V942" s="15"/>
      <c r="W942" s="16" t="str">
        <f aca="false">A942</f>
        <v>OK</v>
      </c>
      <c r="X942" s="17" t="e">
        <f aca="false">ifs(C942="","",X942="",NOW(),TRUE(),X942)</f>
        <v>#VALUE!</v>
      </c>
      <c r="Y942" s="17" t="e">
        <f aca="false">ifs(COUNTA(K942:U945)&lt;44,"",Y942="",NOW(),TRUE(),Y942)</f>
        <v>#VALUE!</v>
      </c>
    </row>
    <row r="943" customFormat="false" ht="15.75" hidden="false" customHeight="false" outlineLevel="0" collapsed="false">
      <c r="A943" s="9"/>
      <c r="B943" s="10"/>
      <c r="C943" s="10"/>
      <c r="D943" s="10"/>
      <c r="E943" s="10"/>
      <c r="F943" s="10"/>
      <c r="G943" s="10"/>
      <c r="H943" s="10"/>
      <c r="I943" s="18" t="n">
        <v>2</v>
      </c>
      <c r="J943" s="18" t="s">
        <v>120</v>
      </c>
      <c r="K943" s="19" t="n">
        <f aca="false">48.75</f>
        <v>48.75</v>
      </c>
      <c r="L943" s="19" t="n">
        <f aca="false">171.44</f>
        <v>171.44</v>
      </c>
      <c r="M943" s="18" t="n">
        <v>16</v>
      </c>
      <c r="N943" s="18" t="n">
        <v>42</v>
      </c>
      <c r="O943" s="18" t="n">
        <v>185.2</v>
      </c>
      <c r="P943" s="19" t="n">
        <f aca="false">30.07</f>
        <v>30.07</v>
      </c>
      <c r="Q943" s="19" t="n">
        <f aca="false">177.22</f>
        <v>177.22</v>
      </c>
      <c r="R943" s="18" t="n">
        <v>20.8</v>
      </c>
      <c r="S943" s="18" t="n">
        <v>19.3</v>
      </c>
      <c r="T943" s="18" t="n">
        <v>792</v>
      </c>
      <c r="U943" s="20" t="s">
        <v>29</v>
      </c>
      <c r="V943" s="21"/>
      <c r="W943" s="16"/>
      <c r="X943" s="16"/>
      <c r="Y943" s="16"/>
    </row>
    <row r="944" customFormat="false" ht="15.75" hidden="false" customHeight="false" outlineLevel="0" collapsed="false">
      <c r="A944" s="9"/>
      <c r="B944" s="10"/>
      <c r="C944" s="10"/>
      <c r="D944" s="10"/>
      <c r="E944" s="10"/>
      <c r="F944" s="10"/>
      <c r="G944" s="10"/>
      <c r="H944" s="10"/>
      <c r="I944" s="22" t="n">
        <v>3</v>
      </c>
      <c r="J944" s="22" t="s">
        <v>47</v>
      </c>
      <c r="K944" s="23" t="n">
        <f aca="false">46.01</f>
        <v>46.01</v>
      </c>
      <c r="L944" s="23" t="n">
        <f aca="false">130.13</f>
        <v>130.13</v>
      </c>
      <c r="M944" s="22" t="n">
        <v>14</v>
      </c>
      <c r="N944" s="22" t="n">
        <v>24</v>
      </c>
      <c r="O944" s="22" t="n">
        <v>119.9</v>
      </c>
      <c r="P944" s="23" t="n">
        <f aca="false">28.17</f>
        <v>28.17</v>
      </c>
      <c r="Q944" s="23" t="n">
        <f aca="false">128.09</f>
        <v>128.09</v>
      </c>
      <c r="R944" s="22" t="n">
        <v>13.5</v>
      </c>
      <c r="S944" s="22" t="n">
        <v>20.6</v>
      </c>
      <c r="T944" s="22" t="n">
        <v>492</v>
      </c>
      <c r="U944" s="24" t="s">
        <v>29</v>
      </c>
      <c r="V944" s="15"/>
      <c r="W944" s="16"/>
      <c r="X944" s="16"/>
      <c r="Y944" s="16"/>
    </row>
    <row r="945" customFormat="false" ht="15.75" hidden="false" customHeight="false" outlineLevel="0" collapsed="false">
      <c r="A945" s="9"/>
      <c r="B945" s="10"/>
      <c r="C945" s="10"/>
      <c r="D945" s="10"/>
      <c r="E945" s="10"/>
      <c r="F945" s="10"/>
      <c r="G945" s="10"/>
      <c r="H945" s="10"/>
      <c r="I945" s="25" t="n">
        <v>4</v>
      </c>
      <c r="J945" s="25" t="s">
        <v>49</v>
      </c>
      <c r="K945" s="26" t="n">
        <f aca="false">46.35</f>
        <v>46.35</v>
      </c>
      <c r="L945" s="26" t="n">
        <f aca="false">131.48</f>
        <v>131.48</v>
      </c>
      <c r="M945" s="25" t="n">
        <v>16</v>
      </c>
      <c r="N945" s="25" t="n">
        <v>27</v>
      </c>
      <c r="O945" s="25" t="n">
        <v>111.6</v>
      </c>
      <c r="P945" s="26" t="n">
        <v>27.88</v>
      </c>
      <c r="Q945" s="26" t="n">
        <f aca="false">147.19</f>
        <v>147.19</v>
      </c>
      <c r="R945" s="25" t="n">
        <v>14.6</v>
      </c>
      <c r="S945" s="25" t="n">
        <v>19.6</v>
      </c>
      <c r="T945" s="25" t="n">
        <v>361</v>
      </c>
      <c r="U945" s="27" t="s">
        <v>29</v>
      </c>
      <c r="V945" s="21"/>
      <c r="W945" s="16"/>
      <c r="X945" s="16"/>
      <c r="Y945" s="16"/>
    </row>
    <row r="946" customFormat="false" ht="15.75" hidden="false" customHeight="true" outlineLevel="0" collapsed="false">
      <c r="A946" s="9" t="s">
        <v>226</v>
      </c>
      <c r="B946" s="10" t="s">
        <v>44</v>
      </c>
      <c r="C946" s="11" t="s">
        <v>291</v>
      </c>
      <c r="D946" s="10" t="s">
        <v>28</v>
      </c>
      <c r="E946" s="10" t="s">
        <v>28</v>
      </c>
      <c r="F946" s="10"/>
      <c r="G946" s="10" t="n">
        <v>48</v>
      </c>
      <c r="H946" s="10" t="n">
        <v>13.2</v>
      </c>
      <c r="I946" s="12" t="n">
        <v>1</v>
      </c>
      <c r="J946" s="12" t="s">
        <v>57</v>
      </c>
      <c r="K946" s="13" t="n">
        <f aca="false">47.57</f>
        <v>47.57</v>
      </c>
      <c r="L946" s="13" t="n">
        <f aca="false">136.57</f>
        <v>136.57</v>
      </c>
      <c r="M946" s="12" t="n">
        <v>16</v>
      </c>
      <c r="N946" s="12" t="n">
        <v>24</v>
      </c>
      <c r="O946" s="12" t="n">
        <v>130</v>
      </c>
      <c r="P946" s="13" t="n">
        <f aca="false">31.45</f>
        <v>31.45</v>
      </c>
      <c r="Q946" s="13" t="n">
        <f aca="false">149.48</f>
        <v>149.48</v>
      </c>
      <c r="R946" s="12" t="n">
        <v>17.4</v>
      </c>
      <c r="S946" s="12" t="n">
        <v>23.4</v>
      </c>
      <c r="T946" s="12" t="n">
        <v>469</v>
      </c>
      <c r="U946" s="14" t="s">
        <v>58</v>
      </c>
      <c r="V946" s="15"/>
      <c r="W946" s="16" t="str">
        <f aca="false">A946</f>
        <v>OK</v>
      </c>
      <c r="X946" s="17" t="e">
        <f aca="false">ifs(C946="","",X946="",NOW(),TRUE(),X946)</f>
        <v>#VALUE!</v>
      </c>
      <c r="Y946" s="17" t="e">
        <f aca="false">ifs(COUNTA(K946:U949)&lt;44,"",Y946="",NOW(),TRUE(),Y946)</f>
        <v>#VALUE!</v>
      </c>
    </row>
    <row r="947" customFormat="false" ht="15.75" hidden="false" customHeight="false" outlineLevel="0" collapsed="false">
      <c r="A947" s="9"/>
      <c r="B947" s="10"/>
      <c r="C947" s="10"/>
      <c r="D947" s="10"/>
      <c r="E947" s="10"/>
      <c r="F947" s="10"/>
      <c r="G947" s="10"/>
      <c r="H947" s="10"/>
      <c r="I947" s="18" t="n">
        <v>2</v>
      </c>
      <c r="J947" s="18"/>
      <c r="K947" s="19" t="n">
        <f aca="false">47.69</f>
        <v>47.69</v>
      </c>
      <c r="L947" s="19" t="n">
        <f aca="false">152.45</f>
        <v>152.45</v>
      </c>
      <c r="M947" s="18" t="n">
        <v>16</v>
      </c>
      <c r="N947" s="18" t="n">
        <v>31</v>
      </c>
      <c r="O947" s="18" t="n">
        <v>138.3</v>
      </c>
      <c r="P947" s="19" t="n">
        <f aca="false">32.55</f>
        <v>32.55</v>
      </c>
      <c r="Q947" s="19" t="n">
        <f aca="false">160.29</f>
        <v>160.29</v>
      </c>
      <c r="R947" s="18" t="n">
        <v>17.1</v>
      </c>
      <c r="S947" s="18" t="n">
        <v>21.9</v>
      </c>
      <c r="T947" s="18" t="n">
        <v>513</v>
      </c>
      <c r="U947" s="20" t="s">
        <v>58</v>
      </c>
      <c r="V947" s="21"/>
      <c r="W947" s="16"/>
      <c r="X947" s="16"/>
      <c r="Y947" s="16"/>
    </row>
    <row r="948" customFormat="false" ht="15.75" hidden="false" customHeight="false" outlineLevel="0" collapsed="false">
      <c r="A948" s="9"/>
      <c r="B948" s="10"/>
      <c r="C948" s="10"/>
      <c r="D948" s="10"/>
      <c r="E948" s="10"/>
      <c r="F948" s="10"/>
      <c r="G948" s="10"/>
      <c r="H948" s="10"/>
      <c r="I948" s="22" t="n">
        <v>3</v>
      </c>
      <c r="J948" s="22" t="s">
        <v>49</v>
      </c>
      <c r="K948" s="23" t="n">
        <f aca="false">47.08</f>
        <v>47.08</v>
      </c>
      <c r="L948" s="23" t="n">
        <f aca="false">122.74</f>
        <v>122.74</v>
      </c>
      <c r="M948" s="22" t="n">
        <v>16</v>
      </c>
      <c r="N948" s="22" t="n">
        <v>24</v>
      </c>
      <c r="O948" s="22" t="n">
        <v>118.3</v>
      </c>
      <c r="P948" s="23" t="n">
        <f aca="false">31.97</f>
        <v>31.97</v>
      </c>
      <c r="Q948" s="23" t="n">
        <f aca="false">140.97</f>
        <v>140.97</v>
      </c>
      <c r="R948" s="22" t="n">
        <v>15.7</v>
      </c>
      <c r="S948" s="22" t="s">
        <v>292</v>
      </c>
      <c r="T948" s="22" t="n">
        <v>337</v>
      </c>
      <c r="U948" s="24" t="s">
        <v>58</v>
      </c>
      <c r="V948" s="15"/>
      <c r="W948" s="16"/>
      <c r="X948" s="16"/>
      <c r="Y948" s="16"/>
    </row>
    <row r="949" customFormat="false" ht="15.75" hidden="false" customHeight="false" outlineLevel="0" collapsed="false">
      <c r="A949" s="9"/>
      <c r="B949" s="10"/>
      <c r="C949" s="10"/>
      <c r="D949" s="10"/>
      <c r="E949" s="10"/>
      <c r="F949" s="10"/>
      <c r="G949" s="10"/>
      <c r="H949" s="10"/>
      <c r="I949" s="25" t="n">
        <v>4</v>
      </c>
      <c r="J949" s="25" t="s">
        <v>49</v>
      </c>
      <c r="K949" s="26" t="n">
        <f aca="false">44.85</f>
        <v>44.85</v>
      </c>
      <c r="L949" s="26" t="n">
        <f aca="false">105.99</f>
        <v>105.99</v>
      </c>
      <c r="M949" s="25" t="n">
        <v>18</v>
      </c>
      <c r="N949" s="25" t="n">
        <v>22</v>
      </c>
      <c r="O949" s="25" t="n">
        <v>87.5</v>
      </c>
      <c r="P949" s="26" t="n">
        <f aca="false">32.86</f>
        <v>32.86</v>
      </c>
      <c r="Q949" s="26" t="n">
        <f aca="false">123.6</f>
        <v>123.6</v>
      </c>
      <c r="R949" s="25" t="n">
        <v>15.8</v>
      </c>
      <c r="S949" s="25" t="n">
        <v>25.7</v>
      </c>
      <c r="T949" s="25" t="n">
        <v>267</v>
      </c>
      <c r="U949" s="27" t="s">
        <v>32</v>
      </c>
      <c r="V949" s="21"/>
      <c r="W949" s="16"/>
      <c r="X949" s="16"/>
      <c r="Y949" s="16"/>
    </row>
    <row r="950" customFormat="false" ht="15.75" hidden="false" customHeight="true" outlineLevel="0" collapsed="false">
      <c r="A950" s="9" t="s">
        <v>226</v>
      </c>
      <c r="B950" s="10" t="s">
        <v>44</v>
      </c>
      <c r="C950" s="11" t="s">
        <v>293</v>
      </c>
      <c r="D950" s="10" t="s">
        <v>28</v>
      </c>
      <c r="E950" s="10" t="s">
        <v>28</v>
      </c>
      <c r="F950" s="10"/>
      <c r="G950" s="10" t="n">
        <v>9</v>
      </c>
      <c r="H950" s="10" t="n">
        <v>1.7</v>
      </c>
      <c r="I950" s="12" t="n">
        <v>1</v>
      </c>
      <c r="J950" s="12" t="s">
        <v>47</v>
      </c>
      <c r="K950" s="13" t="n">
        <f aca="false">41.66</f>
        <v>41.66</v>
      </c>
      <c r="L950" s="13" t="n">
        <f aca="false">136.73</f>
        <v>136.73</v>
      </c>
      <c r="M950" s="12" t="n">
        <v>14</v>
      </c>
      <c r="N950" s="12" t="n">
        <v>32</v>
      </c>
      <c r="O950" s="12" t="n">
        <v>126.7</v>
      </c>
      <c r="P950" s="13" t="n">
        <f aca="false">27.38</f>
        <v>27.38</v>
      </c>
      <c r="Q950" s="13" t="n">
        <f aca="false">150.16</f>
        <v>150.16</v>
      </c>
      <c r="R950" s="12" t="n">
        <v>19.4</v>
      </c>
      <c r="S950" s="12" t="n">
        <v>22.9</v>
      </c>
      <c r="T950" s="12" t="n">
        <v>457</v>
      </c>
      <c r="U950" s="14" t="s">
        <v>97</v>
      </c>
      <c r="V950" s="15"/>
      <c r="W950" s="16" t="str">
        <f aca="false">A950</f>
        <v>OK</v>
      </c>
      <c r="X950" s="17" t="e">
        <f aca="false">ifs(C950="","",X950="",NOW(),TRUE(),X950)</f>
        <v>#VALUE!</v>
      </c>
      <c r="Y950" s="17" t="e">
        <f aca="false">ifs(COUNTA(K950:U953)&lt;44,"",Y950="",NOW(),TRUE(),Y950)</f>
        <v>#VALUE!</v>
      </c>
    </row>
    <row r="951" customFormat="false" ht="15.75" hidden="false" customHeight="false" outlineLevel="0" collapsed="false">
      <c r="A951" s="9"/>
      <c r="B951" s="10"/>
      <c r="C951" s="10"/>
      <c r="D951" s="10"/>
      <c r="E951" s="10"/>
      <c r="F951" s="10"/>
      <c r="G951" s="10"/>
      <c r="H951" s="10"/>
      <c r="I951" s="18" t="n">
        <v>2</v>
      </c>
      <c r="J951" s="18" t="s">
        <v>46</v>
      </c>
      <c r="K951" s="19" t="n">
        <f aca="false">40.56</f>
        <v>40.56</v>
      </c>
      <c r="L951" s="19" t="n">
        <f aca="false">119.1</f>
        <v>119.1</v>
      </c>
      <c r="M951" s="18" t="n">
        <v>14</v>
      </c>
      <c r="N951" s="18" t="n">
        <v>27</v>
      </c>
      <c r="O951" s="18" t="n">
        <v>90.1</v>
      </c>
      <c r="P951" s="19" t="n">
        <f aca="false">23.38</f>
        <v>23.38</v>
      </c>
      <c r="Q951" s="19" t="n">
        <f aca="false">138.21</f>
        <v>138.21</v>
      </c>
      <c r="R951" s="18" t="n">
        <v>14.2</v>
      </c>
      <c r="S951" s="18" t="n">
        <v>20</v>
      </c>
      <c r="T951" s="18" t="n">
        <v>376</v>
      </c>
      <c r="U951" s="20" t="s">
        <v>97</v>
      </c>
      <c r="V951" s="21"/>
      <c r="W951" s="16"/>
      <c r="X951" s="16"/>
      <c r="Y951" s="16"/>
    </row>
    <row r="952" customFormat="false" ht="15.75" hidden="false" customHeight="false" outlineLevel="0" collapsed="false">
      <c r="A952" s="9"/>
      <c r="B952" s="10"/>
      <c r="C952" s="10"/>
      <c r="D952" s="10"/>
      <c r="E952" s="10"/>
      <c r="F952" s="10"/>
      <c r="G952" s="10"/>
      <c r="H952" s="10"/>
      <c r="I952" s="22" t="n">
        <v>3</v>
      </c>
      <c r="J952" s="22" t="s">
        <v>46</v>
      </c>
      <c r="K952" s="23" t="n">
        <f aca="false">38.43</f>
        <v>38.43</v>
      </c>
      <c r="L952" s="23" t="n">
        <f aca="false">102.76</f>
        <v>102.76</v>
      </c>
      <c r="M952" s="22" t="n">
        <v>16</v>
      </c>
      <c r="N952" s="22" t="n">
        <v>22</v>
      </c>
      <c r="O952" s="22" t="n">
        <v>70.7</v>
      </c>
      <c r="P952" s="23" t="n">
        <f aca="false">23.83</f>
        <v>23.83</v>
      </c>
      <c r="Q952" s="23" t="n">
        <f aca="false">118.08</f>
        <v>118.08</v>
      </c>
      <c r="R952" s="22" t="n">
        <v>11.5</v>
      </c>
      <c r="S952" s="22" t="n">
        <v>16.4</v>
      </c>
      <c r="T952" s="22" t="n">
        <v>356</v>
      </c>
      <c r="U952" s="24" t="s">
        <v>97</v>
      </c>
      <c r="V952" s="15"/>
      <c r="W952" s="16"/>
      <c r="X952" s="16"/>
      <c r="Y952" s="16"/>
    </row>
    <row r="953" customFormat="false" ht="15.75" hidden="false" customHeight="false" outlineLevel="0" collapsed="false">
      <c r="A953" s="9"/>
      <c r="B953" s="10"/>
      <c r="C953" s="10"/>
      <c r="D953" s="10"/>
      <c r="E953" s="10"/>
      <c r="F953" s="10"/>
      <c r="G953" s="10"/>
      <c r="H953" s="10"/>
      <c r="I953" s="25" t="n">
        <v>4</v>
      </c>
      <c r="J953" s="25" t="s">
        <v>46</v>
      </c>
      <c r="K953" s="26" t="n">
        <f aca="false">38.69</f>
        <v>38.69</v>
      </c>
      <c r="L953" s="26" t="n">
        <f aca="false">105.96</f>
        <v>105.96</v>
      </c>
      <c r="M953" s="25" t="n">
        <v>16</v>
      </c>
      <c r="N953" s="25" t="n">
        <v>27</v>
      </c>
      <c r="O953" s="25" t="n">
        <v>84.2</v>
      </c>
      <c r="P953" s="26" t="n">
        <f aca="false">24.8</f>
        <v>24.8</v>
      </c>
      <c r="Q953" s="26" t="n">
        <f aca="false">125.01</f>
        <v>125.01</v>
      </c>
      <c r="R953" s="25" t="n">
        <v>13.6</v>
      </c>
      <c r="S953" s="25" t="n">
        <v>18.5</v>
      </c>
      <c r="T953" s="25" t="n">
        <v>374</v>
      </c>
      <c r="U953" s="27" t="s">
        <v>29</v>
      </c>
      <c r="V953" s="21"/>
      <c r="W953" s="16"/>
      <c r="X953" s="16"/>
      <c r="Y953" s="16"/>
    </row>
    <row r="954" customFormat="false" ht="15.75" hidden="false" customHeight="true" outlineLevel="0" collapsed="false">
      <c r="A954" s="9" t="s">
        <v>226</v>
      </c>
      <c r="B954" s="10" t="s">
        <v>44</v>
      </c>
      <c r="C954" s="11" t="s">
        <v>294</v>
      </c>
      <c r="D954" s="10" t="s">
        <v>28</v>
      </c>
      <c r="E954" s="10" t="s">
        <v>28</v>
      </c>
      <c r="F954" s="10"/>
      <c r="G954" s="10" t="n">
        <v>20</v>
      </c>
      <c r="H954" s="10" t="n">
        <v>2.5</v>
      </c>
      <c r="I954" s="12" t="n">
        <v>1</v>
      </c>
      <c r="J954" s="12" t="s">
        <v>47</v>
      </c>
      <c r="K954" s="13" t="n">
        <f aca="false">43.54</f>
        <v>43.54</v>
      </c>
      <c r="L954" s="13" t="n">
        <f aca="false">147.48</f>
        <v>147.48</v>
      </c>
      <c r="M954" s="12" t="n">
        <v>16</v>
      </c>
      <c r="N954" s="12" t="n">
        <v>38</v>
      </c>
      <c r="O954" s="12" t="n">
        <v>139</v>
      </c>
      <c r="P954" s="13" t="n">
        <f aca="false">28.02</f>
        <v>28.02</v>
      </c>
      <c r="Q954" s="13" t="n">
        <f aca="false">165.24</f>
        <v>165.24</v>
      </c>
      <c r="R954" s="12" t="n">
        <v>21.3</v>
      </c>
      <c r="S954" s="12" t="n">
        <v>19.2</v>
      </c>
      <c r="T954" s="12" t="n">
        <v>589</v>
      </c>
      <c r="U954" s="14" t="s">
        <v>29</v>
      </c>
      <c r="V954" s="15"/>
      <c r="W954" s="16" t="str">
        <f aca="false">A954</f>
        <v>OK</v>
      </c>
      <c r="X954" s="17" t="e">
        <f aca="false">ifs(C954="","",X954="",NOW(),TRUE(),X954)</f>
        <v>#VALUE!</v>
      </c>
      <c r="Y954" s="17" t="e">
        <f aca="false">ifs(COUNTA(K954:U957)&lt;44,"",Y954="",NOW(),TRUE(),Y954)</f>
        <v>#VALUE!</v>
      </c>
    </row>
    <row r="955" customFormat="false" ht="15.75" hidden="false" customHeight="false" outlineLevel="0" collapsed="false">
      <c r="A955" s="9"/>
      <c r="B955" s="10"/>
      <c r="C955" s="10"/>
      <c r="D955" s="10"/>
      <c r="E955" s="10"/>
      <c r="F955" s="10"/>
      <c r="G955" s="10"/>
      <c r="H955" s="10"/>
      <c r="I955" s="18" t="n">
        <v>2</v>
      </c>
      <c r="J955" s="18" t="s">
        <v>49</v>
      </c>
      <c r="K955" s="19" t="n">
        <f aca="false">38.84</f>
        <v>38.84</v>
      </c>
      <c r="L955" s="19" t="n">
        <f aca="false">117.37</f>
        <v>117.37</v>
      </c>
      <c r="M955" s="18" t="n">
        <v>12</v>
      </c>
      <c r="N955" s="18" t="n">
        <v>32</v>
      </c>
      <c r="O955" s="18" t="n">
        <v>77</v>
      </c>
      <c r="P955" s="19" t="n">
        <f aca="false">25.81</f>
        <v>25.81</v>
      </c>
      <c r="Q955" s="19" t="n">
        <f aca="false">135.24</f>
        <v>135.24</v>
      </c>
      <c r="R955" s="18" t="n">
        <v>12.8</v>
      </c>
      <c r="S955" s="18" t="n">
        <v>20.4</v>
      </c>
      <c r="T955" s="18" t="n">
        <v>325</v>
      </c>
      <c r="U955" s="20" t="s">
        <v>29</v>
      </c>
      <c r="V955" s="21"/>
      <c r="W955" s="16"/>
      <c r="X955" s="16"/>
      <c r="Y955" s="16"/>
    </row>
    <row r="956" customFormat="false" ht="15.75" hidden="false" customHeight="false" outlineLevel="0" collapsed="false">
      <c r="A956" s="9"/>
      <c r="B956" s="10"/>
      <c r="C956" s="10"/>
      <c r="D956" s="10"/>
      <c r="E956" s="10"/>
      <c r="F956" s="10"/>
      <c r="G956" s="10"/>
      <c r="H956" s="10"/>
      <c r="I956" s="22" t="n">
        <v>3</v>
      </c>
      <c r="J956" s="22" t="s">
        <v>47</v>
      </c>
      <c r="K956" s="23" t="n">
        <f aca="false">38.64</f>
        <v>38.64</v>
      </c>
      <c r="L956" s="23" t="n">
        <f aca="false">99.6</f>
        <v>99.6</v>
      </c>
      <c r="M956" s="22" t="n">
        <v>12</v>
      </c>
      <c r="N956" s="22" t="n">
        <v>19</v>
      </c>
      <c r="O956" s="22" t="n">
        <v>66.6</v>
      </c>
      <c r="P956" s="23" t="n">
        <f aca="false">24.71</f>
        <v>24.71</v>
      </c>
      <c r="Q956" s="23" t="n">
        <f aca="false">135.87</f>
        <v>135.87</v>
      </c>
      <c r="R956" s="22" t="n">
        <v>11.9</v>
      </c>
      <c r="S956" s="22" t="n">
        <v>21.4</v>
      </c>
      <c r="T956" s="22" t="n">
        <v>249</v>
      </c>
      <c r="U956" s="24" t="s">
        <v>29</v>
      </c>
      <c r="V956" s="15"/>
      <c r="W956" s="16"/>
      <c r="X956" s="16"/>
      <c r="Y956" s="16"/>
    </row>
    <row r="957" customFormat="false" ht="15.75" hidden="false" customHeight="false" outlineLevel="0" collapsed="false">
      <c r="A957" s="9"/>
      <c r="B957" s="10"/>
      <c r="C957" s="10"/>
      <c r="D957" s="10"/>
      <c r="E957" s="10"/>
      <c r="F957" s="10"/>
      <c r="G957" s="10"/>
      <c r="H957" s="10"/>
      <c r="I957" s="25" t="n">
        <v>4</v>
      </c>
      <c r="J957" s="25" t="s">
        <v>47</v>
      </c>
      <c r="K957" s="26" t="n">
        <f aca="false">36.87</f>
        <v>36.87</v>
      </c>
      <c r="L957" s="26" t="n">
        <f aca="false">85.97</f>
        <v>85.97</v>
      </c>
      <c r="M957" s="25" t="n">
        <v>12</v>
      </c>
      <c r="N957" s="25" t="n">
        <v>21</v>
      </c>
      <c r="O957" s="25" t="n">
        <v>52.3</v>
      </c>
      <c r="P957" s="26" t="n">
        <f aca="false">24.61</f>
        <v>24.61</v>
      </c>
      <c r="Q957" s="26" t="n">
        <f aca="false">103.71</f>
        <v>103.71</v>
      </c>
      <c r="R957" s="25" t="n">
        <v>6.3</v>
      </c>
      <c r="S957" s="25" t="n">
        <v>19.7</v>
      </c>
      <c r="T957" s="25" t="n">
        <v>229</v>
      </c>
      <c r="U957" s="27" t="s">
        <v>29</v>
      </c>
      <c r="V957" s="21"/>
      <c r="W957" s="16"/>
      <c r="X957" s="16"/>
      <c r="Y957" s="16"/>
    </row>
    <row r="958" customFormat="false" ht="15.75" hidden="false" customHeight="false" outlineLevel="0" collapsed="false">
      <c r="A958" s="9"/>
      <c r="B958" s="10"/>
      <c r="C958" s="11"/>
      <c r="D958" s="10"/>
      <c r="E958" s="10"/>
      <c r="F958" s="10"/>
      <c r="G958" s="10"/>
      <c r="H958" s="10"/>
      <c r="I958" s="12" t="n">
        <v>1</v>
      </c>
      <c r="J958" s="12"/>
      <c r="K958" s="13"/>
      <c r="L958" s="13"/>
      <c r="M958" s="12"/>
      <c r="N958" s="12"/>
      <c r="O958" s="12"/>
      <c r="P958" s="13"/>
      <c r="Q958" s="13"/>
      <c r="R958" s="12"/>
      <c r="S958" s="12"/>
      <c r="T958" s="12"/>
      <c r="U958" s="14"/>
      <c r="V958" s="15"/>
      <c r="W958" s="16" t="n">
        <f aca="false">A958</f>
        <v>0</v>
      </c>
      <c r="X958" s="17" t="e">
        <f aca="false">ifs(C958="","",X958="",NOW(),TRUE(),X958)</f>
        <v>#VALUE!</v>
      </c>
      <c r="Y958" s="17" t="e">
        <f aca="false">ifs(COUNTA(K958:U961)&lt;44,"",Y958="",NOW(),TRUE(),Y958)</f>
        <v>#VALUE!</v>
      </c>
    </row>
    <row r="959" customFormat="false" ht="15.75" hidden="false" customHeight="false" outlineLevel="0" collapsed="false">
      <c r="A959" s="9"/>
      <c r="B959" s="10"/>
      <c r="C959" s="10"/>
      <c r="D959" s="10"/>
      <c r="E959" s="10"/>
      <c r="F959" s="10"/>
      <c r="G959" s="10"/>
      <c r="H959" s="10"/>
      <c r="I959" s="18" t="n">
        <v>2</v>
      </c>
      <c r="J959" s="18"/>
      <c r="K959" s="19"/>
      <c r="L959" s="19"/>
      <c r="M959" s="18"/>
      <c r="N959" s="18"/>
      <c r="O959" s="18"/>
      <c r="P959" s="19"/>
      <c r="Q959" s="19"/>
      <c r="R959" s="18"/>
      <c r="S959" s="18"/>
      <c r="T959" s="18"/>
      <c r="U959" s="20"/>
      <c r="V959" s="21"/>
      <c r="W959" s="16"/>
      <c r="X959" s="16"/>
      <c r="Y959" s="16"/>
    </row>
    <row r="960" customFormat="false" ht="15.75" hidden="false" customHeight="false" outlineLevel="0" collapsed="false">
      <c r="A960" s="9"/>
      <c r="B960" s="10"/>
      <c r="C960" s="10"/>
      <c r="D960" s="10"/>
      <c r="E960" s="10"/>
      <c r="F960" s="10"/>
      <c r="G960" s="10"/>
      <c r="H960" s="10"/>
      <c r="I960" s="22" t="n">
        <v>3</v>
      </c>
      <c r="J960" s="22"/>
      <c r="K960" s="23"/>
      <c r="L960" s="23"/>
      <c r="M960" s="22"/>
      <c r="N960" s="22"/>
      <c r="O960" s="22"/>
      <c r="P960" s="23"/>
      <c r="Q960" s="23"/>
      <c r="R960" s="22"/>
      <c r="S960" s="22"/>
      <c r="T960" s="22"/>
      <c r="U960" s="24"/>
      <c r="V960" s="15"/>
      <c r="W960" s="16"/>
      <c r="X960" s="16"/>
      <c r="Y960" s="16"/>
    </row>
    <row r="961" customFormat="false" ht="15.75" hidden="false" customHeight="false" outlineLevel="0" collapsed="false">
      <c r="A961" s="9"/>
      <c r="B961" s="10"/>
      <c r="C961" s="10"/>
      <c r="D961" s="10"/>
      <c r="E961" s="10"/>
      <c r="F961" s="10"/>
      <c r="G961" s="10"/>
      <c r="H961" s="10"/>
      <c r="I961" s="25" t="n">
        <v>4</v>
      </c>
      <c r="J961" s="25"/>
      <c r="K961" s="26"/>
      <c r="L961" s="26"/>
      <c r="M961" s="25"/>
      <c r="N961" s="25"/>
      <c r="O961" s="25"/>
      <c r="P961" s="26"/>
      <c r="Q961" s="26"/>
      <c r="R961" s="25"/>
      <c r="S961" s="25"/>
      <c r="T961" s="25"/>
      <c r="U961" s="27"/>
      <c r="V961" s="21"/>
      <c r="W961" s="16"/>
      <c r="X961" s="16"/>
      <c r="Y961" s="16"/>
    </row>
    <row r="962" customFormat="false" ht="15.75" hidden="false" customHeight="false" outlineLevel="0" collapsed="false">
      <c r="A962" s="9"/>
      <c r="B962" s="10"/>
      <c r="C962" s="11"/>
      <c r="D962" s="10"/>
      <c r="E962" s="10"/>
      <c r="F962" s="10"/>
      <c r="G962" s="10"/>
      <c r="H962" s="10"/>
      <c r="I962" s="12" t="n">
        <v>1</v>
      </c>
      <c r="J962" s="12"/>
      <c r="K962" s="13"/>
      <c r="L962" s="13"/>
      <c r="M962" s="12"/>
      <c r="N962" s="12"/>
      <c r="O962" s="12"/>
      <c r="P962" s="13"/>
      <c r="Q962" s="13"/>
      <c r="R962" s="12"/>
      <c r="S962" s="12"/>
      <c r="T962" s="12"/>
      <c r="U962" s="14"/>
      <c r="V962" s="15"/>
      <c r="W962" s="16" t="n">
        <f aca="false">A962</f>
        <v>0</v>
      </c>
      <c r="X962" s="17" t="e">
        <f aca="false">ifs(C962="","",X962="",NOW(),TRUE(),X962)</f>
        <v>#VALUE!</v>
      </c>
      <c r="Y962" s="17" t="e">
        <f aca="false">ifs(COUNTA(K962:U965)&lt;44,"",Y962="",NOW(),TRUE(),Y962)</f>
        <v>#VALUE!</v>
      </c>
    </row>
    <row r="963" customFormat="false" ht="15.75" hidden="false" customHeight="false" outlineLevel="0" collapsed="false">
      <c r="A963" s="9"/>
      <c r="B963" s="10"/>
      <c r="C963" s="10"/>
      <c r="D963" s="10"/>
      <c r="E963" s="10"/>
      <c r="F963" s="10"/>
      <c r="G963" s="10"/>
      <c r="H963" s="10"/>
      <c r="I963" s="18" t="n">
        <v>2</v>
      </c>
      <c r="J963" s="18"/>
      <c r="K963" s="19"/>
      <c r="L963" s="19"/>
      <c r="M963" s="18"/>
      <c r="N963" s="18"/>
      <c r="O963" s="18"/>
      <c r="P963" s="19"/>
      <c r="Q963" s="19"/>
      <c r="R963" s="18"/>
      <c r="S963" s="18"/>
      <c r="T963" s="18"/>
      <c r="U963" s="20"/>
      <c r="V963" s="21"/>
      <c r="W963" s="16"/>
      <c r="X963" s="16"/>
      <c r="Y963" s="16"/>
    </row>
    <row r="964" customFormat="false" ht="15.75" hidden="false" customHeight="false" outlineLevel="0" collapsed="false">
      <c r="A964" s="9"/>
      <c r="B964" s="10"/>
      <c r="C964" s="10"/>
      <c r="D964" s="10"/>
      <c r="E964" s="10"/>
      <c r="F964" s="10"/>
      <c r="G964" s="10"/>
      <c r="H964" s="10"/>
      <c r="I964" s="22" t="n">
        <v>3</v>
      </c>
      <c r="J964" s="22"/>
      <c r="K964" s="23"/>
      <c r="L964" s="23"/>
      <c r="M964" s="22"/>
      <c r="N964" s="22"/>
      <c r="O964" s="22"/>
      <c r="P964" s="23"/>
      <c r="Q964" s="23"/>
      <c r="R964" s="22"/>
      <c r="S964" s="22"/>
      <c r="T964" s="22"/>
      <c r="U964" s="24"/>
      <c r="V964" s="15"/>
      <c r="W964" s="16"/>
      <c r="X964" s="16"/>
      <c r="Y964" s="16"/>
    </row>
    <row r="965" customFormat="false" ht="15.75" hidden="false" customHeight="false" outlineLevel="0" collapsed="false">
      <c r="A965" s="9"/>
      <c r="B965" s="10"/>
      <c r="C965" s="10"/>
      <c r="D965" s="10"/>
      <c r="E965" s="10"/>
      <c r="F965" s="10"/>
      <c r="G965" s="10"/>
      <c r="H965" s="10"/>
      <c r="I965" s="25" t="n">
        <v>4</v>
      </c>
      <c r="J965" s="25"/>
      <c r="K965" s="26"/>
      <c r="L965" s="26"/>
      <c r="M965" s="25"/>
      <c r="N965" s="25"/>
      <c r="O965" s="25"/>
      <c r="P965" s="26"/>
      <c r="Q965" s="26"/>
      <c r="R965" s="25"/>
      <c r="S965" s="25"/>
      <c r="T965" s="25"/>
      <c r="U965" s="27"/>
      <c r="V965" s="21"/>
      <c r="W965" s="16"/>
      <c r="X965" s="16"/>
      <c r="Y965" s="16"/>
    </row>
    <row r="966" customFormat="false" ht="15.75" hidden="false" customHeight="false" outlineLevel="0" collapsed="false">
      <c r="A966" s="9"/>
      <c r="B966" s="10"/>
      <c r="C966" s="11"/>
      <c r="D966" s="10"/>
      <c r="E966" s="10"/>
      <c r="F966" s="10"/>
      <c r="G966" s="10"/>
      <c r="H966" s="10"/>
      <c r="I966" s="12" t="n">
        <v>1</v>
      </c>
      <c r="J966" s="12"/>
      <c r="K966" s="13"/>
      <c r="L966" s="13"/>
      <c r="M966" s="12"/>
      <c r="N966" s="12"/>
      <c r="O966" s="12"/>
      <c r="P966" s="13"/>
      <c r="Q966" s="13"/>
      <c r="R966" s="12"/>
      <c r="S966" s="12"/>
      <c r="T966" s="12"/>
      <c r="U966" s="14"/>
      <c r="V966" s="15"/>
      <c r="W966" s="16" t="n">
        <f aca="false">A966</f>
        <v>0</v>
      </c>
      <c r="X966" s="17" t="e">
        <f aca="false">ifs(C966="","",X966="",NOW(),TRUE(),X966)</f>
        <v>#VALUE!</v>
      </c>
      <c r="Y966" s="17" t="e">
        <f aca="false">ifs(COUNTA(K966:U969)&lt;44,"",Y966="",NOW(),TRUE(),Y966)</f>
        <v>#VALUE!</v>
      </c>
    </row>
    <row r="967" customFormat="false" ht="15.75" hidden="false" customHeight="false" outlineLevel="0" collapsed="false">
      <c r="A967" s="9"/>
      <c r="B967" s="10"/>
      <c r="C967" s="10"/>
      <c r="D967" s="10"/>
      <c r="E967" s="10"/>
      <c r="F967" s="10"/>
      <c r="G967" s="10"/>
      <c r="H967" s="10"/>
      <c r="I967" s="18" t="n">
        <v>2</v>
      </c>
      <c r="J967" s="18"/>
      <c r="K967" s="19"/>
      <c r="L967" s="19"/>
      <c r="M967" s="18"/>
      <c r="N967" s="18"/>
      <c r="O967" s="18"/>
      <c r="P967" s="19"/>
      <c r="Q967" s="19"/>
      <c r="R967" s="18"/>
      <c r="S967" s="18"/>
      <c r="T967" s="18"/>
      <c r="U967" s="20"/>
      <c r="V967" s="21"/>
      <c r="W967" s="16"/>
      <c r="X967" s="16"/>
      <c r="Y967" s="16"/>
    </row>
    <row r="968" customFormat="false" ht="15.75" hidden="false" customHeight="false" outlineLevel="0" collapsed="false">
      <c r="A968" s="9"/>
      <c r="B968" s="10"/>
      <c r="C968" s="10"/>
      <c r="D968" s="10"/>
      <c r="E968" s="10"/>
      <c r="F968" s="10"/>
      <c r="G968" s="10"/>
      <c r="H968" s="10"/>
      <c r="I968" s="22" t="n">
        <v>3</v>
      </c>
      <c r="J968" s="22"/>
      <c r="K968" s="23"/>
      <c r="L968" s="23"/>
      <c r="M968" s="22"/>
      <c r="N968" s="22"/>
      <c r="O968" s="22"/>
      <c r="P968" s="23"/>
      <c r="Q968" s="23"/>
      <c r="R968" s="22"/>
      <c r="S968" s="22"/>
      <c r="T968" s="22"/>
      <c r="U968" s="24"/>
      <c r="V968" s="15"/>
      <c r="W968" s="16"/>
      <c r="X968" s="16"/>
      <c r="Y968" s="16"/>
    </row>
    <row r="969" customFormat="false" ht="15.75" hidden="false" customHeight="false" outlineLevel="0" collapsed="false">
      <c r="A969" s="9"/>
      <c r="B969" s="10"/>
      <c r="C969" s="10"/>
      <c r="D969" s="10"/>
      <c r="E969" s="10"/>
      <c r="F969" s="10"/>
      <c r="G969" s="10"/>
      <c r="H969" s="10"/>
      <c r="I969" s="25" t="n">
        <v>4</v>
      </c>
      <c r="J969" s="25"/>
      <c r="K969" s="26"/>
      <c r="L969" s="26"/>
      <c r="M969" s="25"/>
      <c r="N969" s="25"/>
      <c r="O969" s="25"/>
      <c r="P969" s="26"/>
      <c r="Q969" s="26"/>
      <c r="R969" s="25"/>
      <c r="S969" s="25"/>
      <c r="T969" s="25"/>
      <c r="U969" s="27"/>
      <c r="V969" s="21"/>
      <c r="W969" s="16"/>
      <c r="X969" s="16"/>
      <c r="Y969" s="16"/>
    </row>
    <row r="970" customFormat="false" ht="15.75" hidden="false" customHeight="false" outlineLevel="0" collapsed="false">
      <c r="A970" s="9"/>
      <c r="B970" s="10"/>
      <c r="C970" s="11"/>
      <c r="D970" s="10"/>
      <c r="E970" s="10"/>
      <c r="F970" s="10"/>
      <c r="G970" s="10"/>
      <c r="H970" s="10"/>
      <c r="I970" s="12" t="n">
        <v>1</v>
      </c>
      <c r="J970" s="12"/>
      <c r="K970" s="13"/>
      <c r="L970" s="13"/>
      <c r="M970" s="12"/>
      <c r="N970" s="12"/>
      <c r="O970" s="12"/>
      <c r="P970" s="13"/>
      <c r="Q970" s="13"/>
      <c r="R970" s="12"/>
      <c r="S970" s="12"/>
      <c r="T970" s="12"/>
      <c r="U970" s="14"/>
      <c r="V970" s="15"/>
      <c r="W970" s="16" t="n">
        <f aca="false">A970</f>
        <v>0</v>
      </c>
      <c r="X970" s="17" t="e">
        <f aca="false">ifs(C970="","",X970="",NOW(),TRUE(),X970)</f>
        <v>#VALUE!</v>
      </c>
      <c r="Y970" s="17" t="e">
        <f aca="false">ifs(COUNTA(K970:U973)&lt;44,"",Y970="",NOW(),TRUE(),Y970)</f>
        <v>#VALUE!</v>
      </c>
    </row>
    <row r="971" customFormat="false" ht="15.75" hidden="false" customHeight="false" outlineLevel="0" collapsed="false">
      <c r="A971" s="9"/>
      <c r="B971" s="10"/>
      <c r="C971" s="10"/>
      <c r="D971" s="10"/>
      <c r="E971" s="10"/>
      <c r="F971" s="10"/>
      <c r="G971" s="10"/>
      <c r="H971" s="10"/>
      <c r="I971" s="18" t="n">
        <v>2</v>
      </c>
      <c r="J971" s="18"/>
      <c r="K971" s="19"/>
      <c r="L971" s="19"/>
      <c r="M971" s="18"/>
      <c r="N971" s="18"/>
      <c r="O971" s="18"/>
      <c r="P971" s="19"/>
      <c r="Q971" s="19"/>
      <c r="R971" s="18"/>
      <c r="S971" s="18"/>
      <c r="T971" s="18"/>
      <c r="U971" s="20"/>
      <c r="V971" s="21"/>
      <c r="W971" s="16"/>
      <c r="X971" s="16"/>
      <c r="Y971" s="16"/>
    </row>
    <row r="972" customFormat="false" ht="15.75" hidden="false" customHeight="false" outlineLevel="0" collapsed="false">
      <c r="A972" s="9"/>
      <c r="B972" s="10"/>
      <c r="C972" s="10"/>
      <c r="D972" s="10"/>
      <c r="E972" s="10"/>
      <c r="F972" s="10"/>
      <c r="G972" s="10"/>
      <c r="H972" s="10"/>
      <c r="I972" s="22" t="n">
        <v>3</v>
      </c>
      <c r="J972" s="22"/>
      <c r="K972" s="23"/>
      <c r="L972" s="23"/>
      <c r="M972" s="22"/>
      <c r="N972" s="22"/>
      <c r="O972" s="22"/>
      <c r="P972" s="23"/>
      <c r="Q972" s="23"/>
      <c r="R972" s="22"/>
      <c r="S972" s="22"/>
      <c r="T972" s="22"/>
      <c r="U972" s="24"/>
      <c r="V972" s="15"/>
      <c r="W972" s="16"/>
      <c r="X972" s="16"/>
      <c r="Y972" s="16"/>
    </row>
    <row r="973" customFormat="false" ht="15.75" hidden="false" customHeight="false" outlineLevel="0" collapsed="false">
      <c r="A973" s="9"/>
      <c r="B973" s="10"/>
      <c r="C973" s="10"/>
      <c r="D973" s="10"/>
      <c r="E973" s="10"/>
      <c r="F973" s="10"/>
      <c r="G973" s="10"/>
      <c r="H973" s="10"/>
      <c r="I973" s="25" t="n">
        <v>4</v>
      </c>
      <c r="J973" s="25"/>
      <c r="K973" s="26"/>
      <c r="L973" s="26"/>
      <c r="M973" s="25"/>
      <c r="N973" s="25"/>
      <c r="O973" s="25"/>
      <c r="P973" s="26"/>
      <c r="Q973" s="26"/>
      <c r="R973" s="25"/>
      <c r="S973" s="25"/>
      <c r="T973" s="25"/>
      <c r="U973" s="27"/>
      <c r="V973" s="21"/>
      <c r="W973" s="16"/>
      <c r="X973" s="16"/>
      <c r="Y973" s="16"/>
    </row>
    <row r="974" customFormat="false" ht="15.75" hidden="false" customHeight="false" outlineLevel="0" collapsed="false">
      <c r="A974" s="9"/>
      <c r="B974" s="10"/>
      <c r="C974" s="11"/>
      <c r="D974" s="10"/>
      <c r="E974" s="10"/>
      <c r="F974" s="10"/>
      <c r="G974" s="10"/>
      <c r="H974" s="10"/>
      <c r="I974" s="12" t="n">
        <v>1</v>
      </c>
      <c r="J974" s="12"/>
      <c r="K974" s="13"/>
      <c r="L974" s="13"/>
      <c r="M974" s="12"/>
      <c r="N974" s="12"/>
      <c r="O974" s="12"/>
      <c r="P974" s="13"/>
      <c r="Q974" s="13"/>
      <c r="R974" s="12"/>
      <c r="S974" s="12"/>
      <c r="T974" s="12"/>
      <c r="U974" s="14"/>
      <c r="V974" s="15"/>
      <c r="W974" s="16" t="n">
        <f aca="false">A974</f>
        <v>0</v>
      </c>
      <c r="X974" s="17" t="e">
        <f aca="false">ifs(C974="","",X974="",NOW(),TRUE(),X974)</f>
        <v>#VALUE!</v>
      </c>
      <c r="Y974" s="17" t="e">
        <f aca="false">ifs(COUNTA(K974:U977)&lt;44,"",Y974="",NOW(),TRUE(),Y974)</f>
        <v>#VALUE!</v>
      </c>
    </row>
    <row r="975" customFormat="false" ht="15.75" hidden="false" customHeight="false" outlineLevel="0" collapsed="false">
      <c r="A975" s="9"/>
      <c r="B975" s="10"/>
      <c r="C975" s="10"/>
      <c r="D975" s="10"/>
      <c r="E975" s="10"/>
      <c r="F975" s="10"/>
      <c r="G975" s="10"/>
      <c r="H975" s="10"/>
      <c r="I975" s="18" t="n">
        <v>2</v>
      </c>
      <c r="J975" s="18"/>
      <c r="K975" s="19"/>
      <c r="L975" s="19"/>
      <c r="M975" s="18"/>
      <c r="N975" s="18"/>
      <c r="O975" s="18"/>
      <c r="P975" s="19"/>
      <c r="Q975" s="19"/>
      <c r="R975" s="18"/>
      <c r="S975" s="18"/>
      <c r="T975" s="18"/>
      <c r="U975" s="20"/>
      <c r="V975" s="21"/>
      <c r="W975" s="16"/>
      <c r="X975" s="16"/>
      <c r="Y975" s="16"/>
    </row>
    <row r="976" customFormat="false" ht="15.75" hidden="false" customHeight="false" outlineLevel="0" collapsed="false">
      <c r="A976" s="9"/>
      <c r="B976" s="10"/>
      <c r="C976" s="10"/>
      <c r="D976" s="10"/>
      <c r="E976" s="10"/>
      <c r="F976" s="10"/>
      <c r="G976" s="10"/>
      <c r="H976" s="10"/>
      <c r="I976" s="22" t="n">
        <v>3</v>
      </c>
      <c r="J976" s="22"/>
      <c r="K976" s="23"/>
      <c r="L976" s="23"/>
      <c r="M976" s="22"/>
      <c r="N976" s="22"/>
      <c r="O976" s="22"/>
      <c r="P976" s="23"/>
      <c r="Q976" s="23"/>
      <c r="R976" s="22"/>
      <c r="S976" s="22"/>
      <c r="T976" s="22"/>
      <c r="U976" s="24"/>
      <c r="V976" s="15"/>
      <c r="W976" s="16"/>
      <c r="X976" s="16"/>
      <c r="Y976" s="16"/>
    </row>
    <row r="977" customFormat="false" ht="15.75" hidden="false" customHeight="false" outlineLevel="0" collapsed="false">
      <c r="A977" s="9"/>
      <c r="B977" s="10"/>
      <c r="C977" s="10"/>
      <c r="D977" s="10"/>
      <c r="E977" s="10"/>
      <c r="F977" s="10"/>
      <c r="G977" s="10"/>
      <c r="H977" s="10"/>
      <c r="I977" s="25" t="n">
        <v>4</v>
      </c>
      <c r="J977" s="25"/>
      <c r="K977" s="26"/>
      <c r="L977" s="26"/>
      <c r="M977" s="25"/>
      <c r="N977" s="25"/>
      <c r="O977" s="25"/>
      <c r="P977" s="26"/>
      <c r="Q977" s="26"/>
      <c r="R977" s="25"/>
      <c r="S977" s="25"/>
      <c r="T977" s="25"/>
      <c r="U977" s="27"/>
      <c r="V977" s="21"/>
      <c r="W977" s="16"/>
      <c r="X977" s="16"/>
      <c r="Y977" s="16"/>
    </row>
    <row r="978" customFormat="false" ht="15.75" hidden="false" customHeight="false" outlineLevel="0" collapsed="false">
      <c r="A978" s="9"/>
      <c r="B978" s="10"/>
      <c r="C978" s="11"/>
      <c r="D978" s="10"/>
      <c r="E978" s="10"/>
      <c r="F978" s="10"/>
      <c r="G978" s="10"/>
      <c r="H978" s="10"/>
      <c r="I978" s="12" t="n">
        <v>1</v>
      </c>
      <c r="J978" s="12"/>
      <c r="K978" s="13"/>
      <c r="L978" s="13"/>
      <c r="M978" s="12"/>
      <c r="N978" s="12"/>
      <c r="O978" s="12"/>
      <c r="P978" s="13"/>
      <c r="Q978" s="13"/>
      <c r="R978" s="12"/>
      <c r="S978" s="12"/>
      <c r="T978" s="12"/>
      <c r="U978" s="14"/>
      <c r="V978" s="15"/>
      <c r="W978" s="16" t="n">
        <f aca="false">A978</f>
        <v>0</v>
      </c>
      <c r="X978" s="17" t="e">
        <f aca="false">ifs(C978="","",X978="",NOW(),TRUE(),X978)</f>
        <v>#VALUE!</v>
      </c>
      <c r="Y978" s="17" t="e">
        <f aca="false">ifs(COUNTA(K978:U981)&lt;44,"",Y978="",NOW(),TRUE(),Y978)</f>
        <v>#VALUE!</v>
      </c>
    </row>
    <row r="979" customFormat="false" ht="15.75" hidden="false" customHeight="false" outlineLevel="0" collapsed="false">
      <c r="A979" s="9"/>
      <c r="B979" s="10"/>
      <c r="C979" s="10"/>
      <c r="D979" s="10"/>
      <c r="E979" s="10"/>
      <c r="F979" s="10"/>
      <c r="G979" s="10"/>
      <c r="H979" s="10"/>
      <c r="I979" s="18" t="n">
        <v>2</v>
      </c>
      <c r="J979" s="18"/>
      <c r="K979" s="19"/>
      <c r="L979" s="19"/>
      <c r="M979" s="18"/>
      <c r="N979" s="18"/>
      <c r="O979" s="18"/>
      <c r="P979" s="19"/>
      <c r="Q979" s="19"/>
      <c r="R979" s="18"/>
      <c r="S979" s="18"/>
      <c r="T979" s="18"/>
      <c r="U979" s="20"/>
      <c r="V979" s="21"/>
      <c r="W979" s="16"/>
      <c r="X979" s="16"/>
      <c r="Y979" s="16"/>
    </row>
    <row r="980" customFormat="false" ht="15.75" hidden="false" customHeight="false" outlineLevel="0" collapsed="false">
      <c r="A980" s="9"/>
      <c r="B980" s="10"/>
      <c r="C980" s="10"/>
      <c r="D980" s="10"/>
      <c r="E980" s="10"/>
      <c r="F980" s="10"/>
      <c r="G980" s="10"/>
      <c r="H980" s="10"/>
      <c r="I980" s="22" t="n">
        <v>3</v>
      </c>
      <c r="J980" s="22"/>
      <c r="K980" s="23"/>
      <c r="L980" s="23"/>
      <c r="M980" s="22"/>
      <c r="N980" s="22"/>
      <c r="O980" s="22"/>
      <c r="P980" s="23"/>
      <c r="Q980" s="23"/>
      <c r="R980" s="22"/>
      <c r="S980" s="22"/>
      <c r="T980" s="22"/>
      <c r="U980" s="24"/>
      <c r="V980" s="15"/>
      <c r="W980" s="16"/>
      <c r="X980" s="16"/>
      <c r="Y980" s="16"/>
    </row>
    <row r="981" customFormat="false" ht="15.75" hidden="false" customHeight="false" outlineLevel="0" collapsed="false">
      <c r="A981" s="9"/>
      <c r="B981" s="10"/>
      <c r="C981" s="10"/>
      <c r="D981" s="10"/>
      <c r="E981" s="10"/>
      <c r="F981" s="10"/>
      <c r="G981" s="10"/>
      <c r="H981" s="10"/>
      <c r="I981" s="25" t="n">
        <v>4</v>
      </c>
      <c r="J981" s="25"/>
      <c r="K981" s="26"/>
      <c r="L981" s="26"/>
      <c r="M981" s="25"/>
      <c r="N981" s="25"/>
      <c r="O981" s="25"/>
      <c r="P981" s="26"/>
      <c r="Q981" s="26"/>
      <c r="R981" s="25"/>
      <c r="S981" s="25"/>
      <c r="T981" s="25"/>
      <c r="U981" s="27"/>
      <c r="V981" s="21"/>
      <c r="W981" s="16"/>
      <c r="X981" s="16"/>
      <c r="Y981" s="16"/>
    </row>
    <row r="982" customFormat="false" ht="15.75" hidden="false" customHeight="false" outlineLevel="0" collapsed="false">
      <c r="A982" s="9"/>
      <c r="B982" s="10"/>
      <c r="C982" s="11"/>
      <c r="D982" s="10"/>
      <c r="E982" s="10"/>
      <c r="F982" s="10"/>
      <c r="G982" s="10"/>
      <c r="H982" s="10"/>
      <c r="I982" s="12" t="n">
        <v>1</v>
      </c>
      <c r="J982" s="12"/>
      <c r="K982" s="13"/>
      <c r="L982" s="13"/>
      <c r="M982" s="12"/>
      <c r="N982" s="12"/>
      <c r="O982" s="12"/>
      <c r="P982" s="13"/>
      <c r="Q982" s="13"/>
      <c r="R982" s="12"/>
      <c r="S982" s="12"/>
      <c r="T982" s="12"/>
      <c r="U982" s="14"/>
      <c r="V982" s="15"/>
      <c r="W982" s="16" t="n">
        <f aca="false">A982</f>
        <v>0</v>
      </c>
      <c r="X982" s="17" t="e">
        <f aca="false">ifs(C982="","",X982="",NOW(),TRUE(),X982)</f>
        <v>#VALUE!</v>
      </c>
      <c r="Y982" s="17" t="e">
        <f aca="false">ifs(COUNTA(K982:U985)&lt;44,"",Y982="",NOW(),TRUE(),Y982)</f>
        <v>#VALUE!</v>
      </c>
    </row>
    <row r="983" customFormat="false" ht="15.75" hidden="false" customHeight="false" outlineLevel="0" collapsed="false">
      <c r="A983" s="9"/>
      <c r="B983" s="10"/>
      <c r="C983" s="10"/>
      <c r="D983" s="10"/>
      <c r="E983" s="10"/>
      <c r="F983" s="10"/>
      <c r="G983" s="10"/>
      <c r="H983" s="10"/>
      <c r="I983" s="18" t="n">
        <v>2</v>
      </c>
      <c r="J983" s="18"/>
      <c r="K983" s="19"/>
      <c r="L983" s="19"/>
      <c r="M983" s="18"/>
      <c r="N983" s="18"/>
      <c r="O983" s="18"/>
      <c r="P983" s="19"/>
      <c r="Q983" s="19"/>
      <c r="R983" s="18"/>
      <c r="S983" s="18"/>
      <c r="T983" s="18"/>
      <c r="U983" s="20"/>
      <c r="V983" s="21"/>
      <c r="W983" s="16"/>
      <c r="X983" s="16"/>
      <c r="Y983" s="16"/>
    </row>
    <row r="984" customFormat="false" ht="15.75" hidden="false" customHeight="false" outlineLevel="0" collapsed="false">
      <c r="A984" s="9"/>
      <c r="B984" s="10"/>
      <c r="C984" s="10"/>
      <c r="D984" s="10"/>
      <c r="E984" s="10"/>
      <c r="F984" s="10"/>
      <c r="G984" s="10"/>
      <c r="H984" s="10"/>
      <c r="I984" s="22" t="n">
        <v>3</v>
      </c>
      <c r="J984" s="22"/>
      <c r="K984" s="23"/>
      <c r="L984" s="23"/>
      <c r="M984" s="22"/>
      <c r="N984" s="22"/>
      <c r="O984" s="22"/>
      <c r="P984" s="23"/>
      <c r="Q984" s="23"/>
      <c r="R984" s="22"/>
      <c r="S984" s="22"/>
      <c r="T984" s="22"/>
      <c r="U984" s="24"/>
      <c r="V984" s="15"/>
      <c r="W984" s="16"/>
      <c r="X984" s="16"/>
      <c r="Y984" s="16"/>
    </row>
    <row r="985" customFormat="false" ht="15.75" hidden="false" customHeight="false" outlineLevel="0" collapsed="false">
      <c r="A985" s="9"/>
      <c r="B985" s="10"/>
      <c r="C985" s="10"/>
      <c r="D985" s="10"/>
      <c r="E985" s="10"/>
      <c r="F985" s="10"/>
      <c r="G985" s="10"/>
      <c r="H985" s="10"/>
      <c r="I985" s="25" t="n">
        <v>4</v>
      </c>
      <c r="J985" s="25"/>
      <c r="K985" s="26"/>
      <c r="L985" s="26"/>
      <c r="M985" s="25"/>
      <c r="N985" s="25"/>
      <c r="O985" s="25"/>
      <c r="P985" s="26"/>
      <c r="Q985" s="26"/>
      <c r="R985" s="25"/>
      <c r="S985" s="25"/>
      <c r="T985" s="25"/>
      <c r="U985" s="27"/>
      <c r="V985" s="21"/>
      <c r="W985" s="16"/>
      <c r="X985" s="16"/>
      <c r="Y985" s="16"/>
    </row>
    <row r="986" customFormat="false" ht="15.75" hidden="false" customHeight="false" outlineLevel="0" collapsed="false">
      <c r="A986" s="9"/>
      <c r="B986" s="10"/>
      <c r="C986" s="11"/>
      <c r="D986" s="10"/>
      <c r="E986" s="10"/>
      <c r="F986" s="10"/>
      <c r="G986" s="10"/>
      <c r="H986" s="10"/>
      <c r="I986" s="12" t="n">
        <v>1</v>
      </c>
      <c r="J986" s="12"/>
      <c r="K986" s="13"/>
      <c r="L986" s="13"/>
      <c r="M986" s="12"/>
      <c r="N986" s="12"/>
      <c r="O986" s="12"/>
      <c r="P986" s="13"/>
      <c r="Q986" s="13"/>
      <c r="R986" s="12"/>
      <c r="S986" s="12"/>
      <c r="T986" s="12"/>
      <c r="U986" s="14"/>
      <c r="V986" s="15"/>
      <c r="W986" s="16" t="n">
        <f aca="false">A986</f>
        <v>0</v>
      </c>
      <c r="X986" s="17" t="e">
        <f aca="false">ifs(C986="","",X986="",NOW(),TRUE(),X986)</f>
        <v>#VALUE!</v>
      </c>
      <c r="Y986" s="17" t="e">
        <f aca="false">ifs(COUNTA(K986:U989)&lt;44,"",Y986="",NOW(),TRUE(),Y986)</f>
        <v>#VALUE!</v>
      </c>
    </row>
    <row r="987" customFormat="false" ht="15.75" hidden="false" customHeight="false" outlineLevel="0" collapsed="false">
      <c r="A987" s="9"/>
      <c r="B987" s="10"/>
      <c r="C987" s="10"/>
      <c r="D987" s="10"/>
      <c r="E987" s="10"/>
      <c r="F987" s="10"/>
      <c r="G987" s="10"/>
      <c r="H987" s="10"/>
      <c r="I987" s="18" t="n">
        <v>2</v>
      </c>
      <c r="J987" s="18"/>
      <c r="K987" s="19"/>
      <c r="L987" s="19"/>
      <c r="M987" s="18"/>
      <c r="N987" s="18"/>
      <c r="O987" s="18"/>
      <c r="P987" s="19"/>
      <c r="Q987" s="19"/>
      <c r="R987" s="18"/>
      <c r="S987" s="18"/>
      <c r="T987" s="18"/>
      <c r="U987" s="20"/>
      <c r="V987" s="21"/>
      <c r="W987" s="16"/>
      <c r="X987" s="16"/>
      <c r="Y987" s="16"/>
    </row>
    <row r="988" customFormat="false" ht="15.75" hidden="false" customHeight="false" outlineLevel="0" collapsed="false">
      <c r="A988" s="9"/>
      <c r="B988" s="10"/>
      <c r="C988" s="10"/>
      <c r="D988" s="10"/>
      <c r="E988" s="10"/>
      <c r="F988" s="10"/>
      <c r="G988" s="10"/>
      <c r="H988" s="10"/>
      <c r="I988" s="22" t="n">
        <v>3</v>
      </c>
      <c r="J988" s="22"/>
      <c r="K988" s="23"/>
      <c r="L988" s="23"/>
      <c r="M988" s="22"/>
      <c r="N988" s="22"/>
      <c r="O988" s="22"/>
      <c r="P988" s="23"/>
      <c r="Q988" s="23"/>
      <c r="R988" s="22"/>
      <c r="S988" s="22"/>
      <c r="T988" s="22"/>
      <c r="U988" s="24"/>
      <c r="V988" s="15"/>
      <c r="W988" s="16"/>
      <c r="X988" s="16"/>
      <c r="Y988" s="16"/>
    </row>
    <row r="989" customFormat="false" ht="15.75" hidden="false" customHeight="false" outlineLevel="0" collapsed="false">
      <c r="A989" s="9"/>
      <c r="B989" s="10"/>
      <c r="C989" s="10"/>
      <c r="D989" s="10"/>
      <c r="E989" s="10"/>
      <c r="F989" s="10"/>
      <c r="G989" s="10"/>
      <c r="H989" s="10"/>
      <c r="I989" s="25" t="n">
        <v>4</v>
      </c>
      <c r="J989" s="25"/>
      <c r="K989" s="26"/>
      <c r="L989" s="26"/>
      <c r="M989" s="25"/>
      <c r="N989" s="25"/>
      <c r="O989" s="25"/>
      <c r="P989" s="26"/>
      <c r="Q989" s="26"/>
      <c r="R989" s="25"/>
      <c r="S989" s="25"/>
      <c r="T989" s="25"/>
      <c r="U989" s="27"/>
      <c r="V989" s="21"/>
      <c r="W989" s="16"/>
      <c r="X989" s="16"/>
      <c r="Y989" s="16"/>
    </row>
    <row r="990" customFormat="false" ht="15.75" hidden="false" customHeight="false" outlineLevel="0" collapsed="false">
      <c r="A990" s="9"/>
      <c r="B990" s="10"/>
      <c r="C990" s="11"/>
      <c r="D990" s="10"/>
      <c r="E990" s="10"/>
      <c r="F990" s="10"/>
      <c r="G990" s="10"/>
      <c r="H990" s="10"/>
      <c r="I990" s="12" t="n">
        <v>1</v>
      </c>
      <c r="J990" s="12"/>
      <c r="K990" s="13"/>
      <c r="L990" s="13"/>
      <c r="M990" s="12"/>
      <c r="N990" s="12"/>
      <c r="O990" s="12"/>
      <c r="P990" s="13"/>
      <c r="Q990" s="13"/>
      <c r="R990" s="12"/>
      <c r="S990" s="12"/>
      <c r="T990" s="12"/>
      <c r="U990" s="14"/>
      <c r="V990" s="15"/>
      <c r="W990" s="16" t="n">
        <f aca="false">A990</f>
        <v>0</v>
      </c>
      <c r="X990" s="17" t="e">
        <f aca="false">ifs(C990="","",X990="",NOW(),TRUE(),X990)</f>
        <v>#VALUE!</v>
      </c>
      <c r="Y990" s="17" t="e">
        <f aca="false">ifs(COUNTA(K990:U993)&lt;44,"",Y990="",NOW(),TRUE(),Y990)</f>
        <v>#VALUE!</v>
      </c>
    </row>
    <row r="991" customFormat="false" ht="15.75" hidden="false" customHeight="false" outlineLevel="0" collapsed="false">
      <c r="A991" s="9"/>
      <c r="B991" s="10"/>
      <c r="C991" s="10"/>
      <c r="D991" s="10"/>
      <c r="E991" s="10"/>
      <c r="F991" s="10"/>
      <c r="G991" s="10"/>
      <c r="H991" s="10"/>
      <c r="I991" s="18" t="n">
        <v>2</v>
      </c>
      <c r="J991" s="18"/>
      <c r="K991" s="19"/>
      <c r="L991" s="19"/>
      <c r="M991" s="18"/>
      <c r="N991" s="18"/>
      <c r="O991" s="18"/>
      <c r="P991" s="19"/>
      <c r="Q991" s="19"/>
      <c r="R991" s="18"/>
      <c r="S991" s="18"/>
      <c r="T991" s="18"/>
      <c r="U991" s="20"/>
      <c r="V991" s="21"/>
      <c r="W991" s="16"/>
      <c r="X991" s="16"/>
      <c r="Y991" s="16"/>
    </row>
    <row r="992" customFormat="false" ht="15.75" hidden="false" customHeight="false" outlineLevel="0" collapsed="false">
      <c r="A992" s="9"/>
      <c r="B992" s="10"/>
      <c r="C992" s="10"/>
      <c r="D992" s="10"/>
      <c r="E992" s="10"/>
      <c r="F992" s="10"/>
      <c r="G992" s="10"/>
      <c r="H992" s="10"/>
      <c r="I992" s="22" t="n">
        <v>3</v>
      </c>
      <c r="J992" s="22"/>
      <c r="K992" s="23"/>
      <c r="L992" s="23"/>
      <c r="M992" s="22"/>
      <c r="N992" s="22"/>
      <c r="O992" s="22"/>
      <c r="P992" s="23"/>
      <c r="Q992" s="23"/>
      <c r="R992" s="22"/>
      <c r="S992" s="22"/>
      <c r="T992" s="22"/>
      <c r="U992" s="24"/>
      <c r="V992" s="15"/>
      <c r="W992" s="16"/>
      <c r="X992" s="16"/>
      <c r="Y992" s="16"/>
    </row>
    <row r="993" customFormat="false" ht="15.75" hidden="false" customHeight="false" outlineLevel="0" collapsed="false">
      <c r="A993" s="9"/>
      <c r="B993" s="10"/>
      <c r="C993" s="10"/>
      <c r="D993" s="10"/>
      <c r="E993" s="10"/>
      <c r="F993" s="10"/>
      <c r="G993" s="10"/>
      <c r="H993" s="10"/>
      <c r="I993" s="25" t="n">
        <v>4</v>
      </c>
      <c r="J993" s="25"/>
      <c r="K993" s="26"/>
      <c r="L993" s="26"/>
      <c r="M993" s="25"/>
      <c r="N993" s="25"/>
      <c r="O993" s="25"/>
      <c r="P993" s="26"/>
      <c r="Q993" s="26"/>
      <c r="R993" s="25"/>
      <c r="S993" s="25"/>
      <c r="T993" s="25"/>
      <c r="U993" s="27"/>
      <c r="V993" s="21"/>
      <c r="W993" s="16"/>
      <c r="X993" s="16"/>
      <c r="Y993" s="16"/>
    </row>
    <row r="994" customFormat="false" ht="15.75" hidden="false" customHeight="false" outlineLevel="0" collapsed="false">
      <c r="A994" s="9"/>
      <c r="B994" s="10"/>
      <c r="C994" s="11"/>
      <c r="D994" s="10"/>
      <c r="E994" s="10"/>
      <c r="F994" s="10"/>
      <c r="G994" s="10"/>
      <c r="H994" s="10"/>
      <c r="I994" s="12" t="n">
        <v>1</v>
      </c>
      <c r="J994" s="12"/>
      <c r="K994" s="13"/>
      <c r="L994" s="13"/>
      <c r="M994" s="12"/>
      <c r="N994" s="12"/>
      <c r="O994" s="12"/>
      <c r="P994" s="13"/>
      <c r="Q994" s="13"/>
      <c r="R994" s="12"/>
      <c r="S994" s="12"/>
      <c r="T994" s="12"/>
      <c r="U994" s="14"/>
      <c r="V994" s="15"/>
      <c r="W994" s="16" t="n">
        <f aca="false">A994</f>
        <v>0</v>
      </c>
      <c r="X994" s="17" t="e">
        <f aca="false">ifs(C994="","",X994="",NOW(),TRUE(),X994)</f>
        <v>#VALUE!</v>
      </c>
      <c r="Y994" s="17" t="e">
        <f aca="false">ifs(COUNTA(K994:U997)&lt;44,"",Y994="",NOW(),TRUE(),Y994)</f>
        <v>#VALUE!</v>
      </c>
    </row>
    <row r="995" customFormat="false" ht="15.75" hidden="false" customHeight="false" outlineLevel="0" collapsed="false">
      <c r="A995" s="9"/>
      <c r="B995" s="10"/>
      <c r="C995" s="10"/>
      <c r="D995" s="10"/>
      <c r="E995" s="10"/>
      <c r="F995" s="10"/>
      <c r="G995" s="10"/>
      <c r="H995" s="10"/>
      <c r="I995" s="18" t="n">
        <v>2</v>
      </c>
      <c r="J995" s="18"/>
      <c r="K995" s="19"/>
      <c r="L995" s="19"/>
      <c r="M995" s="18"/>
      <c r="N995" s="18"/>
      <c r="O995" s="18"/>
      <c r="P995" s="19"/>
      <c r="Q995" s="19"/>
      <c r="R995" s="18"/>
      <c r="S995" s="18"/>
      <c r="T995" s="18"/>
      <c r="U995" s="20"/>
      <c r="V995" s="21"/>
      <c r="W995" s="16"/>
      <c r="X995" s="16"/>
      <c r="Y995" s="16"/>
    </row>
    <row r="996" customFormat="false" ht="15.75" hidden="false" customHeight="false" outlineLevel="0" collapsed="false">
      <c r="A996" s="9"/>
      <c r="B996" s="10"/>
      <c r="C996" s="10"/>
      <c r="D996" s="10"/>
      <c r="E996" s="10"/>
      <c r="F996" s="10"/>
      <c r="G996" s="10"/>
      <c r="H996" s="10"/>
      <c r="I996" s="22" t="n">
        <v>3</v>
      </c>
      <c r="J996" s="22"/>
      <c r="K996" s="23"/>
      <c r="L996" s="23"/>
      <c r="M996" s="22"/>
      <c r="N996" s="22"/>
      <c r="O996" s="22"/>
      <c r="P996" s="23"/>
      <c r="Q996" s="23"/>
      <c r="R996" s="22"/>
      <c r="S996" s="22"/>
      <c r="T996" s="22"/>
      <c r="U996" s="24"/>
      <c r="V996" s="15"/>
      <c r="W996" s="16"/>
      <c r="X996" s="16"/>
      <c r="Y996" s="16"/>
    </row>
    <row r="997" customFormat="false" ht="15.75" hidden="false" customHeight="false" outlineLevel="0" collapsed="false">
      <c r="A997" s="9"/>
      <c r="B997" s="10"/>
      <c r="C997" s="10"/>
      <c r="D997" s="10"/>
      <c r="E997" s="10"/>
      <c r="F997" s="10"/>
      <c r="G997" s="10"/>
      <c r="H997" s="10"/>
      <c r="I997" s="25" t="n">
        <v>4</v>
      </c>
      <c r="J997" s="25"/>
      <c r="K997" s="26"/>
      <c r="L997" s="26"/>
      <c r="M997" s="25"/>
      <c r="N997" s="25"/>
      <c r="O997" s="25"/>
      <c r="P997" s="26"/>
      <c r="Q997" s="26"/>
      <c r="R997" s="25"/>
      <c r="S997" s="25"/>
      <c r="T997" s="25"/>
      <c r="U997" s="27"/>
      <c r="V997" s="21"/>
      <c r="W997" s="16"/>
      <c r="X997" s="16"/>
      <c r="Y997" s="16"/>
    </row>
    <row r="998" customFormat="false" ht="15.75" hidden="false" customHeight="false" outlineLevel="0" collapsed="false">
      <c r="A998" s="9"/>
      <c r="B998" s="10"/>
      <c r="C998" s="11"/>
      <c r="D998" s="10"/>
      <c r="E998" s="10"/>
      <c r="F998" s="10"/>
      <c r="G998" s="10"/>
      <c r="H998" s="10"/>
      <c r="I998" s="12" t="n">
        <v>1</v>
      </c>
      <c r="J998" s="12"/>
      <c r="K998" s="13"/>
      <c r="L998" s="13"/>
      <c r="M998" s="12"/>
      <c r="N998" s="12"/>
      <c r="O998" s="12"/>
      <c r="P998" s="13"/>
      <c r="Q998" s="13"/>
      <c r="R998" s="12"/>
      <c r="S998" s="12"/>
      <c r="T998" s="12"/>
      <c r="U998" s="14"/>
      <c r="V998" s="15"/>
      <c r="W998" s="16" t="n">
        <f aca="false">A998</f>
        <v>0</v>
      </c>
      <c r="X998" s="17" t="e">
        <f aca="false">ifs(C998="","",X998="",NOW(),TRUE(),X998)</f>
        <v>#VALUE!</v>
      </c>
      <c r="Y998" s="17" t="e">
        <f aca="false">ifs(COUNTA(K998:U1001)&lt;44,"",Y998="",NOW(),TRUE(),Y998)</f>
        <v>#VALUE!</v>
      </c>
    </row>
    <row r="999" customFormat="false" ht="15.75" hidden="false" customHeight="false" outlineLevel="0" collapsed="false">
      <c r="A999" s="9"/>
      <c r="B999" s="10"/>
      <c r="C999" s="10"/>
      <c r="D999" s="10"/>
      <c r="E999" s="10"/>
      <c r="F999" s="10"/>
      <c r="G999" s="10"/>
      <c r="H999" s="10"/>
      <c r="I999" s="18" t="n">
        <v>2</v>
      </c>
      <c r="J999" s="18"/>
      <c r="K999" s="19"/>
      <c r="L999" s="19"/>
      <c r="M999" s="18"/>
      <c r="N999" s="18"/>
      <c r="O999" s="18"/>
      <c r="P999" s="19"/>
      <c r="Q999" s="19"/>
      <c r="R999" s="18"/>
      <c r="S999" s="18"/>
      <c r="T999" s="18"/>
      <c r="U999" s="20"/>
      <c r="V999" s="21"/>
      <c r="W999" s="16"/>
      <c r="X999" s="16"/>
      <c r="Y999" s="16"/>
    </row>
    <row r="1000" customFormat="false" ht="15.75" hidden="false" customHeight="false" outlineLevel="0" collapsed="false">
      <c r="A1000" s="9"/>
      <c r="B1000" s="10"/>
      <c r="C1000" s="10"/>
      <c r="D1000" s="10"/>
      <c r="E1000" s="10"/>
      <c r="F1000" s="10"/>
      <c r="G1000" s="10"/>
      <c r="H1000" s="10"/>
      <c r="I1000" s="22" t="n">
        <v>3</v>
      </c>
      <c r="J1000" s="22"/>
      <c r="K1000" s="23"/>
      <c r="L1000" s="23"/>
      <c r="M1000" s="22"/>
      <c r="N1000" s="22"/>
      <c r="O1000" s="22"/>
      <c r="P1000" s="23"/>
      <c r="Q1000" s="23"/>
      <c r="R1000" s="22"/>
      <c r="S1000" s="22"/>
      <c r="T1000" s="22"/>
      <c r="U1000" s="24"/>
      <c r="V1000" s="15"/>
      <c r="W1000" s="16"/>
      <c r="X1000" s="16"/>
      <c r="Y1000" s="16"/>
    </row>
    <row r="1001" customFormat="false" ht="15.75" hidden="false" customHeight="false" outlineLevel="0" collapsed="false">
      <c r="A1001" s="9"/>
      <c r="B1001" s="10"/>
      <c r="C1001" s="10"/>
      <c r="D1001" s="10"/>
      <c r="E1001" s="10"/>
      <c r="F1001" s="10"/>
      <c r="G1001" s="10"/>
      <c r="H1001" s="10"/>
      <c r="I1001" s="25" t="n">
        <v>4</v>
      </c>
      <c r="J1001" s="25"/>
      <c r="K1001" s="26"/>
      <c r="L1001" s="26"/>
      <c r="M1001" s="25"/>
      <c r="N1001" s="25"/>
      <c r="O1001" s="25"/>
      <c r="P1001" s="26"/>
      <c r="Q1001" s="26"/>
      <c r="R1001" s="25"/>
      <c r="S1001" s="25"/>
      <c r="T1001" s="25"/>
      <c r="U1001" s="27"/>
      <c r="V1001" s="21"/>
      <c r="W1001" s="16"/>
      <c r="X1001" s="16"/>
      <c r="Y1001" s="16"/>
    </row>
    <row r="1002" customFormat="false" ht="15.75" hidden="false" customHeight="false" outlineLevel="0" collapsed="false">
      <c r="A1002" s="9"/>
      <c r="B1002" s="10"/>
      <c r="C1002" s="11"/>
      <c r="D1002" s="10"/>
      <c r="E1002" s="10"/>
      <c r="F1002" s="10"/>
      <c r="G1002" s="10"/>
      <c r="H1002" s="10"/>
      <c r="I1002" s="12" t="n">
        <v>1</v>
      </c>
      <c r="J1002" s="12"/>
      <c r="K1002" s="13"/>
      <c r="L1002" s="13"/>
      <c r="M1002" s="12"/>
      <c r="N1002" s="12"/>
      <c r="O1002" s="12"/>
      <c r="P1002" s="13"/>
      <c r="Q1002" s="13"/>
      <c r="R1002" s="12"/>
      <c r="S1002" s="12"/>
      <c r="T1002" s="12"/>
      <c r="U1002" s="14"/>
      <c r="V1002" s="15"/>
      <c r="W1002" s="16" t="n">
        <f aca="false">A1002</f>
        <v>0</v>
      </c>
      <c r="X1002" s="17" t="e">
        <f aca="false">ifs(C1002="","",X1002="",NOW(),TRUE(),X1002)</f>
        <v>#VALUE!</v>
      </c>
      <c r="Y1002" s="17" t="e">
        <f aca="false">ifs(COUNTA(K1002:U1005)&lt;44,"",Y1002="",NOW(),TRUE(),Y1002)</f>
        <v>#VALUE!</v>
      </c>
    </row>
    <row r="1003" customFormat="false" ht="15.75" hidden="false" customHeight="false" outlineLevel="0" collapsed="false">
      <c r="A1003" s="9"/>
      <c r="B1003" s="10"/>
      <c r="C1003" s="10"/>
      <c r="D1003" s="10"/>
      <c r="E1003" s="10"/>
      <c r="F1003" s="10"/>
      <c r="G1003" s="10"/>
      <c r="H1003" s="10"/>
      <c r="I1003" s="18" t="n">
        <v>2</v>
      </c>
      <c r="J1003" s="18"/>
      <c r="K1003" s="19"/>
      <c r="L1003" s="19"/>
      <c r="M1003" s="18"/>
      <c r="N1003" s="18"/>
      <c r="O1003" s="18"/>
      <c r="P1003" s="19"/>
      <c r="Q1003" s="19"/>
      <c r="R1003" s="18"/>
      <c r="S1003" s="18"/>
      <c r="T1003" s="18"/>
      <c r="U1003" s="20"/>
      <c r="V1003" s="21"/>
      <c r="W1003" s="16"/>
      <c r="X1003" s="16"/>
      <c r="Y1003" s="16"/>
    </row>
    <row r="1004" customFormat="false" ht="15.75" hidden="false" customHeight="false" outlineLevel="0" collapsed="false">
      <c r="A1004" s="9"/>
      <c r="B1004" s="10"/>
      <c r="C1004" s="10"/>
      <c r="D1004" s="10"/>
      <c r="E1004" s="10"/>
      <c r="F1004" s="10"/>
      <c r="G1004" s="10"/>
      <c r="H1004" s="10"/>
      <c r="I1004" s="22" t="n">
        <v>3</v>
      </c>
      <c r="J1004" s="22"/>
      <c r="K1004" s="23"/>
      <c r="L1004" s="23"/>
      <c r="M1004" s="22"/>
      <c r="N1004" s="22"/>
      <c r="O1004" s="22"/>
      <c r="P1004" s="23"/>
      <c r="Q1004" s="23"/>
      <c r="R1004" s="22"/>
      <c r="S1004" s="22"/>
      <c r="T1004" s="22"/>
      <c r="U1004" s="24"/>
      <c r="V1004" s="15"/>
      <c r="W1004" s="16"/>
      <c r="X1004" s="16"/>
      <c r="Y1004" s="16"/>
    </row>
    <row r="1005" customFormat="false" ht="15.75" hidden="false" customHeight="false" outlineLevel="0" collapsed="false">
      <c r="A1005" s="9"/>
      <c r="B1005" s="10"/>
      <c r="C1005" s="10"/>
      <c r="D1005" s="10"/>
      <c r="E1005" s="10"/>
      <c r="F1005" s="10"/>
      <c r="G1005" s="10"/>
      <c r="H1005" s="10"/>
      <c r="I1005" s="25" t="n">
        <v>4</v>
      </c>
      <c r="J1005" s="25"/>
      <c r="K1005" s="26"/>
      <c r="L1005" s="26"/>
      <c r="M1005" s="25"/>
      <c r="N1005" s="25"/>
      <c r="O1005" s="25"/>
      <c r="P1005" s="26"/>
      <c r="Q1005" s="26"/>
      <c r="R1005" s="25"/>
      <c r="S1005" s="25"/>
      <c r="T1005" s="25"/>
      <c r="U1005" s="27"/>
      <c r="V1005" s="21"/>
      <c r="W1005" s="16"/>
      <c r="X1005" s="16"/>
      <c r="Y1005" s="16"/>
    </row>
    <row r="1006" customFormat="false" ht="15.75" hidden="false" customHeight="false" outlineLevel="0" collapsed="false">
      <c r="A1006" s="9"/>
      <c r="B1006" s="10"/>
      <c r="C1006" s="11"/>
      <c r="D1006" s="10"/>
      <c r="E1006" s="10"/>
      <c r="F1006" s="10"/>
      <c r="G1006" s="10"/>
      <c r="H1006" s="10"/>
      <c r="I1006" s="12" t="n">
        <v>1</v>
      </c>
      <c r="J1006" s="12"/>
      <c r="K1006" s="13"/>
      <c r="L1006" s="13"/>
      <c r="M1006" s="12"/>
      <c r="N1006" s="12"/>
      <c r="O1006" s="12"/>
      <c r="P1006" s="13"/>
      <c r="Q1006" s="13"/>
      <c r="R1006" s="12"/>
      <c r="S1006" s="12"/>
      <c r="T1006" s="12"/>
      <c r="U1006" s="14"/>
      <c r="V1006" s="15"/>
      <c r="W1006" s="16" t="n">
        <f aca="false">A1006</f>
        <v>0</v>
      </c>
      <c r="X1006" s="17" t="e">
        <f aca="false">ifs(C1006="","",X1006="",NOW(),TRUE(),X1006)</f>
        <v>#VALUE!</v>
      </c>
      <c r="Y1006" s="17" t="e">
        <f aca="false">ifs(COUNTA(K1006:U1009)&lt;44,"",Y1006="",NOW(),TRUE(),Y1006)</f>
        <v>#VALUE!</v>
      </c>
    </row>
    <row r="1007" customFormat="false" ht="15.75" hidden="false" customHeight="false" outlineLevel="0" collapsed="false">
      <c r="A1007" s="9"/>
      <c r="B1007" s="10"/>
      <c r="C1007" s="10"/>
      <c r="D1007" s="10"/>
      <c r="E1007" s="10"/>
      <c r="F1007" s="10"/>
      <c r="G1007" s="10"/>
      <c r="H1007" s="10"/>
      <c r="I1007" s="18" t="n">
        <v>2</v>
      </c>
      <c r="J1007" s="18"/>
      <c r="K1007" s="19"/>
      <c r="L1007" s="19"/>
      <c r="M1007" s="18"/>
      <c r="N1007" s="18"/>
      <c r="O1007" s="18"/>
      <c r="P1007" s="19"/>
      <c r="Q1007" s="19"/>
      <c r="R1007" s="18"/>
      <c r="S1007" s="18"/>
      <c r="T1007" s="18"/>
      <c r="U1007" s="20"/>
      <c r="V1007" s="21"/>
      <c r="W1007" s="16"/>
      <c r="X1007" s="16"/>
      <c r="Y1007" s="16"/>
    </row>
    <row r="1008" customFormat="false" ht="15.75" hidden="false" customHeight="false" outlineLevel="0" collapsed="false">
      <c r="A1008" s="9"/>
      <c r="B1008" s="10"/>
      <c r="C1008" s="10"/>
      <c r="D1008" s="10"/>
      <c r="E1008" s="10"/>
      <c r="F1008" s="10"/>
      <c r="G1008" s="10"/>
      <c r="H1008" s="10"/>
      <c r="I1008" s="22" t="n">
        <v>3</v>
      </c>
      <c r="J1008" s="22"/>
      <c r="K1008" s="23"/>
      <c r="L1008" s="23"/>
      <c r="M1008" s="22"/>
      <c r="N1008" s="22"/>
      <c r="O1008" s="22"/>
      <c r="P1008" s="23"/>
      <c r="Q1008" s="23"/>
      <c r="R1008" s="22"/>
      <c r="S1008" s="22"/>
      <c r="T1008" s="22"/>
      <c r="U1008" s="24"/>
      <c r="V1008" s="15"/>
      <c r="W1008" s="16"/>
      <c r="X1008" s="16"/>
      <c r="Y1008" s="16"/>
    </row>
    <row r="1009" customFormat="false" ht="15.75" hidden="false" customHeight="false" outlineLevel="0" collapsed="false">
      <c r="A1009" s="9"/>
      <c r="B1009" s="10"/>
      <c r="C1009" s="10"/>
      <c r="D1009" s="10"/>
      <c r="E1009" s="10"/>
      <c r="F1009" s="10"/>
      <c r="G1009" s="10"/>
      <c r="H1009" s="10"/>
      <c r="I1009" s="25" t="n">
        <v>4</v>
      </c>
      <c r="J1009" s="25"/>
      <c r="K1009" s="26"/>
      <c r="L1009" s="26"/>
      <c r="M1009" s="25"/>
      <c r="N1009" s="25"/>
      <c r="O1009" s="25"/>
      <c r="P1009" s="26"/>
      <c r="Q1009" s="26"/>
      <c r="R1009" s="25"/>
      <c r="S1009" s="25"/>
      <c r="T1009" s="25"/>
      <c r="U1009" s="27"/>
      <c r="V1009" s="21"/>
      <c r="W1009" s="16"/>
      <c r="X1009" s="16"/>
      <c r="Y1009" s="16"/>
    </row>
    <row r="1010" customFormat="false" ht="15.75" hidden="false" customHeight="false" outlineLevel="0" collapsed="false">
      <c r="A1010" s="9"/>
      <c r="B1010" s="10"/>
      <c r="C1010" s="11"/>
      <c r="D1010" s="10"/>
      <c r="E1010" s="10"/>
      <c r="F1010" s="10"/>
      <c r="G1010" s="10"/>
      <c r="H1010" s="10"/>
      <c r="I1010" s="12" t="n">
        <v>1</v>
      </c>
      <c r="J1010" s="12"/>
      <c r="K1010" s="13"/>
      <c r="L1010" s="13"/>
      <c r="M1010" s="12"/>
      <c r="N1010" s="12"/>
      <c r="O1010" s="12"/>
      <c r="P1010" s="13"/>
      <c r="Q1010" s="13"/>
      <c r="R1010" s="12"/>
      <c r="S1010" s="12"/>
      <c r="T1010" s="12"/>
      <c r="U1010" s="14"/>
      <c r="V1010" s="15"/>
      <c r="W1010" s="16" t="n">
        <f aca="false">A1010</f>
        <v>0</v>
      </c>
      <c r="X1010" s="17" t="e">
        <f aca="false">ifs(C1010="","",X1010="",NOW(),TRUE(),X1010)</f>
        <v>#VALUE!</v>
      </c>
      <c r="Y1010" s="17" t="e">
        <f aca="false">ifs(COUNTA(K1010:U1013)&lt;44,"",Y1010="",NOW(),TRUE(),Y1010)</f>
        <v>#VALUE!</v>
      </c>
    </row>
    <row r="1011" customFormat="false" ht="15.75" hidden="false" customHeight="false" outlineLevel="0" collapsed="false">
      <c r="A1011" s="9"/>
      <c r="B1011" s="10"/>
      <c r="C1011" s="10"/>
      <c r="D1011" s="10"/>
      <c r="E1011" s="10"/>
      <c r="F1011" s="10"/>
      <c r="G1011" s="10"/>
      <c r="H1011" s="10"/>
      <c r="I1011" s="18" t="n">
        <v>2</v>
      </c>
      <c r="J1011" s="18"/>
      <c r="K1011" s="19"/>
      <c r="L1011" s="19"/>
      <c r="M1011" s="18"/>
      <c r="N1011" s="18"/>
      <c r="O1011" s="18"/>
      <c r="P1011" s="19"/>
      <c r="Q1011" s="19"/>
      <c r="R1011" s="18"/>
      <c r="S1011" s="18"/>
      <c r="T1011" s="18"/>
      <c r="U1011" s="20"/>
      <c r="V1011" s="21"/>
      <c r="W1011" s="16"/>
      <c r="X1011" s="16"/>
      <c r="Y1011" s="16"/>
    </row>
    <row r="1012" customFormat="false" ht="15.75" hidden="false" customHeight="false" outlineLevel="0" collapsed="false">
      <c r="A1012" s="9"/>
      <c r="B1012" s="10"/>
      <c r="C1012" s="10"/>
      <c r="D1012" s="10"/>
      <c r="E1012" s="10"/>
      <c r="F1012" s="10"/>
      <c r="G1012" s="10"/>
      <c r="H1012" s="10"/>
      <c r="I1012" s="22" t="n">
        <v>3</v>
      </c>
      <c r="J1012" s="22"/>
      <c r="K1012" s="23"/>
      <c r="L1012" s="23"/>
      <c r="M1012" s="22"/>
      <c r="N1012" s="22"/>
      <c r="O1012" s="22"/>
      <c r="P1012" s="23"/>
      <c r="Q1012" s="23"/>
      <c r="R1012" s="22"/>
      <c r="S1012" s="22"/>
      <c r="T1012" s="22"/>
      <c r="U1012" s="24"/>
      <c r="V1012" s="15"/>
      <c r="W1012" s="16"/>
      <c r="X1012" s="16"/>
      <c r="Y1012" s="16"/>
    </row>
    <row r="1013" customFormat="false" ht="15.75" hidden="false" customHeight="false" outlineLevel="0" collapsed="false">
      <c r="A1013" s="9"/>
      <c r="B1013" s="10"/>
      <c r="C1013" s="10"/>
      <c r="D1013" s="10"/>
      <c r="E1013" s="10"/>
      <c r="F1013" s="10"/>
      <c r="G1013" s="10"/>
      <c r="H1013" s="10"/>
      <c r="I1013" s="25" t="n">
        <v>4</v>
      </c>
      <c r="J1013" s="25"/>
      <c r="K1013" s="26"/>
      <c r="L1013" s="26"/>
      <c r="M1013" s="25"/>
      <c r="N1013" s="25"/>
      <c r="O1013" s="25"/>
      <c r="P1013" s="26"/>
      <c r="Q1013" s="26"/>
      <c r="R1013" s="25"/>
      <c r="S1013" s="25"/>
      <c r="T1013" s="25"/>
      <c r="U1013" s="27"/>
      <c r="V1013" s="21"/>
      <c r="W1013" s="16"/>
      <c r="X1013" s="16"/>
      <c r="Y1013" s="16"/>
    </row>
    <row r="1014" customFormat="false" ht="15.75" hidden="false" customHeight="false" outlineLevel="0" collapsed="false">
      <c r="A1014" s="9"/>
      <c r="B1014" s="10"/>
      <c r="C1014" s="11"/>
      <c r="D1014" s="10"/>
      <c r="E1014" s="10"/>
      <c r="F1014" s="10"/>
      <c r="G1014" s="10"/>
      <c r="H1014" s="10"/>
      <c r="I1014" s="12" t="n">
        <v>1</v>
      </c>
      <c r="J1014" s="12"/>
      <c r="K1014" s="13"/>
      <c r="L1014" s="13"/>
      <c r="M1014" s="12"/>
      <c r="N1014" s="12"/>
      <c r="O1014" s="12"/>
      <c r="P1014" s="13"/>
      <c r="Q1014" s="13"/>
      <c r="R1014" s="12"/>
      <c r="S1014" s="12"/>
      <c r="T1014" s="12"/>
      <c r="U1014" s="14"/>
      <c r="V1014" s="15"/>
      <c r="W1014" s="16" t="n">
        <f aca="false">A1014</f>
        <v>0</v>
      </c>
      <c r="X1014" s="17" t="e">
        <f aca="false">ifs(C1014="","",X1014="",NOW(),TRUE(),X1014)</f>
        <v>#VALUE!</v>
      </c>
      <c r="Y1014" s="17" t="e">
        <f aca="false">ifs(COUNTA(K1014:U1017)&lt;44,"",Y1014="",NOW(),TRUE(),Y1014)</f>
        <v>#VALUE!</v>
      </c>
    </row>
    <row r="1015" customFormat="false" ht="15.75" hidden="false" customHeight="false" outlineLevel="0" collapsed="false">
      <c r="A1015" s="9"/>
      <c r="B1015" s="10"/>
      <c r="C1015" s="10"/>
      <c r="D1015" s="10"/>
      <c r="E1015" s="10"/>
      <c r="F1015" s="10"/>
      <c r="G1015" s="10"/>
      <c r="H1015" s="10"/>
      <c r="I1015" s="18" t="n">
        <v>2</v>
      </c>
      <c r="J1015" s="18"/>
      <c r="K1015" s="19"/>
      <c r="L1015" s="19"/>
      <c r="M1015" s="18"/>
      <c r="N1015" s="18"/>
      <c r="O1015" s="18"/>
      <c r="P1015" s="19"/>
      <c r="Q1015" s="19"/>
      <c r="R1015" s="18"/>
      <c r="S1015" s="18"/>
      <c r="T1015" s="18"/>
      <c r="U1015" s="20"/>
      <c r="V1015" s="21"/>
      <c r="W1015" s="16"/>
      <c r="X1015" s="16"/>
      <c r="Y1015" s="16"/>
    </row>
    <row r="1016" customFormat="false" ht="15.75" hidden="false" customHeight="false" outlineLevel="0" collapsed="false">
      <c r="A1016" s="9"/>
      <c r="B1016" s="10"/>
      <c r="C1016" s="10"/>
      <c r="D1016" s="10"/>
      <c r="E1016" s="10"/>
      <c r="F1016" s="10"/>
      <c r="G1016" s="10"/>
      <c r="H1016" s="10"/>
      <c r="I1016" s="22" t="n">
        <v>3</v>
      </c>
      <c r="J1016" s="22"/>
      <c r="K1016" s="23"/>
      <c r="L1016" s="23"/>
      <c r="M1016" s="22"/>
      <c r="N1016" s="22"/>
      <c r="O1016" s="22"/>
      <c r="P1016" s="23"/>
      <c r="Q1016" s="23"/>
      <c r="R1016" s="22"/>
      <c r="S1016" s="22"/>
      <c r="T1016" s="22"/>
      <c r="U1016" s="24"/>
      <c r="V1016" s="15"/>
      <c r="W1016" s="16"/>
      <c r="X1016" s="16"/>
      <c r="Y1016" s="16"/>
    </row>
    <row r="1017" customFormat="false" ht="15.75" hidden="false" customHeight="false" outlineLevel="0" collapsed="false">
      <c r="A1017" s="9"/>
      <c r="B1017" s="10"/>
      <c r="C1017" s="10"/>
      <c r="D1017" s="10"/>
      <c r="E1017" s="10"/>
      <c r="F1017" s="10"/>
      <c r="G1017" s="10"/>
      <c r="H1017" s="10"/>
      <c r="I1017" s="25" t="n">
        <v>4</v>
      </c>
      <c r="J1017" s="25"/>
      <c r="K1017" s="26"/>
      <c r="L1017" s="26"/>
      <c r="M1017" s="25"/>
      <c r="N1017" s="25"/>
      <c r="O1017" s="25"/>
      <c r="P1017" s="26"/>
      <c r="Q1017" s="26"/>
      <c r="R1017" s="25"/>
      <c r="S1017" s="25"/>
      <c r="T1017" s="25"/>
      <c r="U1017" s="27"/>
      <c r="V1017" s="21"/>
      <c r="W1017" s="16"/>
      <c r="X1017" s="16"/>
      <c r="Y1017" s="16"/>
    </row>
    <row r="1018" customFormat="false" ht="15.75" hidden="false" customHeight="false" outlineLevel="0" collapsed="false">
      <c r="A1018" s="9"/>
      <c r="B1018" s="10"/>
      <c r="C1018" s="11"/>
      <c r="D1018" s="10"/>
      <c r="E1018" s="10"/>
      <c r="F1018" s="10"/>
      <c r="G1018" s="10"/>
      <c r="H1018" s="10"/>
      <c r="I1018" s="12" t="n">
        <v>1</v>
      </c>
      <c r="J1018" s="12"/>
      <c r="K1018" s="13"/>
      <c r="L1018" s="13"/>
      <c r="M1018" s="12"/>
      <c r="N1018" s="12"/>
      <c r="O1018" s="12"/>
      <c r="P1018" s="13"/>
      <c r="Q1018" s="13"/>
      <c r="R1018" s="12"/>
      <c r="S1018" s="12"/>
      <c r="T1018" s="12"/>
      <c r="U1018" s="14"/>
      <c r="V1018" s="15"/>
      <c r="W1018" s="16" t="n">
        <f aca="false">A1018</f>
        <v>0</v>
      </c>
      <c r="X1018" s="17" t="e">
        <f aca="false">ifs(C1018="","",X1018="",NOW(),TRUE(),X1018)</f>
        <v>#VALUE!</v>
      </c>
      <c r="Y1018" s="17" t="e">
        <f aca="false">ifs(COUNTA(K1018:U1021)&lt;44,"",Y1018="",NOW(),TRUE(),Y1018)</f>
        <v>#VALUE!</v>
      </c>
    </row>
    <row r="1019" customFormat="false" ht="15.75" hidden="false" customHeight="false" outlineLevel="0" collapsed="false">
      <c r="A1019" s="9"/>
      <c r="B1019" s="10"/>
      <c r="C1019" s="10"/>
      <c r="D1019" s="10"/>
      <c r="E1019" s="10"/>
      <c r="F1019" s="10"/>
      <c r="G1019" s="10"/>
      <c r="H1019" s="10"/>
      <c r="I1019" s="18" t="n">
        <v>2</v>
      </c>
      <c r="J1019" s="18"/>
      <c r="K1019" s="19"/>
      <c r="L1019" s="19"/>
      <c r="M1019" s="18"/>
      <c r="N1019" s="18"/>
      <c r="O1019" s="18"/>
      <c r="P1019" s="19"/>
      <c r="Q1019" s="19"/>
      <c r="R1019" s="18"/>
      <c r="S1019" s="18"/>
      <c r="T1019" s="18"/>
      <c r="U1019" s="20"/>
      <c r="V1019" s="21"/>
      <c r="W1019" s="16"/>
      <c r="X1019" s="16"/>
      <c r="Y1019" s="16"/>
    </row>
    <row r="1020" customFormat="false" ht="15.75" hidden="false" customHeight="false" outlineLevel="0" collapsed="false">
      <c r="A1020" s="9"/>
      <c r="B1020" s="10"/>
      <c r="C1020" s="10"/>
      <c r="D1020" s="10"/>
      <c r="E1020" s="10"/>
      <c r="F1020" s="10"/>
      <c r="G1020" s="10"/>
      <c r="H1020" s="10"/>
      <c r="I1020" s="22" t="n">
        <v>3</v>
      </c>
      <c r="J1020" s="22"/>
      <c r="K1020" s="23"/>
      <c r="L1020" s="23"/>
      <c r="M1020" s="22"/>
      <c r="N1020" s="22"/>
      <c r="O1020" s="22"/>
      <c r="P1020" s="23"/>
      <c r="Q1020" s="23"/>
      <c r="R1020" s="22"/>
      <c r="S1020" s="22"/>
      <c r="T1020" s="22"/>
      <c r="U1020" s="24"/>
      <c r="V1020" s="15"/>
      <c r="W1020" s="16"/>
      <c r="X1020" s="16"/>
      <c r="Y1020" s="16"/>
    </row>
    <row r="1021" customFormat="false" ht="15.75" hidden="false" customHeight="false" outlineLevel="0" collapsed="false">
      <c r="A1021" s="9"/>
      <c r="B1021" s="10"/>
      <c r="C1021" s="10"/>
      <c r="D1021" s="10"/>
      <c r="E1021" s="10"/>
      <c r="F1021" s="10"/>
      <c r="G1021" s="10"/>
      <c r="H1021" s="10"/>
      <c r="I1021" s="25" t="n">
        <v>4</v>
      </c>
      <c r="J1021" s="25"/>
      <c r="K1021" s="26"/>
      <c r="L1021" s="26"/>
      <c r="M1021" s="25"/>
      <c r="N1021" s="25"/>
      <c r="O1021" s="25"/>
      <c r="P1021" s="26"/>
      <c r="Q1021" s="26"/>
      <c r="R1021" s="25"/>
      <c r="S1021" s="25"/>
      <c r="T1021" s="25"/>
      <c r="U1021" s="27"/>
      <c r="V1021" s="21"/>
      <c r="W1021" s="16"/>
      <c r="X1021" s="16"/>
      <c r="Y1021" s="16"/>
    </row>
    <row r="1022" customFormat="false" ht="15.75" hidden="false" customHeight="false" outlineLevel="0" collapsed="false">
      <c r="A1022" s="9"/>
      <c r="B1022" s="10"/>
      <c r="C1022" s="11"/>
      <c r="D1022" s="10"/>
      <c r="E1022" s="10"/>
      <c r="F1022" s="10"/>
      <c r="G1022" s="10"/>
      <c r="H1022" s="10"/>
      <c r="I1022" s="12" t="n">
        <v>1</v>
      </c>
      <c r="J1022" s="12"/>
      <c r="K1022" s="13"/>
      <c r="L1022" s="13"/>
      <c r="M1022" s="12"/>
      <c r="N1022" s="12"/>
      <c r="O1022" s="12"/>
      <c r="P1022" s="13"/>
      <c r="Q1022" s="13"/>
      <c r="R1022" s="12"/>
      <c r="S1022" s="12"/>
      <c r="T1022" s="12"/>
      <c r="U1022" s="14"/>
      <c r="V1022" s="15"/>
      <c r="W1022" s="16" t="n">
        <f aca="false">A1022</f>
        <v>0</v>
      </c>
      <c r="X1022" s="17" t="e">
        <f aca="false">ifs(C1022="","",X1022="",NOW(),TRUE(),X1022)</f>
        <v>#VALUE!</v>
      </c>
      <c r="Y1022" s="17" t="e">
        <f aca="false">ifs(COUNTA(K1022:U1025)&lt;44,"",Y1022="",NOW(),TRUE(),Y1022)</f>
        <v>#VALUE!</v>
      </c>
    </row>
    <row r="1023" customFormat="false" ht="15.75" hidden="false" customHeight="false" outlineLevel="0" collapsed="false">
      <c r="A1023" s="9"/>
      <c r="B1023" s="10"/>
      <c r="C1023" s="10"/>
      <c r="D1023" s="10"/>
      <c r="E1023" s="10"/>
      <c r="F1023" s="10"/>
      <c r="G1023" s="10"/>
      <c r="H1023" s="10"/>
      <c r="I1023" s="18" t="n">
        <v>2</v>
      </c>
      <c r="J1023" s="18"/>
      <c r="K1023" s="19"/>
      <c r="L1023" s="19"/>
      <c r="M1023" s="18"/>
      <c r="N1023" s="18"/>
      <c r="O1023" s="18"/>
      <c r="P1023" s="19"/>
      <c r="Q1023" s="19"/>
      <c r="R1023" s="18"/>
      <c r="S1023" s="18"/>
      <c r="T1023" s="18"/>
      <c r="U1023" s="20"/>
      <c r="V1023" s="21"/>
      <c r="W1023" s="16"/>
      <c r="X1023" s="16"/>
      <c r="Y1023" s="16"/>
    </row>
    <row r="1024" customFormat="false" ht="15.75" hidden="false" customHeight="false" outlineLevel="0" collapsed="false">
      <c r="A1024" s="9"/>
      <c r="B1024" s="10"/>
      <c r="C1024" s="10"/>
      <c r="D1024" s="10"/>
      <c r="E1024" s="10"/>
      <c r="F1024" s="10"/>
      <c r="G1024" s="10"/>
      <c r="H1024" s="10"/>
      <c r="I1024" s="22" t="n">
        <v>3</v>
      </c>
      <c r="J1024" s="22"/>
      <c r="K1024" s="23"/>
      <c r="L1024" s="23"/>
      <c r="M1024" s="22"/>
      <c r="N1024" s="22"/>
      <c r="O1024" s="22"/>
      <c r="P1024" s="23"/>
      <c r="Q1024" s="23"/>
      <c r="R1024" s="22"/>
      <c r="S1024" s="22"/>
      <c r="T1024" s="22"/>
      <c r="U1024" s="24"/>
      <c r="V1024" s="15"/>
      <c r="W1024" s="16"/>
      <c r="X1024" s="16"/>
      <c r="Y1024" s="16"/>
    </row>
    <row r="1025" customFormat="false" ht="15.75" hidden="false" customHeight="false" outlineLevel="0" collapsed="false">
      <c r="A1025" s="9"/>
      <c r="B1025" s="10"/>
      <c r="C1025" s="10"/>
      <c r="D1025" s="10"/>
      <c r="E1025" s="10"/>
      <c r="F1025" s="10"/>
      <c r="G1025" s="10"/>
      <c r="H1025" s="10"/>
      <c r="I1025" s="25" t="n">
        <v>4</v>
      </c>
      <c r="J1025" s="25"/>
      <c r="K1025" s="26"/>
      <c r="L1025" s="26"/>
      <c r="M1025" s="25"/>
      <c r="N1025" s="25"/>
      <c r="O1025" s="25"/>
      <c r="P1025" s="26"/>
      <c r="Q1025" s="26"/>
      <c r="R1025" s="25"/>
      <c r="S1025" s="25"/>
      <c r="T1025" s="25"/>
      <c r="U1025" s="27"/>
      <c r="V1025" s="21"/>
      <c r="W1025" s="16"/>
      <c r="X1025" s="16"/>
      <c r="Y1025" s="16"/>
    </row>
    <row r="1026" customFormat="false" ht="15.75" hidden="false" customHeight="false" outlineLevel="0" collapsed="false">
      <c r="A1026" s="9"/>
      <c r="B1026" s="10"/>
      <c r="C1026" s="11"/>
      <c r="D1026" s="10"/>
      <c r="E1026" s="10"/>
      <c r="F1026" s="10"/>
      <c r="G1026" s="10"/>
      <c r="H1026" s="10"/>
      <c r="I1026" s="12" t="n">
        <v>1</v>
      </c>
      <c r="J1026" s="12"/>
      <c r="K1026" s="13"/>
      <c r="L1026" s="13"/>
      <c r="M1026" s="12"/>
      <c r="N1026" s="12"/>
      <c r="O1026" s="12"/>
      <c r="P1026" s="13"/>
      <c r="Q1026" s="13"/>
      <c r="R1026" s="12"/>
      <c r="S1026" s="12"/>
      <c r="T1026" s="12"/>
      <c r="U1026" s="14"/>
      <c r="V1026" s="15"/>
      <c r="W1026" s="16" t="n">
        <f aca="false">A1026</f>
        <v>0</v>
      </c>
      <c r="X1026" s="17" t="e">
        <f aca="false">ifs(C1026="","",X1026="",NOW(),TRUE(),X1026)</f>
        <v>#VALUE!</v>
      </c>
      <c r="Y1026" s="17" t="e">
        <f aca="false">ifs(COUNTA(K1026:U1029)&lt;44,"",Y1026="",NOW(),TRUE(),Y1026)</f>
        <v>#VALUE!</v>
      </c>
    </row>
    <row r="1027" customFormat="false" ht="15.75" hidden="false" customHeight="false" outlineLevel="0" collapsed="false">
      <c r="A1027" s="9"/>
      <c r="B1027" s="10"/>
      <c r="C1027" s="10"/>
      <c r="D1027" s="10"/>
      <c r="E1027" s="10"/>
      <c r="F1027" s="10"/>
      <c r="G1027" s="10"/>
      <c r="H1027" s="10"/>
      <c r="I1027" s="18" t="n">
        <v>2</v>
      </c>
      <c r="J1027" s="18"/>
      <c r="K1027" s="19"/>
      <c r="L1027" s="19"/>
      <c r="M1027" s="18"/>
      <c r="N1027" s="18"/>
      <c r="O1027" s="18"/>
      <c r="P1027" s="19"/>
      <c r="Q1027" s="19"/>
      <c r="R1027" s="18"/>
      <c r="S1027" s="18"/>
      <c r="T1027" s="18"/>
      <c r="U1027" s="20"/>
      <c r="V1027" s="21"/>
      <c r="W1027" s="16"/>
      <c r="X1027" s="16"/>
      <c r="Y1027" s="16"/>
    </row>
    <row r="1028" customFormat="false" ht="15.75" hidden="false" customHeight="false" outlineLevel="0" collapsed="false">
      <c r="A1028" s="9"/>
      <c r="B1028" s="10"/>
      <c r="C1028" s="10"/>
      <c r="D1028" s="10"/>
      <c r="E1028" s="10"/>
      <c r="F1028" s="10"/>
      <c r="G1028" s="10"/>
      <c r="H1028" s="10"/>
      <c r="I1028" s="22" t="n">
        <v>3</v>
      </c>
      <c r="J1028" s="22"/>
      <c r="K1028" s="23"/>
      <c r="L1028" s="23"/>
      <c r="M1028" s="22"/>
      <c r="N1028" s="22"/>
      <c r="O1028" s="22"/>
      <c r="P1028" s="23"/>
      <c r="Q1028" s="23"/>
      <c r="R1028" s="22"/>
      <c r="S1028" s="22"/>
      <c r="T1028" s="22"/>
      <c r="U1028" s="24"/>
      <c r="V1028" s="15"/>
      <c r="W1028" s="16"/>
      <c r="X1028" s="16"/>
      <c r="Y1028" s="16"/>
    </row>
    <row r="1029" customFormat="false" ht="15.75" hidden="false" customHeight="false" outlineLevel="0" collapsed="false">
      <c r="A1029" s="9"/>
      <c r="B1029" s="10"/>
      <c r="C1029" s="10"/>
      <c r="D1029" s="10"/>
      <c r="E1029" s="10"/>
      <c r="F1029" s="10"/>
      <c r="G1029" s="10"/>
      <c r="H1029" s="10"/>
      <c r="I1029" s="25" t="n">
        <v>4</v>
      </c>
      <c r="J1029" s="25"/>
      <c r="K1029" s="26"/>
      <c r="L1029" s="26"/>
      <c r="M1029" s="25"/>
      <c r="N1029" s="25"/>
      <c r="O1029" s="25"/>
      <c r="P1029" s="26"/>
      <c r="Q1029" s="26"/>
      <c r="R1029" s="25"/>
      <c r="S1029" s="25"/>
      <c r="T1029" s="25"/>
      <c r="U1029" s="27"/>
      <c r="V1029" s="21"/>
      <c r="W1029" s="16"/>
      <c r="X1029" s="16"/>
      <c r="Y1029" s="16"/>
    </row>
    <row r="1030" customFormat="false" ht="15.75" hidden="false" customHeight="false" outlineLevel="0" collapsed="false">
      <c r="A1030" s="9"/>
      <c r="B1030" s="10"/>
      <c r="C1030" s="11"/>
      <c r="D1030" s="10"/>
      <c r="E1030" s="10"/>
      <c r="F1030" s="10"/>
      <c r="G1030" s="10"/>
      <c r="H1030" s="10"/>
      <c r="I1030" s="12" t="n">
        <v>1</v>
      </c>
      <c r="J1030" s="12"/>
      <c r="K1030" s="13"/>
      <c r="L1030" s="13"/>
      <c r="M1030" s="12"/>
      <c r="N1030" s="12"/>
      <c r="O1030" s="12"/>
      <c r="P1030" s="13"/>
      <c r="Q1030" s="13"/>
      <c r="R1030" s="12"/>
      <c r="S1030" s="12"/>
      <c r="T1030" s="12"/>
      <c r="U1030" s="14"/>
      <c r="V1030" s="15"/>
      <c r="W1030" s="16" t="n">
        <f aca="false">A1030</f>
        <v>0</v>
      </c>
      <c r="X1030" s="17" t="e">
        <f aca="false">ifs(C1030="","",X1030="",NOW(),TRUE(),X1030)</f>
        <v>#VALUE!</v>
      </c>
      <c r="Y1030" s="17" t="e">
        <f aca="false">ifs(COUNTA(K1030:U1033)&lt;44,"",Y1030="",NOW(),TRUE(),Y1030)</f>
        <v>#VALUE!</v>
      </c>
    </row>
    <row r="1031" customFormat="false" ht="15.75" hidden="false" customHeight="false" outlineLevel="0" collapsed="false">
      <c r="A1031" s="9"/>
      <c r="B1031" s="10"/>
      <c r="C1031" s="10"/>
      <c r="D1031" s="10"/>
      <c r="E1031" s="10"/>
      <c r="F1031" s="10"/>
      <c r="G1031" s="10"/>
      <c r="H1031" s="10"/>
      <c r="I1031" s="18" t="n">
        <v>2</v>
      </c>
      <c r="J1031" s="18"/>
      <c r="K1031" s="19"/>
      <c r="L1031" s="19"/>
      <c r="M1031" s="18"/>
      <c r="N1031" s="18"/>
      <c r="O1031" s="18"/>
      <c r="P1031" s="19"/>
      <c r="Q1031" s="19"/>
      <c r="R1031" s="18"/>
      <c r="S1031" s="18"/>
      <c r="T1031" s="18"/>
      <c r="U1031" s="20"/>
      <c r="V1031" s="21"/>
      <c r="W1031" s="16"/>
      <c r="X1031" s="16"/>
      <c r="Y1031" s="16"/>
    </row>
    <row r="1032" customFormat="false" ht="15.75" hidden="false" customHeight="false" outlineLevel="0" collapsed="false">
      <c r="A1032" s="9"/>
      <c r="B1032" s="10"/>
      <c r="C1032" s="10"/>
      <c r="D1032" s="10"/>
      <c r="E1032" s="10"/>
      <c r="F1032" s="10"/>
      <c r="G1032" s="10"/>
      <c r="H1032" s="10"/>
      <c r="I1032" s="22" t="n">
        <v>3</v>
      </c>
      <c r="J1032" s="22"/>
      <c r="K1032" s="23"/>
      <c r="L1032" s="23"/>
      <c r="M1032" s="22"/>
      <c r="N1032" s="22"/>
      <c r="O1032" s="22"/>
      <c r="P1032" s="23"/>
      <c r="Q1032" s="23"/>
      <c r="R1032" s="22"/>
      <c r="S1032" s="22"/>
      <c r="T1032" s="22"/>
      <c r="U1032" s="24"/>
      <c r="V1032" s="15"/>
      <c r="W1032" s="16"/>
      <c r="X1032" s="16"/>
      <c r="Y1032" s="16"/>
    </row>
    <row r="1033" customFormat="false" ht="15.75" hidden="false" customHeight="false" outlineLevel="0" collapsed="false">
      <c r="A1033" s="9"/>
      <c r="B1033" s="10"/>
      <c r="C1033" s="10"/>
      <c r="D1033" s="10"/>
      <c r="E1033" s="10"/>
      <c r="F1033" s="10"/>
      <c r="G1033" s="10"/>
      <c r="H1033" s="10"/>
      <c r="I1033" s="25" t="n">
        <v>4</v>
      </c>
      <c r="J1033" s="25"/>
      <c r="K1033" s="26"/>
      <c r="L1033" s="26"/>
      <c r="M1033" s="25"/>
      <c r="N1033" s="25"/>
      <c r="O1033" s="25"/>
      <c r="P1033" s="26"/>
      <c r="Q1033" s="26"/>
      <c r="R1033" s="25"/>
      <c r="S1033" s="25"/>
      <c r="T1033" s="25"/>
      <c r="U1033" s="27"/>
      <c r="V1033" s="21"/>
      <c r="W1033" s="16"/>
      <c r="X1033" s="16"/>
      <c r="Y1033" s="16"/>
    </row>
    <row r="1034" customFormat="false" ht="15.75" hidden="false" customHeight="false" outlineLevel="0" collapsed="false">
      <c r="A1034" s="9"/>
      <c r="B1034" s="10"/>
      <c r="C1034" s="11"/>
      <c r="D1034" s="10"/>
      <c r="E1034" s="10"/>
      <c r="F1034" s="10"/>
      <c r="G1034" s="10"/>
      <c r="H1034" s="10"/>
      <c r="I1034" s="12" t="n">
        <v>1</v>
      </c>
      <c r="J1034" s="12"/>
      <c r="K1034" s="13"/>
      <c r="L1034" s="13"/>
      <c r="M1034" s="12"/>
      <c r="N1034" s="12"/>
      <c r="O1034" s="12"/>
      <c r="P1034" s="13"/>
      <c r="Q1034" s="13"/>
      <c r="R1034" s="12"/>
      <c r="S1034" s="12"/>
      <c r="T1034" s="12"/>
      <c r="U1034" s="14"/>
      <c r="V1034" s="15"/>
      <c r="W1034" s="16" t="n">
        <f aca="false">A1034</f>
        <v>0</v>
      </c>
      <c r="X1034" s="17" t="e">
        <f aca="false">ifs(C1034="","",X1034="",NOW(),TRUE(),X1034)</f>
        <v>#VALUE!</v>
      </c>
      <c r="Y1034" s="17" t="e">
        <f aca="false">ifs(COUNTA(K1034:U1037)&lt;44,"",Y1034="",NOW(),TRUE(),Y1034)</f>
        <v>#VALUE!</v>
      </c>
    </row>
    <row r="1035" customFormat="false" ht="15.75" hidden="false" customHeight="false" outlineLevel="0" collapsed="false">
      <c r="A1035" s="9"/>
      <c r="B1035" s="10"/>
      <c r="C1035" s="10"/>
      <c r="D1035" s="10"/>
      <c r="E1035" s="10"/>
      <c r="F1035" s="10"/>
      <c r="G1035" s="10"/>
      <c r="H1035" s="10"/>
      <c r="I1035" s="18" t="n">
        <v>2</v>
      </c>
      <c r="J1035" s="18"/>
      <c r="K1035" s="19"/>
      <c r="L1035" s="19"/>
      <c r="M1035" s="18"/>
      <c r="N1035" s="18"/>
      <c r="O1035" s="18"/>
      <c r="P1035" s="19"/>
      <c r="Q1035" s="19"/>
      <c r="R1035" s="18"/>
      <c r="S1035" s="18"/>
      <c r="T1035" s="18"/>
      <c r="U1035" s="20"/>
      <c r="V1035" s="21"/>
      <c r="W1035" s="16"/>
      <c r="X1035" s="16"/>
      <c r="Y1035" s="16"/>
    </row>
    <row r="1036" customFormat="false" ht="15.75" hidden="false" customHeight="false" outlineLevel="0" collapsed="false">
      <c r="A1036" s="9"/>
      <c r="B1036" s="10"/>
      <c r="C1036" s="10"/>
      <c r="D1036" s="10"/>
      <c r="E1036" s="10"/>
      <c r="F1036" s="10"/>
      <c r="G1036" s="10"/>
      <c r="H1036" s="10"/>
      <c r="I1036" s="22" t="n">
        <v>3</v>
      </c>
      <c r="J1036" s="22"/>
      <c r="K1036" s="23"/>
      <c r="L1036" s="23"/>
      <c r="M1036" s="22"/>
      <c r="N1036" s="22"/>
      <c r="O1036" s="22"/>
      <c r="P1036" s="23"/>
      <c r="Q1036" s="23"/>
      <c r="R1036" s="22"/>
      <c r="S1036" s="22"/>
      <c r="T1036" s="22"/>
      <c r="U1036" s="24"/>
      <c r="V1036" s="15"/>
      <c r="W1036" s="16"/>
      <c r="X1036" s="16"/>
      <c r="Y1036" s="16"/>
    </row>
    <row r="1037" customFormat="false" ht="15.75" hidden="false" customHeight="false" outlineLevel="0" collapsed="false">
      <c r="A1037" s="9"/>
      <c r="B1037" s="10"/>
      <c r="C1037" s="10"/>
      <c r="D1037" s="10"/>
      <c r="E1037" s="10"/>
      <c r="F1037" s="10"/>
      <c r="G1037" s="10"/>
      <c r="H1037" s="10"/>
      <c r="I1037" s="25" t="n">
        <v>4</v>
      </c>
      <c r="J1037" s="25"/>
      <c r="K1037" s="26"/>
      <c r="L1037" s="26"/>
      <c r="M1037" s="25"/>
      <c r="N1037" s="25"/>
      <c r="O1037" s="25"/>
      <c r="P1037" s="26"/>
      <c r="Q1037" s="26"/>
      <c r="R1037" s="25"/>
      <c r="S1037" s="25"/>
      <c r="T1037" s="25"/>
      <c r="U1037" s="27"/>
      <c r="V1037" s="21"/>
      <c r="W1037" s="16"/>
      <c r="X1037" s="16"/>
      <c r="Y1037" s="16"/>
    </row>
    <row r="1038" customFormat="false" ht="15.75" hidden="false" customHeight="false" outlineLevel="0" collapsed="false">
      <c r="A1038" s="9"/>
      <c r="B1038" s="10"/>
      <c r="C1038" s="11"/>
      <c r="D1038" s="10"/>
      <c r="E1038" s="10"/>
      <c r="F1038" s="10"/>
      <c r="G1038" s="10"/>
      <c r="H1038" s="10"/>
      <c r="I1038" s="12" t="n">
        <v>1</v>
      </c>
      <c r="J1038" s="12"/>
      <c r="K1038" s="13"/>
      <c r="L1038" s="13"/>
      <c r="M1038" s="12"/>
      <c r="N1038" s="12"/>
      <c r="O1038" s="12"/>
      <c r="P1038" s="13"/>
      <c r="Q1038" s="13"/>
      <c r="R1038" s="12"/>
      <c r="S1038" s="12"/>
      <c r="T1038" s="12"/>
      <c r="U1038" s="14"/>
      <c r="V1038" s="15"/>
      <c r="W1038" s="16" t="n">
        <f aca="false">A1038</f>
        <v>0</v>
      </c>
      <c r="X1038" s="17" t="e">
        <f aca="false">ifs(C1038="","",X1038="",NOW(),TRUE(),X1038)</f>
        <v>#VALUE!</v>
      </c>
      <c r="Y1038" s="17" t="e">
        <f aca="false">ifs(COUNTA(K1038:U1041)&lt;44,"",Y1038="",NOW(),TRUE(),Y1038)</f>
        <v>#VALUE!</v>
      </c>
    </row>
    <row r="1039" customFormat="false" ht="15.75" hidden="false" customHeight="false" outlineLevel="0" collapsed="false">
      <c r="A1039" s="9"/>
      <c r="B1039" s="10"/>
      <c r="C1039" s="10"/>
      <c r="D1039" s="10"/>
      <c r="E1039" s="10"/>
      <c r="F1039" s="10"/>
      <c r="G1039" s="10"/>
      <c r="H1039" s="10"/>
      <c r="I1039" s="18" t="n">
        <v>2</v>
      </c>
      <c r="J1039" s="18"/>
      <c r="K1039" s="19"/>
      <c r="L1039" s="19"/>
      <c r="M1039" s="18"/>
      <c r="N1039" s="18"/>
      <c r="O1039" s="18"/>
      <c r="P1039" s="19"/>
      <c r="Q1039" s="19"/>
      <c r="R1039" s="18"/>
      <c r="S1039" s="18"/>
      <c r="T1039" s="18"/>
      <c r="U1039" s="20"/>
      <c r="V1039" s="21"/>
      <c r="W1039" s="16"/>
      <c r="X1039" s="16"/>
      <c r="Y1039" s="16"/>
    </row>
    <row r="1040" customFormat="false" ht="15.75" hidden="false" customHeight="false" outlineLevel="0" collapsed="false">
      <c r="A1040" s="9"/>
      <c r="B1040" s="10"/>
      <c r="C1040" s="10"/>
      <c r="D1040" s="10"/>
      <c r="E1040" s="10"/>
      <c r="F1040" s="10"/>
      <c r="G1040" s="10"/>
      <c r="H1040" s="10"/>
      <c r="I1040" s="22" t="n">
        <v>3</v>
      </c>
      <c r="J1040" s="22"/>
      <c r="K1040" s="23"/>
      <c r="L1040" s="23"/>
      <c r="M1040" s="22"/>
      <c r="N1040" s="22"/>
      <c r="O1040" s="22"/>
      <c r="P1040" s="23"/>
      <c r="Q1040" s="23"/>
      <c r="R1040" s="22"/>
      <c r="S1040" s="22"/>
      <c r="T1040" s="22"/>
      <c r="U1040" s="24"/>
      <c r="V1040" s="15"/>
      <c r="W1040" s="16"/>
      <c r="X1040" s="16"/>
      <c r="Y1040" s="16"/>
    </row>
    <row r="1041" customFormat="false" ht="15.75" hidden="false" customHeight="false" outlineLevel="0" collapsed="false">
      <c r="A1041" s="9"/>
      <c r="B1041" s="10"/>
      <c r="C1041" s="10"/>
      <c r="D1041" s="10"/>
      <c r="E1041" s="10"/>
      <c r="F1041" s="10"/>
      <c r="G1041" s="10"/>
      <c r="H1041" s="10"/>
      <c r="I1041" s="25" t="n">
        <v>4</v>
      </c>
      <c r="J1041" s="25"/>
      <c r="K1041" s="26"/>
      <c r="L1041" s="26"/>
      <c r="M1041" s="25"/>
      <c r="N1041" s="25"/>
      <c r="O1041" s="25"/>
      <c r="P1041" s="26"/>
      <c r="Q1041" s="26"/>
      <c r="R1041" s="25"/>
      <c r="S1041" s="25"/>
      <c r="T1041" s="25"/>
      <c r="U1041" s="27"/>
      <c r="V1041" s="21"/>
      <c r="W1041" s="16"/>
      <c r="X1041" s="16"/>
      <c r="Y1041" s="16"/>
    </row>
    <row r="1042" customFormat="false" ht="15.75" hidden="false" customHeight="false" outlineLevel="0" collapsed="false">
      <c r="A1042" s="9"/>
      <c r="B1042" s="10"/>
      <c r="C1042" s="11"/>
      <c r="D1042" s="10"/>
      <c r="E1042" s="10"/>
      <c r="F1042" s="10"/>
      <c r="G1042" s="10"/>
      <c r="H1042" s="10"/>
      <c r="I1042" s="12" t="n">
        <v>1</v>
      </c>
      <c r="J1042" s="12"/>
      <c r="K1042" s="13"/>
      <c r="L1042" s="13"/>
      <c r="M1042" s="12"/>
      <c r="N1042" s="12"/>
      <c r="O1042" s="12"/>
      <c r="P1042" s="13"/>
      <c r="Q1042" s="13"/>
      <c r="R1042" s="12"/>
      <c r="S1042" s="12"/>
      <c r="T1042" s="12"/>
      <c r="U1042" s="14"/>
      <c r="V1042" s="15"/>
      <c r="W1042" s="16" t="n">
        <f aca="false">A1042</f>
        <v>0</v>
      </c>
      <c r="X1042" s="17" t="e">
        <f aca="false">ifs(C1042="","",X1042="",NOW(),TRUE(),X1042)</f>
        <v>#VALUE!</v>
      </c>
      <c r="Y1042" s="17" t="e">
        <f aca="false">ifs(COUNTA(K1042:U1045)&lt;44,"",Y1042="",NOW(),TRUE(),Y1042)</f>
        <v>#VALUE!</v>
      </c>
    </row>
    <row r="1043" customFormat="false" ht="15.75" hidden="false" customHeight="false" outlineLevel="0" collapsed="false">
      <c r="A1043" s="9"/>
      <c r="B1043" s="10"/>
      <c r="C1043" s="10"/>
      <c r="D1043" s="10"/>
      <c r="E1043" s="10"/>
      <c r="F1043" s="10"/>
      <c r="G1043" s="10"/>
      <c r="H1043" s="10"/>
      <c r="I1043" s="18" t="n">
        <v>2</v>
      </c>
      <c r="J1043" s="18"/>
      <c r="K1043" s="19"/>
      <c r="L1043" s="19"/>
      <c r="M1043" s="18"/>
      <c r="N1043" s="18"/>
      <c r="O1043" s="18"/>
      <c r="P1043" s="19"/>
      <c r="Q1043" s="19"/>
      <c r="R1043" s="18"/>
      <c r="S1043" s="18"/>
      <c r="T1043" s="18"/>
      <c r="U1043" s="20"/>
      <c r="V1043" s="21"/>
      <c r="W1043" s="16"/>
      <c r="X1043" s="16"/>
      <c r="Y1043" s="16"/>
    </row>
    <row r="1044" customFormat="false" ht="15.75" hidden="false" customHeight="false" outlineLevel="0" collapsed="false">
      <c r="A1044" s="9"/>
      <c r="B1044" s="10"/>
      <c r="C1044" s="10"/>
      <c r="D1044" s="10"/>
      <c r="E1044" s="10"/>
      <c r="F1044" s="10"/>
      <c r="G1044" s="10"/>
      <c r="H1044" s="10"/>
      <c r="I1044" s="22" t="n">
        <v>3</v>
      </c>
      <c r="J1044" s="22"/>
      <c r="K1044" s="23"/>
      <c r="L1044" s="23"/>
      <c r="M1044" s="22"/>
      <c r="N1044" s="22"/>
      <c r="O1044" s="22"/>
      <c r="P1044" s="23"/>
      <c r="Q1044" s="23"/>
      <c r="R1044" s="22"/>
      <c r="S1044" s="22"/>
      <c r="T1044" s="22"/>
      <c r="U1044" s="24"/>
      <c r="V1044" s="15"/>
      <c r="W1044" s="16"/>
      <c r="X1044" s="16"/>
      <c r="Y1044" s="16"/>
    </row>
    <row r="1045" customFormat="false" ht="15.75" hidden="false" customHeight="false" outlineLevel="0" collapsed="false">
      <c r="A1045" s="9"/>
      <c r="B1045" s="10"/>
      <c r="C1045" s="10"/>
      <c r="D1045" s="10"/>
      <c r="E1045" s="10"/>
      <c r="F1045" s="10"/>
      <c r="G1045" s="10"/>
      <c r="H1045" s="10"/>
      <c r="I1045" s="25" t="n">
        <v>4</v>
      </c>
      <c r="J1045" s="25"/>
      <c r="K1045" s="26"/>
      <c r="L1045" s="26"/>
      <c r="M1045" s="25"/>
      <c r="N1045" s="25"/>
      <c r="O1045" s="25"/>
      <c r="P1045" s="26"/>
      <c r="Q1045" s="26"/>
      <c r="R1045" s="25"/>
      <c r="S1045" s="25"/>
      <c r="T1045" s="25"/>
      <c r="U1045" s="27"/>
      <c r="V1045" s="21"/>
      <c r="W1045" s="16"/>
      <c r="X1045" s="16"/>
      <c r="Y1045" s="16"/>
    </row>
    <row r="1046" customFormat="false" ht="15.75" hidden="false" customHeight="false" outlineLevel="0" collapsed="false">
      <c r="A1046" s="9"/>
      <c r="B1046" s="10"/>
      <c r="C1046" s="11"/>
      <c r="D1046" s="10"/>
      <c r="E1046" s="10"/>
      <c r="F1046" s="10"/>
      <c r="G1046" s="10"/>
      <c r="H1046" s="10"/>
      <c r="I1046" s="12" t="n">
        <v>1</v>
      </c>
      <c r="J1046" s="12"/>
      <c r="K1046" s="13"/>
      <c r="L1046" s="13"/>
      <c r="M1046" s="12"/>
      <c r="N1046" s="12"/>
      <c r="O1046" s="12"/>
      <c r="P1046" s="13"/>
      <c r="Q1046" s="13"/>
      <c r="R1046" s="12"/>
      <c r="S1046" s="12"/>
      <c r="T1046" s="12"/>
      <c r="U1046" s="14"/>
      <c r="V1046" s="15"/>
      <c r="W1046" s="16" t="n">
        <f aca="false">A1046</f>
        <v>0</v>
      </c>
      <c r="X1046" s="17" t="e">
        <f aca="false">ifs(C1046="","",X1046="",NOW(),TRUE(),X1046)</f>
        <v>#VALUE!</v>
      </c>
      <c r="Y1046" s="17" t="e">
        <f aca="false">ifs(COUNTA(K1046:U1049)&lt;44,"",Y1046="",NOW(),TRUE(),Y1046)</f>
        <v>#VALUE!</v>
      </c>
    </row>
    <row r="1047" customFormat="false" ht="15.75" hidden="false" customHeight="false" outlineLevel="0" collapsed="false">
      <c r="A1047" s="9"/>
      <c r="B1047" s="10"/>
      <c r="C1047" s="10"/>
      <c r="D1047" s="10"/>
      <c r="E1047" s="10"/>
      <c r="F1047" s="10"/>
      <c r="G1047" s="10"/>
      <c r="H1047" s="10"/>
      <c r="I1047" s="18" t="n">
        <v>2</v>
      </c>
      <c r="J1047" s="18"/>
      <c r="K1047" s="19"/>
      <c r="L1047" s="19"/>
      <c r="M1047" s="18"/>
      <c r="N1047" s="18"/>
      <c r="O1047" s="18"/>
      <c r="P1047" s="19"/>
      <c r="Q1047" s="19"/>
      <c r="R1047" s="18"/>
      <c r="S1047" s="18"/>
      <c r="T1047" s="18"/>
      <c r="U1047" s="20"/>
      <c r="V1047" s="21"/>
      <c r="W1047" s="16"/>
      <c r="X1047" s="16"/>
      <c r="Y1047" s="16"/>
    </row>
    <row r="1048" customFormat="false" ht="15.75" hidden="false" customHeight="false" outlineLevel="0" collapsed="false">
      <c r="A1048" s="9"/>
      <c r="B1048" s="10"/>
      <c r="C1048" s="10"/>
      <c r="D1048" s="10"/>
      <c r="E1048" s="10"/>
      <c r="F1048" s="10"/>
      <c r="G1048" s="10"/>
      <c r="H1048" s="10"/>
      <c r="I1048" s="22" t="n">
        <v>3</v>
      </c>
      <c r="J1048" s="22"/>
      <c r="K1048" s="23"/>
      <c r="L1048" s="23"/>
      <c r="M1048" s="22"/>
      <c r="N1048" s="22"/>
      <c r="O1048" s="22"/>
      <c r="P1048" s="23"/>
      <c r="Q1048" s="23"/>
      <c r="R1048" s="22"/>
      <c r="S1048" s="22"/>
      <c r="T1048" s="22"/>
      <c r="U1048" s="24"/>
      <c r="V1048" s="15"/>
      <c r="W1048" s="16"/>
      <c r="X1048" s="16"/>
      <c r="Y1048" s="16"/>
    </row>
    <row r="1049" customFormat="false" ht="15.75" hidden="false" customHeight="false" outlineLevel="0" collapsed="false">
      <c r="A1049" s="9"/>
      <c r="B1049" s="10"/>
      <c r="C1049" s="10"/>
      <c r="D1049" s="10"/>
      <c r="E1049" s="10"/>
      <c r="F1049" s="10"/>
      <c r="G1049" s="10"/>
      <c r="H1049" s="10"/>
      <c r="I1049" s="25" t="n">
        <v>4</v>
      </c>
      <c r="J1049" s="25"/>
      <c r="K1049" s="26"/>
      <c r="L1049" s="26"/>
      <c r="M1049" s="25"/>
      <c r="N1049" s="25"/>
      <c r="O1049" s="25"/>
      <c r="P1049" s="26"/>
      <c r="Q1049" s="26"/>
      <c r="R1049" s="25"/>
      <c r="S1049" s="25"/>
      <c r="T1049" s="25"/>
      <c r="U1049" s="27"/>
      <c r="V1049" s="21"/>
      <c r="W1049" s="16"/>
      <c r="X1049" s="16"/>
      <c r="Y1049" s="16"/>
    </row>
    <row r="1050" customFormat="false" ht="15.75" hidden="false" customHeight="false" outlineLevel="0" collapsed="false">
      <c r="A1050" s="9"/>
      <c r="B1050" s="10"/>
      <c r="C1050" s="11"/>
      <c r="D1050" s="10"/>
      <c r="E1050" s="10"/>
      <c r="F1050" s="10"/>
      <c r="G1050" s="10"/>
      <c r="H1050" s="10"/>
      <c r="I1050" s="12" t="n">
        <v>1</v>
      </c>
      <c r="J1050" s="12"/>
      <c r="K1050" s="13"/>
      <c r="L1050" s="13"/>
      <c r="M1050" s="12"/>
      <c r="N1050" s="12"/>
      <c r="O1050" s="12"/>
      <c r="P1050" s="13"/>
      <c r="Q1050" s="13"/>
      <c r="R1050" s="12"/>
      <c r="S1050" s="12"/>
      <c r="T1050" s="12"/>
      <c r="U1050" s="14"/>
      <c r="V1050" s="15"/>
      <c r="W1050" s="16" t="n">
        <f aca="false">A1050</f>
        <v>0</v>
      </c>
      <c r="X1050" s="17" t="e">
        <f aca="false">ifs(C1050="","",X1050="",NOW(),TRUE(),X1050)</f>
        <v>#VALUE!</v>
      </c>
      <c r="Y1050" s="17" t="e">
        <f aca="false">ifs(COUNTA(K1050:U1053)&lt;44,"",Y1050="",NOW(),TRUE(),Y1050)</f>
        <v>#VALUE!</v>
      </c>
    </row>
    <row r="1051" customFormat="false" ht="15.75" hidden="false" customHeight="false" outlineLevel="0" collapsed="false">
      <c r="A1051" s="9"/>
      <c r="B1051" s="10"/>
      <c r="C1051" s="10"/>
      <c r="D1051" s="10"/>
      <c r="E1051" s="10"/>
      <c r="F1051" s="10"/>
      <c r="G1051" s="10"/>
      <c r="H1051" s="10"/>
      <c r="I1051" s="18" t="n">
        <v>2</v>
      </c>
      <c r="J1051" s="18"/>
      <c r="K1051" s="19"/>
      <c r="L1051" s="19"/>
      <c r="M1051" s="18"/>
      <c r="N1051" s="18"/>
      <c r="O1051" s="18"/>
      <c r="P1051" s="19"/>
      <c r="Q1051" s="19"/>
      <c r="R1051" s="18"/>
      <c r="S1051" s="18"/>
      <c r="T1051" s="18"/>
      <c r="U1051" s="20"/>
      <c r="V1051" s="21"/>
      <c r="W1051" s="16"/>
      <c r="X1051" s="16"/>
      <c r="Y1051" s="16"/>
    </row>
    <row r="1052" customFormat="false" ht="15.75" hidden="false" customHeight="false" outlineLevel="0" collapsed="false">
      <c r="A1052" s="9"/>
      <c r="B1052" s="10"/>
      <c r="C1052" s="10"/>
      <c r="D1052" s="10"/>
      <c r="E1052" s="10"/>
      <c r="F1052" s="10"/>
      <c r="G1052" s="10"/>
      <c r="H1052" s="10"/>
      <c r="I1052" s="22" t="n">
        <v>3</v>
      </c>
      <c r="J1052" s="22"/>
      <c r="K1052" s="23"/>
      <c r="L1052" s="23"/>
      <c r="M1052" s="22"/>
      <c r="N1052" s="22"/>
      <c r="O1052" s="22"/>
      <c r="P1052" s="23"/>
      <c r="Q1052" s="23"/>
      <c r="R1052" s="22"/>
      <c r="S1052" s="22"/>
      <c r="T1052" s="22"/>
      <c r="U1052" s="24"/>
      <c r="V1052" s="15"/>
      <c r="W1052" s="16"/>
      <c r="X1052" s="16"/>
      <c r="Y1052" s="16"/>
    </row>
    <row r="1053" customFormat="false" ht="15.75" hidden="false" customHeight="false" outlineLevel="0" collapsed="false">
      <c r="A1053" s="9"/>
      <c r="B1053" s="10"/>
      <c r="C1053" s="10"/>
      <c r="D1053" s="10"/>
      <c r="E1053" s="10"/>
      <c r="F1053" s="10"/>
      <c r="G1053" s="10"/>
      <c r="H1053" s="10"/>
      <c r="I1053" s="25" t="n">
        <v>4</v>
      </c>
      <c r="J1053" s="25"/>
      <c r="K1053" s="26"/>
      <c r="L1053" s="26"/>
      <c r="M1053" s="25"/>
      <c r="N1053" s="25"/>
      <c r="O1053" s="25"/>
      <c r="P1053" s="26"/>
      <c r="Q1053" s="26"/>
      <c r="R1053" s="25"/>
      <c r="S1053" s="25"/>
      <c r="T1053" s="25"/>
      <c r="U1053" s="27"/>
      <c r="V1053" s="21"/>
      <c r="W1053" s="16"/>
      <c r="X1053" s="16"/>
      <c r="Y1053" s="16"/>
    </row>
    <row r="1054" customFormat="false" ht="15.75" hidden="false" customHeight="false" outlineLevel="0" collapsed="false">
      <c r="A1054" s="9"/>
      <c r="B1054" s="10"/>
      <c r="C1054" s="11"/>
      <c r="D1054" s="10"/>
      <c r="E1054" s="10"/>
      <c r="F1054" s="10"/>
      <c r="G1054" s="10"/>
      <c r="H1054" s="10"/>
      <c r="I1054" s="12" t="n">
        <v>1</v>
      </c>
      <c r="J1054" s="12"/>
      <c r="K1054" s="13"/>
      <c r="L1054" s="13"/>
      <c r="M1054" s="12"/>
      <c r="N1054" s="12"/>
      <c r="O1054" s="12"/>
      <c r="P1054" s="13"/>
      <c r="Q1054" s="13"/>
      <c r="R1054" s="12"/>
      <c r="S1054" s="12"/>
      <c r="T1054" s="12"/>
      <c r="U1054" s="14"/>
      <c r="V1054" s="15"/>
      <c r="W1054" s="16" t="n">
        <f aca="false">A1054</f>
        <v>0</v>
      </c>
      <c r="X1054" s="17" t="e">
        <f aca="false">ifs(C1054="","",X1054="",NOW(),TRUE(),X1054)</f>
        <v>#VALUE!</v>
      </c>
      <c r="Y1054" s="17" t="e">
        <f aca="false">ifs(COUNTA(K1054:U1057)&lt;44,"",Y1054="",NOW(),TRUE(),Y1054)</f>
        <v>#VALUE!</v>
      </c>
    </row>
    <row r="1055" customFormat="false" ht="15.75" hidden="false" customHeight="false" outlineLevel="0" collapsed="false">
      <c r="A1055" s="9"/>
      <c r="B1055" s="10"/>
      <c r="C1055" s="10"/>
      <c r="D1055" s="10"/>
      <c r="E1055" s="10"/>
      <c r="F1055" s="10"/>
      <c r="G1055" s="10"/>
      <c r="H1055" s="10"/>
      <c r="I1055" s="18" t="n">
        <v>2</v>
      </c>
      <c r="J1055" s="18"/>
      <c r="K1055" s="19"/>
      <c r="L1055" s="19"/>
      <c r="M1055" s="18"/>
      <c r="N1055" s="18"/>
      <c r="O1055" s="18"/>
      <c r="P1055" s="19"/>
      <c r="Q1055" s="19"/>
      <c r="R1055" s="18"/>
      <c r="S1055" s="18"/>
      <c r="T1055" s="18"/>
      <c r="U1055" s="20"/>
      <c r="V1055" s="21"/>
      <c r="W1055" s="16"/>
      <c r="X1055" s="16"/>
      <c r="Y1055" s="16"/>
    </row>
    <row r="1056" customFormat="false" ht="15.75" hidden="false" customHeight="false" outlineLevel="0" collapsed="false">
      <c r="A1056" s="9"/>
      <c r="B1056" s="10"/>
      <c r="C1056" s="10"/>
      <c r="D1056" s="10"/>
      <c r="E1056" s="10"/>
      <c r="F1056" s="10"/>
      <c r="G1056" s="10"/>
      <c r="H1056" s="10"/>
      <c r="I1056" s="22" t="n">
        <v>3</v>
      </c>
      <c r="J1056" s="22"/>
      <c r="K1056" s="23"/>
      <c r="L1056" s="23"/>
      <c r="M1056" s="22"/>
      <c r="N1056" s="22"/>
      <c r="O1056" s="22"/>
      <c r="P1056" s="23"/>
      <c r="Q1056" s="23"/>
      <c r="R1056" s="22"/>
      <c r="S1056" s="22"/>
      <c r="T1056" s="22"/>
      <c r="U1056" s="24"/>
      <c r="V1056" s="15"/>
      <c r="W1056" s="16"/>
      <c r="X1056" s="16"/>
      <c r="Y1056" s="16"/>
    </row>
    <row r="1057" customFormat="false" ht="15.75" hidden="false" customHeight="false" outlineLevel="0" collapsed="false">
      <c r="A1057" s="9"/>
      <c r="B1057" s="10"/>
      <c r="C1057" s="10"/>
      <c r="D1057" s="10"/>
      <c r="E1057" s="10"/>
      <c r="F1057" s="10"/>
      <c r="G1057" s="10"/>
      <c r="H1057" s="10"/>
      <c r="I1057" s="25" t="n">
        <v>4</v>
      </c>
      <c r="J1057" s="25"/>
      <c r="K1057" s="26"/>
      <c r="L1057" s="26"/>
      <c r="M1057" s="25"/>
      <c r="N1057" s="25"/>
      <c r="O1057" s="25"/>
      <c r="P1057" s="26"/>
      <c r="Q1057" s="26"/>
      <c r="R1057" s="25"/>
      <c r="S1057" s="25"/>
      <c r="T1057" s="25"/>
      <c r="U1057" s="27"/>
      <c r="V1057" s="21"/>
      <c r="W1057" s="16"/>
      <c r="X1057" s="16"/>
      <c r="Y1057" s="16"/>
    </row>
    <row r="1058" customFormat="false" ht="15.75" hidden="false" customHeight="false" outlineLevel="0" collapsed="false">
      <c r="A1058" s="9"/>
      <c r="B1058" s="10"/>
      <c r="C1058" s="11"/>
      <c r="D1058" s="10"/>
      <c r="E1058" s="10"/>
      <c r="F1058" s="10"/>
      <c r="G1058" s="10"/>
      <c r="H1058" s="10"/>
      <c r="I1058" s="12" t="n">
        <v>1</v>
      </c>
      <c r="J1058" s="12"/>
      <c r="K1058" s="13"/>
      <c r="L1058" s="13"/>
      <c r="M1058" s="12"/>
      <c r="N1058" s="12"/>
      <c r="O1058" s="12"/>
      <c r="P1058" s="13"/>
      <c r="Q1058" s="13"/>
      <c r="R1058" s="12"/>
      <c r="S1058" s="12"/>
      <c r="T1058" s="12"/>
      <c r="U1058" s="14"/>
      <c r="V1058" s="15"/>
      <c r="W1058" s="16" t="n">
        <f aca="false">A1058</f>
        <v>0</v>
      </c>
      <c r="X1058" s="17" t="e">
        <f aca="false">ifs(C1058="","",X1058="",NOW(),TRUE(),X1058)</f>
        <v>#VALUE!</v>
      </c>
      <c r="Y1058" s="17" t="e">
        <f aca="false">ifs(COUNTA(K1058:U1061)&lt;44,"",Y1058="",NOW(),TRUE(),Y1058)</f>
        <v>#VALUE!</v>
      </c>
    </row>
    <row r="1059" customFormat="false" ht="15.75" hidden="false" customHeight="false" outlineLevel="0" collapsed="false">
      <c r="A1059" s="9"/>
      <c r="B1059" s="10"/>
      <c r="C1059" s="10"/>
      <c r="D1059" s="10"/>
      <c r="E1059" s="10"/>
      <c r="F1059" s="10"/>
      <c r="G1059" s="10"/>
      <c r="H1059" s="10"/>
      <c r="I1059" s="18" t="n">
        <v>2</v>
      </c>
      <c r="J1059" s="18"/>
      <c r="K1059" s="19"/>
      <c r="L1059" s="19"/>
      <c r="M1059" s="18"/>
      <c r="N1059" s="18"/>
      <c r="O1059" s="18"/>
      <c r="P1059" s="19"/>
      <c r="Q1059" s="19"/>
      <c r="R1059" s="18"/>
      <c r="S1059" s="18"/>
      <c r="T1059" s="18"/>
      <c r="U1059" s="20"/>
      <c r="V1059" s="21"/>
      <c r="W1059" s="16"/>
      <c r="X1059" s="16"/>
      <c r="Y1059" s="16"/>
    </row>
    <row r="1060" customFormat="false" ht="15.75" hidden="false" customHeight="false" outlineLevel="0" collapsed="false">
      <c r="A1060" s="9"/>
      <c r="B1060" s="10"/>
      <c r="C1060" s="10"/>
      <c r="D1060" s="10"/>
      <c r="E1060" s="10"/>
      <c r="F1060" s="10"/>
      <c r="G1060" s="10"/>
      <c r="H1060" s="10"/>
      <c r="I1060" s="22" t="n">
        <v>3</v>
      </c>
      <c r="J1060" s="22"/>
      <c r="K1060" s="23"/>
      <c r="L1060" s="23"/>
      <c r="M1060" s="22"/>
      <c r="N1060" s="22"/>
      <c r="O1060" s="22"/>
      <c r="P1060" s="23"/>
      <c r="Q1060" s="23"/>
      <c r="R1060" s="22"/>
      <c r="S1060" s="22"/>
      <c r="T1060" s="22"/>
      <c r="U1060" s="24"/>
      <c r="V1060" s="15"/>
      <c r="W1060" s="16"/>
      <c r="X1060" s="16"/>
      <c r="Y1060" s="16"/>
    </row>
    <row r="1061" customFormat="false" ht="15.75" hidden="false" customHeight="false" outlineLevel="0" collapsed="false">
      <c r="A1061" s="9"/>
      <c r="B1061" s="10"/>
      <c r="C1061" s="10"/>
      <c r="D1061" s="10"/>
      <c r="E1061" s="10"/>
      <c r="F1061" s="10"/>
      <c r="G1061" s="10"/>
      <c r="H1061" s="10"/>
      <c r="I1061" s="25" t="n">
        <v>4</v>
      </c>
      <c r="J1061" s="25"/>
      <c r="K1061" s="26"/>
      <c r="L1061" s="26"/>
      <c r="M1061" s="25"/>
      <c r="N1061" s="25"/>
      <c r="O1061" s="25"/>
      <c r="P1061" s="26"/>
      <c r="Q1061" s="26"/>
      <c r="R1061" s="25"/>
      <c r="S1061" s="25"/>
      <c r="T1061" s="25"/>
      <c r="U1061" s="27"/>
      <c r="V1061" s="21"/>
      <c r="W1061" s="16"/>
      <c r="X1061" s="16"/>
      <c r="Y1061" s="16"/>
    </row>
    <row r="1062" customFormat="false" ht="15.75" hidden="false" customHeight="false" outlineLevel="0" collapsed="false">
      <c r="A1062" s="9"/>
      <c r="B1062" s="10"/>
      <c r="C1062" s="11"/>
      <c r="D1062" s="10"/>
      <c r="E1062" s="10"/>
      <c r="F1062" s="10"/>
      <c r="G1062" s="10"/>
      <c r="H1062" s="10"/>
      <c r="I1062" s="12" t="n">
        <v>1</v>
      </c>
      <c r="J1062" s="12"/>
      <c r="K1062" s="13"/>
      <c r="L1062" s="13"/>
      <c r="M1062" s="12"/>
      <c r="N1062" s="12"/>
      <c r="O1062" s="12"/>
      <c r="P1062" s="13"/>
      <c r="Q1062" s="13"/>
      <c r="R1062" s="12"/>
      <c r="S1062" s="12"/>
      <c r="T1062" s="12"/>
      <c r="U1062" s="14"/>
      <c r="V1062" s="15"/>
      <c r="W1062" s="16" t="n">
        <f aca="false">A1062</f>
        <v>0</v>
      </c>
      <c r="X1062" s="17" t="e">
        <f aca="false">ifs(C1062="","",X1062="",NOW(),TRUE(),X1062)</f>
        <v>#VALUE!</v>
      </c>
      <c r="Y1062" s="17" t="e">
        <f aca="false">ifs(COUNTA(K1062:U1065)&lt;44,"",Y1062="",NOW(),TRUE(),Y1062)</f>
        <v>#VALUE!</v>
      </c>
    </row>
    <row r="1063" customFormat="false" ht="15.75" hidden="false" customHeight="false" outlineLevel="0" collapsed="false">
      <c r="A1063" s="9"/>
      <c r="B1063" s="10"/>
      <c r="C1063" s="10"/>
      <c r="D1063" s="10"/>
      <c r="E1063" s="10"/>
      <c r="F1063" s="10"/>
      <c r="G1063" s="10"/>
      <c r="H1063" s="10"/>
      <c r="I1063" s="18" t="n">
        <v>2</v>
      </c>
      <c r="J1063" s="18"/>
      <c r="K1063" s="19"/>
      <c r="L1063" s="19"/>
      <c r="M1063" s="18"/>
      <c r="N1063" s="18"/>
      <c r="O1063" s="18"/>
      <c r="P1063" s="19"/>
      <c r="Q1063" s="19"/>
      <c r="R1063" s="18"/>
      <c r="S1063" s="18"/>
      <c r="T1063" s="18"/>
      <c r="U1063" s="20"/>
      <c r="V1063" s="21"/>
      <c r="W1063" s="16"/>
      <c r="X1063" s="16"/>
      <c r="Y1063" s="16"/>
    </row>
    <row r="1064" customFormat="false" ht="15.75" hidden="false" customHeight="false" outlineLevel="0" collapsed="false">
      <c r="A1064" s="9"/>
      <c r="B1064" s="10"/>
      <c r="C1064" s="10"/>
      <c r="D1064" s="10"/>
      <c r="E1064" s="10"/>
      <c r="F1064" s="10"/>
      <c r="G1064" s="10"/>
      <c r="H1064" s="10"/>
      <c r="I1064" s="22" t="n">
        <v>3</v>
      </c>
      <c r="J1064" s="22"/>
      <c r="K1064" s="23"/>
      <c r="L1064" s="23"/>
      <c r="M1064" s="22"/>
      <c r="N1064" s="22"/>
      <c r="O1064" s="22"/>
      <c r="P1064" s="23"/>
      <c r="Q1064" s="23"/>
      <c r="R1064" s="22"/>
      <c r="S1064" s="22"/>
      <c r="T1064" s="22"/>
      <c r="U1064" s="24"/>
      <c r="V1064" s="15"/>
      <c r="W1064" s="16"/>
      <c r="X1064" s="16"/>
      <c r="Y1064" s="16"/>
    </row>
    <row r="1065" customFormat="false" ht="15.75" hidden="false" customHeight="false" outlineLevel="0" collapsed="false">
      <c r="A1065" s="9"/>
      <c r="B1065" s="10"/>
      <c r="C1065" s="10"/>
      <c r="D1065" s="10"/>
      <c r="E1065" s="10"/>
      <c r="F1065" s="10"/>
      <c r="G1065" s="10"/>
      <c r="H1065" s="10"/>
      <c r="I1065" s="25" t="n">
        <v>4</v>
      </c>
      <c r="J1065" s="25"/>
      <c r="K1065" s="26"/>
      <c r="L1065" s="26"/>
      <c r="M1065" s="25"/>
      <c r="N1065" s="25"/>
      <c r="O1065" s="25"/>
      <c r="P1065" s="26"/>
      <c r="Q1065" s="26"/>
      <c r="R1065" s="25"/>
      <c r="S1065" s="25"/>
      <c r="T1065" s="25"/>
      <c r="U1065" s="27"/>
      <c r="V1065" s="21"/>
      <c r="W1065" s="16"/>
      <c r="X1065" s="16"/>
      <c r="Y1065" s="16"/>
    </row>
    <row r="1066" customFormat="false" ht="15.75" hidden="false" customHeight="false" outlineLevel="0" collapsed="false">
      <c r="A1066" s="9"/>
      <c r="B1066" s="10"/>
      <c r="C1066" s="11"/>
      <c r="D1066" s="10"/>
      <c r="E1066" s="10"/>
      <c r="F1066" s="10"/>
      <c r="G1066" s="10"/>
      <c r="H1066" s="10"/>
      <c r="I1066" s="12" t="n">
        <v>1</v>
      </c>
      <c r="J1066" s="12"/>
      <c r="K1066" s="13"/>
      <c r="L1066" s="13"/>
      <c r="M1066" s="12"/>
      <c r="N1066" s="12"/>
      <c r="O1066" s="12"/>
      <c r="P1066" s="13"/>
      <c r="Q1066" s="13"/>
      <c r="R1066" s="12"/>
      <c r="S1066" s="12"/>
      <c r="T1066" s="12"/>
      <c r="U1066" s="14"/>
      <c r="V1066" s="15"/>
      <c r="W1066" s="16" t="n">
        <f aca="false">A1066</f>
        <v>0</v>
      </c>
      <c r="X1066" s="17" t="e">
        <f aca="false">ifs(C1066="","",X1066="",NOW(),TRUE(),X1066)</f>
        <v>#VALUE!</v>
      </c>
      <c r="Y1066" s="17" t="e">
        <f aca="false">ifs(COUNTA(K1066:U1069)&lt;44,"",Y1066="",NOW(),TRUE(),Y1066)</f>
        <v>#VALUE!</v>
      </c>
    </row>
    <row r="1067" customFormat="false" ht="15.75" hidden="false" customHeight="false" outlineLevel="0" collapsed="false">
      <c r="A1067" s="9"/>
      <c r="B1067" s="10"/>
      <c r="C1067" s="10"/>
      <c r="D1067" s="10"/>
      <c r="E1067" s="10"/>
      <c r="F1067" s="10"/>
      <c r="G1067" s="10"/>
      <c r="H1067" s="10"/>
      <c r="I1067" s="18" t="n">
        <v>2</v>
      </c>
      <c r="J1067" s="18"/>
      <c r="K1067" s="19"/>
      <c r="L1067" s="19"/>
      <c r="M1067" s="18"/>
      <c r="N1067" s="18"/>
      <c r="O1067" s="18"/>
      <c r="P1067" s="19"/>
      <c r="Q1067" s="19"/>
      <c r="R1067" s="18"/>
      <c r="S1067" s="18"/>
      <c r="T1067" s="18"/>
      <c r="U1067" s="20"/>
      <c r="V1067" s="21"/>
      <c r="W1067" s="16"/>
      <c r="X1067" s="16"/>
      <c r="Y1067" s="16"/>
    </row>
    <row r="1068" customFormat="false" ht="15.75" hidden="false" customHeight="false" outlineLevel="0" collapsed="false">
      <c r="A1068" s="9"/>
      <c r="B1068" s="10"/>
      <c r="C1068" s="10"/>
      <c r="D1068" s="10"/>
      <c r="E1068" s="10"/>
      <c r="F1068" s="10"/>
      <c r="G1068" s="10"/>
      <c r="H1068" s="10"/>
      <c r="I1068" s="22" t="n">
        <v>3</v>
      </c>
      <c r="J1068" s="22"/>
      <c r="K1068" s="23"/>
      <c r="L1068" s="23"/>
      <c r="M1068" s="22"/>
      <c r="N1068" s="22"/>
      <c r="O1068" s="22"/>
      <c r="P1068" s="23"/>
      <c r="Q1068" s="23"/>
      <c r="R1068" s="22"/>
      <c r="S1068" s="22"/>
      <c r="T1068" s="22"/>
      <c r="U1068" s="24"/>
      <c r="V1068" s="15"/>
      <c r="W1068" s="16"/>
      <c r="X1068" s="16"/>
      <c r="Y1068" s="16"/>
    </row>
    <row r="1069" customFormat="false" ht="15.75" hidden="false" customHeight="false" outlineLevel="0" collapsed="false">
      <c r="A1069" s="9"/>
      <c r="B1069" s="10"/>
      <c r="C1069" s="10"/>
      <c r="D1069" s="10"/>
      <c r="E1069" s="10"/>
      <c r="F1069" s="10"/>
      <c r="G1069" s="10"/>
      <c r="H1069" s="10"/>
      <c r="I1069" s="25" t="n">
        <v>4</v>
      </c>
      <c r="J1069" s="25"/>
      <c r="K1069" s="26"/>
      <c r="L1069" s="26"/>
      <c r="M1069" s="25"/>
      <c r="N1069" s="25"/>
      <c r="O1069" s="25"/>
      <c r="P1069" s="26"/>
      <c r="Q1069" s="26"/>
      <c r="R1069" s="25"/>
      <c r="S1069" s="25"/>
      <c r="T1069" s="25"/>
      <c r="U1069" s="27"/>
      <c r="V1069" s="21"/>
      <c r="W1069" s="16"/>
      <c r="X1069" s="16"/>
      <c r="Y1069" s="16"/>
    </row>
    <row r="1070" customFormat="false" ht="15.75" hidden="false" customHeight="false" outlineLevel="0" collapsed="false">
      <c r="A1070" s="9"/>
      <c r="B1070" s="10"/>
      <c r="C1070" s="11"/>
      <c r="D1070" s="10"/>
      <c r="E1070" s="10"/>
      <c r="F1070" s="10"/>
      <c r="G1070" s="10"/>
      <c r="H1070" s="10"/>
      <c r="I1070" s="12" t="n">
        <v>1</v>
      </c>
      <c r="J1070" s="12"/>
      <c r="K1070" s="13"/>
      <c r="L1070" s="13"/>
      <c r="M1070" s="12"/>
      <c r="N1070" s="12"/>
      <c r="O1070" s="12"/>
      <c r="P1070" s="13"/>
      <c r="Q1070" s="13"/>
      <c r="R1070" s="12"/>
      <c r="S1070" s="12"/>
      <c r="T1070" s="12"/>
      <c r="U1070" s="14"/>
      <c r="V1070" s="15"/>
      <c r="W1070" s="16" t="n">
        <f aca="false">A1070</f>
        <v>0</v>
      </c>
      <c r="X1070" s="17" t="e">
        <f aca="false">ifs(C1070="","",X1070="",NOW(),TRUE(),X1070)</f>
        <v>#VALUE!</v>
      </c>
      <c r="Y1070" s="17" t="e">
        <f aca="false">ifs(COUNTA(K1070:U1073)&lt;44,"",Y1070="",NOW(),TRUE(),Y1070)</f>
        <v>#VALUE!</v>
      </c>
    </row>
    <row r="1071" customFormat="false" ht="15.75" hidden="false" customHeight="false" outlineLevel="0" collapsed="false">
      <c r="A1071" s="9"/>
      <c r="B1071" s="10"/>
      <c r="C1071" s="10"/>
      <c r="D1071" s="10"/>
      <c r="E1071" s="10"/>
      <c r="F1071" s="10"/>
      <c r="G1071" s="10"/>
      <c r="H1071" s="10"/>
      <c r="I1071" s="18" t="n">
        <v>2</v>
      </c>
      <c r="J1071" s="18"/>
      <c r="K1071" s="19"/>
      <c r="L1071" s="19"/>
      <c r="M1071" s="18"/>
      <c r="N1071" s="18"/>
      <c r="O1071" s="18"/>
      <c r="P1071" s="19"/>
      <c r="Q1071" s="19"/>
      <c r="R1071" s="18"/>
      <c r="S1071" s="18"/>
      <c r="T1071" s="18"/>
      <c r="U1071" s="20"/>
      <c r="V1071" s="21"/>
      <c r="W1071" s="16"/>
      <c r="X1071" s="16"/>
      <c r="Y1071" s="16"/>
    </row>
    <row r="1072" customFormat="false" ht="15.75" hidden="false" customHeight="false" outlineLevel="0" collapsed="false">
      <c r="A1072" s="9"/>
      <c r="B1072" s="10"/>
      <c r="C1072" s="10"/>
      <c r="D1072" s="10"/>
      <c r="E1072" s="10"/>
      <c r="F1072" s="10"/>
      <c r="G1072" s="10"/>
      <c r="H1072" s="10"/>
      <c r="I1072" s="22" t="n">
        <v>3</v>
      </c>
      <c r="J1072" s="22"/>
      <c r="K1072" s="23"/>
      <c r="L1072" s="23"/>
      <c r="M1072" s="22"/>
      <c r="N1072" s="22"/>
      <c r="O1072" s="22"/>
      <c r="P1072" s="23"/>
      <c r="Q1072" s="23"/>
      <c r="R1072" s="22"/>
      <c r="S1072" s="22"/>
      <c r="T1072" s="22"/>
      <c r="U1072" s="24"/>
      <c r="V1072" s="15"/>
      <c r="W1072" s="16"/>
      <c r="X1072" s="16"/>
      <c r="Y1072" s="16"/>
    </row>
    <row r="1073" customFormat="false" ht="15.75" hidden="false" customHeight="false" outlineLevel="0" collapsed="false">
      <c r="A1073" s="9"/>
      <c r="B1073" s="10"/>
      <c r="C1073" s="10"/>
      <c r="D1073" s="10"/>
      <c r="E1073" s="10"/>
      <c r="F1073" s="10"/>
      <c r="G1073" s="10"/>
      <c r="H1073" s="10"/>
      <c r="I1073" s="25" t="n">
        <v>4</v>
      </c>
      <c r="J1073" s="25"/>
      <c r="K1073" s="26"/>
      <c r="L1073" s="26"/>
      <c r="M1073" s="25"/>
      <c r="N1073" s="25"/>
      <c r="O1073" s="25"/>
      <c r="P1073" s="26"/>
      <c r="Q1073" s="26"/>
      <c r="R1073" s="25"/>
      <c r="S1073" s="25"/>
      <c r="T1073" s="25"/>
      <c r="U1073" s="27"/>
      <c r="V1073" s="21"/>
      <c r="W1073" s="16"/>
      <c r="X1073" s="16"/>
      <c r="Y1073" s="16"/>
    </row>
    <row r="1074" customFormat="false" ht="15.75" hidden="false" customHeight="false" outlineLevel="0" collapsed="false">
      <c r="A1074" s="9"/>
      <c r="B1074" s="10"/>
      <c r="C1074" s="11"/>
      <c r="D1074" s="10"/>
      <c r="E1074" s="10"/>
      <c r="F1074" s="10"/>
      <c r="G1074" s="10"/>
      <c r="H1074" s="10"/>
      <c r="I1074" s="12" t="n">
        <v>1</v>
      </c>
      <c r="J1074" s="12"/>
      <c r="K1074" s="13"/>
      <c r="L1074" s="13"/>
      <c r="M1074" s="12"/>
      <c r="N1074" s="12"/>
      <c r="O1074" s="12"/>
      <c r="P1074" s="13"/>
      <c r="Q1074" s="13"/>
      <c r="R1074" s="12"/>
      <c r="S1074" s="12"/>
      <c r="T1074" s="12"/>
      <c r="U1074" s="14"/>
      <c r="V1074" s="15"/>
      <c r="W1074" s="16" t="n">
        <f aca="false">A1074</f>
        <v>0</v>
      </c>
      <c r="X1074" s="17" t="e">
        <f aca="false">ifs(C1074="","",X1074="",NOW(),TRUE(),X1074)</f>
        <v>#VALUE!</v>
      </c>
      <c r="Y1074" s="17" t="e">
        <f aca="false">ifs(COUNTA(K1074:U1077)&lt;44,"",Y1074="",NOW(),TRUE(),Y1074)</f>
        <v>#VALUE!</v>
      </c>
    </row>
    <row r="1075" customFormat="false" ht="15.75" hidden="false" customHeight="false" outlineLevel="0" collapsed="false">
      <c r="A1075" s="9"/>
      <c r="B1075" s="10"/>
      <c r="C1075" s="10"/>
      <c r="D1075" s="10"/>
      <c r="E1075" s="10"/>
      <c r="F1075" s="10"/>
      <c r="G1075" s="10"/>
      <c r="H1075" s="10"/>
      <c r="I1075" s="18" t="n">
        <v>2</v>
      </c>
      <c r="J1075" s="18"/>
      <c r="K1075" s="19"/>
      <c r="L1075" s="19"/>
      <c r="M1075" s="18"/>
      <c r="N1075" s="18"/>
      <c r="O1075" s="18"/>
      <c r="P1075" s="19"/>
      <c r="Q1075" s="19"/>
      <c r="R1075" s="18"/>
      <c r="S1075" s="18"/>
      <c r="T1075" s="18"/>
      <c r="U1075" s="20"/>
      <c r="V1075" s="21"/>
      <c r="W1075" s="16"/>
      <c r="X1075" s="16"/>
      <c r="Y1075" s="16"/>
    </row>
    <row r="1076" customFormat="false" ht="15.75" hidden="false" customHeight="false" outlineLevel="0" collapsed="false">
      <c r="A1076" s="9"/>
      <c r="B1076" s="10"/>
      <c r="C1076" s="10"/>
      <c r="D1076" s="10"/>
      <c r="E1076" s="10"/>
      <c r="F1076" s="10"/>
      <c r="G1076" s="10"/>
      <c r="H1076" s="10"/>
      <c r="I1076" s="22" t="n">
        <v>3</v>
      </c>
      <c r="J1076" s="22"/>
      <c r="K1076" s="23"/>
      <c r="L1076" s="23"/>
      <c r="M1076" s="22"/>
      <c r="N1076" s="22"/>
      <c r="O1076" s="22"/>
      <c r="P1076" s="23"/>
      <c r="Q1076" s="23"/>
      <c r="R1076" s="22"/>
      <c r="S1076" s="22"/>
      <c r="T1076" s="22"/>
      <c r="U1076" s="24"/>
      <c r="V1076" s="15"/>
      <c r="W1076" s="16"/>
      <c r="X1076" s="16"/>
      <c r="Y1076" s="16"/>
    </row>
    <row r="1077" customFormat="false" ht="15.75" hidden="false" customHeight="false" outlineLevel="0" collapsed="false">
      <c r="A1077" s="9"/>
      <c r="B1077" s="10"/>
      <c r="C1077" s="10"/>
      <c r="D1077" s="10"/>
      <c r="E1077" s="10"/>
      <c r="F1077" s="10"/>
      <c r="G1077" s="10"/>
      <c r="H1077" s="10"/>
      <c r="I1077" s="25" t="n">
        <v>4</v>
      </c>
      <c r="J1077" s="25"/>
      <c r="K1077" s="26"/>
      <c r="L1077" s="26"/>
      <c r="M1077" s="25"/>
      <c r="N1077" s="25"/>
      <c r="O1077" s="25"/>
      <c r="P1077" s="26"/>
      <c r="Q1077" s="26"/>
      <c r="R1077" s="25"/>
      <c r="S1077" s="25"/>
      <c r="T1077" s="25"/>
      <c r="U1077" s="27"/>
      <c r="V1077" s="21"/>
      <c r="W1077" s="16"/>
      <c r="X1077" s="16"/>
      <c r="Y1077" s="16"/>
    </row>
    <row r="1078" customFormat="false" ht="15.75" hidden="false" customHeight="false" outlineLevel="0" collapsed="false">
      <c r="A1078" s="9"/>
      <c r="B1078" s="10"/>
      <c r="C1078" s="11"/>
      <c r="D1078" s="10"/>
      <c r="E1078" s="10"/>
      <c r="F1078" s="10"/>
      <c r="G1078" s="10"/>
      <c r="H1078" s="10"/>
      <c r="I1078" s="12" t="n">
        <v>1</v>
      </c>
      <c r="J1078" s="12"/>
      <c r="K1078" s="13"/>
      <c r="L1078" s="13"/>
      <c r="M1078" s="12"/>
      <c r="N1078" s="12"/>
      <c r="O1078" s="12"/>
      <c r="P1078" s="13"/>
      <c r="Q1078" s="13"/>
      <c r="R1078" s="12"/>
      <c r="S1078" s="12"/>
      <c r="T1078" s="12"/>
      <c r="U1078" s="14"/>
      <c r="V1078" s="15"/>
      <c r="W1078" s="16" t="n">
        <f aca="false">A1078</f>
        <v>0</v>
      </c>
      <c r="X1078" s="17" t="e">
        <f aca="false">ifs(C1078="","",X1078="",NOW(),TRUE(),X1078)</f>
        <v>#VALUE!</v>
      </c>
      <c r="Y1078" s="17" t="e">
        <f aca="false">ifs(COUNTA(K1078:U1081)&lt;44,"",Y1078="",NOW(),TRUE(),Y1078)</f>
        <v>#VALUE!</v>
      </c>
    </row>
    <row r="1079" customFormat="false" ht="15.75" hidden="false" customHeight="false" outlineLevel="0" collapsed="false">
      <c r="A1079" s="9"/>
      <c r="B1079" s="10"/>
      <c r="C1079" s="10"/>
      <c r="D1079" s="10"/>
      <c r="E1079" s="10"/>
      <c r="F1079" s="10"/>
      <c r="G1079" s="10"/>
      <c r="H1079" s="10"/>
      <c r="I1079" s="18" t="n">
        <v>2</v>
      </c>
      <c r="J1079" s="18"/>
      <c r="K1079" s="19"/>
      <c r="L1079" s="19"/>
      <c r="M1079" s="18"/>
      <c r="N1079" s="18"/>
      <c r="O1079" s="18"/>
      <c r="P1079" s="19"/>
      <c r="Q1079" s="19"/>
      <c r="R1079" s="18"/>
      <c r="S1079" s="18"/>
      <c r="T1079" s="18"/>
      <c r="U1079" s="20"/>
      <c r="V1079" s="21"/>
      <c r="W1079" s="16"/>
      <c r="X1079" s="16"/>
      <c r="Y1079" s="16"/>
    </row>
    <row r="1080" customFormat="false" ht="15.75" hidden="false" customHeight="false" outlineLevel="0" collapsed="false">
      <c r="A1080" s="9"/>
      <c r="B1080" s="10"/>
      <c r="C1080" s="10"/>
      <c r="D1080" s="10"/>
      <c r="E1080" s="10"/>
      <c r="F1080" s="10"/>
      <c r="G1080" s="10"/>
      <c r="H1080" s="10"/>
      <c r="I1080" s="22" t="n">
        <v>3</v>
      </c>
      <c r="J1080" s="22"/>
      <c r="K1080" s="23"/>
      <c r="L1080" s="23"/>
      <c r="M1080" s="22"/>
      <c r="N1080" s="22"/>
      <c r="O1080" s="22"/>
      <c r="P1080" s="23"/>
      <c r="Q1080" s="23"/>
      <c r="R1080" s="22"/>
      <c r="S1080" s="22"/>
      <c r="T1080" s="22"/>
      <c r="U1080" s="24"/>
      <c r="V1080" s="15"/>
      <c r="W1080" s="16"/>
      <c r="X1080" s="16"/>
      <c r="Y1080" s="16"/>
    </row>
    <row r="1081" customFormat="false" ht="15.75" hidden="false" customHeight="false" outlineLevel="0" collapsed="false">
      <c r="A1081" s="9"/>
      <c r="B1081" s="10"/>
      <c r="C1081" s="10"/>
      <c r="D1081" s="10"/>
      <c r="E1081" s="10"/>
      <c r="F1081" s="10"/>
      <c r="G1081" s="10"/>
      <c r="H1081" s="10"/>
      <c r="I1081" s="25" t="n">
        <v>4</v>
      </c>
      <c r="J1081" s="25"/>
      <c r="K1081" s="26"/>
      <c r="L1081" s="26"/>
      <c r="M1081" s="25"/>
      <c r="N1081" s="25"/>
      <c r="O1081" s="25"/>
      <c r="P1081" s="26"/>
      <c r="Q1081" s="26"/>
      <c r="R1081" s="25"/>
      <c r="S1081" s="25"/>
      <c r="T1081" s="25"/>
      <c r="U1081" s="27"/>
      <c r="V1081" s="21"/>
      <c r="W1081" s="16"/>
      <c r="X1081" s="16"/>
      <c r="Y1081" s="16"/>
    </row>
    <row r="1082" customFormat="false" ht="15.75" hidden="false" customHeight="false" outlineLevel="0" collapsed="false">
      <c r="A1082" s="9"/>
      <c r="B1082" s="10"/>
      <c r="C1082" s="11"/>
      <c r="D1082" s="10"/>
      <c r="E1082" s="10"/>
      <c r="F1082" s="10"/>
      <c r="G1082" s="10"/>
      <c r="H1082" s="10"/>
      <c r="I1082" s="12" t="n">
        <v>1</v>
      </c>
      <c r="J1082" s="12"/>
      <c r="K1082" s="13"/>
      <c r="L1082" s="13"/>
      <c r="M1082" s="12"/>
      <c r="N1082" s="12"/>
      <c r="O1082" s="12"/>
      <c r="P1082" s="13"/>
      <c r="Q1082" s="13"/>
      <c r="R1082" s="12"/>
      <c r="S1082" s="12"/>
      <c r="T1082" s="12"/>
      <c r="U1082" s="14"/>
      <c r="V1082" s="15"/>
      <c r="W1082" s="16" t="n">
        <f aca="false">A1082</f>
        <v>0</v>
      </c>
      <c r="X1082" s="17" t="e">
        <f aca="false">ifs(C1082="","",X1082="",NOW(),TRUE(),X1082)</f>
        <v>#VALUE!</v>
      </c>
      <c r="Y1082" s="17" t="e">
        <f aca="false">ifs(COUNTA(K1082:U1085)&lt;44,"",Y1082="",NOW(),TRUE(),Y1082)</f>
        <v>#VALUE!</v>
      </c>
    </row>
    <row r="1083" customFormat="false" ht="15.75" hidden="false" customHeight="false" outlineLevel="0" collapsed="false">
      <c r="A1083" s="9"/>
      <c r="B1083" s="10"/>
      <c r="C1083" s="10"/>
      <c r="D1083" s="10"/>
      <c r="E1083" s="10"/>
      <c r="F1083" s="10"/>
      <c r="G1083" s="10"/>
      <c r="H1083" s="10"/>
      <c r="I1083" s="18" t="n">
        <v>2</v>
      </c>
      <c r="J1083" s="18"/>
      <c r="K1083" s="19"/>
      <c r="L1083" s="19"/>
      <c r="M1083" s="18"/>
      <c r="N1083" s="18"/>
      <c r="O1083" s="18"/>
      <c r="P1083" s="19"/>
      <c r="Q1083" s="19"/>
      <c r="R1083" s="18"/>
      <c r="S1083" s="18"/>
      <c r="T1083" s="18"/>
      <c r="U1083" s="20"/>
      <c r="V1083" s="21"/>
      <c r="W1083" s="16"/>
      <c r="X1083" s="16"/>
      <c r="Y1083" s="16"/>
    </row>
    <row r="1084" customFormat="false" ht="15.75" hidden="false" customHeight="false" outlineLevel="0" collapsed="false">
      <c r="A1084" s="9"/>
      <c r="B1084" s="10"/>
      <c r="C1084" s="10"/>
      <c r="D1084" s="10"/>
      <c r="E1084" s="10"/>
      <c r="F1084" s="10"/>
      <c r="G1084" s="10"/>
      <c r="H1084" s="10"/>
      <c r="I1084" s="22" t="n">
        <v>3</v>
      </c>
      <c r="J1084" s="22"/>
      <c r="K1084" s="23"/>
      <c r="L1084" s="23"/>
      <c r="M1084" s="22"/>
      <c r="N1084" s="22"/>
      <c r="O1084" s="22"/>
      <c r="P1084" s="23"/>
      <c r="Q1084" s="23"/>
      <c r="R1084" s="22"/>
      <c r="S1084" s="22"/>
      <c r="T1084" s="22"/>
      <c r="U1084" s="24"/>
      <c r="V1084" s="15"/>
      <c r="W1084" s="16"/>
      <c r="X1084" s="16"/>
      <c r="Y1084" s="16"/>
    </row>
    <row r="1085" customFormat="false" ht="15.75" hidden="false" customHeight="false" outlineLevel="0" collapsed="false">
      <c r="A1085" s="9"/>
      <c r="B1085" s="10"/>
      <c r="C1085" s="10"/>
      <c r="D1085" s="10"/>
      <c r="E1085" s="10"/>
      <c r="F1085" s="10"/>
      <c r="G1085" s="10"/>
      <c r="H1085" s="10"/>
      <c r="I1085" s="25" t="n">
        <v>4</v>
      </c>
      <c r="J1085" s="25"/>
      <c r="K1085" s="26"/>
      <c r="L1085" s="26"/>
      <c r="M1085" s="25"/>
      <c r="N1085" s="25"/>
      <c r="O1085" s="25"/>
      <c r="P1085" s="26"/>
      <c r="Q1085" s="26"/>
      <c r="R1085" s="25"/>
      <c r="S1085" s="25"/>
      <c r="T1085" s="25"/>
      <c r="U1085" s="27"/>
      <c r="V1085" s="21"/>
      <c r="W1085" s="16"/>
      <c r="X1085" s="16"/>
      <c r="Y1085" s="16"/>
    </row>
    <row r="1086" customFormat="false" ht="15.75" hidden="false" customHeight="false" outlineLevel="0" collapsed="false">
      <c r="A1086" s="9"/>
      <c r="B1086" s="10"/>
      <c r="C1086" s="11"/>
      <c r="D1086" s="10"/>
      <c r="E1086" s="10"/>
      <c r="F1086" s="10"/>
      <c r="G1086" s="10"/>
      <c r="H1086" s="10"/>
      <c r="I1086" s="12" t="n">
        <v>1</v>
      </c>
      <c r="J1086" s="12"/>
      <c r="K1086" s="13"/>
      <c r="L1086" s="13"/>
      <c r="M1086" s="12"/>
      <c r="N1086" s="12"/>
      <c r="O1086" s="12"/>
      <c r="P1086" s="13"/>
      <c r="Q1086" s="13"/>
      <c r="R1086" s="12"/>
      <c r="S1086" s="12"/>
      <c r="T1086" s="12"/>
      <c r="U1086" s="14"/>
      <c r="V1086" s="15"/>
      <c r="W1086" s="16" t="n">
        <f aca="false">A1086</f>
        <v>0</v>
      </c>
      <c r="X1086" s="17" t="e">
        <f aca="false">ifs(C1086="","",X1086="",NOW(),TRUE(),X1086)</f>
        <v>#VALUE!</v>
      </c>
      <c r="Y1086" s="17" t="e">
        <f aca="false">ifs(COUNTA(K1086:U1089)&lt;44,"",Y1086="",NOW(),TRUE(),Y1086)</f>
        <v>#VALUE!</v>
      </c>
    </row>
    <row r="1087" customFormat="false" ht="15.75" hidden="false" customHeight="false" outlineLevel="0" collapsed="false">
      <c r="A1087" s="9"/>
      <c r="B1087" s="10"/>
      <c r="C1087" s="10"/>
      <c r="D1087" s="10"/>
      <c r="E1087" s="10"/>
      <c r="F1087" s="10"/>
      <c r="G1087" s="10"/>
      <c r="H1087" s="10"/>
      <c r="I1087" s="18" t="n">
        <v>2</v>
      </c>
      <c r="J1087" s="18"/>
      <c r="K1087" s="19"/>
      <c r="L1087" s="19"/>
      <c r="M1087" s="18"/>
      <c r="N1087" s="18"/>
      <c r="O1087" s="18"/>
      <c r="P1087" s="19"/>
      <c r="Q1087" s="19"/>
      <c r="R1087" s="18"/>
      <c r="S1087" s="18"/>
      <c r="T1087" s="18"/>
      <c r="U1087" s="20"/>
      <c r="V1087" s="21"/>
      <c r="W1087" s="16"/>
      <c r="X1087" s="16"/>
      <c r="Y1087" s="16"/>
    </row>
    <row r="1088" customFormat="false" ht="15.75" hidden="false" customHeight="false" outlineLevel="0" collapsed="false">
      <c r="A1088" s="9"/>
      <c r="B1088" s="10"/>
      <c r="C1088" s="10"/>
      <c r="D1088" s="10"/>
      <c r="E1088" s="10"/>
      <c r="F1088" s="10"/>
      <c r="G1088" s="10"/>
      <c r="H1088" s="10"/>
      <c r="I1088" s="22" t="n">
        <v>3</v>
      </c>
      <c r="J1088" s="22"/>
      <c r="K1088" s="23"/>
      <c r="L1088" s="23"/>
      <c r="M1088" s="22"/>
      <c r="N1088" s="22"/>
      <c r="O1088" s="22"/>
      <c r="P1088" s="23"/>
      <c r="Q1088" s="23"/>
      <c r="R1088" s="22"/>
      <c r="S1088" s="22"/>
      <c r="T1088" s="22"/>
      <c r="U1088" s="24"/>
      <c r="V1088" s="15"/>
      <c r="W1088" s="16"/>
      <c r="X1088" s="16"/>
      <c r="Y1088" s="16"/>
    </row>
    <row r="1089" customFormat="false" ht="15.75" hidden="false" customHeight="false" outlineLevel="0" collapsed="false">
      <c r="A1089" s="9"/>
      <c r="B1089" s="10"/>
      <c r="C1089" s="10"/>
      <c r="D1089" s="10"/>
      <c r="E1089" s="10"/>
      <c r="F1089" s="10"/>
      <c r="G1089" s="10"/>
      <c r="H1089" s="10"/>
      <c r="I1089" s="25" t="n">
        <v>4</v>
      </c>
      <c r="J1089" s="25"/>
      <c r="K1089" s="26"/>
      <c r="L1089" s="26"/>
      <c r="M1089" s="25"/>
      <c r="N1089" s="25"/>
      <c r="O1089" s="25"/>
      <c r="P1089" s="26"/>
      <c r="Q1089" s="26"/>
      <c r="R1089" s="25"/>
      <c r="S1089" s="25"/>
      <c r="T1089" s="25"/>
      <c r="U1089" s="27"/>
      <c r="V1089" s="21"/>
      <c r="W1089" s="16"/>
      <c r="X1089" s="16"/>
      <c r="Y1089" s="16"/>
    </row>
    <row r="1090" customFormat="false" ht="15.75" hidden="false" customHeight="false" outlineLevel="0" collapsed="false">
      <c r="A1090" s="9"/>
      <c r="B1090" s="10"/>
      <c r="C1090" s="11"/>
      <c r="D1090" s="10"/>
      <c r="E1090" s="10"/>
      <c r="F1090" s="10"/>
      <c r="G1090" s="10"/>
      <c r="H1090" s="10"/>
      <c r="I1090" s="12" t="n">
        <v>1</v>
      </c>
      <c r="J1090" s="12"/>
      <c r="K1090" s="13"/>
      <c r="L1090" s="13"/>
      <c r="M1090" s="12"/>
      <c r="N1090" s="12"/>
      <c r="O1090" s="12"/>
      <c r="P1090" s="13"/>
      <c r="Q1090" s="13"/>
      <c r="R1090" s="12"/>
      <c r="S1090" s="12"/>
      <c r="T1090" s="12"/>
      <c r="U1090" s="14"/>
      <c r="V1090" s="15"/>
      <c r="W1090" s="16" t="n">
        <f aca="false">A1090</f>
        <v>0</v>
      </c>
      <c r="X1090" s="17" t="e">
        <f aca="false">ifs(C1090="","",X1090="",NOW(),TRUE(),X1090)</f>
        <v>#VALUE!</v>
      </c>
      <c r="Y1090" s="17" t="e">
        <f aca="false">ifs(COUNTA(K1090:U1093)&lt;44,"",Y1090="",NOW(),TRUE(),Y1090)</f>
        <v>#VALUE!</v>
      </c>
    </row>
    <row r="1091" customFormat="false" ht="15.75" hidden="false" customHeight="false" outlineLevel="0" collapsed="false">
      <c r="A1091" s="9"/>
      <c r="B1091" s="10"/>
      <c r="C1091" s="10"/>
      <c r="D1091" s="10"/>
      <c r="E1091" s="10"/>
      <c r="F1091" s="10"/>
      <c r="G1091" s="10"/>
      <c r="H1091" s="10"/>
      <c r="I1091" s="18" t="n">
        <v>2</v>
      </c>
      <c r="J1091" s="18"/>
      <c r="K1091" s="19"/>
      <c r="L1091" s="19"/>
      <c r="M1091" s="18"/>
      <c r="N1091" s="18"/>
      <c r="O1091" s="18"/>
      <c r="P1091" s="19"/>
      <c r="Q1091" s="19"/>
      <c r="R1091" s="18"/>
      <c r="S1091" s="18"/>
      <c r="T1091" s="18"/>
      <c r="U1091" s="20"/>
      <c r="V1091" s="21"/>
      <c r="W1091" s="16"/>
      <c r="X1091" s="16"/>
      <c r="Y1091" s="16"/>
    </row>
    <row r="1092" customFormat="false" ht="15.75" hidden="false" customHeight="false" outlineLevel="0" collapsed="false">
      <c r="A1092" s="9"/>
      <c r="B1092" s="10"/>
      <c r="C1092" s="10"/>
      <c r="D1092" s="10"/>
      <c r="E1092" s="10"/>
      <c r="F1092" s="10"/>
      <c r="G1092" s="10"/>
      <c r="H1092" s="10"/>
      <c r="I1092" s="22" t="n">
        <v>3</v>
      </c>
      <c r="J1092" s="22"/>
      <c r="K1092" s="23"/>
      <c r="L1092" s="23"/>
      <c r="M1092" s="22"/>
      <c r="N1092" s="22"/>
      <c r="O1092" s="22"/>
      <c r="P1092" s="23"/>
      <c r="Q1092" s="23"/>
      <c r="R1092" s="22"/>
      <c r="S1092" s="22"/>
      <c r="T1092" s="22"/>
      <c r="U1092" s="24"/>
      <c r="V1092" s="15"/>
      <c r="W1092" s="16"/>
      <c r="X1092" s="16"/>
      <c r="Y1092" s="16"/>
    </row>
    <row r="1093" customFormat="false" ht="15.75" hidden="false" customHeight="false" outlineLevel="0" collapsed="false">
      <c r="A1093" s="9"/>
      <c r="B1093" s="10"/>
      <c r="C1093" s="10"/>
      <c r="D1093" s="10"/>
      <c r="E1093" s="10"/>
      <c r="F1093" s="10"/>
      <c r="G1093" s="10"/>
      <c r="H1093" s="10"/>
      <c r="I1093" s="25" t="n">
        <v>4</v>
      </c>
      <c r="J1093" s="25"/>
      <c r="K1093" s="26"/>
      <c r="L1093" s="26"/>
      <c r="M1093" s="25"/>
      <c r="N1093" s="25"/>
      <c r="O1093" s="25"/>
      <c r="P1093" s="26"/>
      <c r="Q1093" s="26"/>
      <c r="R1093" s="25"/>
      <c r="S1093" s="25"/>
      <c r="T1093" s="25"/>
      <c r="U1093" s="27"/>
      <c r="V1093" s="21"/>
      <c r="W1093" s="16"/>
      <c r="X1093" s="16"/>
      <c r="Y1093" s="16"/>
    </row>
    <row r="1094" customFormat="false" ht="15.75" hidden="false" customHeight="false" outlineLevel="0" collapsed="false">
      <c r="A1094" s="9"/>
      <c r="B1094" s="10"/>
      <c r="C1094" s="11"/>
      <c r="D1094" s="10"/>
      <c r="E1094" s="10"/>
      <c r="F1094" s="10"/>
      <c r="G1094" s="10"/>
      <c r="H1094" s="10"/>
      <c r="I1094" s="12" t="n">
        <v>1</v>
      </c>
      <c r="J1094" s="12"/>
      <c r="K1094" s="13"/>
      <c r="L1094" s="13"/>
      <c r="M1094" s="12"/>
      <c r="N1094" s="12"/>
      <c r="O1094" s="12"/>
      <c r="P1094" s="13"/>
      <c r="Q1094" s="13"/>
      <c r="R1094" s="12"/>
      <c r="S1094" s="12"/>
      <c r="T1094" s="12"/>
      <c r="U1094" s="14"/>
      <c r="V1094" s="15"/>
      <c r="W1094" s="16" t="n">
        <f aca="false">A1094</f>
        <v>0</v>
      </c>
      <c r="X1094" s="17" t="e">
        <f aca="false">ifs(C1094="","",X1094="",NOW(),TRUE(),X1094)</f>
        <v>#VALUE!</v>
      </c>
      <c r="Y1094" s="17" t="e">
        <f aca="false">ifs(COUNTA(K1094:U1097)&lt;44,"",Y1094="",NOW(),TRUE(),Y1094)</f>
        <v>#VALUE!</v>
      </c>
    </row>
    <row r="1095" customFormat="false" ht="15.75" hidden="false" customHeight="false" outlineLevel="0" collapsed="false">
      <c r="A1095" s="9"/>
      <c r="B1095" s="10"/>
      <c r="C1095" s="10"/>
      <c r="D1095" s="10"/>
      <c r="E1095" s="10"/>
      <c r="F1095" s="10"/>
      <c r="G1095" s="10"/>
      <c r="H1095" s="10"/>
      <c r="I1095" s="18" t="n">
        <v>2</v>
      </c>
      <c r="J1095" s="18"/>
      <c r="K1095" s="19"/>
      <c r="L1095" s="19"/>
      <c r="M1095" s="18"/>
      <c r="N1095" s="18"/>
      <c r="O1095" s="18"/>
      <c r="P1095" s="19"/>
      <c r="Q1095" s="19"/>
      <c r="R1095" s="18"/>
      <c r="S1095" s="18"/>
      <c r="T1095" s="18"/>
      <c r="U1095" s="20"/>
      <c r="V1095" s="21"/>
      <c r="W1095" s="16"/>
      <c r="X1095" s="16"/>
      <c r="Y1095" s="16"/>
    </row>
    <row r="1096" customFormat="false" ht="15.75" hidden="false" customHeight="false" outlineLevel="0" collapsed="false">
      <c r="A1096" s="9"/>
      <c r="B1096" s="10"/>
      <c r="C1096" s="10"/>
      <c r="D1096" s="10"/>
      <c r="E1096" s="10"/>
      <c r="F1096" s="10"/>
      <c r="G1096" s="10"/>
      <c r="H1096" s="10"/>
      <c r="I1096" s="22" t="n">
        <v>3</v>
      </c>
      <c r="J1096" s="22"/>
      <c r="K1096" s="23"/>
      <c r="L1096" s="23"/>
      <c r="M1096" s="22"/>
      <c r="N1096" s="22"/>
      <c r="O1096" s="22"/>
      <c r="P1096" s="23"/>
      <c r="Q1096" s="23"/>
      <c r="R1096" s="22"/>
      <c r="S1096" s="22"/>
      <c r="T1096" s="22"/>
      <c r="U1096" s="24"/>
      <c r="V1096" s="15"/>
      <c r="W1096" s="16"/>
      <c r="X1096" s="16"/>
      <c r="Y1096" s="16"/>
    </row>
    <row r="1097" customFormat="false" ht="15.75" hidden="false" customHeight="false" outlineLevel="0" collapsed="false">
      <c r="A1097" s="9"/>
      <c r="B1097" s="10"/>
      <c r="C1097" s="10"/>
      <c r="D1097" s="10"/>
      <c r="E1097" s="10"/>
      <c r="F1097" s="10"/>
      <c r="G1097" s="10"/>
      <c r="H1097" s="10"/>
      <c r="I1097" s="25" t="n">
        <v>4</v>
      </c>
      <c r="J1097" s="25"/>
      <c r="K1097" s="26"/>
      <c r="L1097" s="26"/>
      <c r="M1097" s="25"/>
      <c r="N1097" s="25"/>
      <c r="O1097" s="25"/>
      <c r="P1097" s="26"/>
      <c r="Q1097" s="26"/>
      <c r="R1097" s="25"/>
      <c r="S1097" s="25"/>
      <c r="T1097" s="25"/>
      <c r="U1097" s="27"/>
      <c r="V1097" s="21"/>
      <c r="W1097" s="16"/>
      <c r="X1097" s="16"/>
      <c r="Y1097" s="16"/>
    </row>
    <row r="1098" customFormat="false" ht="15.75" hidden="false" customHeight="false" outlineLevel="0" collapsed="false">
      <c r="A1098" s="9"/>
      <c r="B1098" s="10"/>
      <c r="C1098" s="11"/>
      <c r="D1098" s="10"/>
      <c r="E1098" s="10"/>
      <c r="F1098" s="10"/>
      <c r="G1098" s="10"/>
      <c r="H1098" s="10"/>
      <c r="I1098" s="12" t="n">
        <v>1</v>
      </c>
      <c r="J1098" s="12"/>
      <c r="K1098" s="13"/>
      <c r="L1098" s="13"/>
      <c r="M1098" s="12"/>
      <c r="N1098" s="12"/>
      <c r="O1098" s="12"/>
      <c r="P1098" s="13"/>
      <c r="Q1098" s="13"/>
      <c r="R1098" s="12"/>
      <c r="S1098" s="12"/>
      <c r="T1098" s="12"/>
      <c r="U1098" s="14"/>
      <c r="V1098" s="15"/>
      <c r="W1098" s="16" t="n">
        <f aca="false">A1098</f>
        <v>0</v>
      </c>
      <c r="X1098" s="17" t="e">
        <f aca="false">ifs(C1098="","",X1098="",NOW(),TRUE(),X1098)</f>
        <v>#VALUE!</v>
      </c>
      <c r="Y1098" s="17" t="e">
        <f aca="false">ifs(COUNTA(K1098:U1101)&lt;44,"",Y1098="",NOW(),TRUE(),Y1098)</f>
        <v>#VALUE!</v>
      </c>
    </row>
    <row r="1099" customFormat="false" ht="15.75" hidden="false" customHeight="false" outlineLevel="0" collapsed="false">
      <c r="A1099" s="9"/>
      <c r="B1099" s="10"/>
      <c r="C1099" s="10"/>
      <c r="D1099" s="10"/>
      <c r="E1099" s="10"/>
      <c r="F1099" s="10"/>
      <c r="G1099" s="10"/>
      <c r="H1099" s="10"/>
      <c r="I1099" s="18" t="n">
        <v>2</v>
      </c>
      <c r="J1099" s="18"/>
      <c r="K1099" s="19"/>
      <c r="L1099" s="19"/>
      <c r="M1099" s="18"/>
      <c r="N1099" s="18"/>
      <c r="O1099" s="18"/>
      <c r="P1099" s="19"/>
      <c r="Q1099" s="19"/>
      <c r="R1099" s="18"/>
      <c r="S1099" s="18"/>
      <c r="T1099" s="18"/>
      <c r="U1099" s="20"/>
      <c r="V1099" s="21"/>
      <c r="W1099" s="16"/>
      <c r="X1099" s="16"/>
      <c r="Y1099" s="16"/>
    </row>
    <row r="1100" customFormat="false" ht="15.75" hidden="false" customHeight="false" outlineLevel="0" collapsed="false">
      <c r="A1100" s="9"/>
      <c r="B1100" s="10"/>
      <c r="C1100" s="10"/>
      <c r="D1100" s="10"/>
      <c r="E1100" s="10"/>
      <c r="F1100" s="10"/>
      <c r="G1100" s="10"/>
      <c r="H1100" s="10"/>
      <c r="I1100" s="22" t="n">
        <v>3</v>
      </c>
      <c r="J1100" s="22"/>
      <c r="K1100" s="23"/>
      <c r="L1100" s="23"/>
      <c r="M1100" s="22"/>
      <c r="N1100" s="22"/>
      <c r="O1100" s="22"/>
      <c r="P1100" s="23"/>
      <c r="Q1100" s="23"/>
      <c r="R1100" s="22"/>
      <c r="S1100" s="22"/>
      <c r="T1100" s="22"/>
      <c r="U1100" s="24"/>
      <c r="V1100" s="15"/>
      <c r="W1100" s="16"/>
      <c r="X1100" s="16"/>
      <c r="Y1100" s="16"/>
    </row>
    <row r="1101" customFormat="false" ht="15.75" hidden="false" customHeight="false" outlineLevel="0" collapsed="false">
      <c r="A1101" s="9"/>
      <c r="B1101" s="10"/>
      <c r="C1101" s="10"/>
      <c r="D1101" s="10"/>
      <c r="E1101" s="10"/>
      <c r="F1101" s="10"/>
      <c r="G1101" s="10"/>
      <c r="H1101" s="10"/>
      <c r="I1101" s="25" t="n">
        <v>4</v>
      </c>
      <c r="J1101" s="25"/>
      <c r="K1101" s="26"/>
      <c r="L1101" s="26"/>
      <c r="M1101" s="25"/>
      <c r="N1101" s="25"/>
      <c r="O1101" s="25"/>
      <c r="P1101" s="26"/>
      <c r="Q1101" s="26"/>
      <c r="R1101" s="25"/>
      <c r="S1101" s="25"/>
      <c r="T1101" s="25"/>
      <c r="U1101" s="27"/>
      <c r="V1101" s="21"/>
      <c r="W1101" s="16"/>
      <c r="X1101" s="16"/>
      <c r="Y1101" s="16"/>
    </row>
    <row r="1102" customFormat="false" ht="15.75" hidden="false" customHeight="false" outlineLevel="0" collapsed="false">
      <c r="A1102" s="9"/>
      <c r="B1102" s="10"/>
      <c r="C1102" s="11"/>
      <c r="D1102" s="10"/>
      <c r="E1102" s="10"/>
      <c r="F1102" s="10"/>
      <c r="G1102" s="10"/>
      <c r="H1102" s="10"/>
      <c r="I1102" s="12" t="n">
        <v>1</v>
      </c>
      <c r="J1102" s="12"/>
      <c r="K1102" s="13"/>
      <c r="L1102" s="13"/>
      <c r="M1102" s="12"/>
      <c r="N1102" s="12"/>
      <c r="O1102" s="12"/>
      <c r="P1102" s="13"/>
      <c r="Q1102" s="13"/>
      <c r="R1102" s="12"/>
      <c r="S1102" s="12"/>
      <c r="T1102" s="12"/>
      <c r="U1102" s="14"/>
      <c r="V1102" s="15"/>
      <c r="W1102" s="16" t="n">
        <f aca="false">A1102</f>
        <v>0</v>
      </c>
      <c r="X1102" s="17" t="e">
        <f aca="false">ifs(C1102="","",X1102="",NOW(),TRUE(),X1102)</f>
        <v>#VALUE!</v>
      </c>
      <c r="Y1102" s="17" t="e">
        <f aca="false">ifs(COUNTA(K1102:U1105)&lt;44,"",Y1102="",NOW(),TRUE(),Y1102)</f>
        <v>#VALUE!</v>
      </c>
    </row>
    <row r="1103" customFormat="false" ht="15.75" hidden="false" customHeight="false" outlineLevel="0" collapsed="false">
      <c r="A1103" s="9"/>
      <c r="B1103" s="10"/>
      <c r="C1103" s="10"/>
      <c r="D1103" s="10"/>
      <c r="E1103" s="10"/>
      <c r="F1103" s="10"/>
      <c r="G1103" s="10"/>
      <c r="H1103" s="10"/>
      <c r="I1103" s="18" t="n">
        <v>2</v>
      </c>
      <c r="J1103" s="18"/>
      <c r="K1103" s="19"/>
      <c r="L1103" s="19"/>
      <c r="M1103" s="18"/>
      <c r="N1103" s="18"/>
      <c r="O1103" s="18"/>
      <c r="P1103" s="19"/>
      <c r="Q1103" s="19"/>
      <c r="R1103" s="18"/>
      <c r="S1103" s="18"/>
      <c r="T1103" s="18"/>
      <c r="U1103" s="20"/>
      <c r="V1103" s="21"/>
      <c r="W1103" s="16"/>
      <c r="X1103" s="16"/>
      <c r="Y1103" s="16"/>
    </row>
    <row r="1104" customFormat="false" ht="15.75" hidden="false" customHeight="false" outlineLevel="0" collapsed="false">
      <c r="A1104" s="9"/>
      <c r="B1104" s="10"/>
      <c r="C1104" s="10"/>
      <c r="D1104" s="10"/>
      <c r="E1104" s="10"/>
      <c r="F1104" s="10"/>
      <c r="G1104" s="10"/>
      <c r="H1104" s="10"/>
      <c r="I1104" s="22" t="n">
        <v>3</v>
      </c>
      <c r="J1104" s="22"/>
      <c r="K1104" s="23"/>
      <c r="L1104" s="23"/>
      <c r="M1104" s="22"/>
      <c r="N1104" s="22"/>
      <c r="O1104" s="22"/>
      <c r="P1104" s="23"/>
      <c r="Q1104" s="23"/>
      <c r="R1104" s="22"/>
      <c r="S1104" s="22"/>
      <c r="T1104" s="22"/>
      <c r="U1104" s="24"/>
      <c r="V1104" s="15"/>
      <c r="W1104" s="16"/>
      <c r="X1104" s="16"/>
      <c r="Y1104" s="16"/>
    </row>
    <row r="1105" customFormat="false" ht="15.75" hidden="false" customHeight="false" outlineLevel="0" collapsed="false">
      <c r="A1105" s="9"/>
      <c r="B1105" s="10"/>
      <c r="C1105" s="10"/>
      <c r="D1105" s="10"/>
      <c r="E1105" s="10"/>
      <c r="F1105" s="10"/>
      <c r="G1105" s="10"/>
      <c r="H1105" s="10"/>
      <c r="I1105" s="25" t="n">
        <v>4</v>
      </c>
      <c r="J1105" s="25"/>
      <c r="K1105" s="26"/>
      <c r="L1105" s="26"/>
      <c r="M1105" s="25"/>
      <c r="N1105" s="25"/>
      <c r="O1105" s="25"/>
      <c r="P1105" s="26"/>
      <c r="Q1105" s="26"/>
      <c r="R1105" s="25"/>
      <c r="S1105" s="25"/>
      <c r="T1105" s="25"/>
      <c r="U1105" s="27"/>
      <c r="V1105" s="21"/>
      <c r="W1105" s="16"/>
      <c r="X1105" s="16"/>
      <c r="Y1105" s="16"/>
    </row>
    <row r="1106" customFormat="false" ht="15.75" hidden="false" customHeight="false" outlineLevel="0" collapsed="false">
      <c r="A1106" s="9"/>
      <c r="B1106" s="10"/>
      <c r="C1106" s="11"/>
      <c r="D1106" s="10"/>
      <c r="E1106" s="10"/>
      <c r="F1106" s="10"/>
      <c r="G1106" s="10"/>
      <c r="H1106" s="10"/>
      <c r="I1106" s="12" t="n">
        <v>1</v>
      </c>
      <c r="J1106" s="12"/>
      <c r="K1106" s="13"/>
      <c r="L1106" s="13"/>
      <c r="M1106" s="12"/>
      <c r="N1106" s="12"/>
      <c r="O1106" s="12"/>
      <c r="P1106" s="13"/>
      <c r="Q1106" s="13"/>
      <c r="R1106" s="12"/>
      <c r="S1106" s="12"/>
      <c r="T1106" s="12"/>
      <c r="U1106" s="14"/>
      <c r="V1106" s="15"/>
      <c r="W1106" s="16" t="n">
        <f aca="false">A1106</f>
        <v>0</v>
      </c>
      <c r="X1106" s="17" t="e">
        <f aca="false">ifs(C1106="","",X1106="",NOW(),TRUE(),X1106)</f>
        <v>#VALUE!</v>
      </c>
      <c r="Y1106" s="17" t="e">
        <f aca="false">ifs(COUNTA(K1106:U1109)&lt;44,"",Y1106="",NOW(),TRUE(),Y1106)</f>
        <v>#VALUE!</v>
      </c>
    </row>
    <row r="1107" customFormat="false" ht="15.75" hidden="false" customHeight="false" outlineLevel="0" collapsed="false">
      <c r="A1107" s="9"/>
      <c r="B1107" s="10"/>
      <c r="C1107" s="10"/>
      <c r="D1107" s="10"/>
      <c r="E1107" s="10"/>
      <c r="F1107" s="10"/>
      <c r="G1107" s="10"/>
      <c r="H1107" s="10"/>
      <c r="I1107" s="18" t="n">
        <v>2</v>
      </c>
      <c r="J1107" s="18"/>
      <c r="K1107" s="19"/>
      <c r="L1107" s="19"/>
      <c r="M1107" s="18"/>
      <c r="N1107" s="18"/>
      <c r="O1107" s="18"/>
      <c r="P1107" s="19"/>
      <c r="Q1107" s="19"/>
      <c r="R1107" s="18"/>
      <c r="S1107" s="18"/>
      <c r="T1107" s="18"/>
      <c r="U1107" s="20"/>
      <c r="V1107" s="21"/>
      <c r="W1107" s="16"/>
      <c r="X1107" s="16"/>
      <c r="Y1107" s="16"/>
    </row>
    <row r="1108" customFormat="false" ht="15.75" hidden="false" customHeight="false" outlineLevel="0" collapsed="false">
      <c r="A1108" s="9"/>
      <c r="B1108" s="10"/>
      <c r="C1108" s="10"/>
      <c r="D1108" s="10"/>
      <c r="E1108" s="10"/>
      <c r="F1108" s="10"/>
      <c r="G1108" s="10"/>
      <c r="H1108" s="10"/>
      <c r="I1108" s="22" t="n">
        <v>3</v>
      </c>
      <c r="J1108" s="22"/>
      <c r="K1108" s="23"/>
      <c r="L1108" s="23"/>
      <c r="M1108" s="22"/>
      <c r="N1108" s="22"/>
      <c r="O1108" s="22"/>
      <c r="P1108" s="23"/>
      <c r="Q1108" s="23"/>
      <c r="R1108" s="22"/>
      <c r="S1108" s="22"/>
      <c r="T1108" s="22"/>
      <c r="U1108" s="24"/>
      <c r="V1108" s="15"/>
      <c r="W1108" s="16"/>
      <c r="X1108" s="16"/>
      <c r="Y1108" s="16"/>
    </row>
    <row r="1109" customFormat="false" ht="15.75" hidden="false" customHeight="false" outlineLevel="0" collapsed="false">
      <c r="A1109" s="9"/>
      <c r="B1109" s="10"/>
      <c r="C1109" s="10"/>
      <c r="D1109" s="10"/>
      <c r="E1109" s="10"/>
      <c r="F1109" s="10"/>
      <c r="G1109" s="10"/>
      <c r="H1109" s="10"/>
      <c r="I1109" s="25" t="n">
        <v>4</v>
      </c>
      <c r="J1109" s="25"/>
      <c r="K1109" s="26"/>
      <c r="L1109" s="26"/>
      <c r="M1109" s="25"/>
      <c r="N1109" s="25"/>
      <c r="O1109" s="25"/>
      <c r="P1109" s="26"/>
      <c r="Q1109" s="26"/>
      <c r="R1109" s="25"/>
      <c r="S1109" s="25"/>
      <c r="T1109" s="25"/>
      <c r="U1109" s="27"/>
      <c r="V1109" s="21"/>
      <c r="W1109" s="16"/>
      <c r="X1109" s="16"/>
      <c r="Y1109" s="16"/>
    </row>
    <row r="1110" customFormat="false" ht="15.75" hidden="false" customHeight="false" outlineLevel="0" collapsed="false">
      <c r="A1110" s="9"/>
      <c r="B1110" s="10"/>
      <c r="C1110" s="11"/>
      <c r="D1110" s="10"/>
      <c r="E1110" s="10"/>
      <c r="F1110" s="10"/>
      <c r="G1110" s="10"/>
      <c r="H1110" s="10"/>
      <c r="I1110" s="12" t="n">
        <v>1</v>
      </c>
      <c r="J1110" s="12"/>
      <c r="K1110" s="13"/>
      <c r="L1110" s="13"/>
      <c r="M1110" s="12"/>
      <c r="N1110" s="12"/>
      <c r="O1110" s="12"/>
      <c r="P1110" s="13"/>
      <c r="Q1110" s="13"/>
      <c r="R1110" s="12"/>
      <c r="S1110" s="12"/>
      <c r="T1110" s="12"/>
      <c r="U1110" s="14"/>
      <c r="V1110" s="15"/>
      <c r="W1110" s="16" t="n">
        <f aca="false">A1110</f>
        <v>0</v>
      </c>
      <c r="X1110" s="17" t="e">
        <f aca="false">ifs(C1110="","",X1110="",NOW(),TRUE(),X1110)</f>
        <v>#VALUE!</v>
      </c>
      <c r="Y1110" s="17" t="e">
        <f aca="false">ifs(COUNTA(K1110:U1113)&lt;44,"",Y1110="",NOW(),TRUE(),Y1110)</f>
        <v>#VALUE!</v>
      </c>
    </row>
    <row r="1111" customFormat="false" ht="15.75" hidden="false" customHeight="false" outlineLevel="0" collapsed="false">
      <c r="A1111" s="9"/>
      <c r="B1111" s="10"/>
      <c r="C1111" s="10"/>
      <c r="D1111" s="10"/>
      <c r="E1111" s="10"/>
      <c r="F1111" s="10"/>
      <c r="G1111" s="10"/>
      <c r="H1111" s="10"/>
      <c r="I1111" s="18" t="n">
        <v>2</v>
      </c>
      <c r="J1111" s="18"/>
      <c r="K1111" s="19"/>
      <c r="L1111" s="19"/>
      <c r="M1111" s="18"/>
      <c r="N1111" s="18"/>
      <c r="O1111" s="18"/>
      <c r="P1111" s="19"/>
      <c r="Q1111" s="19"/>
      <c r="R1111" s="18"/>
      <c r="S1111" s="18"/>
      <c r="T1111" s="18"/>
      <c r="U1111" s="20"/>
      <c r="V1111" s="21"/>
      <c r="W1111" s="16"/>
      <c r="X1111" s="16"/>
      <c r="Y1111" s="16"/>
    </row>
    <row r="1112" customFormat="false" ht="15.75" hidden="false" customHeight="false" outlineLevel="0" collapsed="false">
      <c r="A1112" s="9"/>
      <c r="B1112" s="10"/>
      <c r="C1112" s="10"/>
      <c r="D1112" s="10"/>
      <c r="E1112" s="10"/>
      <c r="F1112" s="10"/>
      <c r="G1112" s="10"/>
      <c r="H1112" s="10"/>
      <c r="I1112" s="22" t="n">
        <v>3</v>
      </c>
      <c r="J1112" s="22"/>
      <c r="K1112" s="23"/>
      <c r="L1112" s="23"/>
      <c r="M1112" s="22"/>
      <c r="N1112" s="22"/>
      <c r="O1112" s="22"/>
      <c r="P1112" s="23"/>
      <c r="Q1112" s="23"/>
      <c r="R1112" s="22"/>
      <c r="S1112" s="22"/>
      <c r="T1112" s="22"/>
      <c r="U1112" s="24"/>
      <c r="V1112" s="15"/>
      <c r="W1112" s="16"/>
      <c r="X1112" s="16"/>
      <c r="Y1112" s="16"/>
    </row>
    <row r="1113" customFormat="false" ht="15.75" hidden="false" customHeight="false" outlineLevel="0" collapsed="false">
      <c r="A1113" s="9"/>
      <c r="B1113" s="10"/>
      <c r="C1113" s="10"/>
      <c r="D1113" s="10"/>
      <c r="E1113" s="10"/>
      <c r="F1113" s="10"/>
      <c r="G1113" s="10"/>
      <c r="H1113" s="10"/>
      <c r="I1113" s="25" t="n">
        <v>4</v>
      </c>
      <c r="J1113" s="25"/>
      <c r="K1113" s="26"/>
      <c r="L1113" s="26"/>
      <c r="M1113" s="25"/>
      <c r="N1113" s="25"/>
      <c r="O1113" s="25"/>
      <c r="P1113" s="26"/>
      <c r="Q1113" s="26"/>
      <c r="R1113" s="25"/>
      <c r="S1113" s="25"/>
      <c r="T1113" s="25"/>
      <c r="U1113" s="27"/>
      <c r="V1113" s="21"/>
      <c r="W1113" s="16"/>
      <c r="X1113" s="16"/>
      <c r="Y1113" s="16"/>
    </row>
    <row r="1114" customFormat="false" ht="15.75" hidden="false" customHeight="false" outlineLevel="0" collapsed="false">
      <c r="A1114" s="9"/>
      <c r="B1114" s="10"/>
      <c r="C1114" s="11"/>
      <c r="D1114" s="10"/>
      <c r="E1114" s="10"/>
      <c r="F1114" s="10"/>
      <c r="G1114" s="10"/>
      <c r="H1114" s="10"/>
      <c r="I1114" s="12" t="n">
        <v>1</v>
      </c>
      <c r="J1114" s="12"/>
      <c r="K1114" s="13"/>
      <c r="L1114" s="13"/>
      <c r="M1114" s="12"/>
      <c r="N1114" s="12"/>
      <c r="O1114" s="12"/>
      <c r="P1114" s="13"/>
      <c r="Q1114" s="13"/>
      <c r="R1114" s="12"/>
      <c r="S1114" s="12"/>
      <c r="T1114" s="12"/>
      <c r="U1114" s="14"/>
      <c r="V1114" s="15"/>
      <c r="W1114" s="16" t="n">
        <f aca="false">A1114</f>
        <v>0</v>
      </c>
      <c r="X1114" s="17" t="e">
        <f aca="false">ifs(C1114="","",X1114="",NOW(),TRUE(),X1114)</f>
        <v>#VALUE!</v>
      </c>
      <c r="Y1114" s="17" t="e">
        <f aca="false">ifs(COUNTA(K1114:U1117)&lt;44,"",Y1114="",NOW(),TRUE(),Y1114)</f>
        <v>#VALUE!</v>
      </c>
    </row>
    <row r="1115" customFormat="false" ht="15.75" hidden="false" customHeight="false" outlineLevel="0" collapsed="false">
      <c r="A1115" s="9"/>
      <c r="B1115" s="10"/>
      <c r="C1115" s="10"/>
      <c r="D1115" s="10"/>
      <c r="E1115" s="10"/>
      <c r="F1115" s="10"/>
      <c r="G1115" s="10"/>
      <c r="H1115" s="10"/>
      <c r="I1115" s="18" t="n">
        <v>2</v>
      </c>
      <c r="J1115" s="18"/>
      <c r="K1115" s="19"/>
      <c r="L1115" s="19"/>
      <c r="M1115" s="18"/>
      <c r="N1115" s="18"/>
      <c r="O1115" s="18"/>
      <c r="P1115" s="19"/>
      <c r="Q1115" s="19"/>
      <c r="R1115" s="18"/>
      <c r="S1115" s="18"/>
      <c r="T1115" s="18"/>
      <c r="U1115" s="20"/>
      <c r="V1115" s="21"/>
      <c r="W1115" s="16"/>
      <c r="X1115" s="16"/>
      <c r="Y1115" s="16"/>
    </row>
    <row r="1116" customFormat="false" ht="15.75" hidden="false" customHeight="false" outlineLevel="0" collapsed="false">
      <c r="A1116" s="9"/>
      <c r="B1116" s="10"/>
      <c r="C1116" s="10"/>
      <c r="D1116" s="10"/>
      <c r="E1116" s="10"/>
      <c r="F1116" s="10"/>
      <c r="G1116" s="10"/>
      <c r="H1116" s="10"/>
      <c r="I1116" s="22" t="n">
        <v>3</v>
      </c>
      <c r="J1116" s="22"/>
      <c r="K1116" s="23"/>
      <c r="L1116" s="23"/>
      <c r="M1116" s="22"/>
      <c r="N1116" s="22"/>
      <c r="O1116" s="22"/>
      <c r="P1116" s="23"/>
      <c r="Q1116" s="23"/>
      <c r="R1116" s="22"/>
      <c r="S1116" s="22"/>
      <c r="T1116" s="22"/>
      <c r="U1116" s="24"/>
      <c r="V1116" s="15"/>
      <c r="W1116" s="16"/>
      <c r="X1116" s="16"/>
      <c r="Y1116" s="16"/>
    </row>
    <row r="1117" customFormat="false" ht="15.75" hidden="false" customHeight="false" outlineLevel="0" collapsed="false">
      <c r="A1117" s="9"/>
      <c r="B1117" s="10"/>
      <c r="C1117" s="10"/>
      <c r="D1117" s="10"/>
      <c r="E1117" s="10"/>
      <c r="F1117" s="10"/>
      <c r="G1117" s="10"/>
      <c r="H1117" s="10"/>
      <c r="I1117" s="25" t="n">
        <v>4</v>
      </c>
      <c r="J1117" s="25"/>
      <c r="K1117" s="26"/>
      <c r="L1117" s="26"/>
      <c r="M1117" s="25"/>
      <c r="N1117" s="25"/>
      <c r="O1117" s="25"/>
      <c r="P1117" s="26"/>
      <c r="Q1117" s="26"/>
      <c r="R1117" s="25"/>
      <c r="S1117" s="25"/>
      <c r="T1117" s="25"/>
      <c r="U1117" s="27"/>
      <c r="V1117" s="21"/>
      <c r="W1117" s="16"/>
      <c r="X1117" s="16"/>
      <c r="Y1117" s="16"/>
    </row>
    <row r="1118" customFormat="false" ht="15.75" hidden="false" customHeight="false" outlineLevel="0" collapsed="false">
      <c r="A1118" s="9"/>
      <c r="B1118" s="10"/>
      <c r="C1118" s="11"/>
      <c r="D1118" s="10"/>
      <c r="E1118" s="10"/>
      <c r="F1118" s="10"/>
      <c r="G1118" s="10"/>
      <c r="H1118" s="10"/>
      <c r="I1118" s="12" t="n">
        <v>1</v>
      </c>
      <c r="J1118" s="12"/>
      <c r="K1118" s="13"/>
      <c r="L1118" s="13"/>
      <c r="M1118" s="12"/>
      <c r="N1118" s="12"/>
      <c r="O1118" s="12"/>
      <c r="P1118" s="13"/>
      <c r="Q1118" s="13"/>
      <c r="R1118" s="12"/>
      <c r="S1118" s="12"/>
      <c r="T1118" s="12"/>
      <c r="U1118" s="14"/>
      <c r="V1118" s="15"/>
      <c r="W1118" s="16" t="n">
        <f aca="false">A1118</f>
        <v>0</v>
      </c>
      <c r="X1118" s="17" t="e">
        <f aca="false">ifs(C1118="","",X1118="",NOW(),TRUE(),X1118)</f>
        <v>#VALUE!</v>
      </c>
      <c r="Y1118" s="17" t="e">
        <f aca="false">ifs(COUNTA(K1118:U1121)&lt;44,"",Y1118="",NOW(),TRUE(),Y1118)</f>
        <v>#VALUE!</v>
      </c>
    </row>
    <row r="1119" customFormat="false" ht="15.75" hidden="false" customHeight="false" outlineLevel="0" collapsed="false">
      <c r="A1119" s="9"/>
      <c r="B1119" s="10"/>
      <c r="C1119" s="10"/>
      <c r="D1119" s="10"/>
      <c r="E1119" s="10"/>
      <c r="F1119" s="10"/>
      <c r="G1119" s="10"/>
      <c r="H1119" s="10"/>
      <c r="I1119" s="18" t="n">
        <v>2</v>
      </c>
      <c r="J1119" s="18"/>
      <c r="K1119" s="19"/>
      <c r="L1119" s="19"/>
      <c r="M1119" s="18"/>
      <c r="N1119" s="18"/>
      <c r="O1119" s="18"/>
      <c r="P1119" s="19"/>
      <c r="Q1119" s="19"/>
      <c r="R1119" s="18"/>
      <c r="S1119" s="18"/>
      <c r="T1119" s="18"/>
      <c r="U1119" s="20"/>
      <c r="V1119" s="21"/>
      <c r="W1119" s="16"/>
      <c r="X1119" s="16"/>
      <c r="Y1119" s="16"/>
    </row>
    <row r="1120" customFormat="false" ht="15.75" hidden="false" customHeight="false" outlineLevel="0" collapsed="false">
      <c r="A1120" s="9"/>
      <c r="B1120" s="10"/>
      <c r="C1120" s="10"/>
      <c r="D1120" s="10"/>
      <c r="E1120" s="10"/>
      <c r="F1120" s="10"/>
      <c r="G1120" s="10"/>
      <c r="H1120" s="10"/>
      <c r="I1120" s="22" t="n">
        <v>3</v>
      </c>
      <c r="J1120" s="22"/>
      <c r="K1120" s="23"/>
      <c r="L1120" s="23"/>
      <c r="M1120" s="22"/>
      <c r="N1120" s="22"/>
      <c r="O1120" s="22"/>
      <c r="P1120" s="23"/>
      <c r="Q1120" s="23"/>
      <c r="R1120" s="22"/>
      <c r="S1120" s="22"/>
      <c r="T1120" s="22"/>
      <c r="U1120" s="24"/>
      <c r="V1120" s="15"/>
      <c r="W1120" s="16"/>
      <c r="X1120" s="16"/>
      <c r="Y1120" s="16"/>
    </row>
    <row r="1121" customFormat="false" ht="15.75" hidden="false" customHeight="false" outlineLevel="0" collapsed="false">
      <c r="A1121" s="9"/>
      <c r="B1121" s="10"/>
      <c r="C1121" s="10"/>
      <c r="D1121" s="10"/>
      <c r="E1121" s="10"/>
      <c r="F1121" s="10"/>
      <c r="G1121" s="10"/>
      <c r="H1121" s="10"/>
      <c r="I1121" s="25" t="n">
        <v>4</v>
      </c>
      <c r="J1121" s="25"/>
      <c r="K1121" s="26"/>
      <c r="L1121" s="26"/>
      <c r="M1121" s="25"/>
      <c r="N1121" s="25"/>
      <c r="O1121" s="25"/>
      <c r="P1121" s="26"/>
      <c r="Q1121" s="26"/>
      <c r="R1121" s="25"/>
      <c r="S1121" s="25"/>
      <c r="T1121" s="25"/>
      <c r="U1121" s="27"/>
      <c r="V1121" s="21"/>
      <c r="W1121" s="16"/>
      <c r="X1121" s="16"/>
      <c r="Y1121" s="16"/>
    </row>
    <row r="1122" customFormat="false" ht="15.75" hidden="false" customHeight="false" outlineLevel="0" collapsed="false">
      <c r="A1122" s="9"/>
      <c r="B1122" s="10"/>
      <c r="C1122" s="11"/>
      <c r="D1122" s="10"/>
      <c r="E1122" s="10"/>
      <c r="F1122" s="10"/>
      <c r="G1122" s="10"/>
      <c r="H1122" s="10"/>
      <c r="I1122" s="12" t="n">
        <v>1</v>
      </c>
      <c r="J1122" s="12"/>
      <c r="K1122" s="13"/>
      <c r="L1122" s="13"/>
      <c r="M1122" s="12"/>
      <c r="N1122" s="12"/>
      <c r="O1122" s="12"/>
      <c r="P1122" s="13"/>
      <c r="Q1122" s="13"/>
      <c r="R1122" s="12"/>
      <c r="S1122" s="12"/>
      <c r="T1122" s="12"/>
      <c r="U1122" s="14"/>
      <c r="V1122" s="15"/>
      <c r="W1122" s="16" t="n">
        <f aca="false">A1122</f>
        <v>0</v>
      </c>
      <c r="X1122" s="17" t="e">
        <f aca="false">ifs(C1122="","",X1122="",NOW(),TRUE(),X1122)</f>
        <v>#VALUE!</v>
      </c>
      <c r="Y1122" s="17" t="e">
        <f aca="false">ifs(COUNTA(K1122:U1125)&lt;44,"",Y1122="",NOW(),TRUE(),Y1122)</f>
        <v>#VALUE!</v>
      </c>
    </row>
    <row r="1123" customFormat="false" ht="15.75" hidden="false" customHeight="false" outlineLevel="0" collapsed="false">
      <c r="A1123" s="9"/>
      <c r="B1123" s="10"/>
      <c r="C1123" s="10"/>
      <c r="D1123" s="10"/>
      <c r="E1123" s="10"/>
      <c r="F1123" s="10"/>
      <c r="G1123" s="10"/>
      <c r="H1123" s="10"/>
      <c r="I1123" s="18" t="n">
        <v>2</v>
      </c>
      <c r="J1123" s="18"/>
      <c r="K1123" s="19"/>
      <c r="L1123" s="19"/>
      <c r="M1123" s="18"/>
      <c r="N1123" s="18"/>
      <c r="O1123" s="18"/>
      <c r="P1123" s="19"/>
      <c r="Q1123" s="19"/>
      <c r="R1123" s="18"/>
      <c r="S1123" s="18"/>
      <c r="T1123" s="18"/>
      <c r="U1123" s="20"/>
      <c r="V1123" s="21"/>
      <c r="W1123" s="16"/>
      <c r="X1123" s="16"/>
      <c r="Y1123" s="16"/>
    </row>
    <row r="1124" customFormat="false" ht="15.75" hidden="false" customHeight="false" outlineLevel="0" collapsed="false">
      <c r="A1124" s="9"/>
      <c r="B1124" s="10"/>
      <c r="C1124" s="10"/>
      <c r="D1124" s="10"/>
      <c r="E1124" s="10"/>
      <c r="F1124" s="10"/>
      <c r="G1124" s="10"/>
      <c r="H1124" s="10"/>
      <c r="I1124" s="22" t="n">
        <v>3</v>
      </c>
      <c r="J1124" s="22"/>
      <c r="K1124" s="23"/>
      <c r="L1124" s="23"/>
      <c r="M1124" s="22"/>
      <c r="N1124" s="22"/>
      <c r="O1124" s="22"/>
      <c r="P1124" s="23"/>
      <c r="Q1124" s="23"/>
      <c r="R1124" s="22"/>
      <c r="S1124" s="22"/>
      <c r="T1124" s="22"/>
      <c r="U1124" s="24"/>
      <c r="V1124" s="15"/>
      <c r="W1124" s="16"/>
      <c r="X1124" s="16"/>
      <c r="Y1124" s="16"/>
    </row>
    <row r="1125" customFormat="false" ht="15.75" hidden="false" customHeight="false" outlineLevel="0" collapsed="false">
      <c r="A1125" s="9"/>
      <c r="B1125" s="10"/>
      <c r="C1125" s="10"/>
      <c r="D1125" s="10"/>
      <c r="E1125" s="10"/>
      <c r="F1125" s="10"/>
      <c r="G1125" s="10"/>
      <c r="H1125" s="10"/>
      <c r="I1125" s="25" t="n">
        <v>4</v>
      </c>
      <c r="J1125" s="25"/>
      <c r="K1125" s="26"/>
      <c r="L1125" s="26"/>
      <c r="M1125" s="25"/>
      <c r="N1125" s="25"/>
      <c r="O1125" s="25"/>
      <c r="P1125" s="26"/>
      <c r="Q1125" s="26"/>
      <c r="R1125" s="25"/>
      <c r="S1125" s="25"/>
      <c r="T1125" s="25"/>
      <c r="U1125" s="27"/>
      <c r="V1125" s="21"/>
      <c r="W1125" s="16"/>
      <c r="X1125" s="16"/>
      <c r="Y1125" s="16"/>
    </row>
    <row r="1126" customFormat="false" ht="15.75" hidden="false" customHeight="false" outlineLevel="0" collapsed="false">
      <c r="A1126" s="9"/>
      <c r="B1126" s="10"/>
      <c r="C1126" s="11"/>
      <c r="D1126" s="10"/>
      <c r="E1126" s="10"/>
      <c r="F1126" s="10"/>
      <c r="G1126" s="10"/>
      <c r="H1126" s="10"/>
      <c r="I1126" s="12" t="n">
        <v>1</v>
      </c>
      <c r="J1126" s="12"/>
      <c r="K1126" s="13"/>
      <c r="L1126" s="13"/>
      <c r="M1126" s="12"/>
      <c r="N1126" s="12"/>
      <c r="O1126" s="12"/>
      <c r="P1126" s="13"/>
      <c r="Q1126" s="13"/>
      <c r="R1126" s="12"/>
      <c r="S1126" s="12"/>
      <c r="T1126" s="12"/>
      <c r="U1126" s="14"/>
      <c r="V1126" s="15"/>
      <c r="W1126" s="16" t="n">
        <f aca="false">A1126</f>
        <v>0</v>
      </c>
      <c r="X1126" s="17" t="e">
        <f aca="false">ifs(C1126="","",X1126="",NOW(),TRUE(),X1126)</f>
        <v>#VALUE!</v>
      </c>
      <c r="Y1126" s="17" t="e">
        <f aca="false">ifs(COUNTA(K1126:U1129)&lt;44,"",Y1126="",NOW(),TRUE(),Y1126)</f>
        <v>#VALUE!</v>
      </c>
    </row>
    <row r="1127" customFormat="false" ht="15.75" hidden="false" customHeight="false" outlineLevel="0" collapsed="false">
      <c r="A1127" s="9"/>
      <c r="B1127" s="10"/>
      <c r="C1127" s="10"/>
      <c r="D1127" s="10"/>
      <c r="E1127" s="10"/>
      <c r="F1127" s="10"/>
      <c r="G1127" s="10"/>
      <c r="H1127" s="10"/>
      <c r="I1127" s="18" t="n">
        <v>2</v>
      </c>
      <c r="J1127" s="18"/>
      <c r="K1127" s="19"/>
      <c r="L1127" s="19"/>
      <c r="M1127" s="18"/>
      <c r="N1127" s="18"/>
      <c r="O1127" s="18"/>
      <c r="P1127" s="19"/>
      <c r="Q1127" s="19"/>
      <c r="R1127" s="18"/>
      <c r="S1127" s="18"/>
      <c r="T1127" s="18"/>
      <c r="U1127" s="20"/>
      <c r="V1127" s="21"/>
      <c r="W1127" s="16"/>
      <c r="X1127" s="16"/>
      <c r="Y1127" s="16"/>
    </row>
    <row r="1128" customFormat="false" ht="15.75" hidden="false" customHeight="false" outlineLevel="0" collapsed="false">
      <c r="A1128" s="9"/>
      <c r="B1128" s="10"/>
      <c r="C1128" s="10"/>
      <c r="D1128" s="10"/>
      <c r="E1128" s="10"/>
      <c r="F1128" s="10"/>
      <c r="G1128" s="10"/>
      <c r="H1128" s="10"/>
      <c r="I1128" s="22" t="n">
        <v>3</v>
      </c>
      <c r="J1128" s="22"/>
      <c r="K1128" s="23"/>
      <c r="L1128" s="23"/>
      <c r="M1128" s="22"/>
      <c r="N1128" s="22"/>
      <c r="O1128" s="22"/>
      <c r="P1128" s="23"/>
      <c r="Q1128" s="23"/>
      <c r="R1128" s="22"/>
      <c r="S1128" s="22"/>
      <c r="T1128" s="22"/>
      <c r="U1128" s="24"/>
      <c r="V1128" s="15"/>
      <c r="W1128" s="16"/>
      <c r="X1128" s="16"/>
      <c r="Y1128" s="16"/>
    </row>
    <row r="1129" customFormat="false" ht="15.75" hidden="false" customHeight="false" outlineLevel="0" collapsed="false">
      <c r="A1129" s="9"/>
      <c r="B1129" s="10"/>
      <c r="C1129" s="10"/>
      <c r="D1129" s="10"/>
      <c r="E1129" s="10"/>
      <c r="F1129" s="10"/>
      <c r="G1129" s="10"/>
      <c r="H1129" s="10"/>
      <c r="I1129" s="25" t="n">
        <v>4</v>
      </c>
      <c r="J1129" s="25"/>
      <c r="K1129" s="26"/>
      <c r="L1129" s="26"/>
      <c r="M1129" s="25"/>
      <c r="N1129" s="25"/>
      <c r="O1129" s="25"/>
      <c r="P1129" s="26"/>
      <c r="Q1129" s="26"/>
      <c r="R1129" s="25"/>
      <c r="S1129" s="25"/>
      <c r="T1129" s="25"/>
      <c r="U1129" s="27"/>
      <c r="V1129" s="21"/>
      <c r="W1129" s="16"/>
      <c r="X1129" s="16"/>
      <c r="Y1129" s="16"/>
    </row>
    <row r="1130" customFormat="false" ht="15.75" hidden="false" customHeight="false" outlineLevel="0" collapsed="false">
      <c r="A1130" s="9"/>
      <c r="B1130" s="10"/>
      <c r="C1130" s="11"/>
      <c r="D1130" s="10"/>
      <c r="E1130" s="10"/>
      <c r="F1130" s="10"/>
      <c r="G1130" s="10"/>
      <c r="H1130" s="10"/>
      <c r="I1130" s="12" t="n">
        <v>1</v>
      </c>
      <c r="J1130" s="12"/>
      <c r="K1130" s="13"/>
      <c r="L1130" s="13"/>
      <c r="M1130" s="12"/>
      <c r="N1130" s="12"/>
      <c r="O1130" s="12"/>
      <c r="P1130" s="13"/>
      <c r="Q1130" s="13"/>
      <c r="R1130" s="12"/>
      <c r="S1130" s="12"/>
      <c r="T1130" s="12"/>
      <c r="U1130" s="14"/>
      <c r="V1130" s="15"/>
      <c r="W1130" s="16" t="n">
        <f aca="false">A1130</f>
        <v>0</v>
      </c>
      <c r="X1130" s="17" t="e">
        <f aca="false">ifs(C1130="","",X1130="",NOW(),TRUE(),X1130)</f>
        <v>#VALUE!</v>
      </c>
      <c r="Y1130" s="17" t="e">
        <f aca="false">ifs(COUNTA(K1130:U1133)&lt;44,"",Y1130="",NOW(),TRUE(),Y1130)</f>
        <v>#VALUE!</v>
      </c>
    </row>
    <row r="1131" customFormat="false" ht="15.75" hidden="false" customHeight="false" outlineLevel="0" collapsed="false">
      <c r="A1131" s="9"/>
      <c r="B1131" s="10"/>
      <c r="C1131" s="10"/>
      <c r="D1131" s="10"/>
      <c r="E1131" s="10"/>
      <c r="F1131" s="10"/>
      <c r="G1131" s="10"/>
      <c r="H1131" s="10"/>
      <c r="I1131" s="18" t="n">
        <v>2</v>
      </c>
      <c r="J1131" s="18"/>
      <c r="K1131" s="19"/>
      <c r="L1131" s="19"/>
      <c r="M1131" s="18"/>
      <c r="N1131" s="18"/>
      <c r="O1131" s="18"/>
      <c r="P1131" s="19"/>
      <c r="Q1131" s="19"/>
      <c r="R1131" s="18"/>
      <c r="S1131" s="18"/>
      <c r="T1131" s="18"/>
      <c r="U1131" s="20"/>
      <c r="V1131" s="21"/>
      <c r="W1131" s="16"/>
      <c r="X1131" s="16"/>
      <c r="Y1131" s="16"/>
    </row>
    <row r="1132" customFormat="false" ht="15.75" hidden="false" customHeight="false" outlineLevel="0" collapsed="false">
      <c r="A1132" s="9"/>
      <c r="B1132" s="10"/>
      <c r="C1132" s="10"/>
      <c r="D1132" s="10"/>
      <c r="E1132" s="10"/>
      <c r="F1132" s="10"/>
      <c r="G1132" s="10"/>
      <c r="H1132" s="10"/>
      <c r="I1132" s="22" t="n">
        <v>3</v>
      </c>
      <c r="J1132" s="22"/>
      <c r="K1132" s="23"/>
      <c r="L1132" s="23"/>
      <c r="M1132" s="22"/>
      <c r="N1132" s="22"/>
      <c r="O1132" s="22"/>
      <c r="P1132" s="23"/>
      <c r="Q1132" s="23"/>
      <c r="R1132" s="22"/>
      <c r="S1132" s="22"/>
      <c r="T1132" s="22"/>
      <c r="U1132" s="24"/>
      <c r="V1132" s="15"/>
      <c r="W1132" s="16"/>
      <c r="X1132" s="16"/>
      <c r="Y1132" s="16"/>
    </row>
    <row r="1133" customFormat="false" ht="15.75" hidden="false" customHeight="false" outlineLevel="0" collapsed="false">
      <c r="A1133" s="9"/>
      <c r="B1133" s="10"/>
      <c r="C1133" s="10"/>
      <c r="D1133" s="10"/>
      <c r="E1133" s="10"/>
      <c r="F1133" s="10"/>
      <c r="G1133" s="10"/>
      <c r="H1133" s="10"/>
      <c r="I1133" s="25" t="n">
        <v>4</v>
      </c>
      <c r="J1133" s="25"/>
      <c r="K1133" s="26"/>
      <c r="L1133" s="26"/>
      <c r="M1133" s="25"/>
      <c r="N1133" s="25"/>
      <c r="O1133" s="25"/>
      <c r="P1133" s="26"/>
      <c r="Q1133" s="26"/>
      <c r="R1133" s="25"/>
      <c r="S1133" s="25"/>
      <c r="T1133" s="25"/>
      <c r="U1133" s="27"/>
      <c r="V1133" s="21"/>
      <c r="W1133" s="16"/>
      <c r="X1133" s="16"/>
      <c r="Y1133" s="16"/>
    </row>
    <row r="1134" customFormat="false" ht="15.75" hidden="false" customHeight="false" outlineLevel="0" collapsed="false">
      <c r="A1134" s="9"/>
      <c r="B1134" s="10"/>
      <c r="C1134" s="11"/>
      <c r="D1134" s="10"/>
      <c r="E1134" s="10"/>
      <c r="F1134" s="10"/>
      <c r="G1134" s="10"/>
      <c r="H1134" s="10"/>
      <c r="I1134" s="12" t="n">
        <v>1</v>
      </c>
      <c r="J1134" s="12"/>
      <c r="K1134" s="13"/>
      <c r="L1134" s="13"/>
      <c r="M1134" s="12"/>
      <c r="N1134" s="12"/>
      <c r="O1134" s="12"/>
      <c r="P1134" s="13"/>
      <c r="Q1134" s="13"/>
      <c r="R1134" s="12"/>
      <c r="S1134" s="12"/>
      <c r="T1134" s="12"/>
      <c r="U1134" s="14"/>
      <c r="V1134" s="15"/>
      <c r="W1134" s="16" t="n">
        <f aca="false">A1134</f>
        <v>0</v>
      </c>
      <c r="X1134" s="17" t="e">
        <f aca="false">ifs(C1134="","",X1134="",NOW(),TRUE(),X1134)</f>
        <v>#VALUE!</v>
      </c>
      <c r="Y1134" s="17" t="e">
        <f aca="false">ifs(COUNTA(K1134:U1137)&lt;44,"",Y1134="",NOW(),TRUE(),Y1134)</f>
        <v>#VALUE!</v>
      </c>
    </row>
    <row r="1135" customFormat="false" ht="15.75" hidden="false" customHeight="false" outlineLevel="0" collapsed="false">
      <c r="A1135" s="9"/>
      <c r="B1135" s="10"/>
      <c r="C1135" s="10"/>
      <c r="D1135" s="10"/>
      <c r="E1135" s="10"/>
      <c r="F1135" s="10"/>
      <c r="G1135" s="10"/>
      <c r="H1135" s="10"/>
      <c r="I1135" s="18" t="n">
        <v>2</v>
      </c>
      <c r="J1135" s="18"/>
      <c r="K1135" s="19"/>
      <c r="L1135" s="19"/>
      <c r="M1135" s="18"/>
      <c r="N1135" s="18"/>
      <c r="O1135" s="18"/>
      <c r="P1135" s="19"/>
      <c r="Q1135" s="19"/>
      <c r="R1135" s="18"/>
      <c r="S1135" s="18"/>
      <c r="T1135" s="18"/>
      <c r="U1135" s="20"/>
      <c r="V1135" s="21"/>
      <c r="W1135" s="16"/>
      <c r="X1135" s="16"/>
      <c r="Y1135" s="16"/>
    </row>
    <row r="1136" customFormat="false" ht="15.75" hidden="false" customHeight="false" outlineLevel="0" collapsed="false">
      <c r="A1136" s="9"/>
      <c r="B1136" s="10"/>
      <c r="C1136" s="10"/>
      <c r="D1136" s="10"/>
      <c r="E1136" s="10"/>
      <c r="F1136" s="10"/>
      <c r="G1136" s="10"/>
      <c r="H1136" s="10"/>
      <c r="I1136" s="22" t="n">
        <v>3</v>
      </c>
      <c r="J1136" s="22"/>
      <c r="K1136" s="23"/>
      <c r="L1136" s="23"/>
      <c r="M1136" s="22"/>
      <c r="N1136" s="22"/>
      <c r="O1136" s="22"/>
      <c r="P1136" s="23"/>
      <c r="Q1136" s="23"/>
      <c r="R1136" s="22"/>
      <c r="S1136" s="22"/>
      <c r="T1136" s="22"/>
      <c r="U1136" s="24"/>
      <c r="V1136" s="15"/>
      <c r="W1136" s="16"/>
      <c r="X1136" s="16"/>
      <c r="Y1136" s="16"/>
    </row>
    <row r="1137" customFormat="false" ht="15.75" hidden="false" customHeight="false" outlineLevel="0" collapsed="false">
      <c r="A1137" s="9"/>
      <c r="B1137" s="10"/>
      <c r="C1137" s="10"/>
      <c r="D1137" s="10"/>
      <c r="E1137" s="10"/>
      <c r="F1137" s="10"/>
      <c r="G1137" s="10"/>
      <c r="H1137" s="10"/>
      <c r="I1137" s="25" t="n">
        <v>4</v>
      </c>
      <c r="J1137" s="25"/>
      <c r="K1137" s="26"/>
      <c r="L1137" s="26"/>
      <c r="M1137" s="25"/>
      <c r="N1137" s="25"/>
      <c r="O1137" s="25"/>
      <c r="P1137" s="26"/>
      <c r="Q1137" s="26"/>
      <c r="R1137" s="25"/>
      <c r="S1137" s="25"/>
      <c r="T1137" s="25"/>
      <c r="U1137" s="27"/>
      <c r="V1137" s="21"/>
      <c r="W1137" s="16"/>
      <c r="X1137" s="16"/>
      <c r="Y1137" s="16"/>
    </row>
    <row r="1138" customFormat="false" ht="15.75" hidden="false" customHeight="false" outlineLevel="0" collapsed="false">
      <c r="A1138" s="9"/>
      <c r="B1138" s="10"/>
      <c r="C1138" s="11"/>
      <c r="D1138" s="10"/>
      <c r="E1138" s="10"/>
      <c r="F1138" s="10"/>
      <c r="G1138" s="10"/>
      <c r="H1138" s="10"/>
      <c r="I1138" s="12" t="n">
        <v>1</v>
      </c>
      <c r="J1138" s="12"/>
      <c r="K1138" s="13"/>
      <c r="L1138" s="13"/>
      <c r="M1138" s="12"/>
      <c r="N1138" s="12"/>
      <c r="O1138" s="12"/>
      <c r="P1138" s="13"/>
      <c r="Q1138" s="13"/>
      <c r="R1138" s="12"/>
      <c r="S1138" s="12"/>
      <c r="T1138" s="12"/>
      <c r="U1138" s="14"/>
      <c r="V1138" s="15"/>
      <c r="W1138" s="16" t="n">
        <f aca="false">A1138</f>
        <v>0</v>
      </c>
      <c r="X1138" s="17" t="e">
        <f aca="false">ifs(C1138="","",X1138="",NOW(),TRUE(),X1138)</f>
        <v>#VALUE!</v>
      </c>
      <c r="Y1138" s="17" t="e">
        <f aca="false">ifs(COUNTA(K1138:U1141)&lt;44,"",Y1138="",NOW(),TRUE(),Y1138)</f>
        <v>#VALUE!</v>
      </c>
    </row>
    <row r="1139" customFormat="false" ht="15.75" hidden="false" customHeight="false" outlineLevel="0" collapsed="false">
      <c r="A1139" s="9"/>
      <c r="B1139" s="10"/>
      <c r="C1139" s="10"/>
      <c r="D1139" s="10"/>
      <c r="E1139" s="10"/>
      <c r="F1139" s="10"/>
      <c r="G1139" s="10"/>
      <c r="H1139" s="10"/>
      <c r="I1139" s="18" t="n">
        <v>2</v>
      </c>
      <c r="J1139" s="18"/>
      <c r="K1139" s="19"/>
      <c r="L1139" s="19"/>
      <c r="M1139" s="18"/>
      <c r="N1139" s="18"/>
      <c r="O1139" s="18"/>
      <c r="P1139" s="19"/>
      <c r="Q1139" s="19"/>
      <c r="R1139" s="18"/>
      <c r="S1139" s="18"/>
      <c r="T1139" s="18"/>
      <c r="U1139" s="20"/>
      <c r="V1139" s="21"/>
      <c r="W1139" s="16"/>
      <c r="X1139" s="16"/>
      <c r="Y1139" s="16"/>
    </row>
    <row r="1140" customFormat="false" ht="15.75" hidden="false" customHeight="false" outlineLevel="0" collapsed="false">
      <c r="A1140" s="9"/>
      <c r="B1140" s="10"/>
      <c r="C1140" s="10"/>
      <c r="D1140" s="10"/>
      <c r="E1140" s="10"/>
      <c r="F1140" s="10"/>
      <c r="G1140" s="10"/>
      <c r="H1140" s="10"/>
      <c r="I1140" s="22" t="n">
        <v>3</v>
      </c>
      <c r="J1140" s="22"/>
      <c r="K1140" s="23"/>
      <c r="L1140" s="23"/>
      <c r="M1140" s="22"/>
      <c r="N1140" s="22"/>
      <c r="O1140" s="22"/>
      <c r="P1140" s="23"/>
      <c r="Q1140" s="23"/>
      <c r="R1140" s="22"/>
      <c r="S1140" s="22"/>
      <c r="T1140" s="22"/>
      <c r="U1140" s="24"/>
      <c r="V1140" s="15"/>
      <c r="W1140" s="16"/>
      <c r="X1140" s="16"/>
      <c r="Y1140" s="16"/>
    </row>
    <row r="1141" customFormat="false" ht="15.75" hidden="false" customHeight="false" outlineLevel="0" collapsed="false">
      <c r="A1141" s="9"/>
      <c r="B1141" s="10"/>
      <c r="C1141" s="10"/>
      <c r="D1141" s="10"/>
      <c r="E1141" s="10"/>
      <c r="F1141" s="10"/>
      <c r="G1141" s="10"/>
      <c r="H1141" s="10"/>
      <c r="I1141" s="25" t="n">
        <v>4</v>
      </c>
      <c r="J1141" s="25"/>
      <c r="K1141" s="26"/>
      <c r="L1141" s="26"/>
      <c r="M1141" s="25"/>
      <c r="N1141" s="25"/>
      <c r="O1141" s="25"/>
      <c r="P1141" s="26"/>
      <c r="Q1141" s="26"/>
      <c r="R1141" s="25"/>
      <c r="S1141" s="25"/>
      <c r="T1141" s="25"/>
      <c r="U1141" s="27"/>
      <c r="V1141" s="21"/>
      <c r="W1141" s="16"/>
      <c r="X1141" s="16"/>
      <c r="Y1141" s="16"/>
    </row>
    <row r="1142" customFormat="false" ht="15.75" hidden="false" customHeight="false" outlineLevel="0" collapsed="false">
      <c r="A1142" s="9"/>
      <c r="B1142" s="10"/>
      <c r="C1142" s="11"/>
      <c r="D1142" s="10"/>
      <c r="E1142" s="10"/>
      <c r="F1142" s="10"/>
      <c r="G1142" s="10"/>
      <c r="H1142" s="10"/>
      <c r="I1142" s="12" t="n">
        <v>1</v>
      </c>
      <c r="J1142" s="12"/>
      <c r="K1142" s="13"/>
      <c r="L1142" s="13"/>
      <c r="M1142" s="12"/>
      <c r="N1142" s="12"/>
      <c r="O1142" s="12"/>
      <c r="P1142" s="13"/>
      <c r="Q1142" s="13"/>
      <c r="R1142" s="12"/>
      <c r="S1142" s="12"/>
      <c r="T1142" s="12"/>
      <c r="U1142" s="14"/>
      <c r="V1142" s="15"/>
      <c r="W1142" s="16" t="n">
        <f aca="false">A1142</f>
        <v>0</v>
      </c>
      <c r="X1142" s="17" t="e">
        <f aca="false">ifs(C1142="","",X1142="",NOW(),TRUE(),X1142)</f>
        <v>#VALUE!</v>
      </c>
      <c r="Y1142" s="17" t="e">
        <f aca="false">ifs(COUNTA(K1142:U1145)&lt;44,"",Y1142="",NOW(),TRUE(),Y1142)</f>
        <v>#VALUE!</v>
      </c>
    </row>
    <row r="1143" customFormat="false" ht="15.75" hidden="false" customHeight="false" outlineLevel="0" collapsed="false">
      <c r="A1143" s="9"/>
      <c r="B1143" s="10"/>
      <c r="C1143" s="10"/>
      <c r="D1143" s="10"/>
      <c r="E1143" s="10"/>
      <c r="F1143" s="10"/>
      <c r="G1143" s="10"/>
      <c r="H1143" s="10"/>
      <c r="I1143" s="18" t="n">
        <v>2</v>
      </c>
      <c r="J1143" s="18"/>
      <c r="K1143" s="19"/>
      <c r="L1143" s="19"/>
      <c r="M1143" s="18"/>
      <c r="N1143" s="18"/>
      <c r="O1143" s="18"/>
      <c r="P1143" s="19"/>
      <c r="Q1143" s="19"/>
      <c r="R1143" s="18"/>
      <c r="S1143" s="18"/>
      <c r="T1143" s="18"/>
      <c r="U1143" s="20"/>
      <c r="V1143" s="21"/>
      <c r="W1143" s="16"/>
      <c r="X1143" s="16"/>
      <c r="Y1143" s="16"/>
    </row>
    <row r="1144" customFormat="false" ht="15.75" hidden="false" customHeight="false" outlineLevel="0" collapsed="false">
      <c r="A1144" s="9"/>
      <c r="B1144" s="10"/>
      <c r="C1144" s="10"/>
      <c r="D1144" s="10"/>
      <c r="E1144" s="10"/>
      <c r="F1144" s="10"/>
      <c r="G1144" s="10"/>
      <c r="H1144" s="10"/>
      <c r="I1144" s="22" t="n">
        <v>3</v>
      </c>
      <c r="J1144" s="22"/>
      <c r="K1144" s="23"/>
      <c r="L1144" s="23"/>
      <c r="M1144" s="22"/>
      <c r="N1144" s="22"/>
      <c r="O1144" s="22"/>
      <c r="P1144" s="23"/>
      <c r="Q1144" s="23"/>
      <c r="R1144" s="22"/>
      <c r="S1144" s="22"/>
      <c r="T1144" s="22"/>
      <c r="U1144" s="24"/>
      <c r="V1144" s="15"/>
      <c r="W1144" s="16"/>
      <c r="X1144" s="16"/>
      <c r="Y1144" s="16"/>
    </row>
    <row r="1145" customFormat="false" ht="15.75" hidden="false" customHeight="false" outlineLevel="0" collapsed="false">
      <c r="A1145" s="9"/>
      <c r="B1145" s="10"/>
      <c r="C1145" s="10"/>
      <c r="D1145" s="10"/>
      <c r="E1145" s="10"/>
      <c r="F1145" s="10"/>
      <c r="G1145" s="10"/>
      <c r="H1145" s="10"/>
      <c r="I1145" s="25" t="n">
        <v>4</v>
      </c>
      <c r="J1145" s="25"/>
      <c r="K1145" s="26"/>
      <c r="L1145" s="26"/>
      <c r="M1145" s="25"/>
      <c r="N1145" s="25"/>
      <c r="O1145" s="25"/>
      <c r="P1145" s="26"/>
      <c r="Q1145" s="26"/>
      <c r="R1145" s="25"/>
      <c r="S1145" s="25"/>
      <c r="T1145" s="25"/>
      <c r="U1145" s="27"/>
      <c r="V1145" s="21"/>
      <c r="W1145" s="16"/>
      <c r="X1145" s="16"/>
      <c r="Y1145" s="16"/>
    </row>
    <row r="1146" customFormat="false" ht="15.75" hidden="false" customHeight="false" outlineLevel="0" collapsed="false">
      <c r="A1146" s="9"/>
      <c r="B1146" s="10"/>
      <c r="C1146" s="11"/>
      <c r="D1146" s="10"/>
      <c r="E1146" s="10"/>
      <c r="F1146" s="10"/>
      <c r="G1146" s="10"/>
      <c r="H1146" s="10"/>
      <c r="I1146" s="12" t="n">
        <v>1</v>
      </c>
      <c r="J1146" s="12"/>
      <c r="K1146" s="13"/>
      <c r="L1146" s="13"/>
      <c r="M1146" s="12"/>
      <c r="N1146" s="12"/>
      <c r="O1146" s="12"/>
      <c r="P1146" s="13"/>
      <c r="Q1146" s="13"/>
      <c r="R1146" s="12"/>
      <c r="S1146" s="12"/>
      <c r="T1146" s="12"/>
      <c r="U1146" s="14"/>
      <c r="V1146" s="15"/>
      <c r="W1146" s="16" t="n">
        <f aca="false">A1146</f>
        <v>0</v>
      </c>
      <c r="X1146" s="17" t="e">
        <f aca="false">ifs(C1146="","",X1146="",NOW(),TRUE(),X1146)</f>
        <v>#VALUE!</v>
      </c>
      <c r="Y1146" s="17" t="e">
        <f aca="false">ifs(COUNTA(K1146:U1149)&lt;44,"",Y1146="",NOW(),TRUE(),Y1146)</f>
        <v>#VALUE!</v>
      </c>
    </row>
    <row r="1147" customFormat="false" ht="15.75" hidden="false" customHeight="false" outlineLevel="0" collapsed="false">
      <c r="A1147" s="9"/>
      <c r="B1147" s="10"/>
      <c r="C1147" s="10"/>
      <c r="D1147" s="10"/>
      <c r="E1147" s="10"/>
      <c r="F1147" s="10"/>
      <c r="G1147" s="10"/>
      <c r="H1147" s="10"/>
      <c r="I1147" s="18" t="n">
        <v>2</v>
      </c>
      <c r="J1147" s="18"/>
      <c r="K1147" s="19"/>
      <c r="L1147" s="19"/>
      <c r="M1147" s="18"/>
      <c r="N1147" s="18"/>
      <c r="O1147" s="18"/>
      <c r="P1147" s="19"/>
      <c r="Q1147" s="19"/>
      <c r="R1147" s="18"/>
      <c r="S1147" s="18"/>
      <c r="T1147" s="18"/>
      <c r="U1147" s="20"/>
      <c r="V1147" s="21"/>
      <c r="W1147" s="16"/>
      <c r="X1147" s="16"/>
      <c r="Y1147" s="16"/>
    </row>
    <row r="1148" customFormat="false" ht="15.75" hidden="false" customHeight="false" outlineLevel="0" collapsed="false">
      <c r="A1148" s="9"/>
      <c r="B1148" s="10"/>
      <c r="C1148" s="10"/>
      <c r="D1148" s="10"/>
      <c r="E1148" s="10"/>
      <c r="F1148" s="10"/>
      <c r="G1148" s="10"/>
      <c r="H1148" s="10"/>
      <c r="I1148" s="22" t="n">
        <v>3</v>
      </c>
      <c r="J1148" s="22"/>
      <c r="K1148" s="23"/>
      <c r="L1148" s="23"/>
      <c r="M1148" s="22"/>
      <c r="N1148" s="22"/>
      <c r="O1148" s="22"/>
      <c r="P1148" s="23"/>
      <c r="Q1148" s="23"/>
      <c r="R1148" s="22"/>
      <c r="S1148" s="22"/>
      <c r="T1148" s="22"/>
      <c r="U1148" s="24"/>
      <c r="V1148" s="15"/>
      <c r="W1148" s="16"/>
      <c r="X1148" s="16"/>
      <c r="Y1148" s="16"/>
    </row>
    <row r="1149" customFormat="false" ht="15.75" hidden="false" customHeight="false" outlineLevel="0" collapsed="false">
      <c r="A1149" s="9"/>
      <c r="B1149" s="10"/>
      <c r="C1149" s="10"/>
      <c r="D1149" s="10"/>
      <c r="E1149" s="10"/>
      <c r="F1149" s="10"/>
      <c r="G1149" s="10"/>
      <c r="H1149" s="10"/>
      <c r="I1149" s="25" t="n">
        <v>4</v>
      </c>
      <c r="J1149" s="25"/>
      <c r="K1149" s="26"/>
      <c r="L1149" s="26"/>
      <c r="M1149" s="25"/>
      <c r="N1149" s="25"/>
      <c r="O1149" s="25"/>
      <c r="P1149" s="26"/>
      <c r="Q1149" s="26"/>
      <c r="R1149" s="25"/>
      <c r="S1149" s="25"/>
      <c r="T1149" s="25"/>
      <c r="U1149" s="27"/>
      <c r="V1149" s="21"/>
      <c r="W1149" s="16"/>
      <c r="X1149" s="16"/>
      <c r="Y1149" s="16"/>
    </row>
    <row r="1150" customFormat="false" ht="15.75" hidden="false" customHeight="false" outlineLevel="0" collapsed="false">
      <c r="A1150" s="9"/>
      <c r="B1150" s="10"/>
      <c r="C1150" s="11"/>
      <c r="D1150" s="10"/>
      <c r="E1150" s="10"/>
      <c r="F1150" s="10"/>
      <c r="G1150" s="10"/>
      <c r="H1150" s="10"/>
      <c r="I1150" s="12" t="n">
        <v>1</v>
      </c>
      <c r="J1150" s="12"/>
      <c r="K1150" s="13"/>
      <c r="L1150" s="13"/>
      <c r="M1150" s="12"/>
      <c r="N1150" s="12"/>
      <c r="O1150" s="12"/>
      <c r="P1150" s="13"/>
      <c r="Q1150" s="13"/>
      <c r="R1150" s="12"/>
      <c r="S1150" s="12"/>
      <c r="T1150" s="12"/>
      <c r="U1150" s="14"/>
      <c r="V1150" s="15"/>
      <c r="W1150" s="16" t="n">
        <f aca="false">A1150</f>
        <v>0</v>
      </c>
      <c r="X1150" s="17" t="e">
        <f aca="false">ifs(C1150="","",X1150="",NOW(),TRUE(),X1150)</f>
        <v>#VALUE!</v>
      </c>
      <c r="Y1150" s="17" t="e">
        <f aca="false">ifs(COUNTA(K1150:U1153)&lt;44,"",Y1150="",NOW(),TRUE(),Y1150)</f>
        <v>#VALUE!</v>
      </c>
    </row>
    <row r="1151" customFormat="false" ht="15.75" hidden="false" customHeight="false" outlineLevel="0" collapsed="false">
      <c r="A1151" s="9"/>
      <c r="B1151" s="10"/>
      <c r="C1151" s="10"/>
      <c r="D1151" s="10"/>
      <c r="E1151" s="10"/>
      <c r="F1151" s="10"/>
      <c r="G1151" s="10"/>
      <c r="H1151" s="10"/>
      <c r="I1151" s="18" t="n">
        <v>2</v>
      </c>
      <c r="J1151" s="18"/>
      <c r="K1151" s="19"/>
      <c r="L1151" s="19"/>
      <c r="M1151" s="18"/>
      <c r="N1151" s="18"/>
      <c r="O1151" s="18"/>
      <c r="P1151" s="19"/>
      <c r="Q1151" s="19"/>
      <c r="R1151" s="18"/>
      <c r="S1151" s="18"/>
      <c r="T1151" s="18"/>
      <c r="U1151" s="20"/>
      <c r="V1151" s="21"/>
      <c r="W1151" s="16"/>
      <c r="X1151" s="16"/>
      <c r="Y1151" s="16"/>
    </row>
    <row r="1152" customFormat="false" ht="15.75" hidden="false" customHeight="false" outlineLevel="0" collapsed="false">
      <c r="A1152" s="9"/>
      <c r="B1152" s="10"/>
      <c r="C1152" s="10"/>
      <c r="D1152" s="10"/>
      <c r="E1152" s="10"/>
      <c r="F1152" s="10"/>
      <c r="G1152" s="10"/>
      <c r="H1152" s="10"/>
      <c r="I1152" s="22" t="n">
        <v>3</v>
      </c>
      <c r="J1152" s="22"/>
      <c r="K1152" s="23"/>
      <c r="L1152" s="23"/>
      <c r="M1152" s="22"/>
      <c r="N1152" s="22"/>
      <c r="O1152" s="22"/>
      <c r="P1152" s="23"/>
      <c r="Q1152" s="23"/>
      <c r="R1152" s="22"/>
      <c r="S1152" s="22"/>
      <c r="T1152" s="22"/>
      <c r="U1152" s="24"/>
      <c r="V1152" s="15"/>
      <c r="W1152" s="16"/>
      <c r="X1152" s="16"/>
      <c r="Y1152" s="16"/>
    </row>
    <row r="1153" customFormat="false" ht="15.75" hidden="false" customHeight="false" outlineLevel="0" collapsed="false">
      <c r="A1153" s="9"/>
      <c r="B1153" s="10"/>
      <c r="C1153" s="10"/>
      <c r="D1153" s="10"/>
      <c r="E1153" s="10"/>
      <c r="F1153" s="10"/>
      <c r="G1153" s="10"/>
      <c r="H1153" s="10"/>
      <c r="I1153" s="25" t="n">
        <v>4</v>
      </c>
      <c r="J1153" s="25"/>
      <c r="K1153" s="26"/>
      <c r="L1153" s="26"/>
      <c r="M1153" s="25"/>
      <c r="N1153" s="25"/>
      <c r="O1153" s="25"/>
      <c r="P1153" s="26"/>
      <c r="Q1153" s="26"/>
      <c r="R1153" s="25"/>
      <c r="S1153" s="25"/>
      <c r="T1153" s="25"/>
      <c r="U1153" s="27"/>
      <c r="V1153" s="21"/>
      <c r="W1153" s="16"/>
      <c r="X1153" s="16"/>
      <c r="Y1153" s="16"/>
    </row>
    <row r="1154" customFormat="false" ht="15.75" hidden="false" customHeight="false" outlineLevel="0" collapsed="false">
      <c r="A1154" s="9"/>
      <c r="B1154" s="10"/>
      <c r="C1154" s="11"/>
      <c r="D1154" s="10"/>
      <c r="E1154" s="10"/>
      <c r="F1154" s="10"/>
      <c r="G1154" s="10"/>
      <c r="H1154" s="10"/>
      <c r="I1154" s="12" t="n">
        <v>1</v>
      </c>
      <c r="J1154" s="12"/>
      <c r="K1154" s="13"/>
      <c r="L1154" s="13"/>
      <c r="M1154" s="12"/>
      <c r="N1154" s="12"/>
      <c r="O1154" s="12"/>
      <c r="P1154" s="13"/>
      <c r="Q1154" s="13"/>
      <c r="R1154" s="12"/>
      <c r="S1154" s="12"/>
      <c r="T1154" s="12"/>
      <c r="U1154" s="14"/>
      <c r="V1154" s="15"/>
      <c r="W1154" s="16" t="n">
        <f aca="false">A1154</f>
        <v>0</v>
      </c>
      <c r="X1154" s="17" t="e">
        <f aca="false">ifs(C1154="","",X1154="",NOW(),TRUE(),X1154)</f>
        <v>#VALUE!</v>
      </c>
      <c r="Y1154" s="17" t="e">
        <f aca="false">ifs(COUNTA(K1154:U1157)&lt;44,"",Y1154="",NOW(),TRUE(),Y1154)</f>
        <v>#VALUE!</v>
      </c>
    </row>
    <row r="1155" customFormat="false" ht="15.75" hidden="false" customHeight="false" outlineLevel="0" collapsed="false">
      <c r="A1155" s="9"/>
      <c r="B1155" s="10"/>
      <c r="C1155" s="10"/>
      <c r="D1155" s="10"/>
      <c r="E1155" s="10"/>
      <c r="F1155" s="10"/>
      <c r="G1155" s="10"/>
      <c r="H1155" s="10"/>
      <c r="I1155" s="18" t="n">
        <v>2</v>
      </c>
      <c r="J1155" s="18"/>
      <c r="K1155" s="19"/>
      <c r="L1155" s="19"/>
      <c r="M1155" s="18"/>
      <c r="N1155" s="18"/>
      <c r="O1155" s="18"/>
      <c r="P1155" s="19"/>
      <c r="Q1155" s="19"/>
      <c r="R1155" s="18"/>
      <c r="S1155" s="18"/>
      <c r="T1155" s="18"/>
      <c r="U1155" s="20"/>
      <c r="V1155" s="21"/>
      <c r="W1155" s="16"/>
      <c r="X1155" s="16"/>
      <c r="Y1155" s="16"/>
    </row>
    <row r="1156" customFormat="false" ht="15.75" hidden="false" customHeight="false" outlineLevel="0" collapsed="false">
      <c r="A1156" s="9"/>
      <c r="B1156" s="10"/>
      <c r="C1156" s="10"/>
      <c r="D1156" s="10"/>
      <c r="E1156" s="10"/>
      <c r="F1156" s="10"/>
      <c r="G1156" s="10"/>
      <c r="H1156" s="10"/>
      <c r="I1156" s="22" t="n">
        <v>3</v>
      </c>
      <c r="J1156" s="22"/>
      <c r="K1156" s="23"/>
      <c r="L1156" s="23"/>
      <c r="M1156" s="22"/>
      <c r="N1156" s="22"/>
      <c r="O1156" s="22"/>
      <c r="P1156" s="23"/>
      <c r="Q1156" s="23"/>
      <c r="R1156" s="22"/>
      <c r="S1156" s="22"/>
      <c r="T1156" s="22"/>
      <c r="U1156" s="24"/>
      <c r="V1156" s="15"/>
      <c r="W1156" s="16"/>
      <c r="X1156" s="16"/>
      <c r="Y1156" s="16"/>
    </row>
    <row r="1157" customFormat="false" ht="15.75" hidden="false" customHeight="false" outlineLevel="0" collapsed="false">
      <c r="A1157" s="9"/>
      <c r="B1157" s="10"/>
      <c r="C1157" s="10"/>
      <c r="D1157" s="10"/>
      <c r="E1157" s="10"/>
      <c r="F1157" s="10"/>
      <c r="G1157" s="10"/>
      <c r="H1157" s="10"/>
      <c r="I1157" s="25" t="n">
        <v>4</v>
      </c>
      <c r="J1157" s="25"/>
      <c r="K1157" s="26"/>
      <c r="L1157" s="26"/>
      <c r="M1157" s="25"/>
      <c r="N1157" s="25"/>
      <c r="O1157" s="25"/>
      <c r="P1157" s="26"/>
      <c r="Q1157" s="26"/>
      <c r="R1157" s="25"/>
      <c r="S1157" s="25"/>
      <c r="T1157" s="25"/>
      <c r="U1157" s="27"/>
      <c r="V1157" s="21"/>
      <c r="W1157" s="16"/>
      <c r="X1157" s="16"/>
      <c r="Y1157" s="16"/>
    </row>
    <row r="1158" customFormat="false" ht="15.75" hidden="false" customHeight="false" outlineLevel="0" collapsed="false">
      <c r="A1158" s="9"/>
      <c r="B1158" s="10"/>
      <c r="C1158" s="11"/>
      <c r="D1158" s="10"/>
      <c r="E1158" s="10"/>
      <c r="F1158" s="10"/>
      <c r="G1158" s="10"/>
      <c r="H1158" s="10"/>
      <c r="I1158" s="12" t="n">
        <v>1</v>
      </c>
      <c r="J1158" s="12"/>
      <c r="K1158" s="13"/>
      <c r="L1158" s="13"/>
      <c r="M1158" s="12"/>
      <c r="N1158" s="12"/>
      <c r="O1158" s="12"/>
      <c r="P1158" s="13"/>
      <c r="Q1158" s="13"/>
      <c r="R1158" s="12"/>
      <c r="S1158" s="12"/>
      <c r="T1158" s="12"/>
      <c r="U1158" s="14"/>
      <c r="V1158" s="15"/>
      <c r="W1158" s="16" t="n">
        <f aca="false">A1158</f>
        <v>0</v>
      </c>
      <c r="X1158" s="17" t="e">
        <f aca="false">ifs(C1158="","",X1158="",NOW(),TRUE(),X1158)</f>
        <v>#VALUE!</v>
      </c>
      <c r="Y1158" s="17" t="e">
        <f aca="false">ifs(COUNTA(K1158:U1161)&lt;44,"",Y1158="",NOW(),TRUE(),Y1158)</f>
        <v>#VALUE!</v>
      </c>
    </row>
    <row r="1159" customFormat="false" ht="15.75" hidden="false" customHeight="false" outlineLevel="0" collapsed="false">
      <c r="A1159" s="9"/>
      <c r="B1159" s="10"/>
      <c r="C1159" s="10"/>
      <c r="D1159" s="10"/>
      <c r="E1159" s="10"/>
      <c r="F1159" s="10"/>
      <c r="G1159" s="10"/>
      <c r="H1159" s="10"/>
      <c r="I1159" s="18" t="n">
        <v>2</v>
      </c>
      <c r="J1159" s="18"/>
      <c r="K1159" s="19"/>
      <c r="L1159" s="19"/>
      <c r="M1159" s="18"/>
      <c r="N1159" s="18"/>
      <c r="O1159" s="18"/>
      <c r="P1159" s="19"/>
      <c r="Q1159" s="19"/>
      <c r="R1159" s="18"/>
      <c r="S1159" s="18"/>
      <c r="T1159" s="18"/>
      <c r="U1159" s="20"/>
      <c r="V1159" s="21"/>
      <c r="W1159" s="16"/>
      <c r="X1159" s="16"/>
      <c r="Y1159" s="16"/>
    </row>
    <row r="1160" customFormat="false" ht="15.75" hidden="false" customHeight="false" outlineLevel="0" collapsed="false">
      <c r="A1160" s="9"/>
      <c r="B1160" s="10"/>
      <c r="C1160" s="10"/>
      <c r="D1160" s="10"/>
      <c r="E1160" s="10"/>
      <c r="F1160" s="10"/>
      <c r="G1160" s="10"/>
      <c r="H1160" s="10"/>
      <c r="I1160" s="22" t="n">
        <v>3</v>
      </c>
      <c r="J1160" s="22"/>
      <c r="K1160" s="23"/>
      <c r="L1160" s="23"/>
      <c r="M1160" s="22"/>
      <c r="N1160" s="22"/>
      <c r="O1160" s="22"/>
      <c r="P1160" s="23"/>
      <c r="Q1160" s="23"/>
      <c r="R1160" s="22"/>
      <c r="S1160" s="22"/>
      <c r="T1160" s="22"/>
      <c r="U1160" s="24"/>
      <c r="V1160" s="15"/>
      <c r="W1160" s="16"/>
      <c r="X1160" s="16"/>
      <c r="Y1160" s="16"/>
    </row>
    <row r="1161" customFormat="false" ht="15.75" hidden="false" customHeight="false" outlineLevel="0" collapsed="false">
      <c r="A1161" s="9"/>
      <c r="B1161" s="10"/>
      <c r="C1161" s="10"/>
      <c r="D1161" s="10"/>
      <c r="E1161" s="10"/>
      <c r="F1161" s="10"/>
      <c r="G1161" s="10"/>
      <c r="H1161" s="10"/>
      <c r="I1161" s="25" t="n">
        <v>4</v>
      </c>
      <c r="J1161" s="25"/>
      <c r="K1161" s="26"/>
      <c r="L1161" s="26"/>
      <c r="M1161" s="25"/>
      <c r="N1161" s="25"/>
      <c r="O1161" s="25"/>
      <c r="P1161" s="26"/>
      <c r="Q1161" s="26"/>
      <c r="R1161" s="25"/>
      <c r="S1161" s="25"/>
      <c r="T1161" s="25"/>
      <c r="U1161" s="27"/>
      <c r="V1161" s="21"/>
      <c r="W1161" s="16"/>
      <c r="X1161" s="16"/>
      <c r="Y1161" s="16"/>
    </row>
    <row r="1162" customFormat="false" ht="15.75" hidden="false" customHeight="false" outlineLevel="0" collapsed="false">
      <c r="A1162" s="9"/>
      <c r="B1162" s="10"/>
      <c r="C1162" s="11"/>
      <c r="D1162" s="10"/>
      <c r="E1162" s="10"/>
      <c r="F1162" s="10"/>
      <c r="G1162" s="10"/>
      <c r="H1162" s="10"/>
      <c r="I1162" s="12" t="n">
        <v>1</v>
      </c>
      <c r="J1162" s="12"/>
      <c r="K1162" s="13"/>
      <c r="L1162" s="13"/>
      <c r="M1162" s="12"/>
      <c r="N1162" s="12"/>
      <c r="O1162" s="12"/>
      <c r="P1162" s="13"/>
      <c r="Q1162" s="13"/>
      <c r="R1162" s="12"/>
      <c r="S1162" s="12"/>
      <c r="T1162" s="12"/>
      <c r="U1162" s="14"/>
      <c r="V1162" s="15"/>
      <c r="W1162" s="16" t="n">
        <f aca="false">A1162</f>
        <v>0</v>
      </c>
      <c r="X1162" s="17" t="e">
        <f aca="false">ifs(C1162="","",X1162="",NOW(),TRUE(),X1162)</f>
        <v>#VALUE!</v>
      </c>
      <c r="Y1162" s="17" t="e">
        <f aca="false">ifs(COUNTA(K1162:U1165)&lt;44,"",Y1162="",NOW(),TRUE(),Y1162)</f>
        <v>#VALUE!</v>
      </c>
    </row>
    <row r="1163" customFormat="false" ht="15.75" hidden="false" customHeight="false" outlineLevel="0" collapsed="false">
      <c r="A1163" s="9"/>
      <c r="B1163" s="10"/>
      <c r="C1163" s="10"/>
      <c r="D1163" s="10"/>
      <c r="E1163" s="10"/>
      <c r="F1163" s="10"/>
      <c r="G1163" s="10"/>
      <c r="H1163" s="10"/>
      <c r="I1163" s="18" t="n">
        <v>2</v>
      </c>
      <c r="J1163" s="18"/>
      <c r="K1163" s="19"/>
      <c r="L1163" s="19"/>
      <c r="M1163" s="18"/>
      <c r="N1163" s="18"/>
      <c r="O1163" s="18"/>
      <c r="P1163" s="19"/>
      <c r="Q1163" s="19"/>
      <c r="R1163" s="18"/>
      <c r="S1163" s="18"/>
      <c r="T1163" s="18"/>
      <c r="U1163" s="20"/>
      <c r="V1163" s="21"/>
      <c r="W1163" s="16"/>
      <c r="X1163" s="16"/>
      <c r="Y1163" s="16"/>
    </row>
    <row r="1164" customFormat="false" ht="15.75" hidden="false" customHeight="false" outlineLevel="0" collapsed="false">
      <c r="A1164" s="9"/>
      <c r="B1164" s="10"/>
      <c r="C1164" s="10"/>
      <c r="D1164" s="10"/>
      <c r="E1164" s="10"/>
      <c r="F1164" s="10"/>
      <c r="G1164" s="10"/>
      <c r="H1164" s="10"/>
      <c r="I1164" s="22" t="n">
        <v>3</v>
      </c>
      <c r="J1164" s="22"/>
      <c r="K1164" s="23"/>
      <c r="L1164" s="23"/>
      <c r="M1164" s="22"/>
      <c r="N1164" s="22"/>
      <c r="O1164" s="22"/>
      <c r="P1164" s="23"/>
      <c r="Q1164" s="23"/>
      <c r="R1164" s="22"/>
      <c r="S1164" s="22"/>
      <c r="T1164" s="22"/>
      <c r="U1164" s="24"/>
      <c r="V1164" s="15"/>
      <c r="W1164" s="16"/>
      <c r="X1164" s="16"/>
      <c r="Y1164" s="16"/>
    </row>
    <row r="1165" customFormat="false" ht="15.75" hidden="false" customHeight="false" outlineLevel="0" collapsed="false">
      <c r="A1165" s="9"/>
      <c r="B1165" s="10"/>
      <c r="C1165" s="10"/>
      <c r="D1165" s="10"/>
      <c r="E1165" s="10"/>
      <c r="F1165" s="10"/>
      <c r="G1165" s="10"/>
      <c r="H1165" s="10"/>
      <c r="I1165" s="25" t="n">
        <v>4</v>
      </c>
      <c r="J1165" s="25"/>
      <c r="K1165" s="26"/>
      <c r="L1165" s="26"/>
      <c r="M1165" s="25"/>
      <c r="N1165" s="25"/>
      <c r="O1165" s="25"/>
      <c r="P1165" s="26"/>
      <c r="Q1165" s="26"/>
      <c r="R1165" s="25"/>
      <c r="S1165" s="25"/>
      <c r="T1165" s="25"/>
      <c r="U1165" s="27"/>
      <c r="V1165" s="21"/>
      <c r="W1165" s="16"/>
      <c r="X1165" s="16"/>
      <c r="Y1165" s="16"/>
    </row>
    <row r="1166" customFormat="false" ht="15.75" hidden="false" customHeight="false" outlineLevel="0" collapsed="false">
      <c r="A1166" s="9"/>
      <c r="B1166" s="10"/>
      <c r="C1166" s="11"/>
      <c r="D1166" s="10"/>
      <c r="E1166" s="10"/>
      <c r="F1166" s="10"/>
      <c r="G1166" s="10"/>
      <c r="H1166" s="10"/>
      <c r="I1166" s="12" t="n">
        <v>1</v>
      </c>
      <c r="J1166" s="12"/>
      <c r="K1166" s="13"/>
      <c r="L1166" s="13"/>
      <c r="M1166" s="12"/>
      <c r="N1166" s="12"/>
      <c r="O1166" s="12"/>
      <c r="P1166" s="13"/>
      <c r="Q1166" s="13"/>
      <c r="R1166" s="12"/>
      <c r="S1166" s="12"/>
      <c r="T1166" s="12"/>
      <c r="U1166" s="14"/>
      <c r="V1166" s="15"/>
      <c r="W1166" s="16" t="n">
        <f aca="false">A1166</f>
        <v>0</v>
      </c>
      <c r="X1166" s="17" t="e">
        <f aca="false">ifs(C1166="","",X1166="",NOW(),TRUE(),X1166)</f>
        <v>#VALUE!</v>
      </c>
      <c r="Y1166" s="17" t="e">
        <f aca="false">ifs(COUNTA(K1166:U1169)&lt;44,"",Y1166="",NOW(),TRUE(),Y1166)</f>
        <v>#VALUE!</v>
      </c>
    </row>
    <row r="1167" customFormat="false" ht="15.75" hidden="false" customHeight="false" outlineLevel="0" collapsed="false">
      <c r="A1167" s="9"/>
      <c r="B1167" s="10"/>
      <c r="C1167" s="10"/>
      <c r="D1167" s="10"/>
      <c r="E1167" s="10"/>
      <c r="F1167" s="10"/>
      <c r="G1167" s="10"/>
      <c r="H1167" s="10"/>
      <c r="I1167" s="18" t="n">
        <v>2</v>
      </c>
      <c r="J1167" s="18"/>
      <c r="K1167" s="19"/>
      <c r="L1167" s="19"/>
      <c r="M1167" s="18"/>
      <c r="N1167" s="18"/>
      <c r="O1167" s="18"/>
      <c r="P1167" s="19"/>
      <c r="Q1167" s="19"/>
      <c r="R1167" s="18"/>
      <c r="S1167" s="18"/>
      <c r="T1167" s="18"/>
      <c r="U1167" s="20"/>
      <c r="V1167" s="21"/>
      <c r="W1167" s="16"/>
      <c r="X1167" s="16"/>
      <c r="Y1167" s="16"/>
    </row>
    <row r="1168" customFormat="false" ht="15.75" hidden="false" customHeight="false" outlineLevel="0" collapsed="false">
      <c r="A1168" s="9"/>
      <c r="B1168" s="10"/>
      <c r="C1168" s="10"/>
      <c r="D1168" s="10"/>
      <c r="E1168" s="10"/>
      <c r="F1168" s="10"/>
      <c r="G1168" s="10"/>
      <c r="H1168" s="10"/>
      <c r="I1168" s="22" t="n">
        <v>3</v>
      </c>
      <c r="J1168" s="22"/>
      <c r="K1168" s="23"/>
      <c r="L1168" s="23"/>
      <c r="M1168" s="22"/>
      <c r="N1168" s="22"/>
      <c r="O1168" s="22"/>
      <c r="P1168" s="23"/>
      <c r="Q1168" s="23"/>
      <c r="R1168" s="22"/>
      <c r="S1168" s="22"/>
      <c r="T1168" s="22"/>
      <c r="U1168" s="24"/>
      <c r="V1168" s="15"/>
      <c r="W1168" s="16"/>
      <c r="X1168" s="16"/>
      <c r="Y1168" s="16"/>
    </row>
    <row r="1169" customFormat="false" ht="15.75" hidden="false" customHeight="false" outlineLevel="0" collapsed="false">
      <c r="A1169" s="9"/>
      <c r="B1169" s="10"/>
      <c r="C1169" s="10"/>
      <c r="D1169" s="10"/>
      <c r="E1169" s="10"/>
      <c r="F1169" s="10"/>
      <c r="G1169" s="10"/>
      <c r="H1169" s="10"/>
      <c r="I1169" s="25" t="n">
        <v>4</v>
      </c>
      <c r="J1169" s="25"/>
      <c r="K1169" s="26"/>
      <c r="L1169" s="26"/>
      <c r="M1169" s="25"/>
      <c r="N1169" s="25"/>
      <c r="O1169" s="25"/>
      <c r="P1169" s="26"/>
      <c r="Q1169" s="26"/>
      <c r="R1169" s="25"/>
      <c r="S1169" s="25"/>
      <c r="T1169" s="25"/>
      <c r="U1169" s="27"/>
      <c r="V1169" s="21"/>
      <c r="W1169" s="16"/>
      <c r="X1169" s="16"/>
      <c r="Y1169" s="16"/>
    </row>
    <row r="1170" customFormat="false" ht="15.75" hidden="false" customHeight="false" outlineLevel="0" collapsed="false">
      <c r="A1170" s="9"/>
      <c r="B1170" s="10"/>
      <c r="C1170" s="11"/>
      <c r="D1170" s="10"/>
      <c r="E1170" s="10"/>
      <c r="F1170" s="10"/>
      <c r="G1170" s="10"/>
      <c r="H1170" s="10"/>
      <c r="I1170" s="12" t="n">
        <v>1</v>
      </c>
      <c r="J1170" s="12"/>
      <c r="K1170" s="13"/>
      <c r="L1170" s="13"/>
      <c r="M1170" s="12"/>
      <c r="N1170" s="12"/>
      <c r="O1170" s="12"/>
      <c r="P1170" s="13"/>
      <c r="Q1170" s="13"/>
      <c r="R1170" s="12"/>
      <c r="S1170" s="12"/>
      <c r="T1170" s="12"/>
      <c r="U1170" s="14"/>
      <c r="V1170" s="15"/>
      <c r="W1170" s="16" t="n">
        <f aca="false">A1170</f>
        <v>0</v>
      </c>
      <c r="X1170" s="17" t="e">
        <f aca="false">ifs(C1170="","",X1170="",NOW(),TRUE(),X1170)</f>
        <v>#VALUE!</v>
      </c>
      <c r="Y1170" s="17" t="e">
        <f aca="false">ifs(COUNTA(K1170:U1173)&lt;44,"",Y1170="",NOW(),TRUE(),Y1170)</f>
        <v>#VALUE!</v>
      </c>
    </row>
    <row r="1171" customFormat="false" ht="15.75" hidden="false" customHeight="false" outlineLevel="0" collapsed="false">
      <c r="A1171" s="9"/>
      <c r="B1171" s="10"/>
      <c r="C1171" s="10"/>
      <c r="D1171" s="10"/>
      <c r="E1171" s="10"/>
      <c r="F1171" s="10"/>
      <c r="G1171" s="10"/>
      <c r="H1171" s="10"/>
      <c r="I1171" s="18" t="n">
        <v>2</v>
      </c>
      <c r="J1171" s="18"/>
      <c r="K1171" s="19"/>
      <c r="L1171" s="19"/>
      <c r="M1171" s="18"/>
      <c r="N1171" s="18"/>
      <c r="O1171" s="18"/>
      <c r="P1171" s="19"/>
      <c r="Q1171" s="19"/>
      <c r="R1171" s="18"/>
      <c r="S1171" s="18"/>
      <c r="T1171" s="18"/>
      <c r="U1171" s="20"/>
      <c r="V1171" s="21"/>
      <c r="W1171" s="16"/>
      <c r="X1171" s="16"/>
      <c r="Y1171" s="16"/>
    </row>
    <row r="1172" customFormat="false" ht="15.75" hidden="false" customHeight="false" outlineLevel="0" collapsed="false">
      <c r="A1172" s="9"/>
      <c r="B1172" s="10"/>
      <c r="C1172" s="10"/>
      <c r="D1172" s="10"/>
      <c r="E1172" s="10"/>
      <c r="F1172" s="10"/>
      <c r="G1172" s="10"/>
      <c r="H1172" s="10"/>
      <c r="I1172" s="22" t="n">
        <v>3</v>
      </c>
      <c r="J1172" s="22"/>
      <c r="K1172" s="23"/>
      <c r="L1172" s="23"/>
      <c r="M1172" s="22"/>
      <c r="N1172" s="22"/>
      <c r="O1172" s="22"/>
      <c r="P1172" s="23"/>
      <c r="Q1172" s="23"/>
      <c r="R1172" s="22"/>
      <c r="S1172" s="22"/>
      <c r="T1172" s="22"/>
      <c r="U1172" s="24"/>
      <c r="V1172" s="15"/>
      <c r="W1172" s="16"/>
      <c r="X1172" s="16"/>
      <c r="Y1172" s="16"/>
    </row>
    <row r="1173" customFormat="false" ht="15.75" hidden="false" customHeight="false" outlineLevel="0" collapsed="false">
      <c r="A1173" s="9"/>
      <c r="B1173" s="10"/>
      <c r="C1173" s="10"/>
      <c r="D1173" s="10"/>
      <c r="E1173" s="10"/>
      <c r="F1173" s="10"/>
      <c r="G1173" s="10"/>
      <c r="H1173" s="10"/>
      <c r="I1173" s="25" t="n">
        <v>4</v>
      </c>
      <c r="J1173" s="25"/>
      <c r="K1173" s="26"/>
      <c r="L1173" s="26"/>
      <c r="M1173" s="25"/>
      <c r="N1173" s="25"/>
      <c r="O1173" s="25"/>
      <c r="P1173" s="26"/>
      <c r="Q1173" s="26"/>
      <c r="R1173" s="25"/>
      <c r="S1173" s="25"/>
      <c r="T1173" s="25"/>
      <c r="U1173" s="27"/>
      <c r="V1173" s="21"/>
      <c r="W1173" s="16"/>
      <c r="X1173" s="16"/>
      <c r="Y1173" s="16"/>
    </row>
    <row r="1174" customFormat="false" ht="15.75" hidden="false" customHeight="false" outlineLevel="0" collapsed="false">
      <c r="A1174" s="9"/>
      <c r="B1174" s="10"/>
      <c r="C1174" s="11"/>
      <c r="D1174" s="10"/>
      <c r="E1174" s="10"/>
      <c r="F1174" s="10"/>
      <c r="G1174" s="10"/>
      <c r="H1174" s="10"/>
      <c r="I1174" s="12" t="n">
        <v>1</v>
      </c>
      <c r="J1174" s="12"/>
      <c r="K1174" s="13"/>
      <c r="L1174" s="13"/>
      <c r="M1174" s="12"/>
      <c r="N1174" s="12"/>
      <c r="O1174" s="12"/>
      <c r="P1174" s="13"/>
      <c r="Q1174" s="13"/>
      <c r="R1174" s="12"/>
      <c r="S1174" s="12"/>
      <c r="T1174" s="12"/>
      <c r="U1174" s="14"/>
      <c r="V1174" s="15"/>
      <c r="W1174" s="16" t="n">
        <f aca="false">A1174</f>
        <v>0</v>
      </c>
      <c r="X1174" s="17" t="e">
        <f aca="false">ifs(C1174="","",X1174="",NOW(),TRUE(),X1174)</f>
        <v>#VALUE!</v>
      </c>
      <c r="Y1174" s="17" t="e">
        <f aca="false">ifs(COUNTA(K1174:U1177)&lt;44,"",Y1174="",NOW(),TRUE(),Y1174)</f>
        <v>#VALUE!</v>
      </c>
    </row>
    <row r="1175" customFormat="false" ht="15.75" hidden="false" customHeight="false" outlineLevel="0" collapsed="false">
      <c r="A1175" s="9"/>
      <c r="B1175" s="10"/>
      <c r="C1175" s="10"/>
      <c r="D1175" s="10"/>
      <c r="E1175" s="10"/>
      <c r="F1175" s="10"/>
      <c r="G1175" s="10"/>
      <c r="H1175" s="10"/>
      <c r="I1175" s="18" t="n">
        <v>2</v>
      </c>
      <c r="J1175" s="18"/>
      <c r="K1175" s="19"/>
      <c r="L1175" s="19"/>
      <c r="M1175" s="18"/>
      <c r="N1175" s="18"/>
      <c r="O1175" s="18"/>
      <c r="P1175" s="19"/>
      <c r="Q1175" s="19"/>
      <c r="R1175" s="18"/>
      <c r="S1175" s="18"/>
      <c r="T1175" s="18"/>
      <c r="U1175" s="20"/>
      <c r="V1175" s="21"/>
      <c r="W1175" s="16"/>
      <c r="X1175" s="16"/>
      <c r="Y1175" s="16"/>
    </row>
    <row r="1176" customFormat="false" ht="15.75" hidden="false" customHeight="false" outlineLevel="0" collapsed="false">
      <c r="A1176" s="9"/>
      <c r="B1176" s="10"/>
      <c r="C1176" s="10"/>
      <c r="D1176" s="10"/>
      <c r="E1176" s="10"/>
      <c r="F1176" s="10"/>
      <c r="G1176" s="10"/>
      <c r="H1176" s="10"/>
      <c r="I1176" s="22" t="n">
        <v>3</v>
      </c>
      <c r="J1176" s="22"/>
      <c r="K1176" s="23"/>
      <c r="L1176" s="23"/>
      <c r="M1176" s="22"/>
      <c r="N1176" s="22"/>
      <c r="O1176" s="22"/>
      <c r="P1176" s="23"/>
      <c r="Q1176" s="23"/>
      <c r="R1176" s="22"/>
      <c r="S1176" s="22"/>
      <c r="T1176" s="22"/>
      <c r="U1176" s="24"/>
      <c r="V1176" s="15"/>
      <c r="W1176" s="16"/>
      <c r="X1176" s="16"/>
      <c r="Y1176" s="16"/>
    </row>
    <row r="1177" customFormat="false" ht="15.75" hidden="false" customHeight="false" outlineLevel="0" collapsed="false">
      <c r="A1177" s="9"/>
      <c r="B1177" s="10"/>
      <c r="C1177" s="10"/>
      <c r="D1177" s="10"/>
      <c r="E1177" s="10"/>
      <c r="F1177" s="10"/>
      <c r="G1177" s="10"/>
      <c r="H1177" s="10"/>
      <c r="I1177" s="25" t="n">
        <v>4</v>
      </c>
      <c r="J1177" s="25"/>
      <c r="K1177" s="26"/>
      <c r="L1177" s="26"/>
      <c r="M1177" s="25"/>
      <c r="N1177" s="25"/>
      <c r="O1177" s="25"/>
      <c r="P1177" s="26"/>
      <c r="Q1177" s="26"/>
      <c r="R1177" s="25"/>
      <c r="S1177" s="25"/>
      <c r="T1177" s="25"/>
      <c r="U1177" s="27"/>
      <c r="V1177" s="21"/>
      <c r="W1177" s="16"/>
      <c r="X1177" s="16"/>
      <c r="Y1177" s="16"/>
    </row>
    <row r="1178" customFormat="false" ht="15.75" hidden="false" customHeight="false" outlineLevel="0" collapsed="false">
      <c r="A1178" s="9"/>
      <c r="B1178" s="10"/>
      <c r="C1178" s="11"/>
      <c r="D1178" s="10"/>
      <c r="E1178" s="10"/>
      <c r="F1178" s="10"/>
      <c r="G1178" s="10"/>
      <c r="H1178" s="10"/>
      <c r="I1178" s="12" t="n">
        <v>1</v>
      </c>
      <c r="J1178" s="12"/>
      <c r="K1178" s="13"/>
      <c r="L1178" s="13"/>
      <c r="M1178" s="12"/>
      <c r="N1178" s="12"/>
      <c r="O1178" s="12"/>
      <c r="P1178" s="13"/>
      <c r="Q1178" s="13"/>
      <c r="R1178" s="12"/>
      <c r="S1178" s="12"/>
      <c r="T1178" s="12"/>
      <c r="U1178" s="14"/>
      <c r="V1178" s="15"/>
      <c r="W1178" s="16" t="n">
        <f aca="false">A1178</f>
        <v>0</v>
      </c>
      <c r="X1178" s="17" t="e">
        <f aca="false">ifs(C1178="","",X1178="",NOW(),TRUE(),X1178)</f>
        <v>#VALUE!</v>
      </c>
      <c r="Y1178" s="17" t="e">
        <f aca="false">ifs(COUNTA(K1178:U1181)&lt;44,"",Y1178="",NOW(),TRUE(),Y1178)</f>
        <v>#VALUE!</v>
      </c>
    </row>
    <row r="1179" customFormat="false" ht="15.75" hidden="false" customHeight="false" outlineLevel="0" collapsed="false">
      <c r="A1179" s="9"/>
      <c r="B1179" s="10"/>
      <c r="C1179" s="10"/>
      <c r="D1179" s="10"/>
      <c r="E1179" s="10"/>
      <c r="F1179" s="10"/>
      <c r="G1179" s="10"/>
      <c r="H1179" s="10"/>
      <c r="I1179" s="18" t="n">
        <v>2</v>
      </c>
      <c r="J1179" s="18"/>
      <c r="K1179" s="19"/>
      <c r="L1179" s="19"/>
      <c r="M1179" s="18"/>
      <c r="N1179" s="18"/>
      <c r="O1179" s="18"/>
      <c r="P1179" s="19"/>
      <c r="Q1179" s="19"/>
      <c r="R1179" s="18"/>
      <c r="S1179" s="18"/>
      <c r="T1179" s="18"/>
      <c r="U1179" s="20"/>
      <c r="V1179" s="21"/>
      <c r="W1179" s="16"/>
      <c r="X1179" s="16"/>
      <c r="Y1179" s="16"/>
    </row>
    <row r="1180" customFormat="false" ht="15.75" hidden="false" customHeight="false" outlineLevel="0" collapsed="false">
      <c r="A1180" s="9"/>
      <c r="B1180" s="10"/>
      <c r="C1180" s="10"/>
      <c r="D1180" s="10"/>
      <c r="E1180" s="10"/>
      <c r="F1180" s="10"/>
      <c r="G1180" s="10"/>
      <c r="H1180" s="10"/>
      <c r="I1180" s="22" t="n">
        <v>3</v>
      </c>
      <c r="J1180" s="22"/>
      <c r="K1180" s="23"/>
      <c r="L1180" s="23"/>
      <c r="M1180" s="22"/>
      <c r="N1180" s="22"/>
      <c r="O1180" s="22"/>
      <c r="P1180" s="23"/>
      <c r="Q1180" s="23"/>
      <c r="R1180" s="22"/>
      <c r="S1180" s="22"/>
      <c r="T1180" s="22"/>
      <c r="U1180" s="24"/>
      <c r="V1180" s="15"/>
      <c r="W1180" s="16"/>
      <c r="X1180" s="16"/>
      <c r="Y1180" s="16"/>
    </row>
    <row r="1181" customFormat="false" ht="15.75" hidden="false" customHeight="false" outlineLevel="0" collapsed="false">
      <c r="A1181" s="9"/>
      <c r="B1181" s="10"/>
      <c r="C1181" s="10"/>
      <c r="D1181" s="10"/>
      <c r="E1181" s="10"/>
      <c r="F1181" s="10"/>
      <c r="G1181" s="10"/>
      <c r="H1181" s="10"/>
      <c r="I1181" s="25" t="n">
        <v>4</v>
      </c>
      <c r="J1181" s="25"/>
      <c r="K1181" s="26"/>
      <c r="L1181" s="26"/>
      <c r="M1181" s="25"/>
      <c r="N1181" s="25"/>
      <c r="O1181" s="25"/>
      <c r="P1181" s="26"/>
      <c r="Q1181" s="26"/>
      <c r="R1181" s="25"/>
      <c r="S1181" s="25"/>
      <c r="T1181" s="25"/>
      <c r="U1181" s="27"/>
      <c r="V1181" s="21"/>
      <c r="W1181" s="16"/>
      <c r="X1181" s="16"/>
      <c r="Y1181" s="16"/>
    </row>
    <row r="1182" customFormat="false" ht="15.75" hidden="false" customHeight="false" outlineLevel="0" collapsed="false">
      <c r="A1182" s="9"/>
      <c r="B1182" s="10"/>
      <c r="C1182" s="11"/>
      <c r="D1182" s="10"/>
      <c r="E1182" s="10"/>
      <c r="F1182" s="10"/>
      <c r="G1182" s="10"/>
      <c r="H1182" s="10"/>
      <c r="I1182" s="12" t="n">
        <v>1</v>
      </c>
      <c r="J1182" s="12"/>
      <c r="K1182" s="13"/>
      <c r="L1182" s="13"/>
      <c r="M1182" s="12"/>
      <c r="N1182" s="12"/>
      <c r="O1182" s="12"/>
      <c r="P1182" s="13"/>
      <c r="Q1182" s="13"/>
      <c r="R1182" s="12"/>
      <c r="S1182" s="12"/>
      <c r="T1182" s="12"/>
      <c r="U1182" s="14"/>
      <c r="V1182" s="15"/>
      <c r="W1182" s="16" t="n">
        <f aca="false">A1182</f>
        <v>0</v>
      </c>
      <c r="X1182" s="17" t="e">
        <f aca="false">ifs(C1182="","",X1182="",NOW(),TRUE(),X1182)</f>
        <v>#VALUE!</v>
      </c>
      <c r="Y1182" s="17" t="e">
        <f aca="false">ifs(COUNTA(K1182:U1185)&lt;44,"",Y1182="",NOW(),TRUE(),Y1182)</f>
        <v>#VALUE!</v>
      </c>
    </row>
    <row r="1183" customFormat="false" ht="15.75" hidden="false" customHeight="false" outlineLevel="0" collapsed="false">
      <c r="A1183" s="9"/>
      <c r="B1183" s="10"/>
      <c r="C1183" s="10"/>
      <c r="D1183" s="10"/>
      <c r="E1183" s="10"/>
      <c r="F1183" s="10"/>
      <c r="G1183" s="10"/>
      <c r="H1183" s="10"/>
      <c r="I1183" s="18" t="n">
        <v>2</v>
      </c>
      <c r="J1183" s="18"/>
      <c r="K1183" s="19"/>
      <c r="L1183" s="19"/>
      <c r="M1183" s="18"/>
      <c r="N1183" s="18"/>
      <c r="O1183" s="18"/>
      <c r="P1183" s="19"/>
      <c r="Q1183" s="19"/>
      <c r="R1183" s="18"/>
      <c r="S1183" s="18"/>
      <c r="T1183" s="18"/>
      <c r="U1183" s="20"/>
      <c r="V1183" s="21"/>
      <c r="W1183" s="16"/>
      <c r="X1183" s="16"/>
      <c r="Y1183" s="16"/>
    </row>
    <row r="1184" customFormat="false" ht="15.75" hidden="false" customHeight="false" outlineLevel="0" collapsed="false">
      <c r="A1184" s="9"/>
      <c r="B1184" s="10"/>
      <c r="C1184" s="10"/>
      <c r="D1184" s="10"/>
      <c r="E1184" s="10"/>
      <c r="F1184" s="10"/>
      <c r="G1184" s="10"/>
      <c r="H1184" s="10"/>
      <c r="I1184" s="22" t="n">
        <v>3</v>
      </c>
      <c r="J1184" s="22"/>
      <c r="K1184" s="23"/>
      <c r="L1184" s="23"/>
      <c r="M1184" s="22"/>
      <c r="N1184" s="22"/>
      <c r="O1184" s="22"/>
      <c r="P1184" s="23"/>
      <c r="Q1184" s="23"/>
      <c r="R1184" s="22"/>
      <c r="S1184" s="22"/>
      <c r="T1184" s="22"/>
      <c r="U1184" s="24"/>
      <c r="V1184" s="15"/>
      <c r="W1184" s="16"/>
      <c r="X1184" s="16"/>
      <c r="Y1184" s="16"/>
    </row>
    <row r="1185" customFormat="false" ht="15.75" hidden="false" customHeight="false" outlineLevel="0" collapsed="false">
      <c r="A1185" s="9"/>
      <c r="B1185" s="10"/>
      <c r="C1185" s="10"/>
      <c r="D1185" s="10"/>
      <c r="E1185" s="10"/>
      <c r="F1185" s="10"/>
      <c r="G1185" s="10"/>
      <c r="H1185" s="10"/>
      <c r="I1185" s="25" t="n">
        <v>4</v>
      </c>
      <c r="J1185" s="25"/>
      <c r="K1185" s="26"/>
      <c r="L1185" s="26"/>
      <c r="M1185" s="25"/>
      <c r="N1185" s="25"/>
      <c r="O1185" s="25"/>
      <c r="P1185" s="26"/>
      <c r="Q1185" s="26"/>
      <c r="R1185" s="25"/>
      <c r="S1185" s="25"/>
      <c r="T1185" s="25"/>
      <c r="U1185" s="27"/>
      <c r="V1185" s="21"/>
      <c r="W1185" s="16"/>
      <c r="X1185" s="16"/>
      <c r="Y1185" s="16"/>
    </row>
    <row r="1186" customFormat="false" ht="15.75" hidden="false" customHeight="false" outlineLevel="0" collapsed="false">
      <c r="A1186" s="9"/>
      <c r="B1186" s="10"/>
      <c r="C1186" s="11"/>
      <c r="D1186" s="10"/>
      <c r="E1186" s="10"/>
      <c r="F1186" s="10"/>
      <c r="G1186" s="10"/>
      <c r="H1186" s="10"/>
      <c r="I1186" s="12" t="n">
        <v>1</v>
      </c>
      <c r="J1186" s="12"/>
      <c r="K1186" s="13"/>
      <c r="L1186" s="13"/>
      <c r="M1186" s="12"/>
      <c r="N1186" s="12"/>
      <c r="O1186" s="12"/>
      <c r="P1186" s="13"/>
      <c r="Q1186" s="13"/>
      <c r="R1186" s="12"/>
      <c r="S1186" s="12"/>
      <c r="T1186" s="12"/>
      <c r="U1186" s="14"/>
      <c r="V1186" s="15"/>
      <c r="W1186" s="16" t="n">
        <f aca="false">A1186</f>
        <v>0</v>
      </c>
      <c r="X1186" s="17" t="e">
        <f aca="false">ifs(C1186="","",X1186="",NOW(),TRUE(),X1186)</f>
        <v>#VALUE!</v>
      </c>
      <c r="Y1186" s="17" t="e">
        <f aca="false">ifs(COUNTA(K1186:U1189)&lt;44,"",Y1186="",NOW(),TRUE(),Y1186)</f>
        <v>#VALUE!</v>
      </c>
    </row>
    <row r="1187" customFormat="false" ht="15.75" hidden="false" customHeight="false" outlineLevel="0" collapsed="false">
      <c r="A1187" s="9"/>
      <c r="B1187" s="10"/>
      <c r="C1187" s="10"/>
      <c r="D1187" s="10"/>
      <c r="E1187" s="10"/>
      <c r="F1187" s="10"/>
      <c r="G1187" s="10"/>
      <c r="H1187" s="10"/>
      <c r="I1187" s="18" t="n">
        <v>2</v>
      </c>
      <c r="J1187" s="18"/>
      <c r="K1187" s="19"/>
      <c r="L1187" s="19"/>
      <c r="M1187" s="18"/>
      <c r="N1187" s="18"/>
      <c r="O1187" s="18"/>
      <c r="P1187" s="19"/>
      <c r="Q1187" s="19"/>
      <c r="R1187" s="18"/>
      <c r="S1187" s="18"/>
      <c r="T1187" s="18"/>
      <c r="U1187" s="20"/>
      <c r="V1187" s="21"/>
      <c r="W1187" s="16"/>
      <c r="X1187" s="16"/>
      <c r="Y1187" s="16"/>
    </row>
    <row r="1188" customFormat="false" ht="15.75" hidden="false" customHeight="false" outlineLevel="0" collapsed="false">
      <c r="A1188" s="9"/>
      <c r="B1188" s="10"/>
      <c r="C1188" s="10"/>
      <c r="D1188" s="10"/>
      <c r="E1188" s="10"/>
      <c r="F1188" s="10"/>
      <c r="G1188" s="10"/>
      <c r="H1188" s="10"/>
      <c r="I1188" s="22" t="n">
        <v>3</v>
      </c>
      <c r="J1188" s="22"/>
      <c r="K1188" s="23"/>
      <c r="L1188" s="23"/>
      <c r="M1188" s="22"/>
      <c r="N1188" s="22"/>
      <c r="O1188" s="22"/>
      <c r="P1188" s="23"/>
      <c r="Q1188" s="23"/>
      <c r="R1188" s="22"/>
      <c r="S1188" s="22"/>
      <c r="T1188" s="22"/>
      <c r="U1188" s="24"/>
      <c r="V1188" s="15"/>
      <c r="W1188" s="16"/>
      <c r="X1188" s="16"/>
      <c r="Y1188" s="16"/>
    </row>
    <row r="1189" customFormat="false" ht="15.75" hidden="false" customHeight="false" outlineLevel="0" collapsed="false">
      <c r="A1189" s="9"/>
      <c r="B1189" s="10"/>
      <c r="C1189" s="10"/>
      <c r="D1189" s="10"/>
      <c r="E1189" s="10"/>
      <c r="F1189" s="10"/>
      <c r="G1189" s="10"/>
      <c r="H1189" s="10"/>
      <c r="I1189" s="25" t="n">
        <v>4</v>
      </c>
      <c r="J1189" s="25"/>
      <c r="K1189" s="26"/>
      <c r="L1189" s="26"/>
      <c r="M1189" s="25"/>
      <c r="N1189" s="25"/>
      <c r="O1189" s="25"/>
      <c r="P1189" s="26"/>
      <c r="Q1189" s="26"/>
      <c r="R1189" s="25"/>
      <c r="S1189" s="25"/>
      <c r="T1189" s="25"/>
      <c r="U1189" s="27"/>
      <c r="V1189" s="21"/>
      <c r="W1189" s="16"/>
      <c r="X1189" s="16"/>
      <c r="Y1189" s="16"/>
    </row>
    <row r="1190" customFormat="false" ht="15.75" hidden="false" customHeight="false" outlineLevel="0" collapsed="false">
      <c r="A1190" s="9"/>
      <c r="B1190" s="10"/>
      <c r="C1190" s="11"/>
      <c r="D1190" s="10"/>
      <c r="E1190" s="10"/>
      <c r="F1190" s="10"/>
      <c r="G1190" s="10"/>
      <c r="H1190" s="10"/>
      <c r="I1190" s="12" t="n">
        <v>1</v>
      </c>
      <c r="J1190" s="12"/>
      <c r="K1190" s="13"/>
      <c r="L1190" s="13"/>
      <c r="M1190" s="12"/>
      <c r="N1190" s="12"/>
      <c r="O1190" s="12"/>
      <c r="P1190" s="13"/>
      <c r="Q1190" s="13"/>
      <c r="R1190" s="12"/>
      <c r="S1190" s="12"/>
      <c r="T1190" s="12"/>
      <c r="U1190" s="14"/>
      <c r="V1190" s="15"/>
      <c r="W1190" s="16" t="n">
        <f aca="false">A1190</f>
        <v>0</v>
      </c>
      <c r="X1190" s="17" t="e">
        <f aca="false">ifs(C1190="","",X1190="",NOW(),TRUE(),X1190)</f>
        <v>#VALUE!</v>
      </c>
      <c r="Y1190" s="17" t="e">
        <f aca="false">ifs(COUNTA(K1190:U1193)&lt;44,"",Y1190="",NOW(),TRUE(),Y1190)</f>
        <v>#VALUE!</v>
      </c>
    </row>
    <row r="1191" customFormat="false" ht="15.75" hidden="false" customHeight="false" outlineLevel="0" collapsed="false">
      <c r="A1191" s="9"/>
      <c r="B1191" s="10"/>
      <c r="C1191" s="10"/>
      <c r="D1191" s="10"/>
      <c r="E1191" s="10"/>
      <c r="F1191" s="10"/>
      <c r="G1191" s="10"/>
      <c r="H1191" s="10"/>
      <c r="I1191" s="18" t="n">
        <v>2</v>
      </c>
      <c r="J1191" s="18"/>
      <c r="K1191" s="19"/>
      <c r="L1191" s="19"/>
      <c r="M1191" s="18"/>
      <c r="N1191" s="18"/>
      <c r="O1191" s="18"/>
      <c r="P1191" s="19"/>
      <c r="Q1191" s="19"/>
      <c r="R1191" s="18"/>
      <c r="S1191" s="18"/>
      <c r="T1191" s="18"/>
      <c r="U1191" s="20"/>
      <c r="V1191" s="21"/>
      <c r="W1191" s="16"/>
      <c r="X1191" s="16"/>
      <c r="Y1191" s="16"/>
    </row>
    <row r="1192" customFormat="false" ht="15.75" hidden="false" customHeight="false" outlineLevel="0" collapsed="false">
      <c r="A1192" s="9"/>
      <c r="B1192" s="10"/>
      <c r="C1192" s="10"/>
      <c r="D1192" s="10"/>
      <c r="E1192" s="10"/>
      <c r="F1192" s="10"/>
      <c r="G1192" s="10"/>
      <c r="H1192" s="10"/>
      <c r="I1192" s="22" t="n">
        <v>3</v>
      </c>
      <c r="J1192" s="22"/>
      <c r="K1192" s="23"/>
      <c r="L1192" s="23"/>
      <c r="M1192" s="22"/>
      <c r="N1192" s="22"/>
      <c r="O1192" s="22"/>
      <c r="P1192" s="23"/>
      <c r="Q1192" s="23"/>
      <c r="R1192" s="22"/>
      <c r="S1192" s="22"/>
      <c r="T1192" s="22"/>
      <c r="U1192" s="24"/>
      <c r="V1192" s="15"/>
      <c r="W1192" s="16"/>
      <c r="X1192" s="16"/>
      <c r="Y1192" s="16"/>
    </row>
    <row r="1193" customFormat="false" ht="15.75" hidden="false" customHeight="false" outlineLevel="0" collapsed="false">
      <c r="A1193" s="9"/>
      <c r="B1193" s="10"/>
      <c r="C1193" s="10"/>
      <c r="D1193" s="10"/>
      <c r="E1193" s="10"/>
      <c r="F1193" s="10"/>
      <c r="G1193" s="10"/>
      <c r="H1193" s="10"/>
      <c r="I1193" s="25" t="n">
        <v>4</v>
      </c>
      <c r="J1193" s="25"/>
      <c r="K1193" s="26"/>
      <c r="L1193" s="26"/>
      <c r="M1193" s="25"/>
      <c r="N1193" s="25"/>
      <c r="O1193" s="25"/>
      <c r="P1193" s="26"/>
      <c r="Q1193" s="26"/>
      <c r="R1193" s="25"/>
      <c r="S1193" s="25"/>
      <c r="T1193" s="25"/>
      <c r="U1193" s="27"/>
      <c r="V1193" s="21"/>
      <c r="W1193" s="16"/>
      <c r="X1193" s="16"/>
      <c r="Y1193" s="16"/>
    </row>
    <row r="1194" customFormat="false" ht="15.75" hidden="false" customHeight="false" outlineLevel="0" collapsed="false">
      <c r="A1194" s="9"/>
      <c r="B1194" s="10"/>
      <c r="C1194" s="11"/>
      <c r="D1194" s="10"/>
      <c r="E1194" s="10"/>
      <c r="F1194" s="10"/>
      <c r="G1194" s="10"/>
      <c r="H1194" s="10"/>
      <c r="I1194" s="12" t="n">
        <v>1</v>
      </c>
      <c r="J1194" s="12"/>
      <c r="K1194" s="13"/>
      <c r="L1194" s="13"/>
      <c r="M1194" s="12"/>
      <c r="N1194" s="12"/>
      <c r="O1194" s="12"/>
      <c r="P1194" s="13"/>
      <c r="Q1194" s="13"/>
      <c r="R1194" s="12"/>
      <c r="S1194" s="12"/>
      <c r="T1194" s="12"/>
      <c r="U1194" s="14"/>
      <c r="V1194" s="15"/>
      <c r="W1194" s="16" t="n">
        <f aca="false">A1194</f>
        <v>0</v>
      </c>
      <c r="X1194" s="17" t="e">
        <f aca="false">ifs(C1194="","",X1194="",NOW(),TRUE(),X1194)</f>
        <v>#VALUE!</v>
      </c>
      <c r="Y1194" s="17" t="e">
        <f aca="false">ifs(COUNTA(K1194:U1197)&lt;44,"",Y1194="",NOW(),TRUE(),Y1194)</f>
        <v>#VALUE!</v>
      </c>
    </row>
    <row r="1195" customFormat="false" ht="15.75" hidden="false" customHeight="false" outlineLevel="0" collapsed="false">
      <c r="A1195" s="9"/>
      <c r="B1195" s="10"/>
      <c r="C1195" s="10"/>
      <c r="D1195" s="10"/>
      <c r="E1195" s="10"/>
      <c r="F1195" s="10"/>
      <c r="G1195" s="10"/>
      <c r="H1195" s="10"/>
      <c r="I1195" s="18" t="n">
        <v>2</v>
      </c>
      <c r="J1195" s="18"/>
      <c r="K1195" s="19"/>
      <c r="L1195" s="19"/>
      <c r="M1195" s="18"/>
      <c r="N1195" s="18"/>
      <c r="O1195" s="18"/>
      <c r="P1195" s="19"/>
      <c r="Q1195" s="19"/>
      <c r="R1195" s="18"/>
      <c r="S1195" s="18"/>
      <c r="T1195" s="18"/>
      <c r="U1195" s="20"/>
      <c r="V1195" s="21"/>
      <c r="W1195" s="16"/>
      <c r="X1195" s="16"/>
      <c r="Y1195" s="16"/>
    </row>
    <row r="1196" customFormat="false" ht="15.75" hidden="false" customHeight="false" outlineLevel="0" collapsed="false">
      <c r="A1196" s="9"/>
      <c r="B1196" s="10"/>
      <c r="C1196" s="10"/>
      <c r="D1196" s="10"/>
      <c r="E1196" s="10"/>
      <c r="F1196" s="10"/>
      <c r="G1196" s="10"/>
      <c r="H1196" s="10"/>
      <c r="I1196" s="22" t="n">
        <v>3</v>
      </c>
      <c r="J1196" s="22"/>
      <c r="K1196" s="23"/>
      <c r="L1196" s="23"/>
      <c r="M1196" s="22"/>
      <c r="N1196" s="22"/>
      <c r="O1196" s="22"/>
      <c r="P1196" s="23"/>
      <c r="Q1196" s="23"/>
      <c r="R1196" s="22"/>
      <c r="S1196" s="22"/>
      <c r="T1196" s="22"/>
      <c r="U1196" s="24"/>
      <c r="V1196" s="15"/>
      <c r="W1196" s="16"/>
      <c r="X1196" s="16"/>
      <c r="Y1196" s="16"/>
    </row>
    <row r="1197" customFormat="false" ht="15.75" hidden="false" customHeight="false" outlineLevel="0" collapsed="false">
      <c r="A1197" s="9"/>
      <c r="B1197" s="10"/>
      <c r="C1197" s="10"/>
      <c r="D1197" s="10"/>
      <c r="E1197" s="10"/>
      <c r="F1197" s="10"/>
      <c r="G1197" s="10"/>
      <c r="H1197" s="10"/>
      <c r="I1197" s="25" t="n">
        <v>4</v>
      </c>
      <c r="J1197" s="25"/>
      <c r="K1197" s="26"/>
      <c r="L1197" s="26"/>
      <c r="M1197" s="25"/>
      <c r="N1197" s="25"/>
      <c r="O1197" s="25"/>
      <c r="P1197" s="26"/>
      <c r="Q1197" s="26"/>
      <c r="R1197" s="25"/>
      <c r="S1197" s="25"/>
      <c r="T1197" s="25"/>
      <c r="U1197" s="27"/>
      <c r="V1197" s="21"/>
      <c r="W1197" s="16"/>
      <c r="X1197" s="16"/>
      <c r="Y1197" s="16"/>
    </row>
    <row r="1198" customFormat="false" ht="15.75" hidden="false" customHeight="false" outlineLevel="0" collapsed="false">
      <c r="A1198" s="9"/>
      <c r="B1198" s="10"/>
      <c r="C1198" s="11"/>
      <c r="D1198" s="10"/>
      <c r="E1198" s="10"/>
      <c r="F1198" s="10"/>
      <c r="G1198" s="10"/>
      <c r="H1198" s="10"/>
      <c r="I1198" s="12" t="n">
        <v>1</v>
      </c>
      <c r="J1198" s="12"/>
      <c r="K1198" s="13"/>
      <c r="L1198" s="13"/>
      <c r="M1198" s="12"/>
      <c r="N1198" s="12"/>
      <c r="O1198" s="12"/>
      <c r="P1198" s="13"/>
      <c r="Q1198" s="13"/>
      <c r="R1198" s="12"/>
      <c r="S1198" s="12"/>
      <c r="T1198" s="12"/>
      <c r="U1198" s="14"/>
      <c r="V1198" s="15"/>
      <c r="W1198" s="16" t="n">
        <f aca="false">A1198</f>
        <v>0</v>
      </c>
      <c r="X1198" s="17" t="e">
        <f aca="false">ifs(C1198="","",X1198="",NOW(),TRUE(),X1198)</f>
        <v>#VALUE!</v>
      </c>
      <c r="Y1198" s="17" t="e">
        <f aca="false">ifs(COUNTA(K1198:U1201)&lt;44,"",Y1198="",NOW(),TRUE(),Y1198)</f>
        <v>#VALUE!</v>
      </c>
    </row>
    <row r="1199" customFormat="false" ht="15.75" hidden="false" customHeight="false" outlineLevel="0" collapsed="false">
      <c r="A1199" s="9"/>
      <c r="B1199" s="10"/>
      <c r="C1199" s="10"/>
      <c r="D1199" s="10"/>
      <c r="E1199" s="10"/>
      <c r="F1199" s="10"/>
      <c r="G1199" s="10"/>
      <c r="H1199" s="10"/>
      <c r="I1199" s="18" t="n">
        <v>2</v>
      </c>
      <c r="J1199" s="18"/>
      <c r="K1199" s="19"/>
      <c r="L1199" s="19"/>
      <c r="M1199" s="18"/>
      <c r="N1199" s="18"/>
      <c r="O1199" s="18"/>
      <c r="P1199" s="19"/>
      <c r="Q1199" s="19"/>
      <c r="R1199" s="18"/>
      <c r="S1199" s="18"/>
      <c r="T1199" s="18"/>
      <c r="U1199" s="20"/>
      <c r="V1199" s="21"/>
      <c r="W1199" s="16"/>
      <c r="X1199" s="16"/>
      <c r="Y1199" s="16"/>
    </row>
    <row r="1200" customFormat="false" ht="15.75" hidden="false" customHeight="false" outlineLevel="0" collapsed="false">
      <c r="A1200" s="9"/>
      <c r="B1200" s="10"/>
      <c r="C1200" s="10"/>
      <c r="D1200" s="10"/>
      <c r="E1200" s="10"/>
      <c r="F1200" s="10"/>
      <c r="G1200" s="10"/>
      <c r="H1200" s="10"/>
      <c r="I1200" s="22" t="n">
        <v>3</v>
      </c>
      <c r="J1200" s="22"/>
      <c r="K1200" s="23"/>
      <c r="L1200" s="23"/>
      <c r="M1200" s="22"/>
      <c r="N1200" s="22"/>
      <c r="O1200" s="22"/>
      <c r="P1200" s="23"/>
      <c r="Q1200" s="23"/>
      <c r="R1200" s="22"/>
      <c r="S1200" s="22"/>
      <c r="T1200" s="22"/>
      <c r="U1200" s="24"/>
      <c r="V1200" s="15"/>
      <c r="W1200" s="16"/>
      <c r="X1200" s="16"/>
      <c r="Y1200" s="16"/>
    </row>
    <row r="1201" customFormat="false" ht="15.75" hidden="false" customHeight="false" outlineLevel="0" collapsed="false">
      <c r="A1201" s="9"/>
      <c r="B1201" s="10"/>
      <c r="C1201" s="10"/>
      <c r="D1201" s="10"/>
      <c r="E1201" s="10"/>
      <c r="F1201" s="10"/>
      <c r="G1201" s="10"/>
      <c r="H1201" s="10"/>
      <c r="I1201" s="25" t="n">
        <v>4</v>
      </c>
      <c r="J1201" s="25"/>
      <c r="K1201" s="26"/>
      <c r="L1201" s="26"/>
      <c r="M1201" s="25"/>
      <c r="N1201" s="25"/>
      <c r="O1201" s="25"/>
      <c r="P1201" s="26"/>
      <c r="Q1201" s="26"/>
      <c r="R1201" s="25"/>
      <c r="S1201" s="25"/>
      <c r="T1201" s="25"/>
      <c r="U1201" s="27"/>
      <c r="V1201" s="21"/>
      <c r="W1201" s="16"/>
      <c r="X1201" s="16"/>
      <c r="Y1201" s="16"/>
    </row>
    <row r="1202" customFormat="false" ht="15.75" hidden="false" customHeight="false" outlineLevel="0" collapsed="false">
      <c r="A1202" s="9"/>
      <c r="B1202" s="10"/>
      <c r="C1202" s="11"/>
      <c r="D1202" s="10"/>
      <c r="E1202" s="10"/>
      <c r="F1202" s="10"/>
      <c r="G1202" s="10"/>
      <c r="H1202" s="10"/>
      <c r="I1202" s="12" t="n">
        <v>1</v>
      </c>
      <c r="J1202" s="12"/>
      <c r="K1202" s="13"/>
      <c r="L1202" s="13"/>
      <c r="M1202" s="12"/>
      <c r="N1202" s="12"/>
      <c r="O1202" s="12"/>
      <c r="P1202" s="13"/>
      <c r="Q1202" s="13"/>
      <c r="R1202" s="12"/>
      <c r="S1202" s="12"/>
      <c r="T1202" s="12"/>
      <c r="U1202" s="14"/>
      <c r="V1202" s="15"/>
      <c r="W1202" s="16" t="n">
        <f aca="false">A1202</f>
        <v>0</v>
      </c>
      <c r="X1202" s="17" t="e">
        <f aca="false">ifs(C1202="","",X1202="",NOW(),TRUE(),X1202)</f>
        <v>#VALUE!</v>
      </c>
      <c r="Y1202" s="17" t="e">
        <f aca="false">ifs(COUNTA(K1202:U1205)&lt;44,"",Y1202="",NOW(),TRUE(),Y1202)</f>
        <v>#VALUE!</v>
      </c>
    </row>
    <row r="1203" customFormat="false" ht="15.75" hidden="false" customHeight="false" outlineLevel="0" collapsed="false">
      <c r="A1203" s="9"/>
      <c r="B1203" s="10"/>
      <c r="C1203" s="10"/>
      <c r="D1203" s="10"/>
      <c r="E1203" s="10"/>
      <c r="F1203" s="10"/>
      <c r="G1203" s="10"/>
      <c r="H1203" s="10"/>
      <c r="I1203" s="18" t="n">
        <v>2</v>
      </c>
      <c r="J1203" s="18"/>
      <c r="K1203" s="19"/>
      <c r="L1203" s="19"/>
      <c r="M1203" s="18"/>
      <c r="N1203" s="18"/>
      <c r="O1203" s="18"/>
      <c r="P1203" s="19"/>
      <c r="Q1203" s="19"/>
      <c r="R1203" s="18"/>
      <c r="S1203" s="18"/>
      <c r="T1203" s="18"/>
      <c r="U1203" s="20"/>
      <c r="V1203" s="21"/>
      <c r="W1203" s="16"/>
      <c r="X1203" s="16"/>
      <c r="Y1203" s="16"/>
    </row>
    <row r="1204" customFormat="false" ht="15.75" hidden="false" customHeight="false" outlineLevel="0" collapsed="false">
      <c r="A1204" s="9"/>
      <c r="B1204" s="10"/>
      <c r="C1204" s="10"/>
      <c r="D1204" s="10"/>
      <c r="E1204" s="10"/>
      <c r="F1204" s="10"/>
      <c r="G1204" s="10"/>
      <c r="H1204" s="10"/>
      <c r="I1204" s="22" t="n">
        <v>3</v>
      </c>
      <c r="J1204" s="22"/>
      <c r="K1204" s="23"/>
      <c r="L1204" s="23"/>
      <c r="M1204" s="22"/>
      <c r="N1204" s="22"/>
      <c r="O1204" s="22"/>
      <c r="P1204" s="23"/>
      <c r="Q1204" s="23"/>
      <c r="R1204" s="22"/>
      <c r="S1204" s="22"/>
      <c r="T1204" s="22"/>
      <c r="U1204" s="24"/>
      <c r="V1204" s="15"/>
      <c r="W1204" s="16"/>
      <c r="X1204" s="16"/>
      <c r="Y1204" s="16"/>
    </row>
    <row r="1205" customFormat="false" ht="15.75" hidden="false" customHeight="false" outlineLevel="0" collapsed="false">
      <c r="A1205" s="9"/>
      <c r="B1205" s="10"/>
      <c r="C1205" s="10"/>
      <c r="D1205" s="10"/>
      <c r="E1205" s="10"/>
      <c r="F1205" s="10"/>
      <c r="G1205" s="10"/>
      <c r="H1205" s="10"/>
      <c r="I1205" s="25" t="n">
        <v>4</v>
      </c>
      <c r="J1205" s="25"/>
      <c r="K1205" s="26"/>
      <c r="L1205" s="26"/>
      <c r="M1205" s="25"/>
      <c r="N1205" s="25"/>
      <c r="O1205" s="25"/>
      <c r="P1205" s="26"/>
      <c r="Q1205" s="26"/>
      <c r="R1205" s="25"/>
      <c r="S1205" s="25"/>
      <c r="T1205" s="25"/>
      <c r="U1205" s="27"/>
      <c r="V1205" s="21"/>
      <c r="W1205" s="16"/>
      <c r="X1205" s="16"/>
      <c r="Y1205" s="16"/>
    </row>
    <row r="1206" customFormat="false" ht="15.75" hidden="false" customHeight="false" outlineLevel="0" collapsed="false">
      <c r="A1206" s="9"/>
      <c r="B1206" s="10"/>
      <c r="C1206" s="11"/>
      <c r="D1206" s="10"/>
      <c r="E1206" s="10"/>
      <c r="F1206" s="10"/>
      <c r="G1206" s="10"/>
      <c r="H1206" s="10"/>
      <c r="I1206" s="12" t="n">
        <v>1</v>
      </c>
      <c r="J1206" s="12"/>
      <c r="K1206" s="13"/>
      <c r="L1206" s="13"/>
      <c r="M1206" s="12"/>
      <c r="N1206" s="12"/>
      <c r="O1206" s="12"/>
      <c r="P1206" s="13"/>
      <c r="Q1206" s="13"/>
      <c r="R1206" s="12"/>
      <c r="S1206" s="12"/>
      <c r="T1206" s="12"/>
      <c r="U1206" s="14"/>
      <c r="V1206" s="15"/>
      <c r="W1206" s="16" t="n">
        <f aca="false">A1206</f>
        <v>0</v>
      </c>
      <c r="X1206" s="17" t="e">
        <f aca="false">ifs(C1206="","",X1206="",NOW(),TRUE(),X1206)</f>
        <v>#VALUE!</v>
      </c>
      <c r="Y1206" s="17" t="e">
        <f aca="false">ifs(COUNTA(K1206:U1209)&lt;44,"",Y1206="",NOW(),TRUE(),Y1206)</f>
        <v>#VALUE!</v>
      </c>
    </row>
    <row r="1207" customFormat="false" ht="15.75" hidden="false" customHeight="false" outlineLevel="0" collapsed="false">
      <c r="A1207" s="9"/>
      <c r="B1207" s="10"/>
      <c r="C1207" s="10"/>
      <c r="D1207" s="10"/>
      <c r="E1207" s="10"/>
      <c r="F1207" s="10"/>
      <c r="G1207" s="10"/>
      <c r="H1207" s="10"/>
      <c r="I1207" s="18" t="n">
        <v>2</v>
      </c>
      <c r="J1207" s="18"/>
      <c r="K1207" s="19"/>
      <c r="L1207" s="19"/>
      <c r="M1207" s="18"/>
      <c r="N1207" s="18"/>
      <c r="O1207" s="18"/>
      <c r="P1207" s="19"/>
      <c r="Q1207" s="19"/>
      <c r="R1207" s="18"/>
      <c r="S1207" s="18"/>
      <c r="T1207" s="18"/>
      <c r="U1207" s="20"/>
      <c r="V1207" s="21"/>
      <c r="W1207" s="16"/>
      <c r="X1207" s="16"/>
      <c r="Y1207" s="16"/>
    </row>
    <row r="1208" customFormat="false" ht="15.75" hidden="false" customHeight="false" outlineLevel="0" collapsed="false">
      <c r="A1208" s="9"/>
      <c r="B1208" s="10"/>
      <c r="C1208" s="10"/>
      <c r="D1208" s="10"/>
      <c r="E1208" s="10"/>
      <c r="F1208" s="10"/>
      <c r="G1208" s="10"/>
      <c r="H1208" s="10"/>
      <c r="I1208" s="22" t="n">
        <v>3</v>
      </c>
      <c r="J1208" s="22"/>
      <c r="K1208" s="23"/>
      <c r="L1208" s="23"/>
      <c r="M1208" s="22"/>
      <c r="N1208" s="22"/>
      <c r="O1208" s="22"/>
      <c r="P1208" s="23"/>
      <c r="Q1208" s="23"/>
      <c r="R1208" s="22"/>
      <c r="S1208" s="22"/>
      <c r="T1208" s="22"/>
      <c r="U1208" s="24"/>
      <c r="V1208" s="15"/>
      <c r="W1208" s="16"/>
      <c r="X1208" s="16"/>
      <c r="Y1208" s="16"/>
    </row>
    <row r="1209" customFormat="false" ht="15.75" hidden="false" customHeight="false" outlineLevel="0" collapsed="false">
      <c r="A1209" s="9"/>
      <c r="B1209" s="10"/>
      <c r="C1209" s="10"/>
      <c r="D1209" s="10"/>
      <c r="E1209" s="10"/>
      <c r="F1209" s="10"/>
      <c r="G1209" s="10"/>
      <c r="H1209" s="10"/>
      <c r="I1209" s="25" t="n">
        <v>4</v>
      </c>
      <c r="J1209" s="25"/>
      <c r="K1209" s="26"/>
      <c r="L1209" s="26"/>
      <c r="M1209" s="25"/>
      <c r="N1209" s="25"/>
      <c r="O1209" s="25"/>
      <c r="P1209" s="26"/>
      <c r="Q1209" s="26"/>
      <c r="R1209" s="25"/>
      <c r="S1209" s="25"/>
      <c r="T1209" s="25"/>
      <c r="U1209" s="27"/>
      <c r="V1209" s="21"/>
      <c r="W1209" s="16"/>
      <c r="X1209" s="16"/>
      <c r="Y1209" s="16"/>
    </row>
    <row r="1210" customFormat="false" ht="15.75" hidden="false" customHeight="false" outlineLevel="0" collapsed="false">
      <c r="A1210" s="9"/>
      <c r="B1210" s="10"/>
      <c r="C1210" s="11"/>
      <c r="D1210" s="10"/>
      <c r="E1210" s="10"/>
      <c r="F1210" s="10"/>
      <c r="G1210" s="10"/>
      <c r="H1210" s="10"/>
      <c r="I1210" s="12" t="n">
        <v>1</v>
      </c>
      <c r="J1210" s="12"/>
      <c r="K1210" s="13"/>
      <c r="L1210" s="13"/>
      <c r="M1210" s="12"/>
      <c r="N1210" s="12"/>
      <c r="O1210" s="12"/>
      <c r="P1210" s="13"/>
      <c r="Q1210" s="13"/>
      <c r="R1210" s="12"/>
      <c r="S1210" s="12"/>
      <c r="T1210" s="12"/>
      <c r="U1210" s="14"/>
      <c r="V1210" s="15"/>
      <c r="W1210" s="16" t="n">
        <f aca="false">A1210</f>
        <v>0</v>
      </c>
      <c r="X1210" s="17" t="e">
        <f aca="false">ifs(C1210="","",X1210="",NOW(),TRUE(),X1210)</f>
        <v>#VALUE!</v>
      </c>
      <c r="Y1210" s="17" t="e">
        <f aca="false">ifs(COUNTA(K1210:U1213)&lt;44,"",Y1210="",NOW(),TRUE(),Y1210)</f>
        <v>#VALUE!</v>
      </c>
    </row>
    <row r="1211" customFormat="false" ht="15.75" hidden="false" customHeight="false" outlineLevel="0" collapsed="false">
      <c r="A1211" s="9"/>
      <c r="B1211" s="10"/>
      <c r="C1211" s="10"/>
      <c r="D1211" s="10"/>
      <c r="E1211" s="10"/>
      <c r="F1211" s="10"/>
      <c r="G1211" s="10"/>
      <c r="H1211" s="10"/>
      <c r="I1211" s="18" t="n">
        <v>2</v>
      </c>
      <c r="J1211" s="18"/>
      <c r="K1211" s="19"/>
      <c r="L1211" s="19"/>
      <c r="M1211" s="18"/>
      <c r="N1211" s="18"/>
      <c r="O1211" s="18"/>
      <c r="P1211" s="19"/>
      <c r="Q1211" s="19"/>
      <c r="R1211" s="18"/>
      <c r="S1211" s="18"/>
      <c r="T1211" s="18"/>
      <c r="U1211" s="20"/>
      <c r="V1211" s="21"/>
      <c r="W1211" s="16"/>
      <c r="X1211" s="16"/>
      <c r="Y1211" s="16"/>
    </row>
    <row r="1212" customFormat="false" ht="15.75" hidden="false" customHeight="false" outlineLevel="0" collapsed="false">
      <c r="A1212" s="9"/>
      <c r="B1212" s="10"/>
      <c r="C1212" s="10"/>
      <c r="D1212" s="10"/>
      <c r="E1212" s="10"/>
      <c r="F1212" s="10"/>
      <c r="G1212" s="10"/>
      <c r="H1212" s="10"/>
      <c r="I1212" s="22" t="n">
        <v>3</v>
      </c>
      <c r="J1212" s="22"/>
      <c r="K1212" s="23"/>
      <c r="L1212" s="23"/>
      <c r="M1212" s="22"/>
      <c r="N1212" s="22"/>
      <c r="O1212" s="22"/>
      <c r="P1212" s="23"/>
      <c r="Q1212" s="23"/>
      <c r="R1212" s="22"/>
      <c r="S1212" s="22"/>
      <c r="T1212" s="22"/>
      <c r="U1212" s="24"/>
      <c r="V1212" s="15"/>
      <c r="W1212" s="16"/>
      <c r="X1212" s="16"/>
      <c r="Y1212" s="16"/>
    </row>
    <row r="1213" customFormat="false" ht="15.75" hidden="false" customHeight="false" outlineLevel="0" collapsed="false">
      <c r="A1213" s="9"/>
      <c r="B1213" s="10"/>
      <c r="C1213" s="10"/>
      <c r="D1213" s="10"/>
      <c r="E1213" s="10"/>
      <c r="F1213" s="10"/>
      <c r="G1213" s="10"/>
      <c r="H1213" s="10"/>
      <c r="I1213" s="25" t="n">
        <v>4</v>
      </c>
      <c r="J1213" s="25"/>
      <c r="K1213" s="26"/>
      <c r="L1213" s="26"/>
      <c r="M1213" s="25"/>
      <c r="N1213" s="25"/>
      <c r="O1213" s="25"/>
      <c r="P1213" s="26"/>
      <c r="Q1213" s="26"/>
      <c r="R1213" s="25"/>
      <c r="S1213" s="25"/>
      <c r="T1213" s="25"/>
      <c r="U1213" s="27"/>
      <c r="V1213" s="21"/>
      <c r="W1213" s="16"/>
      <c r="X1213" s="16"/>
      <c r="Y1213" s="16"/>
    </row>
    <row r="1214" customFormat="false" ht="15.75" hidden="false" customHeight="false" outlineLevel="0" collapsed="false">
      <c r="A1214" s="9"/>
      <c r="B1214" s="10"/>
      <c r="C1214" s="11"/>
      <c r="D1214" s="10"/>
      <c r="E1214" s="10"/>
      <c r="F1214" s="10"/>
      <c r="G1214" s="10"/>
      <c r="H1214" s="10"/>
      <c r="I1214" s="12" t="n">
        <v>1</v>
      </c>
      <c r="J1214" s="12"/>
      <c r="K1214" s="13"/>
      <c r="L1214" s="13"/>
      <c r="M1214" s="12"/>
      <c r="N1214" s="12"/>
      <c r="O1214" s="12"/>
      <c r="P1214" s="13"/>
      <c r="Q1214" s="13"/>
      <c r="R1214" s="12"/>
      <c r="S1214" s="12"/>
      <c r="T1214" s="12"/>
      <c r="U1214" s="14"/>
      <c r="V1214" s="15"/>
      <c r="W1214" s="16" t="n">
        <f aca="false">A1214</f>
        <v>0</v>
      </c>
      <c r="X1214" s="17" t="e">
        <f aca="false">ifs(C1214="","",X1214="",NOW(),TRUE(),X1214)</f>
        <v>#VALUE!</v>
      </c>
      <c r="Y1214" s="17" t="e">
        <f aca="false">ifs(COUNTA(K1214:U1217)&lt;44,"",Y1214="",NOW(),TRUE(),Y1214)</f>
        <v>#VALUE!</v>
      </c>
    </row>
    <row r="1215" customFormat="false" ht="15.75" hidden="false" customHeight="false" outlineLevel="0" collapsed="false">
      <c r="A1215" s="9"/>
      <c r="B1215" s="10"/>
      <c r="C1215" s="10"/>
      <c r="D1215" s="10"/>
      <c r="E1215" s="10"/>
      <c r="F1215" s="10"/>
      <c r="G1215" s="10"/>
      <c r="H1215" s="10"/>
      <c r="I1215" s="18" t="n">
        <v>2</v>
      </c>
      <c r="J1215" s="18"/>
      <c r="K1215" s="19"/>
      <c r="L1215" s="19"/>
      <c r="M1215" s="18"/>
      <c r="N1215" s="18"/>
      <c r="O1215" s="18"/>
      <c r="P1215" s="19"/>
      <c r="Q1215" s="19"/>
      <c r="R1215" s="18"/>
      <c r="S1215" s="18"/>
      <c r="T1215" s="18"/>
      <c r="U1215" s="20"/>
      <c r="V1215" s="21"/>
      <c r="W1215" s="16"/>
      <c r="X1215" s="16"/>
      <c r="Y1215" s="16"/>
    </row>
    <row r="1216" customFormat="false" ht="15.75" hidden="false" customHeight="false" outlineLevel="0" collapsed="false">
      <c r="A1216" s="9"/>
      <c r="B1216" s="10"/>
      <c r="C1216" s="10"/>
      <c r="D1216" s="10"/>
      <c r="E1216" s="10"/>
      <c r="F1216" s="10"/>
      <c r="G1216" s="10"/>
      <c r="H1216" s="10"/>
      <c r="I1216" s="22" t="n">
        <v>3</v>
      </c>
      <c r="J1216" s="22"/>
      <c r="K1216" s="23"/>
      <c r="L1216" s="23"/>
      <c r="M1216" s="22"/>
      <c r="N1216" s="22"/>
      <c r="O1216" s="22"/>
      <c r="P1216" s="23"/>
      <c r="Q1216" s="23"/>
      <c r="R1216" s="22"/>
      <c r="S1216" s="22"/>
      <c r="T1216" s="22"/>
      <c r="U1216" s="24"/>
      <c r="V1216" s="15"/>
      <c r="W1216" s="16"/>
      <c r="X1216" s="16"/>
      <c r="Y1216" s="16"/>
    </row>
    <row r="1217" customFormat="false" ht="15.75" hidden="false" customHeight="false" outlineLevel="0" collapsed="false">
      <c r="A1217" s="9"/>
      <c r="B1217" s="10"/>
      <c r="C1217" s="10"/>
      <c r="D1217" s="10"/>
      <c r="E1217" s="10"/>
      <c r="F1217" s="10"/>
      <c r="G1217" s="10"/>
      <c r="H1217" s="10"/>
      <c r="I1217" s="25" t="n">
        <v>4</v>
      </c>
      <c r="J1217" s="25"/>
      <c r="K1217" s="26"/>
      <c r="L1217" s="26"/>
      <c r="M1217" s="25"/>
      <c r="N1217" s="25"/>
      <c r="O1217" s="25"/>
      <c r="P1217" s="26"/>
      <c r="Q1217" s="26"/>
      <c r="R1217" s="25"/>
      <c r="S1217" s="25"/>
      <c r="T1217" s="25"/>
      <c r="U1217" s="27"/>
      <c r="V1217" s="21"/>
      <c r="W1217" s="16"/>
      <c r="X1217" s="16"/>
      <c r="Y1217" s="16"/>
    </row>
    <row r="1218" customFormat="false" ht="15.75" hidden="false" customHeight="false" outlineLevel="0" collapsed="false">
      <c r="A1218" s="9"/>
      <c r="B1218" s="10"/>
      <c r="C1218" s="11"/>
      <c r="D1218" s="10"/>
      <c r="E1218" s="10"/>
      <c r="F1218" s="10"/>
      <c r="G1218" s="10"/>
      <c r="H1218" s="10"/>
      <c r="I1218" s="12" t="n">
        <v>1</v>
      </c>
      <c r="J1218" s="12"/>
      <c r="K1218" s="13"/>
      <c r="L1218" s="13"/>
      <c r="M1218" s="12"/>
      <c r="N1218" s="12"/>
      <c r="O1218" s="12"/>
      <c r="P1218" s="13"/>
      <c r="Q1218" s="13"/>
      <c r="R1218" s="12"/>
      <c r="S1218" s="12"/>
      <c r="T1218" s="12"/>
      <c r="U1218" s="14"/>
      <c r="V1218" s="15"/>
      <c r="W1218" s="16" t="n">
        <f aca="false">A1218</f>
        <v>0</v>
      </c>
      <c r="X1218" s="17" t="e">
        <f aca="false">ifs(C1218="","",X1218="",NOW(),TRUE(),X1218)</f>
        <v>#VALUE!</v>
      </c>
      <c r="Y1218" s="17" t="e">
        <f aca="false">ifs(COUNTA(K1218:U1221)&lt;44,"",Y1218="",NOW(),TRUE(),Y1218)</f>
        <v>#VALUE!</v>
      </c>
    </row>
    <row r="1219" customFormat="false" ht="15.75" hidden="false" customHeight="false" outlineLevel="0" collapsed="false">
      <c r="A1219" s="9"/>
      <c r="B1219" s="10"/>
      <c r="C1219" s="10"/>
      <c r="D1219" s="10"/>
      <c r="E1219" s="10"/>
      <c r="F1219" s="10"/>
      <c r="G1219" s="10"/>
      <c r="H1219" s="10"/>
      <c r="I1219" s="18" t="n">
        <v>2</v>
      </c>
      <c r="J1219" s="18"/>
      <c r="K1219" s="19"/>
      <c r="L1219" s="19"/>
      <c r="M1219" s="18"/>
      <c r="N1219" s="18"/>
      <c r="O1219" s="18"/>
      <c r="P1219" s="19"/>
      <c r="Q1219" s="19"/>
      <c r="R1219" s="18"/>
      <c r="S1219" s="18"/>
      <c r="T1219" s="18"/>
      <c r="U1219" s="20"/>
      <c r="V1219" s="21"/>
      <c r="W1219" s="16"/>
      <c r="X1219" s="16"/>
      <c r="Y1219" s="16"/>
    </row>
    <row r="1220" customFormat="false" ht="15.75" hidden="false" customHeight="false" outlineLevel="0" collapsed="false">
      <c r="A1220" s="9"/>
      <c r="B1220" s="10"/>
      <c r="C1220" s="10"/>
      <c r="D1220" s="10"/>
      <c r="E1220" s="10"/>
      <c r="F1220" s="10"/>
      <c r="G1220" s="10"/>
      <c r="H1220" s="10"/>
      <c r="I1220" s="22" t="n">
        <v>3</v>
      </c>
      <c r="J1220" s="22"/>
      <c r="K1220" s="23"/>
      <c r="L1220" s="23"/>
      <c r="M1220" s="22"/>
      <c r="N1220" s="22"/>
      <c r="O1220" s="22"/>
      <c r="P1220" s="23"/>
      <c r="Q1220" s="23"/>
      <c r="R1220" s="22"/>
      <c r="S1220" s="22"/>
      <c r="T1220" s="22"/>
      <c r="U1220" s="24"/>
      <c r="V1220" s="15"/>
      <c r="W1220" s="16"/>
      <c r="X1220" s="16"/>
      <c r="Y1220" s="16"/>
    </row>
    <row r="1221" customFormat="false" ht="15.75" hidden="false" customHeight="false" outlineLevel="0" collapsed="false">
      <c r="A1221" s="9"/>
      <c r="B1221" s="10"/>
      <c r="C1221" s="10"/>
      <c r="D1221" s="10"/>
      <c r="E1221" s="10"/>
      <c r="F1221" s="10"/>
      <c r="G1221" s="10"/>
      <c r="H1221" s="10"/>
      <c r="I1221" s="25" t="n">
        <v>4</v>
      </c>
      <c r="J1221" s="25"/>
      <c r="K1221" s="26"/>
      <c r="L1221" s="26"/>
      <c r="M1221" s="25"/>
      <c r="N1221" s="25"/>
      <c r="O1221" s="25"/>
      <c r="P1221" s="26"/>
      <c r="Q1221" s="26"/>
      <c r="R1221" s="25"/>
      <c r="S1221" s="25"/>
      <c r="T1221" s="25"/>
      <c r="U1221" s="27"/>
      <c r="V1221" s="21"/>
      <c r="W1221" s="16"/>
      <c r="X1221" s="16"/>
      <c r="Y1221" s="16"/>
    </row>
    <row r="1222" customFormat="false" ht="15.75" hidden="false" customHeight="false" outlineLevel="0" collapsed="false">
      <c r="A1222" s="9"/>
      <c r="B1222" s="10"/>
      <c r="C1222" s="11"/>
      <c r="D1222" s="10"/>
      <c r="E1222" s="10"/>
      <c r="F1222" s="10"/>
      <c r="G1222" s="10"/>
      <c r="H1222" s="10"/>
      <c r="I1222" s="12" t="n">
        <v>1</v>
      </c>
      <c r="J1222" s="12"/>
      <c r="K1222" s="13"/>
      <c r="L1222" s="13"/>
      <c r="M1222" s="12"/>
      <c r="N1222" s="12"/>
      <c r="O1222" s="12"/>
      <c r="P1222" s="13"/>
      <c r="Q1222" s="13"/>
      <c r="R1222" s="12"/>
      <c r="S1222" s="12"/>
      <c r="T1222" s="12"/>
      <c r="U1222" s="14"/>
      <c r="V1222" s="15"/>
      <c r="W1222" s="16" t="n">
        <f aca="false">A1222</f>
        <v>0</v>
      </c>
      <c r="X1222" s="17" t="e">
        <f aca="false">ifs(C1222="","",X1222="",NOW(),TRUE(),X1222)</f>
        <v>#VALUE!</v>
      </c>
      <c r="Y1222" s="17" t="e">
        <f aca="false">ifs(COUNTA(K1222:U1225)&lt;44,"",Y1222="",NOW(),TRUE(),Y1222)</f>
        <v>#VALUE!</v>
      </c>
    </row>
    <row r="1223" customFormat="false" ht="15.75" hidden="false" customHeight="false" outlineLevel="0" collapsed="false">
      <c r="A1223" s="9"/>
      <c r="B1223" s="10"/>
      <c r="C1223" s="10"/>
      <c r="D1223" s="10"/>
      <c r="E1223" s="10"/>
      <c r="F1223" s="10"/>
      <c r="G1223" s="10"/>
      <c r="H1223" s="10"/>
      <c r="I1223" s="18" t="n">
        <v>2</v>
      </c>
      <c r="J1223" s="18"/>
      <c r="K1223" s="19"/>
      <c r="L1223" s="19"/>
      <c r="M1223" s="18"/>
      <c r="N1223" s="18"/>
      <c r="O1223" s="18"/>
      <c r="P1223" s="19"/>
      <c r="Q1223" s="19"/>
      <c r="R1223" s="18"/>
      <c r="S1223" s="18"/>
      <c r="T1223" s="18"/>
      <c r="U1223" s="20"/>
      <c r="V1223" s="21"/>
      <c r="W1223" s="16"/>
      <c r="X1223" s="16"/>
      <c r="Y1223" s="16"/>
    </row>
    <row r="1224" customFormat="false" ht="15.75" hidden="false" customHeight="false" outlineLevel="0" collapsed="false">
      <c r="A1224" s="9"/>
      <c r="B1224" s="10"/>
      <c r="C1224" s="10"/>
      <c r="D1224" s="10"/>
      <c r="E1224" s="10"/>
      <c r="F1224" s="10"/>
      <c r="G1224" s="10"/>
      <c r="H1224" s="10"/>
      <c r="I1224" s="22" t="n">
        <v>3</v>
      </c>
      <c r="J1224" s="22"/>
      <c r="K1224" s="23"/>
      <c r="L1224" s="23"/>
      <c r="M1224" s="22"/>
      <c r="N1224" s="22"/>
      <c r="O1224" s="22"/>
      <c r="P1224" s="23"/>
      <c r="Q1224" s="23"/>
      <c r="R1224" s="22"/>
      <c r="S1224" s="22"/>
      <c r="T1224" s="22"/>
      <c r="U1224" s="24"/>
      <c r="V1224" s="15"/>
      <c r="W1224" s="16"/>
      <c r="X1224" s="16"/>
      <c r="Y1224" s="16"/>
    </row>
    <row r="1225" customFormat="false" ht="15.75" hidden="false" customHeight="false" outlineLevel="0" collapsed="false">
      <c r="A1225" s="9"/>
      <c r="B1225" s="10"/>
      <c r="C1225" s="10"/>
      <c r="D1225" s="10"/>
      <c r="E1225" s="10"/>
      <c r="F1225" s="10"/>
      <c r="G1225" s="10"/>
      <c r="H1225" s="10"/>
      <c r="I1225" s="25" t="n">
        <v>4</v>
      </c>
      <c r="J1225" s="25"/>
      <c r="K1225" s="26"/>
      <c r="L1225" s="26"/>
      <c r="M1225" s="25"/>
      <c r="N1225" s="25"/>
      <c r="O1225" s="25"/>
      <c r="P1225" s="26"/>
      <c r="Q1225" s="26"/>
      <c r="R1225" s="25"/>
      <c r="S1225" s="25"/>
      <c r="T1225" s="25"/>
      <c r="U1225" s="27"/>
      <c r="V1225" s="21"/>
      <c r="W1225" s="16"/>
      <c r="X1225" s="16"/>
      <c r="Y1225" s="16"/>
    </row>
    <row r="1226" customFormat="false" ht="15.75" hidden="false" customHeight="false" outlineLevel="0" collapsed="false">
      <c r="A1226" s="9"/>
      <c r="B1226" s="10"/>
      <c r="C1226" s="11"/>
      <c r="D1226" s="10"/>
      <c r="E1226" s="10"/>
      <c r="F1226" s="10"/>
      <c r="G1226" s="10"/>
      <c r="H1226" s="10"/>
      <c r="I1226" s="12" t="n">
        <v>1</v>
      </c>
      <c r="J1226" s="12"/>
      <c r="K1226" s="13"/>
      <c r="L1226" s="13"/>
      <c r="M1226" s="12"/>
      <c r="N1226" s="12"/>
      <c r="O1226" s="12"/>
      <c r="P1226" s="13"/>
      <c r="Q1226" s="13"/>
      <c r="R1226" s="12"/>
      <c r="S1226" s="12"/>
      <c r="T1226" s="12"/>
      <c r="U1226" s="14"/>
      <c r="V1226" s="15"/>
      <c r="W1226" s="16" t="n">
        <f aca="false">A1226</f>
        <v>0</v>
      </c>
      <c r="X1226" s="17" t="e">
        <f aca="false">ifs(C1226="","",X1226="",NOW(),TRUE(),X1226)</f>
        <v>#VALUE!</v>
      </c>
      <c r="Y1226" s="17" t="e">
        <f aca="false">ifs(COUNTA(K1226:U1229)&lt;44,"",Y1226="",NOW(),TRUE(),Y1226)</f>
        <v>#VALUE!</v>
      </c>
    </row>
    <row r="1227" customFormat="false" ht="15.75" hidden="false" customHeight="false" outlineLevel="0" collapsed="false">
      <c r="A1227" s="9"/>
      <c r="B1227" s="10"/>
      <c r="C1227" s="10"/>
      <c r="D1227" s="10"/>
      <c r="E1227" s="10"/>
      <c r="F1227" s="10"/>
      <c r="G1227" s="10"/>
      <c r="H1227" s="10"/>
      <c r="I1227" s="18" t="n">
        <v>2</v>
      </c>
      <c r="J1227" s="18"/>
      <c r="K1227" s="19"/>
      <c r="L1227" s="19"/>
      <c r="M1227" s="18"/>
      <c r="N1227" s="18"/>
      <c r="O1227" s="18"/>
      <c r="P1227" s="19"/>
      <c r="Q1227" s="19"/>
      <c r="R1227" s="18"/>
      <c r="S1227" s="18"/>
      <c r="T1227" s="18"/>
      <c r="U1227" s="20"/>
      <c r="V1227" s="21"/>
      <c r="W1227" s="16"/>
      <c r="X1227" s="16"/>
      <c r="Y1227" s="16"/>
    </row>
    <row r="1228" customFormat="false" ht="15.75" hidden="false" customHeight="false" outlineLevel="0" collapsed="false">
      <c r="A1228" s="9"/>
      <c r="B1228" s="10"/>
      <c r="C1228" s="10"/>
      <c r="D1228" s="10"/>
      <c r="E1228" s="10"/>
      <c r="F1228" s="10"/>
      <c r="G1228" s="10"/>
      <c r="H1228" s="10"/>
      <c r="I1228" s="22" t="n">
        <v>3</v>
      </c>
      <c r="J1228" s="22"/>
      <c r="K1228" s="23"/>
      <c r="L1228" s="23"/>
      <c r="M1228" s="22"/>
      <c r="N1228" s="22"/>
      <c r="O1228" s="22"/>
      <c r="P1228" s="23"/>
      <c r="Q1228" s="23"/>
      <c r="R1228" s="22"/>
      <c r="S1228" s="22"/>
      <c r="T1228" s="22"/>
      <c r="U1228" s="24"/>
      <c r="V1228" s="15"/>
      <c r="W1228" s="16"/>
      <c r="X1228" s="16"/>
      <c r="Y1228" s="16"/>
    </row>
    <row r="1229" customFormat="false" ht="15.75" hidden="false" customHeight="false" outlineLevel="0" collapsed="false">
      <c r="A1229" s="9"/>
      <c r="B1229" s="10"/>
      <c r="C1229" s="10"/>
      <c r="D1229" s="10"/>
      <c r="E1229" s="10"/>
      <c r="F1229" s="10"/>
      <c r="G1229" s="10"/>
      <c r="H1229" s="10"/>
      <c r="I1229" s="25" t="n">
        <v>4</v>
      </c>
      <c r="J1229" s="25"/>
      <c r="K1229" s="26"/>
      <c r="L1229" s="26"/>
      <c r="M1229" s="25"/>
      <c r="N1229" s="25"/>
      <c r="O1229" s="25"/>
      <c r="P1229" s="26"/>
      <c r="Q1229" s="26"/>
      <c r="R1229" s="25"/>
      <c r="S1229" s="25"/>
      <c r="T1229" s="25"/>
      <c r="U1229" s="27"/>
      <c r="V1229" s="21"/>
      <c r="W1229" s="16"/>
      <c r="X1229" s="16"/>
      <c r="Y1229" s="16"/>
    </row>
    <row r="1230" customFormat="false" ht="15.75" hidden="false" customHeight="false" outlineLevel="0" collapsed="false">
      <c r="A1230" s="9"/>
      <c r="B1230" s="10"/>
      <c r="C1230" s="11"/>
      <c r="D1230" s="10"/>
      <c r="E1230" s="10"/>
      <c r="F1230" s="10"/>
      <c r="G1230" s="10"/>
      <c r="H1230" s="10"/>
      <c r="I1230" s="12" t="n">
        <v>1</v>
      </c>
      <c r="J1230" s="12"/>
      <c r="K1230" s="13"/>
      <c r="L1230" s="13"/>
      <c r="M1230" s="12"/>
      <c r="N1230" s="12"/>
      <c r="O1230" s="12"/>
      <c r="P1230" s="13"/>
      <c r="Q1230" s="13"/>
      <c r="R1230" s="12"/>
      <c r="S1230" s="12"/>
      <c r="T1230" s="12"/>
      <c r="U1230" s="14"/>
      <c r="V1230" s="15"/>
      <c r="W1230" s="16" t="n">
        <f aca="false">A1230</f>
        <v>0</v>
      </c>
      <c r="X1230" s="17" t="e">
        <f aca="false">ifs(C1230="","",X1230="",NOW(),TRUE(),X1230)</f>
        <v>#VALUE!</v>
      </c>
      <c r="Y1230" s="17" t="e">
        <f aca="false">ifs(COUNTA(K1230:U1233)&lt;44,"",Y1230="",NOW(),TRUE(),Y1230)</f>
        <v>#VALUE!</v>
      </c>
    </row>
    <row r="1231" customFormat="false" ht="15.75" hidden="false" customHeight="false" outlineLevel="0" collapsed="false">
      <c r="A1231" s="9"/>
      <c r="B1231" s="10"/>
      <c r="C1231" s="10"/>
      <c r="D1231" s="10"/>
      <c r="E1231" s="10"/>
      <c r="F1231" s="10"/>
      <c r="G1231" s="10"/>
      <c r="H1231" s="10"/>
      <c r="I1231" s="18" t="n">
        <v>2</v>
      </c>
      <c r="J1231" s="18"/>
      <c r="K1231" s="19"/>
      <c r="L1231" s="19"/>
      <c r="M1231" s="18"/>
      <c r="N1231" s="18"/>
      <c r="O1231" s="18"/>
      <c r="P1231" s="19"/>
      <c r="Q1231" s="19"/>
      <c r="R1231" s="18"/>
      <c r="S1231" s="18"/>
      <c r="T1231" s="18"/>
      <c r="U1231" s="20"/>
      <c r="V1231" s="21"/>
      <c r="W1231" s="16"/>
      <c r="X1231" s="16"/>
      <c r="Y1231" s="16"/>
    </row>
    <row r="1232" customFormat="false" ht="15.75" hidden="false" customHeight="false" outlineLevel="0" collapsed="false">
      <c r="A1232" s="9"/>
      <c r="B1232" s="10"/>
      <c r="C1232" s="10"/>
      <c r="D1232" s="10"/>
      <c r="E1232" s="10"/>
      <c r="F1232" s="10"/>
      <c r="G1232" s="10"/>
      <c r="H1232" s="10"/>
      <c r="I1232" s="22" t="n">
        <v>3</v>
      </c>
      <c r="J1232" s="22"/>
      <c r="K1232" s="23"/>
      <c r="L1232" s="23"/>
      <c r="M1232" s="22"/>
      <c r="N1232" s="22"/>
      <c r="O1232" s="22"/>
      <c r="P1232" s="23"/>
      <c r="Q1232" s="23"/>
      <c r="R1232" s="22"/>
      <c r="S1232" s="22"/>
      <c r="T1232" s="22"/>
      <c r="U1232" s="24"/>
      <c r="V1232" s="15"/>
      <c r="W1232" s="16"/>
      <c r="X1232" s="16"/>
      <c r="Y1232" s="16"/>
    </row>
    <row r="1233" customFormat="false" ht="15.75" hidden="false" customHeight="false" outlineLevel="0" collapsed="false">
      <c r="A1233" s="9"/>
      <c r="B1233" s="10"/>
      <c r="C1233" s="10"/>
      <c r="D1233" s="10"/>
      <c r="E1233" s="10"/>
      <c r="F1233" s="10"/>
      <c r="G1233" s="10"/>
      <c r="H1233" s="10"/>
      <c r="I1233" s="25" t="n">
        <v>4</v>
      </c>
      <c r="J1233" s="25"/>
      <c r="K1233" s="26"/>
      <c r="L1233" s="26"/>
      <c r="M1233" s="25"/>
      <c r="N1233" s="25"/>
      <c r="O1233" s="25"/>
      <c r="P1233" s="26"/>
      <c r="Q1233" s="26"/>
      <c r="R1233" s="25"/>
      <c r="S1233" s="25"/>
      <c r="T1233" s="25"/>
      <c r="U1233" s="27"/>
      <c r="V1233" s="21"/>
      <c r="W1233" s="16"/>
      <c r="X1233" s="16"/>
      <c r="Y1233" s="16"/>
    </row>
    <row r="1234" customFormat="false" ht="15.75" hidden="false" customHeight="false" outlineLevel="0" collapsed="false">
      <c r="A1234" s="9"/>
      <c r="B1234" s="10"/>
      <c r="C1234" s="11"/>
      <c r="D1234" s="10"/>
      <c r="E1234" s="10"/>
      <c r="F1234" s="10"/>
      <c r="G1234" s="10"/>
      <c r="H1234" s="10"/>
      <c r="I1234" s="12" t="n">
        <v>1</v>
      </c>
      <c r="J1234" s="12"/>
      <c r="K1234" s="13"/>
      <c r="L1234" s="13"/>
      <c r="M1234" s="12"/>
      <c r="N1234" s="12"/>
      <c r="O1234" s="12"/>
      <c r="P1234" s="13"/>
      <c r="Q1234" s="13"/>
      <c r="R1234" s="12"/>
      <c r="S1234" s="12"/>
      <c r="T1234" s="12"/>
      <c r="U1234" s="14"/>
      <c r="V1234" s="15"/>
      <c r="W1234" s="16" t="n">
        <f aca="false">A1234</f>
        <v>0</v>
      </c>
      <c r="X1234" s="17" t="e">
        <f aca="false">ifs(C1234="","",X1234="",NOW(),TRUE(),X1234)</f>
        <v>#VALUE!</v>
      </c>
      <c r="Y1234" s="17" t="e">
        <f aca="false">ifs(COUNTA(K1234:U1237)&lt;44,"",Y1234="",NOW(),TRUE(),Y1234)</f>
        <v>#VALUE!</v>
      </c>
    </row>
    <row r="1235" customFormat="false" ht="15.75" hidden="false" customHeight="false" outlineLevel="0" collapsed="false">
      <c r="A1235" s="9"/>
      <c r="B1235" s="10"/>
      <c r="C1235" s="10"/>
      <c r="D1235" s="10"/>
      <c r="E1235" s="10"/>
      <c r="F1235" s="10"/>
      <c r="G1235" s="10"/>
      <c r="H1235" s="10"/>
      <c r="I1235" s="18" t="n">
        <v>2</v>
      </c>
      <c r="J1235" s="18"/>
      <c r="K1235" s="19"/>
      <c r="L1235" s="19"/>
      <c r="M1235" s="18"/>
      <c r="N1235" s="18"/>
      <c r="O1235" s="18"/>
      <c r="P1235" s="19"/>
      <c r="Q1235" s="19"/>
      <c r="R1235" s="18"/>
      <c r="S1235" s="18"/>
      <c r="T1235" s="18"/>
      <c r="U1235" s="20"/>
      <c r="V1235" s="21"/>
      <c r="W1235" s="16"/>
      <c r="X1235" s="16"/>
      <c r="Y1235" s="16"/>
    </row>
    <row r="1236" customFormat="false" ht="15.75" hidden="false" customHeight="false" outlineLevel="0" collapsed="false">
      <c r="A1236" s="9"/>
      <c r="B1236" s="10"/>
      <c r="C1236" s="10"/>
      <c r="D1236" s="10"/>
      <c r="E1236" s="10"/>
      <c r="F1236" s="10"/>
      <c r="G1236" s="10"/>
      <c r="H1236" s="10"/>
      <c r="I1236" s="22" t="n">
        <v>3</v>
      </c>
      <c r="J1236" s="22"/>
      <c r="K1236" s="23"/>
      <c r="L1236" s="23"/>
      <c r="M1236" s="22"/>
      <c r="N1236" s="22"/>
      <c r="O1236" s="22"/>
      <c r="P1236" s="23"/>
      <c r="Q1236" s="23"/>
      <c r="R1236" s="22"/>
      <c r="S1236" s="22"/>
      <c r="T1236" s="22"/>
      <c r="U1236" s="24"/>
      <c r="V1236" s="15"/>
      <c r="W1236" s="16"/>
      <c r="X1236" s="16"/>
      <c r="Y1236" s="16"/>
    </row>
    <row r="1237" customFormat="false" ht="15.75" hidden="false" customHeight="false" outlineLevel="0" collapsed="false">
      <c r="A1237" s="9"/>
      <c r="B1237" s="10"/>
      <c r="C1237" s="10"/>
      <c r="D1237" s="10"/>
      <c r="E1237" s="10"/>
      <c r="F1237" s="10"/>
      <c r="G1237" s="10"/>
      <c r="H1237" s="10"/>
      <c r="I1237" s="25" t="n">
        <v>4</v>
      </c>
      <c r="J1237" s="25"/>
      <c r="K1237" s="26"/>
      <c r="L1237" s="26"/>
      <c r="M1237" s="25"/>
      <c r="N1237" s="25"/>
      <c r="O1237" s="25"/>
      <c r="P1237" s="26"/>
      <c r="Q1237" s="26"/>
      <c r="R1237" s="25"/>
      <c r="S1237" s="25"/>
      <c r="T1237" s="25"/>
      <c r="U1237" s="27"/>
      <c r="V1237" s="21"/>
      <c r="W1237" s="16"/>
      <c r="X1237" s="16"/>
      <c r="Y1237" s="16"/>
    </row>
    <row r="1238" customFormat="false" ht="15.75" hidden="false" customHeight="false" outlineLevel="0" collapsed="false">
      <c r="A1238" s="9"/>
      <c r="B1238" s="10"/>
      <c r="C1238" s="11"/>
      <c r="D1238" s="10"/>
      <c r="E1238" s="10"/>
      <c r="F1238" s="10"/>
      <c r="G1238" s="10"/>
      <c r="H1238" s="10"/>
      <c r="I1238" s="12" t="n">
        <v>1</v>
      </c>
      <c r="J1238" s="12"/>
      <c r="K1238" s="13"/>
      <c r="L1238" s="13"/>
      <c r="M1238" s="12"/>
      <c r="N1238" s="12"/>
      <c r="O1238" s="12"/>
      <c r="P1238" s="13"/>
      <c r="Q1238" s="13"/>
      <c r="R1238" s="12"/>
      <c r="S1238" s="12"/>
      <c r="T1238" s="12"/>
      <c r="U1238" s="14"/>
      <c r="V1238" s="15"/>
      <c r="W1238" s="16" t="n">
        <f aca="false">A1238</f>
        <v>0</v>
      </c>
      <c r="X1238" s="17" t="e">
        <f aca="false">ifs(C1238="","",X1238="",NOW(),TRUE(),X1238)</f>
        <v>#VALUE!</v>
      </c>
      <c r="Y1238" s="17" t="e">
        <f aca="false">ifs(COUNTA(K1238:U1241)&lt;44,"",Y1238="",NOW(),TRUE(),Y1238)</f>
        <v>#VALUE!</v>
      </c>
    </row>
    <row r="1239" customFormat="false" ht="15.75" hidden="false" customHeight="false" outlineLevel="0" collapsed="false">
      <c r="A1239" s="9"/>
      <c r="B1239" s="10"/>
      <c r="C1239" s="10"/>
      <c r="D1239" s="10"/>
      <c r="E1239" s="10"/>
      <c r="F1239" s="10"/>
      <c r="G1239" s="10"/>
      <c r="H1239" s="10"/>
      <c r="I1239" s="18" t="n">
        <v>2</v>
      </c>
      <c r="J1239" s="18"/>
      <c r="K1239" s="19"/>
      <c r="L1239" s="19"/>
      <c r="M1239" s="18"/>
      <c r="N1239" s="18"/>
      <c r="O1239" s="18"/>
      <c r="P1239" s="19"/>
      <c r="Q1239" s="19"/>
      <c r="R1239" s="18"/>
      <c r="S1239" s="18"/>
      <c r="T1239" s="18"/>
      <c r="U1239" s="20"/>
      <c r="V1239" s="21"/>
      <c r="W1239" s="16"/>
      <c r="X1239" s="16"/>
      <c r="Y1239" s="16"/>
    </row>
    <row r="1240" customFormat="false" ht="15.75" hidden="false" customHeight="false" outlineLevel="0" collapsed="false">
      <c r="A1240" s="9"/>
      <c r="B1240" s="10"/>
      <c r="C1240" s="10"/>
      <c r="D1240" s="10"/>
      <c r="E1240" s="10"/>
      <c r="F1240" s="10"/>
      <c r="G1240" s="10"/>
      <c r="H1240" s="10"/>
      <c r="I1240" s="22" t="n">
        <v>3</v>
      </c>
      <c r="J1240" s="22"/>
      <c r="K1240" s="23"/>
      <c r="L1240" s="23"/>
      <c r="M1240" s="22"/>
      <c r="N1240" s="22"/>
      <c r="O1240" s="22"/>
      <c r="P1240" s="23"/>
      <c r="Q1240" s="23"/>
      <c r="R1240" s="22"/>
      <c r="S1240" s="22"/>
      <c r="T1240" s="22"/>
      <c r="U1240" s="24"/>
      <c r="V1240" s="15"/>
      <c r="W1240" s="16"/>
      <c r="X1240" s="16"/>
      <c r="Y1240" s="16"/>
    </row>
    <row r="1241" customFormat="false" ht="15.75" hidden="false" customHeight="false" outlineLevel="0" collapsed="false">
      <c r="A1241" s="9"/>
      <c r="B1241" s="10"/>
      <c r="C1241" s="10"/>
      <c r="D1241" s="10"/>
      <c r="E1241" s="10"/>
      <c r="F1241" s="10"/>
      <c r="G1241" s="10"/>
      <c r="H1241" s="10"/>
      <c r="I1241" s="25" t="n">
        <v>4</v>
      </c>
      <c r="J1241" s="25"/>
      <c r="K1241" s="26"/>
      <c r="L1241" s="26"/>
      <c r="M1241" s="25"/>
      <c r="N1241" s="25"/>
      <c r="O1241" s="25"/>
      <c r="P1241" s="26"/>
      <c r="Q1241" s="26"/>
      <c r="R1241" s="25"/>
      <c r="S1241" s="25"/>
      <c r="T1241" s="25"/>
      <c r="U1241" s="27"/>
      <c r="V1241" s="21"/>
      <c r="W1241" s="16"/>
      <c r="X1241" s="16"/>
      <c r="Y1241" s="16"/>
    </row>
    <row r="1242" customFormat="false" ht="15.75" hidden="false" customHeight="false" outlineLevel="0" collapsed="false">
      <c r="A1242" s="9"/>
      <c r="B1242" s="10"/>
      <c r="C1242" s="11"/>
      <c r="D1242" s="10"/>
      <c r="E1242" s="10"/>
      <c r="F1242" s="10"/>
      <c r="G1242" s="10"/>
      <c r="H1242" s="10"/>
      <c r="I1242" s="12" t="n">
        <v>1</v>
      </c>
      <c r="J1242" s="12"/>
      <c r="K1242" s="13"/>
      <c r="L1242" s="13"/>
      <c r="M1242" s="12"/>
      <c r="N1242" s="12"/>
      <c r="O1242" s="12"/>
      <c r="P1242" s="13"/>
      <c r="Q1242" s="13"/>
      <c r="R1242" s="12"/>
      <c r="S1242" s="12"/>
      <c r="T1242" s="12"/>
      <c r="U1242" s="14"/>
      <c r="V1242" s="15"/>
      <c r="W1242" s="16" t="n">
        <f aca="false">A1242</f>
        <v>0</v>
      </c>
      <c r="X1242" s="17" t="e">
        <f aca="false">ifs(C1242="","",X1242="",NOW(),TRUE(),X1242)</f>
        <v>#VALUE!</v>
      </c>
      <c r="Y1242" s="17" t="e">
        <f aca="false">ifs(COUNTA(K1242:U1245)&lt;44,"",Y1242="",NOW(),TRUE(),Y1242)</f>
        <v>#VALUE!</v>
      </c>
    </row>
    <row r="1243" customFormat="false" ht="15.75" hidden="false" customHeight="false" outlineLevel="0" collapsed="false">
      <c r="A1243" s="9"/>
      <c r="B1243" s="10"/>
      <c r="C1243" s="10"/>
      <c r="D1243" s="10"/>
      <c r="E1243" s="10"/>
      <c r="F1243" s="10"/>
      <c r="G1243" s="10"/>
      <c r="H1243" s="10"/>
      <c r="I1243" s="18" t="n">
        <v>2</v>
      </c>
      <c r="J1243" s="18"/>
      <c r="K1243" s="19"/>
      <c r="L1243" s="19"/>
      <c r="M1243" s="18"/>
      <c r="N1243" s="18"/>
      <c r="O1243" s="18"/>
      <c r="P1243" s="19"/>
      <c r="Q1243" s="19"/>
      <c r="R1243" s="18"/>
      <c r="S1243" s="18"/>
      <c r="T1243" s="18"/>
      <c r="U1243" s="20"/>
      <c r="V1243" s="21"/>
      <c r="W1243" s="16"/>
      <c r="X1243" s="16"/>
      <c r="Y1243" s="16"/>
    </row>
    <row r="1244" customFormat="false" ht="15.75" hidden="false" customHeight="false" outlineLevel="0" collapsed="false">
      <c r="A1244" s="9"/>
      <c r="B1244" s="10"/>
      <c r="C1244" s="10"/>
      <c r="D1244" s="10"/>
      <c r="E1244" s="10"/>
      <c r="F1244" s="10"/>
      <c r="G1244" s="10"/>
      <c r="H1244" s="10"/>
      <c r="I1244" s="22" t="n">
        <v>3</v>
      </c>
      <c r="J1244" s="22"/>
      <c r="K1244" s="23"/>
      <c r="L1244" s="23"/>
      <c r="M1244" s="22"/>
      <c r="N1244" s="22"/>
      <c r="O1244" s="22"/>
      <c r="P1244" s="23"/>
      <c r="Q1244" s="23"/>
      <c r="R1244" s="22"/>
      <c r="S1244" s="22"/>
      <c r="T1244" s="22"/>
      <c r="U1244" s="24"/>
      <c r="V1244" s="15"/>
      <c r="W1244" s="16"/>
      <c r="X1244" s="16"/>
      <c r="Y1244" s="16"/>
    </row>
    <row r="1245" customFormat="false" ht="15.75" hidden="false" customHeight="false" outlineLevel="0" collapsed="false">
      <c r="A1245" s="9"/>
      <c r="B1245" s="10"/>
      <c r="C1245" s="10"/>
      <c r="D1245" s="10"/>
      <c r="E1245" s="10"/>
      <c r="F1245" s="10"/>
      <c r="G1245" s="10"/>
      <c r="H1245" s="10"/>
      <c r="I1245" s="25" t="n">
        <v>4</v>
      </c>
      <c r="J1245" s="25"/>
      <c r="K1245" s="26"/>
      <c r="L1245" s="26"/>
      <c r="M1245" s="25"/>
      <c r="N1245" s="25"/>
      <c r="O1245" s="25"/>
      <c r="P1245" s="26"/>
      <c r="Q1245" s="26"/>
      <c r="R1245" s="25"/>
      <c r="S1245" s="25"/>
      <c r="T1245" s="25"/>
      <c r="U1245" s="27"/>
      <c r="V1245" s="21"/>
      <c r="W1245" s="16"/>
      <c r="X1245" s="16"/>
      <c r="Y1245" s="16"/>
    </row>
    <row r="1246" customFormat="false" ht="15.75" hidden="false" customHeight="false" outlineLevel="0" collapsed="false">
      <c r="A1246" s="9"/>
      <c r="B1246" s="10"/>
      <c r="C1246" s="11"/>
      <c r="D1246" s="10"/>
      <c r="E1246" s="10"/>
      <c r="F1246" s="10"/>
      <c r="G1246" s="10"/>
      <c r="H1246" s="10"/>
      <c r="I1246" s="12" t="n">
        <v>1</v>
      </c>
      <c r="J1246" s="12"/>
      <c r="K1246" s="13"/>
      <c r="L1246" s="13"/>
      <c r="M1246" s="12"/>
      <c r="N1246" s="12"/>
      <c r="O1246" s="12"/>
      <c r="P1246" s="13"/>
      <c r="Q1246" s="13"/>
      <c r="R1246" s="12"/>
      <c r="S1246" s="12"/>
      <c r="T1246" s="12"/>
      <c r="U1246" s="14"/>
      <c r="V1246" s="15"/>
      <c r="W1246" s="16" t="n">
        <f aca="false">A1246</f>
        <v>0</v>
      </c>
      <c r="X1246" s="17" t="e">
        <f aca="false">ifs(C1246="","",X1246="",NOW(),TRUE(),X1246)</f>
        <v>#VALUE!</v>
      </c>
      <c r="Y1246" s="17" t="e">
        <f aca="false">ifs(COUNTA(K1246:U1249)&lt;44,"",Y1246="",NOW(),TRUE(),Y1246)</f>
        <v>#VALUE!</v>
      </c>
    </row>
    <row r="1247" customFormat="false" ht="15.75" hidden="false" customHeight="false" outlineLevel="0" collapsed="false">
      <c r="A1247" s="9"/>
      <c r="B1247" s="10"/>
      <c r="C1247" s="10"/>
      <c r="D1247" s="10"/>
      <c r="E1247" s="10"/>
      <c r="F1247" s="10"/>
      <c r="G1247" s="10"/>
      <c r="H1247" s="10"/>
      <c r="I1247" s="18" t="n">
        <v>2</v>
      </c>
      <c r="J1247" s="18"/>
      <c r="K1247" s="19"/>
      <c r="L1247" s="19"/>
      <c r="M1247" s="18"/>
      <c r="N1247" s="18"/>
      <c r="O1247" s="18"/>
      <c r="P1247" s="19"/>
      <c r="Q1247" s="19"/>
      <c r="R1247" s="18"/>
      <c r="S1247" s="18"/>
      <c r="T1247" s="18"/>
      <c r="U1247" s="20"/>
      <c r="V1247" s="21"/>
      <c r="W1247" s="16"/>
      <c r="X1247" s="16"/>
      <c r="Y1247" s="16"/>
    </row>
    <row r="1248" customFormat="false" ht="15.75" hidden="false" customHeight="false" outlineLevel="0" collapsed="false">
      <c r="A1248" s="9"/>
      <c r="B1248" s="10"/>
      <c r="C1248" s="10"/>
      <c r="D1248" s="10"/>
      <c r="E1248" s="10"/>
      <c r="F1248" s="10"/>
      <c r="G1248" s="10"/>
      <c r="H1248" s="10"/>
      <c r="I1248" s="22" t="n">
        <v>3</v>
      </c>
      <c r="J1248" s="22"/>
      <c r="K1248" s="23"/>
      <c r="L1248" s="23"/>
      <c r="M1248" s="22"/>
      <c r="N1248" s="22"/>
      <c r="O1248" s="22"/>
      <c r="P1248" s="23"/>
      <c r="Q1248" s="23"/>
      <c r="R1248" s="22"/>
      <c r="S1248" s="22"/>
      <c r="T1248" s="22"/>
      <c r="U1248" s="24"/>
      <c r="V1248" s="15"/>
      <c r="W1248" s="16"/>
      <c r="X1248" s="16"/>
      <c r="Y1248" s="16"/>
    </row>
    <row r="1249" customFormat="false" ht="15.75" hidden="false" customHeight="false" outlineLevel="0" collapsed="false">
      <c r="A1249" s="9"/>
      <c r="B1249" s="10"/>
      <c r="C1249" s="10"/>
      <c r="D1249" s="10"/>
      <c r="E1249" s="10"/>
      <c r="F1249" s="10"/>
      <c r="G1249" s="10"/>
      <c r="H1249" s="10"/>
      <c r="I1249" s="25" t="n">
        <v>4</v>
      </c>
      <c r="J1249" s="25"/>
      <c r="K1249" s="26"/>
      <c r="L1249" s="26"/>
      <c r="M1249" s="25"/>
      <c r="N1249" s="25"/>
      <c r="O1249" s="25"/>
      <c r="P1249" s="26"/>
      <c r="Q1249" s="26"/>
      <c r="R1249" s="25"/>
      <c r="S1249" s="25"/>
      <c r="T1249" s="25"/>
      <c r="U1249" s="27"/>
      <c r="V1249" s="21"/>
      <c r="W1249" s="16"/>
      <c r="X1249" s="16"/>
      <c r="Y1249" s="16"/>
    </row>
    <row r="1250" customFormat="false" ht="15.75" hidden="false" customHeight="false" outlineLevel="0" collapsed="false">
      <c r="A1250" s="9"/>
      <c r="B1250" s="10"/>
      <c r="C1250" s="11"/>
      <c r="D1250" s="10"/>
      <c r="E1250" s="10"/>
      <c r="F1250" s="10"/>
      <c r="G1250" s="10"/>
      <c r="H1250" s="10"/>
      <c r="I1250" s="12" t="n">
        <v>1</v>
      </c>
      <c r="J1250" s="12"/>
      <c r="K1250" s="13"/>
      <c r="L1250" s="13"/>
      <c r="M1250" s="12"/>
      <c r="N1250" s="12"/>
      <c r="O1250" s="12"/>
      <c r="P1250" s="13"/>
      <c r="Q1250" s="13"/>
      <c r="R1250" s="12"/>
      <c r="S1250" s="12"/>
      <c r="T1250" s="12"/>
      <c r="U1250" s="14"/>
      <c r="V1250" s="15"/>
      <c r="W1250" s="16" t="n">
        <f aca="false">A1250</f>
        <v>0</v>
      </c>
      <c r="X1250" s="17" t="e">
        <f aca="false">ifs(C1250="","",X1250="",NOW(),TRUE(),X1250)</f>
        <v>#VALUE!</v>
      </c>
      <c r="Y1250" s="17" t="e">
        <f aca="false">ifs(COUNTA(K1250:U1253)&lt;44,"",Y1250="",NOW(),TRUE(),Y1250)</f>
        <v>#VALUE!</v>
      </c>
    </row>
    <row r="1251" customFormat="false" ht="15.75" hidden="false" customHeight="false" outlineLevel="0" collapsed="false">
      <c r="A1251" s="9"/>
      <c r="B1251" s="10"/>
      <c r="C1251" s="10"/>
      <c r="D1251" s="10"/>
      <c r="E1251" s="10"/>
      <c r="F1251" s="10"/>
      <c r="G1251" s="10"/>
      <c r="H1251" s="10"/>
      <c r="I1251" s="18" t="n">
        <v>2</v>
      </c>
      <c r="J1251" s="18"/>
      <c r="K1251" s="19"/>
      <c r="L1251" s="19"/>
      <c r="M1251" s="18"/>
      <c r="N1251" s="18"/>
      <c r="O1251" s="18"/>
      <c r="P1251" s="19"/>
      <c r="Q1251" s="19"/>
      <c r="R1251" s="18"/>
      <c r="S1251" s="18"/>
      <c r="T1251" s="18"/>
      <c r="U1251" s="20"/>
      <c r="V1251" s="21"/>
      <c r="W1251" s="16"/>
      <c r="X1251" s="16"/>
      <c r="Y1251" s="16"/>
    </row>
    <row r="1252" customFormat="false" ht="15.75" hidden="false" customHeight="false" outlineLevel="0" collapsed="false">
      <c r="A1252" s="9"/>
      <c r="B1252" s="10"/>
      <c r="C1252" s="10"/>
      <c r="D1252" s="10"/>
      <c r="E1252" s="10"/>
      <c r="F1252" s="10"/>
      <c r="G1252" s="10"/>
      <c r="H1252" s="10"/>
      <c r="I1252" s="22" t="n">
        <v>3</v>
      </c>
      <c r="J1252" s="22"/>
      <c r="K1252" s="23"/>
      <c r="L1252" s="23"/>
      <c r="M1252" s="22"/>
      <c r="N1252" s="22"/>
      <c r="O1252" s="22"/>
      <c r="P1252" s="23"/>
      <c r="Q1252" s="23"/>
      <c r="R1252" s="22"/>
      <c r="S1252" s="22"/>
      <c r="T1252" s="22"/>
      <c r="U1252" s="24"/>
      <c r="V1252" s="15"/>
      <c r="W1252" s="16"/>
      <c r="X1252" s="16"/>
      <c r="Y1252" s="16"/>
    </row>
    <row r="1253" customFormat="false" ht="15.75" hidden="false" customHeight="false" outlineLevel="0" collapsed="false">
      <c r="A1253" s="9"/>
      <c r="B1253" s="10"/>
      <c r="C1253" s="10"/>
      <c r="D1253" s="10"/>
      <c r="E1253" s="10"/>
      <c r="F1253" s="10"/>
      <c r="G1253" s="10"/>
      <c r="H1253" s="10"/>
      <c r="I1253" s="25" t="n">
        <v>4</v>
      </c>
      <c r="J1253" s="25"/>
      <c r="K1253" s="26"/>
      <c r="L1253" s="26"/>
      <c r="M1253" s="25"/>
      <c r="N1253" s="25"/>
      <c r="O1253" s="25"/>
      <c r="P1253" s="26"/>
      <c r="Q1253" s="26"/>
      <c r="R1253" s="25"/>
      <c r="S1253" s="25"/>
      <c r="T1253" s="25"/>
      <c r="U1253" s="27"/>
      <c r="V1253" s="21"/>
      <c r="W1253" s="16"/>
      <c r="X1253" s="16"/>
      <c r="Y1253" s="16"/>
    </row>
    <row r="1254" customFormat="false" ht="15.75" hidden="false" customHeight="false" outlineLevel="0" collapsed="false">
      <c r="A1254" s="9"/>
      <c r="B1254" s="10"/>
      <c r="C1254" s="11"/>
      <c r="D1254" s="10"/>
      <c r="E1254" s="10"/>
      <c r="F1254" s="10"/>
      <c r="G1254" s="10"/>
      <c r="H1254" s="10"/>
      <c r="I1254" s="12" t="n">
        <v>1</v>
      </c>
      <c r="J1254" s="12"/>
      <c r="K1254" s="13"/>
      <c r="L1254" s="13"/>
      <c r="M1254" s="12"/>
      <c r="N1254" s="12"/>
      <c r="O1254" s="12"/>
      <c r="P1254" s="13"/>
      <c r="Q1254" s="13"/>
      <c r="R1254" s="12"/>
      <c r="S1254" s="12"/>
      <c r="T1254" s="12"/>
      <c r="U1254" s="14"/>
      <c r="V1254" s="15"/>
      <c r="W1254" s="16" t="n">
        <f aca="false">A1254</f>
        <v>0</v>
      </c>
      <c r="X1254" s="17" t="e">
        <f aca="false">ifs(C1254="","",X1254="",NOW(),TRUE(),X1254)</f>
        <v>#VALUE!</v>
      </c>
      <c r="Y1254" s="17" t="e">
        <f aca="false">ifs(COUNTA(K1254:U1257)&lt;44,"",Y1254="",NOW(),TRUE(),Y1254)</f>
        <v>#VALUE!</v>
      </c>
    </row>
    <row r="1255" customFormat="false" ht="15.75" hidden="false" customHeight="false" outlineLevel="0" collapsed="false">
      <c r="A1255" s="9"/>
      <c r="B1255" s="10"/>
      <c r="C1255" s="10"/>
      <c r="D1255" s="10"/>
      <c r="E1255" s="10"/>
      <c r="F1255" s="10"/>
      <c r="G1255" s="10"/>
      <c r="H1255" s="10"/>
      <c r="I1255" s="18" t="n">
        <v>2</v>
      </c>
      <c r="J1255" s="18"/>
      <c r="K1255" s="19"/>
      <c r="L1255" s="19"/>
      <c r="M1255" s="18"/>
      <c r="N1255" s="18"/>
      <c r="O1255" s="18"/>
      <c r="P1255" s="19"/>
      <c r="Q1255" s="19"/>
      <c r="R1255" s="18"/>
      <c r="S1255" s="18"/>
      <c r="T1255" s="18"/>
      <c r="U1255" s="20"/>
      <c r="V1255" s="21"/>
      <c r="W1255" s="16"/>
      <c r="X1255" s="16"/>
      <c r="Y1255" s="16"/>
    </row>
    <row r="1256" customFormat="false" ht="15.75" hidden="false" customHeight="false" outlineLevel="0" collapsed="false">
      <c r="A1256" s="9"/>
      <c r="B1256" s="10"/>
      <c r="C1256" s="10"/>
      <c r="D1256" s="10"/>
      <c r="E1256" s="10"/>
      <c r="F1256" s="10"/>
      <c r="G1256" s="10"/>
      <c r="H1256" s="10"/>
      <c r="I1256" s="22" t="n">
        <v>3</v>
      </c>
      <c r="J1256" s="22"/>
      <c r="K1256" s="23"/>
      <c r="L1256" s="23"/>
      <c r="M1256" s="22"/>
      <c r="N1256" s="22"/>
      <c r="O1256" s="22"/>
      <c r="P1256" s="23"/>
      <c r="Q1256" s="23"/>
      <c r="R1256" s="22"/>
      <c r="S1256" s="22"/>
      <c r="T1256" s="22"/>
      <c r="U1256" s="24"/>
      <c r="V1256" s="15"/>
      <c r="W1256" s="16"/>
      <c r="X1256" s="16"/>
      <c r="Y1256" s="16"/>
    </row>
    <row r="1257" customFormat="false" ht="15.75" hidden="false" customHeight="false" outlineLevel="0" collapsed="false">
      <c r="A1257" s="9"/>
      <c r="B1257" s="10"/>
      <c r="C1257" s="10"/>
      <c r="D1257" s="10"/>
      <c r="E1257" s="10"/>
      <c r="F1257" s="10"/>
      <c r="G1257" s="10"/>
      <c r="H1257" s="10"/>
      <c r="I1257" s="25" t="n">
        <v>4</v>
      </c>
      <c r="J1257" s="25"/>
      <c r="K1257" s="26"/>
      <c r="L1257" s="26"/>
      <c r="M1257" s="25"/>
      <c r="N1257" s="25"/>
      <c r="O1257" s="25"/>
      <c r="P1257" s="26"/>
      <c r="Q1257" s="26"/>
      <c r="R1257" s="25"/>
      <c r="S1257" s="25"/>
      <c r="T1257" s="25"/>
      <c r="U1257" s="27"/>
      <c r="V1257" s="21"/>
      <c r="W1257" s="16"/>
      <c r="X1257" s="16"/>
      <c r="Y1257" s="16"/>
    </row>
    <row r="1258" customFormat="false" ht="15.75" hidden="false" customHeight="false" outlineLevel="0" collapsed="false">
      <c r="A1258" s="9"/>
      <c r="B1258" s="10"/>
      <c r="C1258" s="11"/>
      <c r="D1258" s="10"/>
      <c r="E1258" s="10"/>
      <c r="F1258" s="10"/>
      <c r="G1258" s="10"/>
      <c r="H1258" s="10"/>
      <c r="I1258" s="12" t="n">
        <v>1</v>
      </c>
      <c r="J1258" s="12"/>
      <c r="K1258" s="13"/>
      <c r="L1258" s="13"/>
      <c r="M1258" s="12"/>
      <c r="N1258" s="12"/>
      <c r="O1258" s="12"/>
      <c r="P1258" s="13"/>
      <c r="Q1258" s="13"/>
      <c r="R1258" s="12"/>
      <c r="S1258" s="12"/>
      <c r="T1258" s="12"/>
      <c r="U1258" s="14"/>
      <c r="V1258" s="15"/>
      <c r="W1258" s="16" t="n">
        <f aca="false">A1258</f>
        <v>0</v>
      </c>
      <c r="X1258" s="17" t="e">
        <f aca="false">ifs(C1258="","",X1258="",NOW(),TRUE(),X1258)</f>
        <v>#VALUE!</v>
      </c>
      <c r="Y1258" s="17" t="e">
        <f aca="false">ifs(COUNTA(K1258:U1261)&lt;44,"",Y1258="",NOW(),TRUE(),Y1258)</f>
        <v>#VALUE!</v>
      </c>
    </row>
    <row r="1259" customFormat="false" ht="15.75" hidden="false" customHeight="false" outlineLevel="0" collapsed="false">
      <c r="A1259" s="9"/>
      <c r="B1259" s="10"/>
      <c r="C1259" s="10"/>
      <c r="D1259" s="10"/>
      <c r="E1259" s="10"/>
      <c r="F1259" s="10"/>
      <c r="G1259" s="10"/>
      <c r="H1259" s="10"/>
      <c r="I1259" s="18" t="n">
        <v>2</v>
      </c>
      <c r="J1259" s="18"/>
      <c r="K1259" s="19"/>
      <c r="L1259" s="19"/>
      <c r="M1259" s="18"/>
      <c r="N1259" s="18"/>
      <c r="O1259" s="18"/>
      <c r="P1259" s="19"/>
      <c r="Q1259" s="19"/>
      <c r="R1259" s="18"/>
      <c r="S1259" s="18"/>
      <c r="T1259" s="18"/>
      <c r="U1259" s="20"/>
      <c r="V1259" s="21"/>
      <c r="W1259" s="16"/>
      <c r="X1259" s="16"/>
      <c r="Y1259" s="16"/>
    </row>
    <row r="1260" customFormat="false" ht="15.75" hidden="false" customHeight="false" outlineLevel="0" collapsed="false">
      <c r="A1260" s="9"/>
      <c r="B1260" s="10"/>
      <c r="C1260" s="10"/>
      <c r="D1260" s="10"/>
      <c r="E1260" s="10"/>
      <c r="F1260" s="10"/>
      <c r="G1260" s="10"/>
      <c r="H1260" s="10"/>
      <c r="I1260" s="22" t="n">
        <v>3</v>
      </c>
      <c r="J1260" s="22"/>
      <c r="K1260" s="23"/>
      <c r="L1260" s="23"/>
      <c r="M1260" s="22"/>
      <c r="N1260" s="22"/>
      <c r="O1260" s="22"/>
      <c r="P1260" s="23"/>
      <c r="Q1260" s="23"/>
      <c r="R1260" s="22"/>
      <c r="S1260" s="22"/>
      <c r="T1260" s="22"/>
      <c r="U1260" s="24"/>
      <c r="V1260" s="15"/>
      <c r="W1260" s="16"/>
      <c r="X1260" s="16"/>
      <c r="Y1260" s="16"/>
    </row>
    <row r="1261" customFormat="false" ht="15.75" hidden="false" customHeight="false" outlineLevel="0" collapsed="false">
      <c r="A1261" s="9"/>
      <c r="B1261" s="10"/>
      <c r="C1261" s="10"/>
      <c r="D1261" s="10"/>
      <c r="E1261" s="10"/>
      <c r="F1261" s="10"/>
      <c r="G1261" s="10"/>
      <c r="H1261" s="10"/>
      <c r="I1261" s="25" t="n">
        <v>4</v>
      </c>
      <c r="J1261" s="25"/>
      <c r="K1261" s="26"/>
      <c r="L1261" s="26"/>
      <c r="M1261" s="25"/>
      <c r="N1261" s="25"/>
      <c r="O1261" s="25"/>
      <c r="P1261" s="26"/>
      <c r="Q1261" s="26"/>
      <c r="R1261" s="25"/>
      <c r="S1261" s="25"/>
      <c r="T1261" s="25"/>
      <c r="U1261" s="27"/>
      <c r="V1261" s="21"/>
      <c r="W1261" s="16"/>
      <c r="X1261" s="16"/>
      <c r="Y1261" s="16"/>
    </row>
    <row r="1262" customFormat="false" ht="15.75" hidden="false" customHeight="false" outlineLevel="0" collapsed="false">
      <c r="A1262" s="9"/>
      <c r="B1262" s="10"/>
      <c r="C1262" s="11"/>
      <c r="D1262" s="10"/>
      <c r="E1262" s="10"/>
      <c r="F1262" s="10"/>
      <c r="G1262" s="10"/>
      <c r="H1262" s="10"/>
      <c r="I1262" s="12" t="n">
        <v>1</v>
      </c>
      <c r="J1262" s="12"/>
      <c r="K1262" s="13"/>
      <c r="L1262" s="13"/>
      <c r="M1262" s="12"/>
      <c r="N1262" s="12"/>
      <c r="O1262" s="12"/>
      <c r="P1262" s="13"/>
      <c r="Q1262" s="13"/>
      <c r="R1262" s="12"/>
      <c r="S1262" s="12"/>
      <c r="T1262" s="12"/>
      <c r="U1262" s="14"/>
      <c r="V1262" s="15"/>
      <c r="W1262" s="16" t="n">
        <f aca="false">A1262</f>
        <v>0</v>
      </c>
      <c r="X1262" s="17" t="e">
        <f aca="false">ifs(C1262="","",X1262="",NOW(),TRUE(),X1262)</f>
        <v>#VALUE!</v>
      </c>
      <c r="Y1262" s="17" t="e">
        <f aca="false">ifs(COUNTA(K1262:U1265)&lt;44,"",Y1262="",NOW(),TRUE(),Y1262)</f>
        <v>#VALUE!</v>
      </c>
    </row>
    <row r="1263" customFormat="false" ht="15.75" hidden="false" customHeight="false" outlineLevel="0" collapsed="false">
      <c r="A1263" s="9"/>
      <c r="B1263" s="10"/>
      <c r="C1263" s="10"/>
      <c r="D1263" s="10"/>
      <c r="E1263" s="10"/>
      <c r="F1263" s="10"/>
      <c r="G1263" s="10"/>
      <c r="H1263" s="10"/>
      <c r="I1263" s="18" t="n">
        <v>2</v>
      </c>
      <c r="J1263" s="18"/>
      <c r="K1263" s="19"/>
      <c r="L1263" s="19"/>
      <c r="M1263" s="18"/>
      <c r="N1263" s="18"/>
      <c r="O1263" s="18"/>
      <c r="P1263" s="19"/>
      <c r="Q1263" s="19"/>
      <c r="R1263" s="18"/>
      <c r="S1263" s="18"/>
      <c r="T1263" s="18"/>
      <c r="U1263" s="20"/>
      <c r="V1263" s="21"/>
      <c r="W1263" s="16"/>
      <c r="X1263" s="16"/>
      <c r="Y1263" s="16"/>
    </row>
    <row r="1264" customFormat="false" ht="15.75" hidden="false" customHeight="false" outlineLevel="0" collapsed="false">
      <c r="A1264" s="9"/>
      <c r="B1264" s="10"/>
      <c r="C1264" s="10"/>
      <c r="D1264" s="10"/>
      <c r="E1264" s="10"/>
      <c r="F1264" s="10"/>
      <c r="G1264" s="10"/>
      <c r="H1264" s="10"/>
      <c r="I1264" s="22" t="n">
        <v>3</v>
      </c>
      <c r="J1264" s="22"/>
      <c r="K1264" s="23"/>
      <c r="L1264" s="23"/>
      <c r="M1264" s="22"/>
      <c r="N1264" s="22"/>
      <c r="O1264" s="22"/>
      <c r="P1264" s="23"/>
      <c r="Q1264" s="23"/>
      <c r="R1264" s="22"/>
      <c r="S1264" s="22"/>
      <c r="T1264" s="22"/>
      <c r="U1264" s="24"/>
      <c r="V1264" s="15"/>
      <c r="W1264" s="16"/>
      <c r="X1264" s="16"/>
      <c r="Y1264" s="16"/>
    </row>
    <row r="1265" customFormat="false" ht="15.75" hidden="false" customHeight="false" outlineLevel="0" collapsed="false">
      <c r="A1265" s="9"/>
      <c r="B1265" s="10"/>
      <c r="C1265" s="10"/>
      <c r="D1265" s="10"/>
      <c r="E1265" s="10"/>
      <c r="F1265" s="10"/>
      <c r="G1265" s="10"/>
      <c r="H1265" s="10"/>
      <c r="I1265" s="25" t="n">
        <v>4</v>
      </c>
      <c r="J1265" s="25"/>
      <c r="K1265" s="26"/>
      <c r="L1265" s="26"/>
      <c r="M1265" s="25"/>
      <c r="N1265" s="25"/>
      <c r="O1265" s="25"/>
      <c r="P1265" s="26"/>
      <c r="Q1265" s="26"/>
      <c r="R1265" s="25"/>
      <c r="S1265" s="25"/>
      <c r="T1265" s="25"/>
      <c r="U1265" s="27"/>
      <c r="V1265" s="21"/>
      <c r="W1265" s="16"/>
      <c r="X1265" s="16"/>
      <c r="Y1265" s="16"/>
    </row>
    <row r="1266" customFormat="false" ht="15.75" hidden="false" customHeight="false" outlineLevel="0" collapsed="false">
      <c r="A1266" s="9"/>
      <c r="B1266" s="10"/>
      <c r="C1266" s="11"/>
      <c r="D1266" s="10"/>
      <c r="E1266" s="10"/>
      <c r="F1266" s="10"/>
      <c r="G1266" s="10"/>
      <c r="H1266" s="10"/>
      <c r="I1266" s="12" t="n">
        <v>1</v>
      </c>
      <c r="J1266" s="12"/>
      <c r="K1266" s="13"/>
      <c r="L1266" s="13"/>
      <c r="M1266" s="12"/>
      <c r="N1266" s="12"/>
      <c r="O1266" s="12"/>
      <c r="P1266" s="13"/>
      <c r="Q1266" s="13"/>
      <c r="R1266" s="12"/>
      <c r="S1266" s="12"/>
      <c r="T1266" s="12"/>
      <c r="U1266" s="14"/>
      <c r="V1266" s="15"/>
      <c r="W1266" s="16" t="n">
        <f aca="false">A1266</f>
        <v>0</v>
      </c>
      <c r="X1266" s="17" t="e">
        <f aca="false">ifs(C1266="","",X1266="",NOW(),TRUE(),X1266)</f>
        <v>#VALUE!</v>
      </c>
      <c r="Y1266" s="17" t="e">
        <f aca="false">ifs(COUNTA(K1266:U1269)&lt;44,"",Y1266="",NOW(),TRUE(),Y1266)</f>
        <v>#VALUE!</v>
      </c>
    </row>
    <row r="1267" customFormat="false" ht="15.75" hidden="false" customHeight="false" outlineLevel="0" collapsed="false">
      <c r="A1267" s="9"/>
      <c r="B1267" s="10"/>
      <c r="C1267" s="10"/>
      <c r="D1267" s="10"/>
      <c r="E1267" s="10"/>
      <c r="F1267" s="10"/>
      <c r="G1267" s="10"/>
      <c r="H1267" s="10"/>
      <c r="I1267" s="18" t="n">
        <v>2</v>
      </c>
      <c r="J1267" s="18"/>
      <c r="K1267" s="19"/>
      <c r="L1267" s="19"/>
      <c r="M1267" s="18"/>
      <c r="N1267" s="18"/>
      <c r="O1267" s="18"/>
      <c r="P1267" s="19"/>
      <c r="Q1267" s="19"/>
      <c r="R1267" s="18"/>
      <c r="S1267" s="18"/>
      <c r="T1267" s="18"/>
      <c r="U1267" s="20"/>
      <c r="V1267" s="21"/>
      <c r="W1267" s="16"/>
      <c r="X1267" s="16"/>
      <c r="Y1267" s="16"/>
    </row>
    <row r="1268" customFormat="false" ht="15.75" hidden="false" customHeight="false" outlineLevel="0" collapsed="false">
      <c r="A1268" s="9"/>
      <c r="B1268" s="10"/>
      <c r="C1268" s="10"/>
      <c r="D1268" s="10"/>
      <c r="E1268" s="10"/>
      <c r="F1268" s="10"/>
      <c r="G1268" s="10"/>
      <c r="H1268" s="10"/>
      <c r="I1268" s="22" t="n">
        <v>3</v>
      </c>
      <c r="J1268" s="22"/>
      <c r="K1268" s="23"/>
      <c r="L1268" s="23"/>
      <c r="M1268" s="22"/>
      <c r="N1268" s="22"/>
      <c r="O1268" s="22"/>
      <c r="P1268" s="23"/>
      <c r="Q1268" s="23"/>
      <c r="R1268" s="22"/>
      <c r="S1268" s="22"/>
      <c r="T1268" s="22"/>
      <c r="U1268" s="24"/>
      <c r="V1268" s="15"/>
      <c r="W1268" s="16"/>
      <c r="X1268" s="16"/>
      <c r="Y1268" s="16"/>
    </row>
    <row r="1269" customFormat="false" ht="15.75" hidden="false" customHeight="false" outlineLevel="0" collapsed="false">
      <c r="A1269" s="9"/>
      <c r="B1269" s="10"/>
      <c r="C1269" s="10"/>
      <c r="D1269" s="10"/>
      <c r="E1269" s="10"/>
      <c r="F1269" s="10"/>
      <c r="G1269" s="10"/>
      <c r="H1269" s="10"/>
      <c r="I1269" s="25" t="n">
        <v>4</v>
      </c>
      <c r="J1269" s="25"/>
      <c r="K1269" s="26"/>
      <c r="L1269" s="26"/>
      <c r="M1269" s="25"/>
      <c r="N1269" s="25"/>
      <c r="O1269" s="25"/>
      <c r="P1269" s="26"/>
      <c r="Q1269" s="26"/>
      <c r="R1269" s="25"/>
      <c r="S1269" s="25"/>
      <c r="T1269" s="25"/>
      <c r="U1269" s="27"/>
      <c r="V1269" s="21"/>
      <c r="W1269" s="16"/>
      <c r="X1269" s="16"/>
      <c r="Y1269" s="16"/>
    </row>
    <row r="1270" customFormat="false" ht="15.75" hidden="false" customHeight="false" outlineLevel="0" collapsed="false">
      <c r="A1270" s="9"/>
      <c r="B1270" s="10"/>
      <c r="C1270" s="11"/>
      <c r="D1270" s="10"/>
      <c r="E1270" s="10"/>
      <c r="F1270" s="10"/>
      <c r="G1270" s="10"/>
      <c r="H1270" s="10"/>
      <c r="I1270" s="12" t="n">
        <v>1</v>
      </c>
      <c r="J1270" s="12"/>
      <c r="K1270" s="13"/>
      <c r="L1270" s="13"/>
      <c r="M1270" s="12"/>
      <c r="N1270" s="12"/>
      <c r="O1270" s="12"/>
      <c r="P1270" s="13"/>
      <c r="Q1270" s="13"/>
      <c r="R1270" s="12"/>
      <c r="S1270" s="12"/>
      <c r="T1270" s="12"/>
      <c r="U1270" s="14"/>
      <c r="V1270" s="15"/>
      <c r="W1270" s="16" t="n">
        <f aca="false">A1270</f>
        <v>0</v>
      </c>
      <c r="X1270" s="17" t="e">
        <f aca="false">ifs(C1270="","",X1270="",NOW(),TRUE(),X1270)</f>
        <v>#VALUE!</v>
      </c>
      <c r="Y1270" s="17" t="e">
        <f aca="false">ifs(COUNTA(K1270:U1273)&lt;44,"",Y1270="",NOW(),TRUE(),Y1270)</f>
        <v>#VALUE!</v>
      </c>
    </row>
    <row r="1271" customFormat="false" ht="15.75" hidden="false" customHeight="false" outlineLevel="0" collapsed="false">
      <c r="A1271" s="9"/>
      <c r="B1271" s="10"/>
      <c r="C1271" s="10"/>
      <c r="D1271" s="10"/>
      <c r="E1271" s="10"/>
      <c r="F1271" s="10"/>
      <c r="G1271" s="10"/>
      <c r="H1271" s="10"/>
      <c r="I1271" s="18" t="n">
        <v>2</v>
      </c>
      <c r="J1271" s="18"/>
      <c r="K1271" s="19"/>
      <c r="L1271" s="19"/>
      <c r="M1271" s="18"/>
      <c r="N1271" s="18"/>
      <c r="O1271" s="18"/>
      <c r="P1271" s="19"/>
      <c r="Q1271" s="19"/>
      <c r="R1271" s="18"/>
      <c r="S1271" s="18"/>
      <c r="T1271" s="18"/>
      <c r="U1271" s="20"/>
      <c r="V1271" s="21"/>
      <c r="W1271" s="16"/>
      <c r="X1271" s="16"/>
      <c r="Y1271" s="16"/>
    </row>
    <row r="1272" customFormat="false" ht="15.75" hidden="false" customHeight="false" outlineLevel="0" collapsed="false">
      <c r="A1272" s="9"/>
      <c r="B1272" s="10"/>
      <c r="C1272" s="10"/>
      <c r="D1272" s="10"/>
      <c r="E1272" s="10"/>
      <c r="F1272" s="10"/>
      <c r="G1272" s="10"/>
      <c r="H1272" s="10"/>
      <c r="I1272" s="22" t="n">
        <v>3</v>
      </c>
      <c r="J1272" s="22"/>
      <c r="K1272" s="23"/>
      <c r="L1272" s="23"/>
      <c r="M1272" s="22"/>
      <c r="N1272" s="22"/>
      <c r="O1272" s="22"/>
      <c r="P1272" s="23"/>
      <c r="Q1272" s="23"/>
      <c r="R1272" s="22"/>
      <c r="S1272" s="22"/>
      <c r="T1272" s="22"/>
      <c r="U1272" s="24"/>
      <c r="V1272" s="15"/>
      <c r="W1272" s="16"/>
      <c r="X1272" s="16"/>
      <c r="Y1272" s="16"/>
    </row>
    <row r="1273" customFormat="false" ht="15.75" hidden="false" customHeight="false" outlineLevel="0" collapsed="false">
      <c r="A1273" s="9"/>
      <c r="B1273" s="10"/>
      <c r="C1273" s="10"/>
      <c r="D1273" s="10"/>
      <c r="E1273" s="10"/>
      <c r="F1273" s="10"/>
      <c r="G1273" s="10"/>
      <c r="H1273" s="10"/>
      <c r="I1273" s="25" t="n">
        <v>4</v>
      </c>
      <c r="J1273" s="25"/>
      <c r="K1273" s="26"/>
      <c r="L1273" s="26"/>
      <c r="M1273" s="25"/>
      <c r="N1273" s="25"/>
      <c r="O1273" s="25"/>
      <c r="P1273" s="26"/>
      <c r="Q1273" s="26"/>
      <c r="R1273" s="25"/>
      <c r="S1273" s="25"/>
      <c r="T1273" s="25"/>
      <c r="U1273" s="27"/>
      <c r="V1273" s="21"/>
      <c r="W1273" s="16"/>
      <c r="X1273" s="16"/>
      <c r="Y1273" s="16"/>
    </row>
    <row r="1274" customFormat="false" ht="15.75" hidden="false" customHeight="false" outlineLevel="0" collapsed="false">
      <c r="A1274" s="9"/>
      <c r="B1274" s="10"/>
      <c r="C1274" s="11"/>
      <c r="D1274" s="10"/>
      <c r="E1274" s="10"/>
      <c r="F1274" s="10"/>
      <c r="G1274" s="10"/>
      <c r="H1274" s="10"/>
      <c r="I1274" s="12" t="n">
        <v>1</v>
      </c>
      <c r="J1274" s="12"/>
      <c r="K1274" s="13"/>
      <c r="L1274" s="13"/>
      <c r="M1274" s="12"/>
      <c r="N1274" s="12"/>
      <c r="O1274" s="12"/>
      <c r="P1274" s="13"/>
      <c r="Q1274" s="13"/>
      <c r="R1274" s="12"/>
      <c r="S1274" s="12"/>
      <c r="T1274" s="12"/>
      <c r="U1274" s="14"/>
      <c r="V1274" s="15"/>
      <c r="W1274" s="16" t="n">
        <f aca="false">A1274</f>
        <v>0</v>
      </c>
      <c r="X1274" s="17" t="e">
        <f aca="false">ifs(C1274="","",X1274="",NOW(),TRUE(),X1274)</f>
        <v>#VALUE!</v>
      </c>
      <c r="Y1274" s="17" t="e">
        <f aca="false">ifs(COUNTA(K1274:U1277)&lt;44,"",Y1274="",NOW(),TRUE(),Y1274)</f>
        <v>#VALUE!</v>
      </c>
    </row>
    <row r="1275" customFormat="false" ht="15.75" hidden="false" customHeight="false" outlineLevel="0" collapsed="false">
      <c r="A1275" s="9"/>
      <c r="B1275" s="10"/>
      <c r="C1275" s="10"/>
      <c r="D1275" s="10"/>
      <c r="E1275" s="10"/>
      <c r="F1275" s="10"/>
      <c r="G1275" s="10"/>
      <c r="H1275" s="10"/>
      <c r="I1275" s="18" t="n">
        <v>2</v>
      </c>
      <c r="J1275" s="18"/>
      <c r="K1275" s="19"/>
      <c r="L1275" s="19"/>
      <c r="M1275" s="18"/>
      <c r="N1275" s="18"/>
      <c r="O1275" s="18"/>
      <c r="P1275" s="19"/>
      <c r="Q1275" s="19"/>
      <c r="R1275" s="18"/>
      <c r="S1275" s="18"/>
      <c r="T1275" s="18"/>
      <c r="U1275" s="20"/>
      <c r="V1275" s="21"/>
      <c r="W1275" s="16"/>
      <c r="X1275" s="16"/>
      <c r="Y1275" s="16"/>
    </row>
    <row r="1276" customFormat="false" ht="15.75" hidden="false" customHeight="false" outlineLevel="0" collapsed="false">
      <c r="A1276" s="9"/>
      <c r="B1276" s="10"/>
      <c r="C1276" s="10"/>
      <c r="D1276" s="10"/>
      <c r="E1276" s="10"/>
      <c r="F1276" s="10"/>
      <c r="G1276" s="10"/>
      <c r="H1276" s="10"/>
      <c r="I1276" s="22" t="n">
        <v>3</v>
      </c>
      <c r="J1276" s="22"/>
      <c r="K1276" s="23"/>
      <c r="L1276" s="23"/>
      <c r="M1276" s="22"/>
      <c r="N1276" s="22"/>
      <c r="O1276" s="22"/>
      <c r="P1276" s="23"/>
      <c r="Q1276" s="23"/>
      <c r="R1276" s="22"/>
      <c r="S1276" s="22"/>
      <c r="T1276" s="22"/>
      <c r="U1276" s="24"/>
      <c r="V1276" s="15"/>
      <c r="W1276" s="16"/>
      <c r="X1276" s="16"/>
      <c r="Y1276" s="16"/>
    </row>
    <row r="1277" customFormat="false" ht="15.75" hidden="false" customHeight="false" outlineLevel="0" collapsed="false">
      <c r="A1277" s="9"/>
      <c r="B1277" s="10"/>
      <c r="C1277" s="10"/>
      <c r="D1277" s="10"/>
      <c r="E1277" s="10"/>
      <c r="F1277" s="10"/>
      <c r="G1277" s="10"/>
      <c r="H1277" s="10"/>
      <c r="I1277" s="25" t="n">
        <v>4</v>
      </c>
      <c r="J1277" s="25"/>
      <c r="K1277" s="26"/>
      <c r="L1277" s="26"/>
      <c r="M1277" s="25"/>
      <c r="N1277" s="25"/>
      <c r="O1277" s="25"/>
      <c r="P1277" s="26"/>
      <c r="Q1277" s="26"/>
      <c r="R1277" s="25"/>
      <c r="S1277" s="25"/>
      <c r="T1277" s="25"/>
      <c r="U1277" s="27"/>
      <c r="V1277" s="21"/>
      <c r="W1277" s="16"/>
      <c r="X1277" s="16"/>
      <c r="Y1277" s="16"/>
    </row>
    <row r="1278" customFormat="false" ht="15.75" hidden="false" customHeight="false" outlineLevel="0" collapsed="false">
      <c r="A1278" s="9"/>
      <c r="B1278" s="10"/>
      <c r="C1278" s="11"/>
      <c r="D1278" s="10"/>
      <c r="E1278" s="10"/>
      <c r="F1278" s="10"/>
      <c r="G1278" s="10"/>
      <c r="H1278" s="10"/>
      <c r="I1278" s="12" t="n">
        <v>1</v>
      </c>
      <c r="J1278" s="12"/>
      <c r="K1278" s="13"/>
      <c r="L1278" s="13"/>
      <c r="M1278" s="12"/>
      <c r="N1278" s="12"/>
      <c r="O1278" s="12"/>
      <c r="P1278" s="13"/>
      <c r="Q1278" s="13"/>
      <c r="R1278" s="12"/>
      <c r="S1278" s="12"/>
      <c r="T1278" s="12"/>
      <c r="U1278" s="14"/>
      <c r="V1278" s="15"/>
      <c r="W1278" s="16" t="n">
        <f aca="false">A1278</f>
        <v>0</v>
      </c>
      <c r="X1278" s="17" t="e">
        <f aca="false">ifs(C1278="","",X1278="",NOW(),TRUE(),X1278)</f>
        <v>#VALUE!</v>
      </c>
      <c r="Y1278" s="17" t="e">
        <f aca="false">ifs(COUNTA(K1278:U1281)&lt;44,"",Y1278="",NOW(),TRUE(),Y1278)</f>
        <v>#VALUE!</v>
      </c>
    </row>
    <row r="1279" customFormat="false" ht="15.75" hidden="false" customHeight="false" outlineLevel="0" collapsed="false">
      <c r="A1279" s="9"/>
      <c r="B1279" s="10"/>
      <c r="C1279" s="10"/>
      <c r="D1279" s="10"/>
      <c r="E1279" s="10"/>
      <c r="F1279" s="10"/>
      <c r="G1279" s="10"/>
      <c r="H1279" s="10"/>
      <c r="I1279" s="18" t="n">
        <v>2</v>
      </c>
      <c r="J1279" s="18"/>
      <c r="K1279" s="19"/>
      <c r="L1279" s="19"/>
      <c r="M1279" s="18"/>
      <c r="N1279" s="18"/>
      <c r="O1279" s="18"/>
      <c r="P1279" s="19"/>
      <c r="Q1279" s="19"/>
      <c r="R1279" s="18"/>
      <c r="S1279" s="18"/>
      <c r="T1279" s="18"/>
      <c r="U1279" s="20"/>
      <c r="V1279" s="21"/>
      <c r="W1279" s="16"/>
      <c r="X1279" s="16"/>
      <c r="Y1279" s="16"/>
    </row>
    <row r="1280" customFormat="false" ht="15.75" hidden="false" customHeight="false" outlineLevel="0" collapsed="false">
      <c r="A1280" s="9"/>
      <c r="B1280" s="10"/>
      <c r="C1280" s="10"/>
      <c r="D1280" s="10"/>
      <c r="E1280" s="10"/>
      <c r="F1280" s="10"/>
      <c r="G1280" s="10"/>
      <c r="H1280" s="10"/>
      <c r="I1280" s="22" t="n">
        <v>3</v>
      </c>
      <c r="J1280" s="22"/>
      <c r="K1280" s="23"/>
      <c r="L1280" s="23"/>
      <c r="M1280" s="22"/>
      <c r="N1280" s="22"/>
      <c r="O1280" s="22"/>
      <c r="P1280" s="23"/>
      <c r="Q1280" s="23"/>
      <c r="R1280" s="22"/>
      <c r="S1280" s="22"/>
      <c r="T1280" s="22"/>
      <c r="U1280" s="24"/>
      <c r="V1280" s="15"/>
      <c r="W1280" s="16"/>
      <c r="X1280" s="16"/>
      <c r="Y1280" s="16"/>
    </row>
    <row r="1281" customFormat="false" ht="15.75" hidden="false" customHeight="false" outlineLevel="0" collapsed="false">
      <c r="A1281" s="9"/>
      <c r="B1281" s="10"/>
      <c r="C1281" s="10"/>
      <c r="D1281" s="10"/>
      <c r="E1281" s="10"/>
      <c r="F1281" s="10"/>
      <c r="G1281" s="10"/>
      <c r="H1281" s="10"/>
      <c r="I1281" s="25" t="n">
        <v>4</v>
      </c>
      <c r="J1281" s="25"/>
      <c r="K1281" s="26"/>
      <c r="L1281" s="26"/>
      <c r="M1281" s="25"/>
      <c r="N1281" s="25"/>
      <c r="O1281" s="25"/>
      <c r="P1281" s="26"/>
      <c r="Q1281" s="26"/>
      <c r="R1281" s="25"/>
      <c r="S1281" s="25"/>
      <c r="T1281" s="25"/>
      <c r="U1281" s="27"/>
      <c r="V1281" s="21"/>
      <c r="W1281" s="16"/>
      <c r="X1281" s="16"/>
      <c r="Y1281" s="16"/>
    </row>
    <row r="1282" customFormat="false" ht="15.75" hidden="false" customHeight="false" outlineLevel="0" collapsed="false">
      <c r="A1282" s="9"/>
      <c r="B1282" s="10"/>
      <c r="C1282" s="11"/>
      <c r="D1282" s="10"/>
      <c r="E1282" s="10"/>
      <c r="F1282" s="10"/>
      <c r="G1282" s="10"/>
      <c r="H1282" s="10"/>
      <c r="I1282" s="12" t="n">
        <v>1</v>
      </c>
      <c r="J1282" s="12"/>
      <c r="K1282" s="13"/>
      <c r="L1282" s="13"/>
      <c r="M1282" s="12"/>
      <c r="N1282" s="12"/>
      <c r="O1282" s="12"/>
      <c r="P1282" s="13"/>
      <c r="Q1282" s="13"/>
      <c r="R1282" s="12"/>
      <c r="S1282" s="12"/>
      <c r="T1282" s="12"/>
      <c r="U1282" s="14"/>
      <c r="V1282" s="15"/>
      <c r="W1282" s="16" t="n">
        <f aca="false">A1282</f>
        <v>0</v>
      </c>
      <c r="X1282" s="17" t="e">
        <f aca="false">ifs(C1282="","",X1282="",NOW(),TRUE(),X1282)</f>
        <v>#VALUE!</v>
      </c>
      <c r="Y1282" s="17" t="e">
        <f aca="false">ifs(COUNTA(K1282:U1285)&lt;44,"",Y1282="",NOW(),TRUE(),Y1282)</f>
        <v>#VALUE!</v>
      </c>
    </row>
    <row r="1283" customFormat="false" ht="15.75" hidden="false" customHeight="false" outlineLevel="0" collapsed="false">
      <c r="A1283" s="9"/>
      <c r="B1283" s="10"/>
      <c r="C1283" s="10"/>
      <c r="D1283" s="10"/>
      <c r="E1283" s="10"/>
      <c r="F1283" s="10"/>
      <c r="G1283" s="10"/>
      <c r="H1283" s="10"/>
      <c r="I1283" s="18" t="n">
        <v>2</v>
      </c>
      <c r="J1283" s="18"/>
      <c r="K1283" s="19"/>
      <c r="L1283" s="19"/>
      <c r="M1283" s="18"/>
      <c r="N1283" s="18"/>
      <c r="O1283" s="18"/>
      <c r="P1283" s="19"/>
      <c r="Q1283" s="19"/>
      <c r="R1283" s="18"/>
      <c r="S1283" s="18"/>
      <c r="T1283" s="18"/>
      <c r="U1283" s="20"/>
      <c r="V1283" s="21"/>
      <c r="W1283" s="16"/>
      <c r="X1283" s="16"/>
      <c r="Y1283" s="16"/>
    </row>
    <row r="1284" customFormat="false" ht="15.75" hidden="false" customHeight="false" outlineLevel="0" collapsed="false">
      <c r="A1284" s="9"/>
      <c r="B1284" s="10"/>
      <c r="C1284" s="10"/>
      <c r="D1284" s="10"/>
      <c r="E1284" s="10"/>
      <c r="F1284" s="10"/>
      <c r="G1284" s="10"/>
      <c r="H1284" s="10"/>
      <c r="I1284" s="22" t="n">
        <v>3</v>
      </c>
      <c r="J1284" s="22"/>
      <c r="K1284" s="23"/>
      <c r="L1284" s="23"/>
      <c r="M1284" s="22"/>
      <c r="N1284" s="22"/>
      <c r="O1284" s="22"/>
      <c r="P1284" s="23"/>
      <c r="Q1284" s="23"/>
      <c r="R1284" s="22"/>
      <c r="S1284" s="22"/>
      <c r="T1284" s="22"/>
      <c r="U1284" s="24"/>
      <c r="V1284" s="15"/>
      <c r="W1284" s="16"/>
      <c r="X1284" s="16"/>
      <c r="Y1284" s="16"/>
    </row>
    <row r="1285" customFormat="false" ht="15.75" hidden="false" customHeight="false" outlineLevel="0" collapsed="false">
      <c r="A1285" s="9"/>
      <c r="B1285" s="10"/>
      <c r="C1285" s="10"/>
      <c r="D1285" s="10"/>
      <c r="E1285" s="10"/>
      <c r="F1285" s="10"/>
      <c r="G1285" s="10"/>
      <c r="H1285" s="10"/>
      <c r="I1285" s="25" t="n">
        <v>4</v>
      </c>
      <c r="J1285" s="25"/>
      <c r="K1285" s="26"/>
      <c r="L1285" s="26"/>
      <c r="M1285" s="25"/>
      <c r="N1285" s="25"/>
      <c r="O1285" s="25"/>
      <c r="P1285" s="26"/>
      <c r="Q1285" s="26"/>
      <c r="R1285" s="25"/>
      <c r="S1285" s="25"/>
      <c r="T1285" s="25"/>
      <c r="U1285" s="27"/>
      <c r="V1285" s="21"/>
      <c r="W1285" s="16"/>
      <c r="X1285" s="16"/>
      <c r="Y1285" s="16"/>
    </row>
    <row r="1286" customFormat="false" ht="15.75" hidden="false" customHeight="false" outlineLevel="0" collapsed="false">
      <c r="A1286" s="9"/>
      <c r="B1286" s="10"/>
      <c r="C1286" s="11"/>
      <c r="D1286" s="10"/>
      <c r="E1286" s="10"/>
      <c r="F1286" s="10"/>
      <c r="G1286" s="10"/>
      <c r="H1286" s="10"/>
      <c r="I1286" s="12" t="n">
        <v>1</v>
      </c>
      <c r="J1286" s="12"/>
      <c r="K1286" s="13"/>
      <c r="L1286" s="13"/>
      <c r="M1286" s="12"/>
      <c r="N1286" s="12"/>
      <c r="O1286" s="12"/>
      <c r="P1286" s="13"/>
      <c r="Q1286" s="13"/>
      <c r="R1286" s="12"/>
      <c r="S1286" s="12"/>
      <c r="T1286" s="12"/>
      <c r="U1286" s="14"/>
      <c r="V1286" s="15"/>
      <c r="W1286" s="16" t="n">
        <f aca="false">A1286</f>
        <v>0</v>
      </c>
      <c r="X1286" s="17" t="e">
        <f aca="false">ifs(C1286="","",X1286="",NOW(),TRUE(),X1286)</f>
        <v>#VALUE!</v>
      </c>
      <c r="Y1286" s="17" t="e">
        <f aca="false">ifs(COUNTA(K1286:U1289)&lt;44,"",Y1286="",NOW(),TRUE(),Y1286)</f>
        <v>#VALUE!</v>
      </c>
    </row>
    <row r="1287" customFormat="false" ht="15.75" hidden="false" customHeight="false" outlineLevel="0" collapsed="false">
      <c r="A1287" s="9"/>
      <c r="B1287" s="10"/>
      <c r="C1287" s="10"/>
      <c r="D1287" s="10"/>
      <c r="E1287" s="10"/>
      <c r="F1287" s="10"/>
      <c r="G1287" s="10"/>
      <c r="H1287" s="10"/>
      <c r="I1287" s="18" t="n">
        <v>2</v>
      </c>
      <c r="J1287" s="18"/>
      <c r="K1287" s="19"/>
      <c r="L1287" s="19"/>
      <c r="M1287" s="18"/>
      <c r="N1287" s="18"/>
      <c r="O1287" s="18"/>
      <c r="P1287" s="19"/>
      <c r="Q1287" s="19"/>
      <c r="R1287" s="18"/>
      <c r="S1287" s="18"/>
      <c r="T1287" s="18"/>
      <c r="U1287" s="20"/>
      <c r="V1287" s="21"/>
      <c r="W1287" s="16"/>
      <c r="X1287" s="16"/>
      <c r="Y1287" s="16"/>
    </row>
    <row r="1288" customFormat="false" ht="15.75" hidden="false" customHeight="false" outlineLevel="0" collapsed="false">
      <c r="A1288" s="9"/>
      <c r="B1288" s="10"/>
      <c r="C1288" s="10"/>
      <c r="D1288" s="10"/>
      <c r="E1288" s="10"/>
      <c r="F1288" s="10"/>
      <c r="G1288" s="10"/>
      <c r="H1288" s="10"/>
      <c r="I1288" s="22" t="n">
        <v>3</v>
      </c>
      <c r="J1288" s="22"/>
      <c r="K1288" s="23"/>
      <c r="L1288" s="23"/>
      <c r="M1288" s="22"/>
      <c r="N1288" s="22"/>
      <c r="O1288" s="22"/>
      <c r="P1288" s="23"/>
      <c r="Q1288" s="23"/>
      <c r="R1288" s="22"/>
      <c r="S1288" s="22"/>
      <c r="T1288" s="22"/>
      <c r="U1288" s="24"/>
      <c r="V1288" s="15"/>
      <c r="W1288" s="16"/>
      <c r="X1288" s="16"/>
      <c r="Y1288" s="16"/>
    </row>
    <row r="1289" customFormat="false" ht="15.75" hidden="false" customHeight="false" outlineLevel="0" collapsed="false">
      <c r="A1289" s="9"/>
      <c r="B1289" s="10"/>
      <c r="C1289" s="10"/>
      <c r="D1289" s="10"/>
      <c r="E1289" s="10"/>
      <c r="F1289" s="10"/>
      <c r="G1289" s="10"/>
      <c r="H1289" s="10"/>
      <c r="I1289" s="25" t="n">
        <v>4</v>
      </c>
      <c r="J1289" s="25"/>
      <c r="K1289" s="26"/>
      <c r="L1289" s="26"/>
      <c r="M1289" s="25"/>
      <c r="N1289" s="25"/>
      <c r="O1289" s="25"/>
      <c r="P1289" s="26"/>
      <c r="Q1289" s="26"/>
      <c r="R1289" s="25"/>
      <c r="S1289" s="25"/>
      <c r="T1289" s="25"/>
      <c r="U1289" s="27"/>
      <c r="V1289" s="21"/>
      <c r="W1289" s="16"/>
      <c r="X1289" s="16"/>
      <c r="Y1289" s="16"/>
    </row>
    <row r="1290" customFormat="false" ht="15.75" hidden="false" customHeight="false" outlineLevel="0" collapsed="false">
      <c r="A1290" s="9"/>
      <c r="B1290" s="10"/>
      <c r="C1290" s="11"/>
      <c r="D1290" s="10"/>
      <c r="E1290" s="10"/>
      <c r="F1290" s="10"/>
      <c r="G1290" s="10"/>
      <c r="H1290" s="10"/>
      <c r="I1290" s="12" t="n">
        <v>1</v>
      </c>
      <c r="J1290" s="12"/>
      <c r="K1290" s="13"/>
      <c r="L1290" s="13"/>
      <c r="M1290" s="12"/>
      <c r="N1290" s="12"/>
      <c r="O1290" s="12"/>
      <c r="P1290" s="13"/>
      <c r="Q1290" s="13"/>
      <c r="R1290" s="12"/>
      <c r="S1290" s="12"/>
      <c r="T1290" s="12"/>
      <c r="U1290" s="14"/>
      <c r="V1290" s="15"/>
      <c r="W1290" s="16" t="n">
        <f aca="false">A1290</f>
        <v>0</v>
      </c>
      <c r="X1290" s="17" t="e">
        <f aca="false">ifs(C1290="","",X1290="",NOW(),TRUE(),X1290)</f>
        <v>#VALUE!</v>
      </c>
      <c r="Y1290" s="17" t="e">
        <f aca="false">ifs(COUNTA(K1290:U1293)&lt;44,"",Y1290="",NOW(),TRUE(),Y1290)</f>
        <v>#VALUE!</v>
      </c>
    </row>
    <row r="1291" customFormat="false" ht="15.75" hidden="false" customHeight="false" outlineLevel="0" collapsed="false">
      <c r="A1291" s="9"/>
      <c r="B1291" s="10"/>
      <c r="C1291" s="10"/>
      <c r="D1291" s="10"/>
      <c r="E1291" s="10"/>
      <c r="F1291" s="10"/>
      <c r="G1291" s="10"/>
      <c r="H1291" s="10"/>
      <c r="I1291" s="18" t="n">
        <v>2</v>
      </c>
      <c r="J1291" s="18"/>
      <c r="K1291" s="19"/>
      <c r="L1291" s="19"/>
      <c r="M1291" s="18"/>
      <c r="N1291" s="18"/>
      <c r="O1291" s="18"/>
      <c r="P1291" s="19"/>
      <c r="Q1291" s="19"/>
      <c r="R1291" s="18"/>
      <c r="S1291" s="18"/>
      <c r="T1291" s="18"/>
      <c r="U1291" s="20"/>
      <c r="V1291" s="21"/>
      <c r="W1291" s="16"/>
      <c r="X1291" s="16"/>
      <c r="Y1291" s="16"/>
    </row>
    <row r="1292" customFormat="false" ht="15.75" hidden="false" customHeight="false" outlineLevel="0" collapsed="false">
      <c r="A1292" s="9"/>
      <c r="B1292" s="10"/>
      <c r="C1292" s="10"/>
      <c r="D1292" s="10"/>
      <c r="E1292" s="10"/>
      <c r="F1292" s="10"/>
      <c r="G1292" s="10"/>
      <c r="H1292" s="10"/>
      <c r="I1292" s="22" t="n">
        <v>3</v>
      </c>
      <c r="J1292" s="22"/>
      <c r="K1292" s="23"/>
      <c r="L1292" s="23"/>
      <c r="M1292" s="22"/>
      <c r="N1292" s="22"/>
      <c r="O1292" s="22"/>
      <c r="P1292" s="23"/>
      <c r="Q1292" s="23"/>
      <c r="R1292" s="22"/>
      <c r="S1292" s="22"/>
      <c r="T1292" s="22"/>
      <c r="U1292" s="24"/>
      <c r="V1292" s="15"/>
      <c r="W1292" s="16"/>
      <c r="X1292" s="16"/>
      <c r="Y1292" s="16"/>
    </row>
    <row r="1293" customFormat="false" ht="15.75" hidden="false" customHeight="false" outlineLevel="0" collapsed="false">
      <c r="A1293" s="9"/>
      <c r="B1293" s="10"/>
      <c r="C1293" s="10"/>
      <c r="D1293" s="10"/>
      <c r="E1293" s="10"/>
      <c r="F1293" s="10"/>
      <c r="G1293" s="10"/>
      <c r="H1293" s="10"/>
      <c r="I1293" s="25" t="n">
        <v>4</v>
      </c>
      <c r="J1293" s="25"/>
      <c r="K1293" s="26"/>
      <c r="L1293" s="26"/>
      <c r="M1293" s="25"/>
      <c r="N1293" s="25"/>
      <c r="O1293" s="25"/>
      <c r="P1293" s="26"/>
      <c r="Q1293" s="26"/>
      <c r="R1293" s="25"/>
      <c r="S1293" s="25"/>
      <c r="T1293" s="25"/>
      <c r="U1293" s="27"/>
      <c r="V1293" s="21"/>
      <c r="W1293" s="16"/>
      <c r="X1293" s="16"/>
      <c r="Y1293" s="16"/>
    </row>
    <row r="1294" customFormat="false" ht="15.75" hidden="false" customHeight="false" outlineLevel="0" collapsed="false">
      <c r="A1294" s="9"/>
      <c r="B1294" s="10"/>
      <c r="C1294" s="11"/>
      <c r="D1294" s="10"/>
      <c r="E1294" s="10"/>
      <c r="F1294" s="10"/>
      <c r="G1294" s="10"/>
      <c r="H1294" s="10"/>
      <c r="I1294" s="12" t="n">
        <v>1</v>
      </c>
      <c r="J1294" s="12"/>
      <c r="K1294" s="13"/>
      <c r="L1294" s="13"/>
      <c r="M1294" s="12"/>
      <c r="N1294" s="12"/>
      <c r="O1294" s="12"/>
      <c r="P1294" s="13"/>
      <c r="Q1294" s="13"/>
      <c r="R1294" s="12"/>
      <c r="S1294" s="12"/>
      <c r="T1294" s="12"/>
      <c r="U1294" s="14"/>
      <c r="V1294" s="15"/>
      <c r="W1294" s="16" t="n">
        <f aca="false">A1294</f>
        <v>0</v>
      </c>
      <c r="X1294" s="17" t="e">
        <f aca="false">ifs(C1294="","",X1294="",NOW(),TRUE(),X1294)</f>
        <v>#VALUE!</v>
      </c>
      <c r="Y1294" s="17" t="e">
        <f aca="false">ifs(COUNTA(K1294:U1297)&lt;44,"",Y1294="",NOW(),TRUE(),Y1294)</f>
        <v>#VALUE!</v>
      </c>
    </row>
    <row r="1295" customFormat="false" ht="15.75" hidden="false" customHeight="false" outlineLevel="0" collapsed="false">
      <c r="A1295" s="9"/>
      <c r="B1295" s="10"/>
      <c r="C1295" s="10"/>
      <c r="D1295" s="10"/>
      <c r="E1295" s="10"/>
      <c r="F1295" s="10"/>
      <c r="G1295" s="10"/>
      <c r="H1295" s="10"/>
      <c r="I1295" s="18" t="n">
        <v>2</v>
      </c>
      <c r="J1295" s="18"/>
      <c r="K1295" s="19"/>
      <c r="L1295" s="19"/>
      <c r="M1295" s="18"/>
      <c r="N1295" s="18"/>
      <c r="O1295" s="18"/>
      <c r="P1295" s="19"/>
      <c r="Q1295" s="19"/>
      <c r="R1295" s="18"/>
      <c r="S1295" s="18"/>
      <c r="T1295" s="18"/>
      <c r="U1295" s="20"/>
      <c r="V1295" s="21"/>
      <c r="W1295" s="16"/>
      <c r="X1295" s="16"/>
      <c r="Y1295" s="16"/>
    </row>
    <row r="1296" customFormat="false" ht="15.75" hidden="false" customHeight="false" outlineLevel="0" collapsed="false">
      <c r="A1296" s="9"/>
      <c r="B1296" s="10"/>
      <c r="C1296" s="10"/>
      <c r="D1296" s="10"/>
      <c r="E1296" s="10"/>
      <c r="F1296" s="10"/>
      <c r="G1296" s="10"/>
      <c r="H1296" s="10"/>
      <c r="I1296" s="22" t="n">
        <v>3</v>
      </c>
      <c r="J1296" s="22"/>
      <c r="K1296" s="23"/>
      <c r="L1296" s="23"/>
      <c r="M1296" s="22"/>
      <c r="N1296" s="22"/>
      <c r="O1296" s="22"/>
      <c r="P1296" s="23"/>
      <c r="Q1296" s="23"/>
      <c r="R1296" s="22"/>
      <c r="S1296" s="22"/>
      <c r="T1296" s="22"/>
      <c r="U1296" s="24"/>
      <c r="V1296" s="15"/>
      <c r="W1296" s="16"/>
      <c r="X1296" s="16"/>
      <c r="Y1296" s="16"/>
    </row>
    <row r="1297" customFormat="false" ht="15.75" hidden="false" customHeight="false" outlineLevel="0" collapsed="false">
      <c r="A1297" s="9"/>
      <c r="B1297" s="10"/>
      <c r="C1297" s="10"/>
      <c r="D1297" s="10"/>
      <c r="E1297" s="10"/>
      <c r="F1297" s="10"/>
      <c r="G1297" s="10"/>
      <c r="H1297" s="10"/>
      <c r="I1297" s="25" t="n">
        <v>4</v>
      </c>
      <c r="J1297" s="25"/>
      <c r="K1297" s="26"/>
      <c r="L1297" s="26"/>
      <c r="M1297" s="25"/>
      <c r="N1297" s="25"/>
      <c r="O1297" s="25"/>
      <c r="P1297" s="26"/>
      <c r="Q1297" s="26"/>
      <c r="R1297" s="25"/>
      <c r="S1297" s="25"/>
      <c r="T1297" s="25"/>
      <c r="U1297" s="27"/>
      <c r="V1297" s="21"/>
      <c r="W1297" s="16"/>
      <c r="X1297" s="16"/>
      <c r="Y1297" s="16"/>
    </row>
    <row r="1298" customFormat="false" ht="15.75" hidden="false" customHeight="false" outlineLevel="0" collapsed="false">
      <c r="A1298" s="9"/>
      <c r="B1298" s="10"/>
      <c r="C1298" s="11"/>
      <c r="D1298" s="10"/>
      <c r="E1298" s="10"/>
      <c r="F1298" s="10"/>
      <c r="G1298" s="10"/>
      <c r="H1298" s="10"/>
      <c r="I1298" s="12" t="n">
        <v>1</v>
      </c>
      <c r="J1298" s="12"/>
      <c r="K1298" s="13"/>
      <c r="L1298" s="13"/>
      <c r="M1298" s="12"/>
      <c r="N1298" s="12"/>
      <c r="O1298" s="12"/>
      <c r="P1298" s="13"/>
      <c r="Q1298" s="13"/>
      <c r="R1298" s="12"/>
      <c r="S1298" s="12"/>
      <c r="T1298" s="12"/>
      <c r="U1298" s="14"/>
      <c r="V1298" s="15"/>
      <c r="W1298" s="16" t="n">
        <f aca="false">A1298</f>
        <v>0</v>
      </c>
      <c r="X1298" s="17" t="e">
        <f aca="false">ifs(C1298="","",X1298="",NOW(),TRUE(),X1298)</f>
        <v>#VALUE!</v>
      </c>
      <c r="Y1298" s="17" t="e">
        <f aca="false">ifs(COUNTA(K1298:U1301)&lt;44,"",Y1298="",NOW(),TRUE(),Y1298)</f>
        <v>#VALUE!</v>
      </c>
    </row>
    <row r="1299" customFormat="false" ht="15.75" hidden="false" customHeight="false" outlineLevel="0" collapsed="false">
      <c r="A1299" s="9"/>
      <c r="B1299" s="10"/>
      <c r="C1299" s="10"/>
      <c r="D1299" s="10"/>
      <c r="E1299" s="10"/>
      <c r="F1299" s="10"/>
      <c r="G1299" s="10"/>
      <c r="H1299" s="10"/>
      <c r="I1299" s="18" t="n">
        <v>2</v>
      </c>
      <c r="J1299" s="18"/>
      <c r="K1299" s="19"/>
      <c r="L1299" s="19"/>
      <c r="M1299" s="18"/>
      <c r="N1299" s="18"/>
      <c r="O1299" s="18"/>
      <c r="P1299" s="19"/>
      <c r="Q1299" s="19"/>
      <c r="R1299" s="18"/>
      <c r="S1299" s="18"/>
      <c r="T1299" s="18"/>
      <c r="U1299" s="20"/>
      <c r="V1299" s="21"/>
      <c r="W1299" s="16"/>
      <c r="X1299" s="16"/>
      <c r="Y1299" s="16"/>
    </row>
    <row r="1300" customFormat="false" ht="15.75" hidden="false" customHeight="false" outlineLevel="0" collapsed="false">
      <c r="A1300" s="9"/>
      <c r="B1300" s="10"/>
      <c r="C1300" s="10"/>
      <c r="D1300" s="10"/>
      <c r="E1300" s="10"/>
      <c r="F1300" s="10"/>
      <c r="G1300" s="10"/>
      <c r="H1300" s="10"/>
      <c r="I1300" s="22" t="n">
        <v>3</v>
      </c>
      <c r="J1300" s="22"/>
      <c r="K1300" s="23"/>
      <c r="L1300" s="23"/>
      <c r="M1300" s="22"/>
      <c r="N1300" s="22"/>
      <c r="O1300" s="22"/>
      <c r="P1300" s="23"/>
      <c r="Q1300" s="23"/>
      <c r="R1300" s="22"/>
      <c r="S1300" s="22"/>
      <c r="T1300" s="22"/>
      <c r="U1300" s="24"/>
      <c r="V1300" s="15"/>
      <c r="W1300" s="16"/>
      <c r="X1300" s="16"/>
      <c r="Y1300" s="16"/>
    </row>
    <row r="1301" customFormat="false" ht="15.75" hidden="false" customHeight="false" outlineLevel="0" collapsed="false">
      <c r="A1301" s="9"/>
      <c r="B1301" s="10"/>
      <c r="C1301" s="10"/>
      <c r="D1301" s="10"/>
      <c r="E1301" s="10"/>
      <c r="F1301" s="10"/>
      <c r="G1301" s="10"/>
      <c r="H1301" s="10"/>
      <c r="I1301" s="25" t="n">
        <v>4</v>
      </c>
      <c r="J1301" s="25"/>
      <c r="K1301" s="26"/>
      <c r="L1301" s="26"/>
      <c r="M1301" s="25"/>
      <c r="N1301" s="25"/>
      <c r="O1301" s="25"/>
      <c r="P1301" s="26"/>
      <c r="Q1301" s="26"/>
      <c r="R1301" s="25"/>
      <c r="S1301" s="25"/>
      <c r="T1301" s="25"/>
      <c r="U1301" s="27"/>
      <c r="V1301" s="21"/>
      <c r="W1301" s="16"/>
      <c r="X1301" s="16"/>
      <c r="Y1301" s="16"/>
    </row>
    <row r="1302" customFormat="false" ht="15.75" hidden="false" customHeight="false" outlineLevel="0" collapsed="false">
      <c r="A1302" s="9"/>
      <c r="B1302" s="10"/>
      <c r="C1302" s="11"/>
      <c r="D1302" s="10"/>
      <c r="E1302" s="10"/>
      <c r="F1302" s="10"/>
      <c r="G1302" s="10"/>
      <c r="H1302" s="10"/>
      <c r="I1302" s="12" t="n">
        <v>1</v>
      </c>
      <c r="J1302" s="12"/>
      <c r="K1302" s="13"/>
      <c r="L1302" s="13"/>
      <c r="M1302" s="12"/>
      <c r="N1302" s="12"/>
      <c r="O1302" s="12"/>
      <c r="P1302" s="13"/>
      <c r="Q1302" s="13"/>
      <c r="R1302" s="12"/>
      <c r="S1302" s="12"/>
      <c r="T1302" s="12"/>
      <c r="U1302" s="14"/>
      <c r="V1302" s="15"/>
      <c r="W1302" s="16" t="n">
        <f aca="false">A1302</f>
        <v>0</v>
      </c>
      <c r="X1302" s="17" t="e">
        <f aca="false">ifs(C1302="","",X1302="",NOW(),TRUE(),X1302)</f>
        <v>#VALUE!</v>
      </c>
      <c r="Y1302" s="17" t="e">
        <f aca="false">ifs(COUNTA(K1302:U1305)&lt;44,"",Y1302="",NOW(),TRUE(),Y1302)</f>
        <v>#VALUE!</v>
      </c>
    </row>
    <row r="1303" customFormat="false" ht="15.75" hidden="false" customHeight="false" outlineLevel="0" collapsed="false">
      <c r="A1303" s="9"/>
      <c r="B1303" s="10"/>
      <c r="C1303" s="10"/>
      <c r="D1303" s="10"/>
      <c r="E1303" s="10"/>
      <c r="F1303" s="10"/>
      <c r="G1303" s="10"/>
      <c r="H1303" s="10"/>
      <c r="I1303" s="18" t="n">
        <v>2</v>
      </c>
      <c r="J1303" s="18"/>
      <c r="K1303" s="19"/>
      <c r="L1303" s="19"/>
      <c r="M1303" s="18"/>
      <c r="N1303" s="18"/>
      <c r="O1303" s="18"/>
      <c r="P1303" s="19"/>
      <c r="Q1303" s="19"/>
      <c r="R1303" s="18"/>
      <c r="S1303" s="18"/>
      <c r="T1303" s="18"/>
      <c r="U1303" s="20"/>
      <c r="V1303" s="21"/>
      <c r="W1303" s="16"/>
      <c r="X1303" s="16"/>
      <c r="Y1303" s="16"/>
    </row>
    <row r="1304" customFormat="false" ht="15.75" hidden="false" customHeight="false" outlineLevel="0" collapsed="false">
      <c r="A1304" s="9"/>
      <c r="B1304" s="10"/>
      <c r="C1304" s="10"/>
      <c r="D1304" s="10"/>
      <c r="E1304" s="10"/>
      <c r="F1304" s="10"/>
      <c r="G1304" s="10"/>
      <c r="H1304" s="10"/>
      <c r="I1304" s="22" t="n">
        <v>3</v>
      </c>
      <c r="J1304" s="22"/>
      <c r="K1304" s="23"/>
      <c r="L1304" s="23"/>
      <c r="M1304" s="22"/>
      <c r="N1304" s="22"/>
      <c r="O1304" s="22"/>
      <c r="P1304" s="23"/>
      <c r="Q1304" s="23"/>
      <c r="R1304" s="22"/>
      <c r="S1304" s="22"/>
      <c r="T1304" s="22"/>
      <c r="U1304" s="24"/>
      <c r="V1304" s="15"/>
      <c r="W1304" s="16"/>
      <c r="X1304" s="16"/>
      <c r="Y1304" s="16"/>
    </row>
    <row r="1305" customFormat="false" ht="15.75" hidden="false" customHeight="false" outlineLevel="0" collapsed="false">
      <c r="A1305" s="9"/>
      <c r="B1305" s="10"/>
      <c r="C1305" s="10"/>
      <c r="D1305" s="10"/>
      <c r="E1305" s="10"/>
      <c r="F1305" s="10"/>
      <c r="G1305" s="10"/>
      <c r="H1305" s="10"/>
      <c r="I1305" s="25" t="n">
        <v>4</v>
      </c>
      <c r="J1305" s="25"/>
      <c r="K1305" s="26"/>
      <c r="L1305" s="26"/>
      <c r="M1305" s="25"/>
      <c r="N1305" s="25"/>
      <c r="O1305" s="25"/>
      <c r="P1305" s="26"/>
      <c r="Q1305" s="26"/>
      <c r="R1305" s="25"/>
      <c r="S1305" s="25"/>
      <c r="T1305" s="25"/>
      <c r="U1305" s="27"/>
      <c r="V1305" s="21"/>
      <c r="W1305" s="16"/>
      <c r="X1305" s="16"/>
      <c r="Y1305" s="16"/>
    </row>
    <row r="1306" customFormat="false" ht="15.75" hidden="false" customHeight="false" outlineLevel="0" collapsed="false">
      <c r="A1306" s="9"/>
      <c r="B1306" s="10"/>
      <c r="C1306" s="11"/>
      <c r="D1306" s="10"/>
      <c r="E1306" s="10"/>
      <c r="F1306" s="10"/>
      <c r="G1306" s="10"/>
      <c r="H1306" s="10"/>
      <c r="I1306" s="12" t="n">
        <v>1</v>
      </c>
      <c r="J1306" s="12"/>
      <c r="K1306" s="13"/>
      <c r="L1306" s="13"/>
      <c r="M1306" s="12"/>
      <c r="N1306" s="12"/>
      <c r="O1306" s="12"/>
      <c r="P1306" s="13"/>
      <c r="Q1306" s="13"/>
      <c r="R1306" s="12"/>
      <c r="S1306" s="12"/>
      <c r="T1306" s="12"/>
      <c r="U1306" s="14"/>
      <c r="V1306" s="15"/>
      <c r="W1306" s="16" t="n">
        <f aca="false">A1306</f>
        <v>0</v>
      </c>
      <c r="X1306" s="17" t="e">
        <f aca="false">ifs(C1306="","",X1306="",NOW(),TRUE(),X1306)</f>
        <v>#VALUE!</v>
      </c>
      <c r="Y1306" s="17" t="e">
        <f aca="false">ifs(COUNTA(K1306:U1309)&lt;44,"",Y1306="",NOW(),TRUE(),Y1306)</f>
        <v>#VALUE!</v>
      </c>
    </row>
    <row r="1307" customFormat="false" ht="15.75" hidden="false" customHeight="false" outlineLevel="0" collapsed="false">
      <c r="A1307" s="9"/>
      <c r="B1307" s="10"/>
      <c r="C1307" s="10"/>
      <c r="D1307" s="10"/>
      <c r="E1307" s="10"/>
      <c r="F1307" s="10"/>
      <c r="G1307" s="10"/>
      <c r="H1307" s="10"/>
      <c r="I1307" s="18" t="n">
        <v>2</v>
      </c>
      <c r="J1307" s="18"/>
      <c r="K1307" s="19"/>
      <c r="L1307" s="19"/>
      <c r="M1307" s="18"/>
      <c r="N1307" s="18"/>
      <c r="O1307" s="18"/>
      <c r="P1307" s="19"/>
      <c r="Q1307" s="19"/>
      <c r="R1307" s="18"/>
      <c r="S1307" s="18"/>
      <c r="T1307" s="18"/>
      <c r="U1307" s="20"/>
      <c r="V1307" s="21"/>
      <c r="W1307" s="16"/>
      <c r="X1307" s="16"/>
      <c r="Y1307" s="16"/>
    </row>
    <row r="1308" customFormat="false" ht="15.75" hidden="false" customHeight="false" outlineLevel="0" collapsed="false">
      <c r="A1308" s="9"/>
      <c r="B1308" s="10"/>
      <c r="C1308" s="10"/>
      <c r="D1308" s="10"/>
      <c r="E1308" s="10"/>
      <c r="F1308" s="10"/>
      <c r="G1308" s="10"/>
      <c r="H1308" s="10"/>
      <c r="I1308" s="22" t="n">
        <v>3</v>
      </c>
      <c r="J1308" s="22"/>
      <c r="K1308" s="23"/>
      <c r="L1308" s="23"/>
      <c r="M1308" s="22"/>
      <c r="N1308" s="22"/>
      <c r="O1308" s="22"/>
      <c r="P1308" s="23"/>
      <c r="Q1308" s="23"/>
      <c r="R1308" s="22"/>
      <c r="S1308" s="22"/>
      <c r="T1308" s="22"/>
      <c r="U1308" s="24"/>
      <c r="V1308" s="15"/>
      <c r="W1308" s="16"/>
      <c r="X1308" s="16"/>
      <c r="Y1308" s="16"/>
    </row>
    <row r="1309" customFormat="false" ht="15.75" hidden="false" customHeight="false" outlineLevel="0" collapsed="false">
      <c r="A1309" s="9"/>
      <c r="B1309" s="10"/>
      <c r="C1309" s="10"/>
      <c r="D1309" s="10"/>
      <c r="E1309" s="10"/>
      <c r="F1309" s="10"/>
      <c r="G1309" s="10"/>
      <c r="H1309" s="10"/>
      <c r="I1309" s="25" t="n">
        <v>4</v>
      </c>
      <c r="J1309" s="25"/>
      <c r="K1309" s="26"/>
      <c r="L1309" s="26"/>
      <c r="M1309" s="25"/>
      <c r="N1309" s="25"/>
      <c r="O1309" s="25"/>
      <c r="P1309" s="26"/>
      <c r="Q1309" s="26"/>
      <c r="R1309" s="25"/>
      <c r="S1309" s="25"/>
      <c r="T1309" s="25"/>
      <c r="U1309" s="27"/>
      <c r="V1309" s="21"/>
      <c r="W1309" s="16"/>
      <c r="X1309" s="16"/>
      <c r="Y1309" s="16"/>
    </row>
    <row r="1310" customFormat="false" ht="15.75" hidden="false" customHeight="false" outlineLevel="0" collapsed="false">
      <c r="A1310" s="9"/>
      <c r="B1310" s="10"/>
      <c r="C1310" s="11"/>
      <c r="D1310" s="10"/>
      <c r="E1310" s="10"/>
      <c r="F1310" s="10"/>
      <c r="G1310" s="10"/>
      <c r="H1310" s="10"/>
      <c r="I1310" s="12" t="n">
        <v>1</v>
      </c>
      <c r="J1310" s="12"/>
      <c r="K1310" s="13"/>
      <c r="L1310" s="13"/>
      <c r="M1310" s="12"/>
      <c r="N1310" s="12"/>
      <c r="O1310" s="12"/>
      <c r="P1310" s="13"/>
      <c r="Q1310" s="13"/>
      <c r="R1310" s="12"/>
      <c r="S1310" s="12"/>
      <c r="T1310" s="12"/>
      <c r="U1310" s="14"/>
      <c r="V1310" s="15"/>
      <c r="W1310" s="16" t="n">
        <f aca="false">A1310</f>
        <v>0</v>
      </c>
      <c r="X1310" s="17" t="e">
        <f aca="false">ifs(C1310="","",X1310="",NOW(),TRUE(),X1310)</f>
        <v>#VALUE!</v>
      </c>
      <c r="Y1310" s="17" t="e">
        <f aca="false">ifs(COUNTA(K1310:U1313)&lt;44,"",Y1310="",NOW(),TRUE(),Y1310)</f>
        <v>#VALUE!</v>
      </c>
    </row>
    <row r="1311" customFormat="false" ht="15.75" hidden="false" customHeight="false" outlineLevel="0" collapsed="false">
      <c r="A1311" s="9"/>
      <c r="B1311" s="10"/>
      <c r="C1311" s="10"/>
      <c r="D1311" s="10"/>
      <c r="E1311" s="10"/>
      <c r="F1311" s="10"/>
      <c r="G1311" s="10"/>
      <c r="H1311" s="10"/>
      <c r="I1311" s="18" t="n">
        <v>2</v>
      </c>
      <c r="J1311" s="18"/>
      <c r="K1311" s="19"/>
      <c r="L1311" s="19"/>
      <c r="M1311" s="18"/>
      <c r="N1311" s="18"/>
      <c r="O1311" s="18"/>
      <c r="P1311" s="19"/>
      <c r="Q1311" s="19"/>
      <c r="R1311" s="18"/>
      <c r="S1311" s="18"/>
      <c r="T1311" s="18"/>
      <c r="U1311" s="20"/>
      <c r="V1311" s="21"/>
      <c r="W1311" s="16"/>
      <c r="X1311" s="16"/>
      <c r="Y1311" s="16"/>
    </row>
    <row r="1312" customFormat="false" ht="15.75" hidden="false" customHeight="false" outlineLevel="0" collapsed="false">
      <c r="A1312" s="9"/>
      <c r="B1312" s="10"/>
      <c r="C1312" s="10"/>
      <c r="D1312" s="10"/>
      <c r="E1312" s="10"/>
      <c r="F1312" s="10"/>
      <c r="G1312" s="10"/>
      <c r="H1312" s="10"/>
      <c r="I1312" s="22" t="n">
        <v>3</v>
      </c>
      <c r="J1312" s="22"/>
      <c r="K1312" s="23"/>
      <c r="L1312" s="23"/>
      <c r="M1312" s="22"/>
      <c r="N1312" s="22"/>
      <c r="O1312" s="22"/>
      <c r="P1312" s="23"/>
      <c r="Q1312" s="23"/>
      <c r="R1312" s="22"/>
      <c r="S1312" s="22"/>
      <c r="T1312" s="22"/>
      <c r="U1312" s="24"/>
      <c r="V1312" s="15"/>
      <c r="W1312" s="16"/>
      <c r="X1312" s="16"/>
      <c r="Y1312" s="16"/>
    </row>
    <row r="1313" customFormat="false" ht="15.75" hidden="false" customHeight="false" outlineLevel="0" collapsed="false">
      <c r="A1313" s="9"/>
      <c r="B1313" s="10"/>
      <c r="C1313" s="10"/>
      <c r="D1313" s="10"/>
      <c r="E1313" s="10"/>
      <c r="F1313" s="10"/>
      <c r="G1313" s="10"/>
      <c r="H1313" s="10"/>
      <c r="I1313" s="25" t="n">
        <v>4</v>
      </c>
      <c r="J1313" s="25"/>
      <c r="K1313" s="26"/>
      <c r="L1313" s="26"/>
      <c r="M1313" s="25"/>
      <c r="N1313" s="25"/>
      <c r="O1313" s="25"/>
      <c r="P1313" s="26"/>
      <c r="Q1313" s="26"/>
      <c r="R1313" s="25"/>
      <c r="S1313" s="25"/>
      <c r="T1313" s="25"/>
      <c r="U1313" s="27"/>
      <c r="V1313" s="21"/>
      <c r="W1313" s="16"/>
      <c r="X1313" s="16"/>
      <c r="Y1313" s="16"/>
    </row>
    <row r="1314" customFormat="false" ht="15.75" hidden="false" customHeight="false" outlineLevel="0" collapsed="false">
      <c r="A1314" s="9"/>
      <c r="B1314" s="10"/>
      <c r="C1314" s="11"/>
      <c r="D1314" s="10"/>
      <c r="E1314" s="10"/>
      <c r="F1314" s="10"/>
      <c r="G1314" s="10"/>
      <c r="H1314" s="10"/>
      <c r="I1314" s="12" t="n">
        <v>1</v>
      </c>
      <c r="J1314" s="12"/>
      <c r="K1314" s="13"/>
      <c r="L1314" s="13"/>
      <c r="M1314" s="12"/>
      <c r="N1314" s="12"/>
      <c r="O1314" s="12"/>
      <c r="P1314" s="13"/>
      <c r="Q1314" s="13"/>
      <c r="R1314" s="12"/>
      <c r="S1314" s="12"/>
      <c r="T1314" s="12"/>
      <c r="U1314" s="14"/>
      <c r="V1314" s="15"/>
      <c r="W1314" s="16" t="n">
        <f aca="false">A1314</f>
        <v>0</v>
      </c>
      <c r="X1314" s="17" t="e">
        <f aca="false">ifs(C1314="","",X1314="",NOW(),TRUE(),X1314)</f>
        <v>#VALUE!</v>
      </c>
      <c r="Y1314" s="17" t="e">
        <f aca="false">ifs(COUNTA(K1314:U1317)&lt;44,"",Y1314="",NOW(),TRUE(),Y1314)</f>
        <v>#VALUE!</v>
      </c>
    </row>
    <row r="1315" customFormat="false" ht="15.75" hidden="false" customHeight="false" outlineLevel="0" collapsed="false">
      <c r="A1315" s="9"/>
      <c r="B1315" s="10"/>
      <c r="C1315" s="10"/>
      <c r="D1315" s="10"/>
      <c r="E1315" s="10"/>
      <c r="F1315" s="10"/>
      <c r="G1315" s="10"/>
      <c r="H1315" s="10"/>
      <c r="I1315" s="18" t="n">
        <v>2</v>
      </c>
      <c r="J1315" s="18"/>
      <c r="K1315" s="19"/>
      <c r="L1315" s="19"/>
      <c r="M1315" s="18"/>
      <c r="N1315" s="18"/>
      <c r="O1315" s="18"/>
      <c r="P1315" s="19"/>
      <c r="Q1315" s="19"/>
      <c r="R1315" s="18"/>
      <c r="S1315" s="18"/>
      <c r="T1315" s="18"/>
      <c r="U1315" s="20"/>
      <c r="V1315" s="21"/>
      <c r="W1315" s="16"/>
      <c r="X1315" s="16"/>
      <c r="Y1315" s="16"/>
    </row>
    <row r="1316" customFormat="false" ht="15.75" hidden="false" customHeight="false" outlineLevel="0" collapsed="false">
      <c r="A1316" s="9"/>
      <c r="B1316" s="10"/>
      <c r="C1316" s="10"/>
      <c r="D1316" s="10"/>
      <c r="E1316" s="10"/>
      <c r="F1316" s="10"/>
      <c r="G1316" s="10"/>
      <c r="H1316" s="10"/>
      <c r="I1316" s="22" t="n">
        <v>3</v>
      </c>
      <c r="J1316" s="22"/>
      <c r="K1316" s="23"/>
      <c r="L1316" s="23"/>
      <c r="M1316" s="22"/>
      <c r="N1316" s="22"/>
      <c r="O1316" s="22"/>
      <c r="P1316" s="23"/>
      <c r="Q1316" s="23"/>
      <c r="R1316" s="22"/>
      <c r="S1316" s="22"/>
      <c r="T1316" s="22"/>
      <c r="U1316" s="24"/>
      <c r="V1316" s="15"/>
      <c r="W1316" s="16"/>
      <c r="X1316" s="16"/>
      <c r="Y1316" s="16"/>
    </row>
    <row r="1317" customFormat="false" ht="15.75" hidden="false" customHeight="false" outlineLevel="0" collapsed="false">
      <c r="A1317" s="9"/>
      <c r="B1317" s="10"/>
      <c r="C1317" s="10"/>
      <c r="D1317" s="10"/>
      <c r="E1317" s="10"/>
      <c r="F1317" s="10"/>
      <c r="G1317" s="10"/>
      <c r="H1317" s="10"/>
      <c r="I1317" s="25" t="n">
        <v>4</v>
      </c>
      <c r="J1317" s="25"/>
      <c r="K1317" s="26"/>
      <c r="L1317" s="26"/>
      <c r="M1317" s="25"/>
      <c r="N1317" s="25"/>
      <c r="O1317" s="25"/>
      <c r="P1317" s="26"/>
      <c r="Q1317" s="26"/>
      <c r="R1317" s="25"/>
      <c r="S1317" s="25"/>
      <c r="T1317" s="25"/>
      <c r="U1317" s="27"/>
      <c r="V1317" s="21"/>
      <c r="W1317" s="16"/>
      <c r="X1317" s="16"/>
      <c r="Y1317" s="16"/>
    </row>
    <row r="1318" customFormat="false" ht="15.75" hidden="false" customHeight="false" outlineLevel="0" collapsed="false">
      <c r="A1318" s="9"/>
      <c r="B1318" s="10"/>
      <c r="C1318" s="11"/>
      <c r="D1318" s="10"/>
      <c r="E1318" s="10"/>
      <c r="F1318" s="10"/>
      <c r="G1318" s="10"/>
      <c r="H1318" s="10"/>
      <c r="I1318" s="12" t="n">
        <v>1</v>
      </c>
      <c r="J1318" s="12"/>
      <c r="K1318" s="13"/>
      <c r="L1318" s="13"/>
      <c r="M1318" s="12"/>
      <c r="N1318" s="12"/>
      <c r="O1318" s="12"/>
      <c r="P1318" s="13"/>
      <c r="Q1318" s="13"/>
      <c r="R1318" s="12"/>
      <c r="S1318" s="12"/>
      <c r="T1318" s="12"/>
      <c r="U1318" s="14"/>
      <c r="V1318" s="15"/>
      <c r="W1318" s="16" t="n">
        <f aca="false">A1318</f>
        <v>0</v>
      </c>
      <c r="X1318" s="17" t="e">
        <f aca="false">ifs(C1318="","",X1318="",NOW(),TRUE(),X1318)</f>
        <v>#VALUE!</v>
      </c>
      <c r="Y1318" s="17" t="e">
        <f aca="false">ifs(COUNTA(K1318:U1321)&lt;44,"",Y1318="",NOW(),TRUE(),Y1318)</f>
        <v>#VALUE!</v>
      </c>
    </row>
    <row r="1319" customFormat="false" ht="15.75" hidden="false" customHeight="false" outlineLevel="0" collapsed="false">
      <c r="A1319" s="9"/>
      <c r="B1319" s="10"/>
      <c r="C1319" s="10"/>
      <c r="D1319" s="10"/>
      <c r="E1319" s="10"/>
      <c r="F1319" s="10"/>
      <c r="G1319" s="10"/>
      <c r="H1319" s="10"/>
      <c r="I1319" s="18" t="n">
        <v>2</v>
      </c>
      <c r="J1319" s="18"/>
      <c r="K1319" s="19"/>
      <c r="L1319" s="19"/>
      <c r="M1319" s="18"/>
      <c r="N1319" s="18"/>
      <c r="O1319" s="18"/>
      <c r="P1319" s="19"/>
      <c r="Q1319" s="19"/>
      <c r="R1319" s="18"/>
      <c r="S1319" s="18"/>
      <c r="T1319" s="18"/>
      <c r="U1319" s="20"/>
      <c r="V1319" s="21"/>
      <c r="W1319" s="16"/>
      <c r="X1319" s="16"/>
      <c r="Y1319" s="16"/>
    </row>
    <row r="1320" customFormat="false" ht="15.75" hidden="false" customHeight="false" outlineLevel="0" collapsed="false">
      <c r="A1320" s="9"/>
      <c r="B1320" s="10"/>
      <c r="C1320" s="10"/>
      <c r="D1320" s="10"/>
      <c r="E1320" s="10"/>
      <c r="F1320" s="10"/>
      <c r="G1320" s="10"/>
      <c r="H1320" s="10"/>
      <c r="I1320" s="22" t="n">
        <v>3</v>
      </c>
      <c r="J1320" s="22"/>
      <c r="K1320" s="23"/>
      <c r="L1320" s="23"/>
      <c r="M1320" s="22"/>
      <c r="N1320" s="22"/>
      <c r="O1320" s="22"/>
      <c r="P1320" s="23"/>
      <c r="Q1320" s="23"/>
      <c r="R1320" s="22"/>
      <c r="S1320" s="22"/>
      <c r="T1320" s="22"/>
      <c r="U1320" s="24"/>
      <c r="V1320" s="15"/>
      <c r="W1320" s="16"/>
      <c r="X1320" s="16"/>
      <c r="Y1320" s="16"/>
    </row>
    <row r="1321" customFormat="false" ht="15.75" hidden="false" customHeight="false" outlineLevel="0" collapsed="false">
      <c r="A1321" s="9"/>
      <c r="B1321" s="10"/>
      <c r="C1321" s="10"/>
      <c r="D1321" s="10"/>
      <c r="E1321" s="10"/>
      <c r="F1321" s="10"/>
      <c r="G1321" s="10"/>
      <c r="H1321" s="10"/>
      <c r="I1321" s="25" t="n">
        <v>4</v>
      </c>
      <c r="J1321" s="25"/>
      <c r="K1321" s="26"/>
      <c r="L1321" s="26"/>
      <c r="M1321" s="25"/>
      <c r="N1321" s="25"/>
      <c r="O1321" s="25"/>
      <c r="P1321" s="26"/>
      <c r="Q1321" s="26"/>
      <c r="R1321" s="25"/>
      <c r="S1321" s="25"/>
      <c r="T1321" s="25"/>
      <c r="U1321" s="27"/>
      <c r="V1321" s="21"/>
      <c r="W1321" s="16"/>
      <c r="X1321" s="16"/>
      <c r="Y1321" s="16"/>
    </row>
    <row r="1322" customFormat="false" ht="15.75" hidden="false" customHeight="false" outlineLevel="0" collapsed="false">
      <c r="A1322" s="9"/>
      <c r="B1322" s="10"/>
      <c r="C1322" s="11"/>
      <c r="D1322" s="10"/>
      <c r="E1322" s="10"/>
      <c r="F1322" s="10"/>
      <c r="G1322" s="10"/>
      <c r="H1322" s="10"/>
      <c r="I1322" s="12" t="n">
        <v>1</v>
      </c>
      <c r="J1322" s="12"/>
      <c r="K1322" s="13"/>
      <c r="L1322" s="13"/>
      <c r="M1322" s="12"/>
      <c r="N1322" s="12"/>
      <c r="O1322" s="12"/>
      <c r="P1322" s="13"/>
      <c r="Q1322" s="13"/>
      <c r="R1322" s="12"/>
      <c r="S1322" s="12"/>
      <c r="T1322" s="12"/>
      <c r="U1322" s="14"/>
      <c r="V1322" s="15"/>
      <c r="W1322" s="16" t="n">
        <f aca="false">A1322</f>
        <v>0</v>
      </c>
      <c r="X1322" s="17" t="e">
        <f aca="false">ifs(C1322="","",X1322="",NOW(),TRUE(),X1322)</f>
        <v>#VALUE!</v>
      </c>
      <c r="Y1322" s="17" t="e">
        <f aca="false">ifs(COUNTA(K1322:U1325)&lt;44,"",Y1322="",NOW(),TRUE(),Y1322)</f>
        <v>#VALUE!</v>
      </c>
    </row>
    <row r="1323" customFormat="false" ht="15.75" hidden="false" customHeight="false" outlineLevel="0" collapsed="false">
      <c r="A1323" s="9"/>
      <c r="B1323" s="10"/>
      <c r="C1323" s="10"/>
      <c r="D1323" s="10"/>
      <c r="E1323" s="10"/>
      <c r="F1323" s="10"/>
      <c r="G1323" s="10"/>
      <c r="H1323" s="10"/>
      <c r="I1323" s="18" t="n">
        <v>2</v>
      </c>
      <c r="J1323" s="18"/>
      <c r="K1323" s="19"/>
      <c r="L1323" s="19"/>
      <c r="M1323" s="18"/>
      <c r="N1323" s="18"/>
      <c r="O1323" s="18"/>
      <c r="P1323" s="19"/>
      <c r="Q1323" s="19"/>
      <c r="R1323" s="18"/>
      <c r="S1323" s="18"/>
      <c r="T1323" s="18"/>
      <c r="U1323" s="20"/>
      <c r="V1323" s="21"/>
      <c r="W1323" s="16"/>
      <c r="X1323" s="16"/>
      <c r="Y1323" s="16"/>
    </row>
    <row r="1324" customFormat="false" ht="15.75" hidden="false" customHeight="false" outlineLevel="0" collapsed="false">
      <c r="A1324" s="9"/>
      <c r="B1324" s="10"/>
      <c r="C1324" s="10"/>
      <c r="D1324" s="10"/>
      <c r="E1324" s="10"/>
      <c r="F1324" s="10"/>
      <c r="G1324" s="10"/>
      <c r="H1324" s="10"/>
      <c r="I1324" s="22" t="n">
        <v>3</v>
      </c>
      <c r="J1324" s="22"/>
      <c r="K1324" s="23"/>
      <c r="L1324" s="23"/>
      <c r="M1324" s="22"/>
      <c r="N1324" s="22"/>
      <c r="O1324" s="22"/>
      <c r="P1324" s="23"/>
      <c r="Q1324" s="23"/>
      <c r="R1324" s="22"/>
      <c r="S1324" s="22"/>
      <c r="T1324" s="22"/>
      <c r="U1324" s="24"/>
      <c r="V1324" s="15"/>
      <c r="W1324" s="16"/>
      <c r="X1324" s="16"/>
      <c r="Y1324" s="16"/>
    </row>
    <row r="1325" customFormat="false" ht="15.75" hidden="false" customHeight="false" outlineLevel="0" collapsed="false">
      <c r="A1325" s="9"/>
      <c r="B1325" s="10"/>
      <c r="C1325" s="10"/>
      <c r="D1325" s="10"/>
      <c r="E1325" s="10"/>
      <c r="F1325" s="10"/>
      <c r="G1325" s="10"/>
      <c r="H1325" s="10"/>
      <c r="I1325" s="25" t="n">
        <v>4</v>
      </c>
      <c r="J1325" s="25"/>
      <c r="K1325" s="26"/>
      <c r="L1325" s="26"/>
      <c r="M1325" s="25"/>
      <c r="N1325" s="25"/>
      <c r="O1325" s="25"/>
      <c r="P1325" s="26"/>
      <c r="Q1325" s="26"/>
      <c r="R1325" s="25"/>
      <c r="S1325" s="25"/>
      <c r="T1325" s="25"/>
      <c r="U1325" s="27"/>
      <c r="V1325" s="21"/>
      <c r="W1325" s="16"/>
      <c r="X1325" s="16"/>
      <c r="Y1325" s="16"/>
    </row>
    <row r="1326" customFormat="false" ht="15.75" hidden="false" customHeight="false" outlineLevel="0" collapsed="false">
      <c r="A1326" s="9"/>
      <c r="B1326" s="10"/>
      <c r="C1326" s="11"/>
      <c r="D1326" s="10"/>
      <c r="E1326" s="10"/>
      <c r="F1326" s="10"/>
      <c r="G1326" s="10"/>
      <c r="H1326" s="10"/>
      <c r="I1326" s="12" t="n">
        <v>1</v>
      </c>
      <c r="J1326" s="12"/>
      <c r="K1326" s="13"/>
      <c r="L1326" s="13"/>
      <c r="M1326" s="12"/>
      <c r="N1326" s="12"/>
      <c r="O1326" s="12"/>
      <c r="P1326" s="13"/>
      <c r="Q1326" s="13"/>
      <c r="R1326" s="12"/>
      <c r="S1326" s="12"/>
      <c r="T1326" s="12"/>
      <c r="U1326" s="14"/>
      <c r="V1326" s="15"/>
      <c r="W1326" s="16" t="n">
        <f aca="false">A1326</f>
        <v>0</v>
      </c>
      <c r="X1326" s="17" t="e">
        <f aca="false">ifs(C1326="","",X1326="",NOW(),TRUE(),X1326)</f>
        <v>#VALUE!</v>
      </c>
      <c r="Y1326" s="17" t="e">
        <f aca="false">ifs(COUNTA(K1326:U1329)&lt;44,"",Y1326="",NOW(),TRUE(),Y1326)</f>
        <v>#VALUE!</v>
      </c>
    </row>
    <row r="1327" customFormat="false" ht="15.75" hidden="false" customHeight="false" outlineLevel="0" collapsed="false">
      <c r="A1327" s="9"/>
      <c r="B1327" s="10"/>
      <c r="C1327" s="10"/>
      <c r="D1327" s="10"/>
      <c r="E1327" s="10"/>
      <c r="F1327" s="10"/>
      <c r="G1327" s="10"/>
      <c r="H1327" s="10"/>
      <c r="I1327" s="18" t="n">
        <v>2</v>
      </c>
      <c r="J1327" s="18"/>
      <c r="K1327" s="19"/>
      <c r="L1327" s="19"/>
      <c r="M1327" s="18"/>
      <c r="N1327" s="18"/>
      <c r="O1327" s="18"/>
      <c r="P1327" s="19"/>
      <c r="Q1327" s="19"/>
      <c r="R1327" s="18"/>
      <c r="S1327" s="18"/>
      <c r="T1327" s="18"/>
      <c r="U1327" s="20"/>
      <c r="V1327" s="21"/>
      <c r="W1327" s="16"/>
      <c r="X1327" s="16"/>
      <c r="Y1327" s="16"/>
    </row>
    <row r="1328" customFormat="false" ht="15.75" hidden="false" customHeight="false" outlineLevel="0" collapsed="false">
      <c r="A1328" s="9"/>
      <c r="B1328" s="10"/>
      <c r="C1328" s="10"/>
      <c r="D1328" s="10"/>
      <c r="E1328" s="10"/>
      <c r="F1328" s="10"/>
      <c r="G1328" s="10"/>
      <c r="H1328" s="10"/>
      <c r="I1328" s="22" t="n">
        <v>3</v>
      </c>
      <c r="J1328" s="22"/>
      <c r="K1328" s="23"/>
      <c r="L1328" s="23"/>
      <c r="M1328" s="22"/>
      <c r="N1328" s="22"/>
      <c r="O1328" s="22"/>
      <c r="P1328" s="23"/>
      <c r="Q1328" s="23"/>
      <c r="R1328" s="22"/>
      <c r="S1328" s="22"/>
      <c r="T1328" s="22"/>
      <c r="U1328" s="24"/>
      <c r="V1328" s="15"/>
      <c r="W1328" s="16"/>
      <c r="X1328" s="16"/>
      <c r="Y1328" s="16"/>
    </row>
    <row r="1329" customFormat="false" ht="15.75" hidden="false" customHeight="false" outlineLevel="0" collapsed="false">
      <c r="A1329" s="9"/>
      <c r="B1329" s="10"/>
      <c r="C1329" s="10"/>
      <c r="D1329" s="10"/>
      <c r="E1329" s="10"/>
      <c r="F1329" s="10"/>
      <c r="G1329" s="10"/>
      <c r="H1329" s="10"/>
      <c r="I1329" s="25" t="n">
        <v>4</v>
      </c>
      <c r="J1329" s="25"/>
      <c r="K1329" s="26"/>
      <c r="L1329" s="26"/>
      <c r="M1329" s="25"/>
      <c r="N1329" s="25"/>
      <c r="O1329" s="25"/>
      <c r="P1329" s="26"/>
      <c r="Q1329" s="26"/>
      <c r="R1329" s="25"/>
      <c r="S1329" s="25"/>
      <c r="T1329" s="25"/>
      <c r="U1329" s="27"/>
      <c r="V1329" s="21"/>
      <c r="W1329" s="16"/>
      <c r="X1329" s="16"/>
      <c r="Y1329" s="16"/>
    </row>
    <row r="1330" customFormat="false" ht="15.75" hidden="false" customHeight="false" outlineLevel="0" collapsed="false">
      <c r="A1330" s="9"/>
      <c r="B1330" s="10"/>
      <c r="C1330" s="11"/>
      <c r="D1330" s="10"/>
      <c r="E1330" s="10"/>
      <c r="F1330" s="10"/>
      <c r="G1330" s="10"/>
      <c r="H1330" s="10"/>
      <c r="I1330" s="12" t="n">
        <v>1</v>
      </c>
      <c r="J1330" s="12"/>
      <c r="K1330" s="13"/>
      <c r="L1330" s="13"/>
      <c r="M1330" s="12"/>
      <c r="N1330" s="12"/>
      <c r="O1330" s="12"/>
      <c r="P1330" s="13"/>
      <c r="Q1330" s="13"/>
      <c r="R1330" s="12"/>
      <c r="S1330" s="12"/>
      <c r="T1330" s="12"/>
      <c r="U1330" s="14"/>
      <c r="V1330" s="15"/>
      <c r="W1330" s="16" t="n">
        <f aca="false">A1330</f>
        <v>0</v>
      </c>
      <c r="X1330" s="17" t="e">
        <f aca="false">ifs(C1330="","",X1330="",NOW(),TRUE(),X1330)</f>
        <v>#VALUE!</v>
      </c>
      <c r="Y1330" s="17" t="e">
        <f aca="false">ifs(COUNTA(K1330:U1333)&lt;44,"",Y1330="",NOW(),TRUE(),Y1330)</f>
        <v>#VALUE!</v>
      </c>
    </row>
    <row r="1331" customFormat="false" ht="15.75" hidden="false" customHeight="false" outlineLevel="0" collapsed="false">
      <c r="A1331" s="9"/>
      <c r="B1331" s="10"/>
      <c r="C1331" s="10"/>
      <c r="D1331" s="10"/>
      <c r="E1331" s="10"/>
      <c r="F1331" s="10"/>
      <c r="G1331" s="10"/>
      <c r="H1331" s="10"/>
      <c r="I1331" s="18" t="n">
        <v>2</v>
      </c>
      <c r="J1331" s="18"/>
      <c r="K1331" s="19"/>
      <c r="L1331" s="19"/>
      <c r="M1331" s="18"/>
      <c r="N1331" s="18"/>
      <c r="O1331" s="18"/>
      <c r="P1331" s="19"/>
      <c r="Q1331" s="19"/>
      <c r="R1331" s="18"/>
      <c r="S1331" s="18"/>
      <c r="T1331" s="18"/>
      <c r="U1331" s="20"/>
      <c r="V1331" s="21"/>
      <c r="W1331" s="16"/>
      <c r="X1331" s="16"/>
      <c r="Y1331" s="16"/>
    </row>
    <row r="1332" customFormat="false" ht="15.75" hidden="false" customHeight="false" outlineLevel="0" collapsed="false">
      <c r="A1332" s="9"/>
      <c r="B1332" s="10"/>
      <c r="C1332" s="10"/>
      <c r="D1332" s="10"/>
      <c r="E1332" s="10"/>
      <c r="F1332" s="10"/>
      <c r="G1332" s="10"/>
      <c r="H1332" s="10"/>
      <c r="I1332" s="22" t="n">
        <v>3</v>
      </c>
      <c r="J1332" s="22"/>
      <c r="K1332" s="23"/>
      <c r="L1332" s="23"/>
      <c r="M1332" s="22"/>
      <c r="N1332" s="22"/>
      <c r="O1332" s="22"/>
      <c r="P1332" s="23"/>
      <c r="Q1332" s="23"/>
      <c r="R1332" s="22"/>
      <c r="S1332" s="22"/>
      <c r="T1332" s="22"/>
      <c r="U1332" s="24"/>
      <c r="V1332" s="15"/>
      <c r="W1332" s="16"/>
      <c r="X1332" s="16"/>
      <c r="Y1332" s="16"/>
    </row>
    <row r="1333" customFormat="false" ht="15.75" hidden="false" customHeight="false" outlineLevel="0" collapsed="false">
      <c r="A1333" s="9"/>
      <c r="B1333" s="10"/>
      <c r="C1333" s="10"/>
      <c r="D1333" s="10"/>
      <c r="E1333" s="10"/>
      <c r="F1333" s="10"/>
      <c r="G1333" s="10"/>
      <c r="H1333" s="10"/>
      <c r="I1333" s="25" t="n">
        <v>4</v>
      </c>
      <c r="J1333" s="25"/>
      <c r="K1333" s="26"/>
      <c r="L1333" s="26"/>
      <c r="M1333" s="25"/>
      <c r="N1333" s="25"/>
      <c r="O1333" s="25"/>
      <c r="P1333" s="26"/>
      <c r="Q1333" s="26"/>
      <c r="R1333" s="25"/>
      <c r="S1333" s="25"/>
      <c r="T1333" s="25"/>
      <c r="U1333" s="27"/>
      <c r="V1333" s="21"/>
      <c r="W1333" s="16"/>
      <c r="X1333" s="16"/>
      <c r="Y1333" s="16"/>
    </row>
    <row r="1334" customFormat="false" ht="15.75" hidden="false" customHeight="false" outlineLevel="0" collapsed="false">
      <c r="A1334" s="9"/>
      <c r="B1334" s="10"/>
      <c r="C1334" s="11"/>
      <c r="D1334" s="10"/>
      <c r="E1334" s="10"/>
      <c r="F1334" s="10"/>
      <c r="G1334" s="10"/>
      <c r="H1334" s="10"/>
      <c r="I1334" s="12" t="n">
        <v>1</v>
      </c>
      <c r="J1334" s="12"/>
      <c r="K1334" s="13"/>
      <c r="L1334" s="13"/>
      <c r="M1334" s="12"/>
      <c r="N1334" s="12"/>
      <c r="O1334" s="12"/>
      <c r="P1334" s="13"/>
      <c r="Q1334" s="13"/>
      <c r="R1334" s="12"/>
      <c r="S1334" s="12"/>
      <c r="T1334" s="12"/>
      <c r="U1334" s="14"/>
      <c r="V1334" s="15"/>
      <c r="W1334" s="16" t="n">
        <f aca="false">A1334</f>
        <v>0</v>
      </c>
      <c r="X1334" s="17" t="e">
        <f aca="false">ifs(C1334="","",X1334="",NOW(),TRUE(),X1334)</f>
        <v>#VALUE!</v>
      </c>
      <c r="Y1334" s="17" t="e">
        <f aca="false">ifs(COUNTA(K1334:U1337)&lt;44,"",Y1334="",NOW(),TRUE(),Y1334)</f>
        <v>#VALUE!</v>
      </c>
    </row>
    <row r="1335" customFormat="false" ht="15.75" hidden="false" customHeight="false" outlineLevel="0" collapsed="false">
      <c r="A1335" s="9"/>
      <c r="B1335" s="10"/>
      <c r="C1335" s="10"/>
      <c r="D1335" s="10"/>
      <c r="E1335" s="10"/>
      <c r="F1335" s="10"/>
      <c r="G1335" s="10"/>
      <c r="H1335" s="10"/>
      <c r="I1335" s="18" t="n">
        <v>2</v>
      </c>
      <c r="J1335" s="18"/>
      <c r="K1335" s="19"/>
      <c r="L1335" s="19"/>
      <c r="M1335" s="18"/>
      <c r="N1335" s="18"/>
      <c r="O1335" s="18"/>
      <c r="P1335" s="19"/>
      <c r="Q1335" s="19"/>
      <c r="R1335" s="18"/>
      <c r="S1335" s="18"/>
      <c r="T1335" s="18"/>
      <c r="U1335" s="20"/>
      <c r="V1335" s="21"/>
      <c r="W1335" s="16"/>
      <c r="X1335" s="16"/>
      <c r="Y1335" s="16"/>
    </row>
    <row r="1336" customFormat="false" ht="15.75" hidden="false" customHeight="false" outlineLevel="0" collapsed="false">
      <c r="A1336" s="9"/>
      <c r="B1336" s="10"/>
      <c r="C1336" s="10"/>
      <c r="D1336" s="10"/>
      <c r="E1336" s="10"/>
      <c r="F1336" s="10"/>
      <c r="G1336" s="10"/>
      <c r="H1336" s="10"/>
      <c r="I1336" s="22" t="n">
        <v>3</v>
      </c>
      <c r="J1336" s="22"/>
      <c r="K1336" s="23"/>
      <c r="L1336" s="23"/>
      <c r="M1336" s="22"/>
      <c r="N1336" s="22"/>
      <c r="O1336" s="22"/>
      <c r="P1336" s="23"/>
      <c r="Q1336" s="23"/>
      <c r="R1336" s="22"/>
      <c r="S1336" s="22"/>
      <c r="T1336" s="22"/>
      <c r="U1336" s="24"/>
      <c r="V1336" s="15"/>
      <c r="W1336" s="16"/>
      <c r="X1336" s="16"/>
      <c r="Y1336" s="16"/>
    </row>
    <row r="1337" customFormat="false" ht="15.75" hidden="false" customHeight="false" outlineLevel="0" collapsed="false">
      <c r="A1337" s="9"/>
      <c r="B1337" s="10"/>
      <c r="C1337" s="10"/>
      <c r="D1337" s="10"/>
      <c r="E1337" s="10"/>
      <c r="F1337" s="10"/>
      <c r="G1337" s="10"/>
      <c r="H1337" s="10"/>
      <c r="I1337" s="25" t="n">
        <v>4</v>
      </c>
      <c r="J1337" s="25"/>
      <c r="K1337" s="26"/>
      <c r="L1337" s="26"/>
      <c r="M1337" s="25"/>
      <c r="N1337" s="25"/>
      <c r="O1337" s="25"/>
      <c r="P1337" s="26"/>
      <c r="Q1337" s="26"/>
      <c r="R1337" s="25"/>
      <c r="S1337" s="25"/>
      <c r="T1337" s="25"/>
      <c r="U1337" s="27"/>
      <c r="V1337" s="21"/>
      <c r="W1337" s="16"/>
      <c r="X1337" s="16"/>
      <c r="Y1337" s="16"/>
    </row>
    <row r="1338" customFormat="false" ht="15.75" hidden="false" customHeight="false" outlineLevel="0" collapsed="false">
      <c r="A1338" s="9"/>
      <c r="B1338" s="10"/>
      <c r="C1338" s="11"/>
      <c r="D1338" s="10"/>
      <c r="E1338" s="10"/>
      <c r="F1338" s="10"/>
      <c r="G1338" s="10"/>
      <c r="H1338" s="10"/>
      <c r="I1338" s="12" t="n">
        <v>1</v>
      </c>
      <c r="J1338" s="12"/>
      <c r="K1338" s="13"/>
      <c r="L1338" s="13"/>
      <c r="M1338" s="12"/>
      <c r="N1338" s="12"/>
      <c r="O1338" s="12"/>
      <c r="P1338" s="13"/>
      <c r="Q1338" s="13"/>
      <c r="R1338" s="12"/>
      <c r="S1338" s="12"/>
      <c r="T1338" s="12"/>
      <c r="U1338" s="14"/>
      <c r="V1338" s="15"/>
      <c r="W1338" s="16" t="n">
        <f aca="false">A1338</f>
        <v>0</v>
      </c>
      <c r="X1338" s="17" t="e">
        <f aca="false">ifs(C1338="","",X1338="",NOW(),TRUE(),X1338)</f>
        <v>#VALUE!</v>
      </c>
      <c r="Y1338" s="17" t="e">
        <f aca="false">ifs(COUNTA(K1338:U1341)&lt;44,"",Y1338="",NOW(),TRUE(),Y1338)</f>
        <v>#VALUE!</v>
      </c>
    </row>
    <row r="1339" customFormat="false" ht="15.75" hidden="false" customHeight="false" outlineLevel="0" collapsed="false">
      <c r="A1339" s="9"/>
      <c r="B1339" s="10"/>
      <c r="C1339" s="10"/>
      <c r="D1339" s="10"/>
      <c r="E1339" s="10"/>
      <c r="F1339" s="10"/>
      <c r="G1339" s="10"/>
      <c r="H1339" s="10"/>
      <c r="I1339" s="18" t="n">
        <v>2</v>
      </c>
      <c r="J1339" s="18"/>
      <c r="K1339" s="19"/>
      <c r="L1339" s="19"/>
      <c r="M1339" s="18"/>
      <c r="N1339" s="18"/>
      <c r="O1339" s="18"/>
      <c r="P1339" s="19"/>
      <c r="Q1339" s="19"/>
      <c r="R1339" s="18"/>
      <c r="S1339" s="18"/>
      <c r="T1339" s="18"/>
      <c r="U1339" s="20"/>
      <c r="V1339" s="21"/>
      <c r="W1339" s="16"/>
      <c r="X1339" s="16"/>
      <c r="Y1339" s="16"/>
    </row>
    <row r="1340" customFormat="false" ht="15.75" hidden="false" customHeight="false" outlineLevel="0" collapsed="false">
      <c r="A1340" s="9"/>
      <c r="B1340" s="10"/>
      <c r="C1340" s="10"/>
      <c r="D1340" s="10"/>
      <c r="E1340" s="10"/>
      <c r="F1340" s="10"/>
      <c r="G1340" s="10"/>
      <c r="H1340" s="10"/>
      <c r="I1340" s="22" t="n">
        <v>3</v>
      </c>
      <c r="J1340" s="22"/>
      <c r="K1340" s="23"/>
      <c r="L1340" s="23"/>
      <c r="M1340" s="22"/>
      <c r="N1340" s="22"/>
      <c r="O1340" s="22"/>
      <c r="P1340" s="23"/>
      <c r="Q1340" s="23"/>
      <c r="R1340" s="22"/>
      <c r="S1340" s="22"/>
      <c r="T1340" s="22"/>
      <c r="U1340" s="24"/>
      <c r="V1340" s="15"/>
      <c r="W1340" s="16"/>
      <c r="X1340" s="16"/>
      <c r="Y1340" s="16"/>
    </row>
    <row r="1341" customFormat="false" ht="15.75" hidden="false" customHeight="false" outlineLevel="0" collapsed="false">
      <c r="A1341" s="9"/>
      <c r="B1341" s="10"/>
      <c r="C1341" s="10"/>
      <c r="D1341" s="10"/>
      <c r="E1341" s="10"/>
      <c r="F1341" s="10"/>
      <c r="G1341" s="10"/>
      <c r="H1341" s="10"/>
      <c r="I1341" s="25" t="n">
        <v>4</v>
      </c>
      <c r="J1341" s="25"/>
      <c r="K1341" s="26"/>
      <c r="L1341" s="26"/>
      <c r="M1341" s="25"/>
      <c r="N1341" s="25"/>
      <c r="O1341" s="25"/>
      <c r="P1341" s="26"/>
      <c r="Q1341" s="26"/>
      <c r="R1341" s="25"/>
      <c r="S1341" s="25"/>
      <c r="T1341" s="25"/>
      <c r="U1341" s="27"/>
      <c r="V1341" s="21"/>
      <c r="W1341" s="16"/>
      <c r="X1341" s="16"/>
      <c r="Y1341" s="16"/>
    </row>
    <row r="1342" customFormat="false" ht="15.75" hidden="false" customHeight="false" outlineLevel="0" collapsed="false">
      <c r="A1342" s="9"/>
      <c r="B1342" s="10"/>
      <c r="C1342" s="11"/>
      <c r="D1342" s="10"/>
      <c r="E1342" s="10"/>
      <c r="F1342" s="10"/>
      <c r="G1342" s="10"/>
      <c r="H1342" s="10"/>
      <c r="I1342" s="12" t="n">
        <v>1</v>
      </c>
      <c r="J1342" s="12"/>
      <c r="K1342" s="13"/>
      <c r="L1342" s="13"/>
      <c r="M1342" s="12"/>
      <c r="N1342" s="12"/>
      <c r="O1342" s="12"/>
      <c r="P1342" s="13"/>
      <c r="Q1342" s="13"/>
      <c r="R1342" s="12"/>
      <c r="S1342" s="12"/>
      <c r="T1342" s="12"/>
      <c r="U1342" s="14"/>
      <c r="V1342" s="15"/>
      <c r="W1342" s="16" t="n">
        <f aca="false">A1342</f>
        <v>0</v>
      </c>
      <c r="X1342" s="17" t="e">
        <f aca="false">ifs(C1342="","",X1342="",NOW(),TRUE(),X1342)</f>
        <v>#VALUE!</v>
      </c>
      <c r="Y1342" s="17" t="e">
        <f aca="false">ifs(COUNTA(K1342:U1345)&lt;44,"",Y1342="",NOW(),TRUE(),Y1342)</f>
        <v>#VALUE!</v>
      </c>
    </row>
    <row r="1343" customFormat="false" ht="15.75" hidden="false" customHeight="false" outlineLevel="0" collapsed="false">
      <c r="A1343" s="9"/>
      <c r="B1343" s="10"/>
      <c r="C1343" s="10"/>
      <c r="D1343" s="10"/>
      <c r="E1343" s="10"/>
      <c r="F1343" s="10"/>
      <c r="G1343" s="10"/>
      <c r="H1343" s="10"/>
      <c r="I1343" s="18" t="n">
        <v>2</v>
      </c>
      <c r="J1343" s="18"/>
      <c r="K1343" s="19"/>
      <c r="L1343" s="19"/>
      <c r="M1343" s="18"/>
      <c r="N1343" s="18"/>
      <c r="O1343" s="18"/>
      <c r="P1343" s="19"/>
      <c r="Q1343" s="19"/>
      <c r="R1343" s="18"/>
      <c r="S1343" s="18"/>
      <c r="T1343" s="18"/>
      <c r="U1343" s="20"/>
      <c r="V1343" s="21"/>
      <c r="W1343" s="16"/>
      <c r="X1343" s="16"/>
      <c r="Y1343" s="16"/>
    </row>
    <row r="1344" customFormat="false" ht="15.75" hidden="false" customHeight="false" outlineLevel="0" collapsed="false">
      <c r="A1344" s="9"/>
      <c r="B1344" s="10"/>
      <c r="C1344" s="10"/>
      <c r="D1344" s="10"/>
      <c r="E1344" s="10"/>
      <c r="F1344" s="10"/>
      <c r="G1344" s="10"/>
      <c r="H1344" s="10"/>
      <c r="I1344" s="22" t="n">
        <v>3</v>
      </c>
      <c r="J1344" s="22"/>
      <c r="K1344" s="23"/>
      <c r="L1344" s="23"/>
      <c r="M1344" s="22"/>
      <c r="N1344" s="22"/>
      <c r="O1344" s="22"/>
      <c r="P1344" s="23"/>
      <c r="Q1344" s="23"/>
      <c r="R1344" s="22"/>
      <c r="S1344" s="22"/>
      <c r="T1344" s="22"/>
      <c r="U1344" s="24"/>
      <c r="V1344" s="15"/>
      <c r="W1344" s="16"/>
      <c r="X1344" s="16"/>
      <c r="Y1344" s="16"/>
    </row>
    <row r="1345" customFormat="false" ht="15.75" hidden="false" customHeight="false" outlineLevel="0" collapsed="false">
      <c r="A1345" s="9"/>
      <c r="B1345" s="10"/>
      <c r="C1345" s="10"/>
      <c r="D1345" s="10"/>
      <c r="E1345" s="10"/>
      <c r="F1345" s="10"/>
      <c r="G1345" s="10"/>
      <c r="H1345" s="10"/>
      <c r="I1345" s="25" t="n">
        <v>4</v>
      </c>
      <c r="J1345" s="25"/>
      <c r="K1345" s="26"/>
      <c r="L1345" s="26"/>
      <c r="M1345" s="25"/>
      <c r="N1345" s="25"/>
      <c r="O1345" s="25"/>
      <c r="P1345" s="26"/>
      <c r="Q1345" s="26"/>
      <c r="R1345" s="25"/>
      <c r="S1345" s="25"/>
      <c r="T1345" s="25"/>
      <c r="U1345" s="27"/>
      <c r="V1345" s="21"/>
      <c r="W1345" s="16"/>
      <c r="X1345" s="16"/>
      <c r="Y1345" s="16"/>
    </row>
    <row r="1346" customFormat="false" ht="15.75" hidden="false" customHeight="false" outlineLevel="0" collapsed="false">
      <c r="A1346" s="9"/>
      <c r="B1346" s="10"/>
      <c r="C1346" s="11"/>
      <c r="D1346" s="10"/>
      <c r="E1346" s="10"/>
      <c r="F1346" s="10"/>
      <c r="G1346" s="10"/>
      <c r="H1346" s="10"/>
      <c r="I1346" s="12" t="n">
        <v>1</v>
      </c>
      <c r="J1346" s="12"/>
      <c r="K1346" s="13"/>
      <c r="L1346" s="13"/>
      <c r="M1346" s="12"/>
      <c r="N1346" s="12"/>
      <c r="O1346" s="12"/>
      <c r="P1346" s="13"/>
      <c r="Q1346" s="13"/>
      <c r="R1346" s="12"/>
      <c r="S1346" s="12"/>
      <c r="T1346" s="12"/>
      <c r="U1346" s="14"/>
      <c r="V1346" s="15"/>
      <c r="W1346" s="16" t="n">
        <f aca="false">A1346</f>
        <v>0</v>
      </c>
      <c r="X1346" s="17" t="e">
        <f aca="false">ifs(C1346="","",X1346="",NOW(),TRUE(),X1346)</f>
        <v>#VALUE!</v>
      </c>
      <c r="Y1346" s="17" t="e">
        <f aca="false">ifs(COUNTA(K1346:U1349)&lt;44,"",Y1346="",NOW(),TRUE(),Y1346)</f>
        <v>#VALUE!</v>
      </c>
    </row>
    <row r="1347" customFormat="false" ht="15.75" hidden="false" customHeight="false" outlineLevel="0" collapsed="false">
      <c r="A1347" s="9"/>
      <c r="B1347" s="10"/>
      <c r="C1347" s="10"/>
      <c r="D1347" s="10"/>
      <c r="E1347" s="10"/>
      <c r="F1347" s="10"/>
      <c r="G1347" s="10"/>
      <c r="H1347" s="10"/>
      <c r="I1347" s="18" t="n">
        <v>2</v>
      </c>
      <c r="J1347" s="18"/>
      <c r="K1347" s="19"/>
      <c r="L1347" s="19"/>
      <c r="M1347" s="18"/>
      <c r="N1347" s="18"/>
      <c r="O1347" s="18"/>
      <c r="P1347" s="19"/>
      <c r="Q1347" s="19"/>
      <c r="R1347" s="18"/>
      <c r="S1347" s="18"/>
      <c r="T1347" s="18"/>
      <c r="U1347" s="20"/>
      <c r="V1347" s="21"/>
      <c r="W1347" s="16"/>
      <c r="X1347" s="16"/>
      <c r="Y1347" s="16"/>
    </row>
    <row r="1348" customFormat="false" ht="15.75" hidden="false" customHeight="false" outlineLevel="0" collapsed="false">
      <c r="A1348" s="9"/>
      <c r="B1348" s="10"/>
      <c r="C1348" s="10"/>
      <c r="D1348" s="10"/>
      <c r="E1348" s="10"/>
      <c r="F1348" s="10"/>
      <c r="G1348" s="10"/>
      <c r="H1348" s="10"/>
      <c r="I1348" s="22" t="n">
        <v>3</v>
      </c>
      <c r="J1348" s="22"/>
      <c r="K1348" s="23"/>
      <c r="L1348" s="23"/>
      <c r="M1348" s="22"/>
      <c r="N1348" s="22"/>
      <c r="O1348" s="22"/>
      <c r="P1348" s="23"/>
      <c r="Q1348" s="23"/>
      <c r="R1348" s="22"/>
      <c r="S1348" s="22"/>
      <c r="T1348" s="22"/>
      <c r="U1348" s="24"/>
      <c r="V1348" s="15"/>
      <c r="W1348" s="16"/>
      <c r="X1348" s="16"/>
      <c r="Y1348" s="16"/>
    </row>
    <row r="1349" customFormat="false" ht="15.75" hidden="false" customHeight="false" outlineLevel="0" collapsed="false">
      <c r="A1349" s="9"/>
      <c r="B1349" s="10"/>
      <c r="C1349" s="10"/>
      <c r="D1349" s="10"/>
      <c r="E1349" s="10"/>
      <c r="F1349" s="10"/>
      <c r="G1349" s="10"/>
      <c r="H1349" s="10"/>
      <c r="I1349" s="25" t="n">
        <v>4</v>
      </c>
      <c r="J1349" s="25"/>
      <c r="K1349" s="26"/>
      <c r="L1349" s="26"/>
      <c r="M1349" s="25"/>
      <c r="N1349" s="25"/>
      <c r="O1349" s="25"/>
      <c r="P1349" s="26"/>
      <c r="Q1349" s="26"/>
      <c r="R1349" s="25"/>
      <c r="S1349" s="25"/>
      <c r="T1349" s="25"/>
      <c r="U1349" s="27"/>
      <c r="V1349" s="21"/>
      <c r="W1349" s="16"/>
      <c r="X1349" s="16"/>
      <c r="Y1349" s="16"/>
    </row>
    <row r="1350" customFormat="false" ht="15.75" hidden="false" customHeight="false" outlineLevel="0" collapsed="false">
      <c r="A1350" s="9"/>
      <c r="B1350" s="10"/>
      <c r="C1350" s="11"/>
      <c r="D1350" s="10"/>
      <c r="E1350" s="10"/>
      <c r="F1350" s="10"/>
      <c r="G1350" s="10"/>
      <c r="H1350" s="10"/>
      <c r="I1350" s="12" t="n">
        <v>1</v>
      </c>
      <c r="J1350" s="12"/>
      <c r="K1350" s="13"/>
      <c r="L1350" s="13"/>
      <c r="M1350" s="12"/>
      <c r="N1350" s="12"/>
      <c r="O1350" s="12"/>
      <c r="P1350" s="13"/>
      <c r="Q1350" s="13"/>
      <c r="R1350" s="12"/>
      <c r="S1350" s="12"/>
      <c r="T1350" s="12"/>
      <c r="U1350" s="14"/>
      <c r="V1350" s="15"/>
      <c r="W1350" s="16" t="n">
        <f aca="false">A1350</f>
        <v>0</v>
      </c>
      <c r="X1350" s="17" t="e">
        <f aca="false">ifs(C1350="","",X1350="",NOW(),TRUE(),X1350)</f>
        <v>#VALUE!</v>
      </c>
      <c r="Y1350" s="17" t="e">
        <f aca="false">ifs(COUNTA(K1350:U1353)&lt;44,"",Y1350="",NOW(),TRUE(),Y1350)</f>
        <v>#VALUE!</v>
      </c>
    </row>
    <row r="1351" customFormat="false" ht="15.75" hidden="false" customHeight="false" outlineLevel="0" collapsed="false">
      <c r="A1351" s="9"/>
      <c r="B1351" s="10"/>
      <c r="C1351" s="10"/>
      <c r="D1351" s="10"/>
      <c r="E1351" s="10"/>
      <c r="F1351" s="10"/>
      <c r="G1351" s="10"/>
      <c r="H1351" s="10"/>
      <c r="I1351" s="18" t="n">
        <v>2</v>
      </c>
      <c r="J1351" s="18"/>
      <c r="K1351" s="19"/>
      <c r="L1351" s="19"/>
      <c r="M1351" s="18"/>
      <c r="N1351" s="18"/>
      <c r="O1351" s="18"/>
      <c r="P1351" s="19"/>
      <c r="Q1351" s="19"/>
      <c r="R1351" s="18"/>
      <c r="S1351" s="18"/>
      <c r="T1351" s="18"/>
      <c r="U1351" s="20"/>
      <c r="V1351" s="21"/>
      <c r="W1351" s="16"/>
      <c r="X1351" s="16"/>
      <c r="Y1351" s="16"/>
    </row>
    <row r="1352" customFormat="false" ht="15.75" hidden="false" customHeight="false" outlineLevel="0" collapsed="false">
      <c r="A1352" s="9"/>
      <c r="B1352" s="10"/>
      <c r="C1352" s="10"/>
      <c r="D1352" s="10"/>
      <c r="E1352" s="10"/>
      <c r="F1352" s="10"/>
      <c r="G1352" s="10"/>
      <c r="H1352" s="10"/>
      <c r="I1352" s="22" t="n">
        <v>3</v>
      </c>
      <c r="J1352" s="22"/>
      <c r="K1352" s="23"/>
      <c r="L1352" s="23"/>
      <c r="M1352" s="22"/>
      <c r="N1352" s="22"/>
      <c r="O1352" s="22"/>
      <c r="P1352" s="23"/>
      <c r="Q1352" s="23"/>
      <c r="R1352" s="22"/>
      <c r="S1352" s="22"/>
      <c r="T1352" s="22"/>
      <c r="U1352" s="24"/>
      <c r="V1352" s="15"/>
      <c r="W1352" s="16"/>
      <c r="X1352" s="16"/>
      <c r="Y1352" s="16"/>
    </row>
    <row r="1353" customFormat="false" ht="15.75" hidden="false" customHeight="false" outlineLevel="0" collapsed="false">
      <c r="A1353" s="9"/>
      <c r="B1353" s="10"/>
      <c r="C1353" s="10"/>
      <c r="D1353" s="10"/>
      <c r="E1353" s="10"/>
      <c r="F1353" s="10"/>
      <c r="G1353" s="10"/>
      <c r="H1353" s="10"/>
      <c r="I1353" s="25" t="n">
        <v>4</v>
      </c>
      <c r="J1353" s="25"/>
      <c r="K1353" s="26"/>
      <c r="L1353" s="26"/>
      <c r="M1353" s="25"/>
      <c r="N1353" s="25"/>
      <c r="O1353" s="25"/>
      <c r="P1353" s="26"/>
      <c r="Q1353" s="26"/>
      <c r="R1353" s="25"/>
      <c r="S1353" s="25"/>
      <c r="T1353" s="25"/>
      <c r="U1353" s="27"/>
      <c r="V1353" s="21"/>
      <c r="W1353" s="16"/>
      <c r="X1353" s="16"/>
      <c r="Y1353" s="16"/>
    </row>
    <row r="1354" customFormat="false" ht="15.75" hidden="false" customHeight="false" outlineLevel="0" collapsed="false">
      <c r="A1354" s="9"/>
      <c r="B1354" s="10"/>
      <c r="C1354" s="11"/>
      <c r="D1354" s="10"/>
      <c r="E1354" s="10"/>
      <c r="F1354" s="10"/>
      <c r="G1354" s="10"/>
      <c r="H1354" s="10"/>
      <c r="I1354" s="12" t="n">
        <v>1</v>
      </c>
      <c r="J1354" s="12"/>
      <c r="K1354" s="13"/>
      <c r="L1354" s="13"/>
      <c r="M1354" s="12"/>
      <c r="N1354" s="12"/>
      <c r="O1354" s="12"/>
      <c r="P1354" s="13"/>
      <c r="Q1354" s="13"/>
      <c r="R1354" s="12"/>
      <c r="S1354" s="12"/>
      <c r="T1354" s="12"/>
      <c r="U1354" s="14"/>
      <c r="V1354" s="15"/>
      <c r="W1354" s="16" t="n">
        <f aca="false">A1354</f>
        <v>0</v>
      </c>
      <c r="X1354" s="17" t="e">
        <f aca="false">ifs(C1354="","",X1354="",NOW(),TRUE(),X1354)</f>
        <v>#VALUE!</v>
      </c>
      <c r="Y1354" s="17" t="e">
        <f aca="false">ifs(COUNTA(K1354:U1357)&lt;44,"",Y1354="",NOW(),TRUE(),Y1354)</f>
        <v>#VALUE!</v>
      </c>
    </row>
    <row r="1355" customFormat="false" ht="15.75" hidden="false" customHeight="false" outlineLevel="0" collapsed="false">
      <c r="A1355" s="9"/>
      <c r="B1355" s="10"/>
      <c r="C1355" s="10"/>
      <c r="D1355" s="10"/>
      <c r="E1355" s="10"/>
      <c r="F1355" s="10"/>
      <c r="G1355" s="10"/>
      <c r="H1355" s="10"/>
      <c r="I1355" s="18" t="n">
        <v>2</v>
      </c>
      <c r="J1355" s="18"/>
      <c r="K1355" s="19"/>
      <c r="L1355" s="19"/>
      <c r="M1355" s="18"/>
      <c r="N1355" s="18"/>
      <c r="O1355" s="18"/>
      <c r="P1355" s="19"/>
      <c r="Q1355" s="19"/>
      <c r="R1355" s="18"/>
      <c r="S1355" s="18"/>
      <c r="T1355" s="18"/>
      <c r="U1355" s="20"/>
      <c r="V1355" s="21"/>
      <c r="W1355" s="16"/>
      <c r="X1355" s="16"/>
      <c r="Y1355" s="16"/>
    </row>
    <row r="1356" customFormat="false" ht="15.75" hidden="false" customHeight="false" outlineLevel="0" collapsed="false">
      <c r="A1356" s="9"/>
      <c r="B1356" s="10"/>
      <c r="C1356" s="10"/>
      <c r="D1356" s="10"/>
      <c r="E1356" s="10"/>
      <c r="F1356" s="10"/>
      <c r="G1356" s="10"/>
      <c r="H1356" s="10"/>
      <c r="I1356" s="22" t="n">
        <v>3</v>
      </c>
      <c r="J1356" s="22"/>
      <c r="K1356" s="23"/>
      <c r="L1356" s="23"/>
      <c r="M1356" s="22"/>
      <c r="N1356" s="22"/>
      <c r="O1356" s="22"/>
      <c r="P1356" s="23"/>
      <c r="Q1356" s="23"/>
      <c r="R1356" s="22"/>
      <c r="S1356" s="22"/>
      <c r="T1356" s="22"/>
      <c r="U1356" s="24"/>
      <c r="V1356" s="15"/>
      <c r="W1356" s="16"/>
      <c r="X1356" s="16"/>
      <c r="Y1356" s="16"/>
    </row>
    <row r="1357" customFormat="false" ht="15.75" hidden="false" customHeight="false" outlineLevel="0" collapsed="false">
      <c r="A1357" s="9"/>
      <c r="B1357" s="10"/>
      <c r="C1357" s="10"/>
      <c r="D1357" s="10"/>
      <c r="E1357" s="10"/>
      <c r="F1357" s="10"/>
      <c r="G1357" s="10"/>
      <c r="H1357" s="10"/>
      <c r="I1357" s="25" t="n">
        <v>4</v>
      </c>
      <c r="J1357" s="25"/>
      <c r="K1357" s="26"/>
      <c r="L1357" s="26"/>
      <c r="M1357" s="25"/>
      <c r="N1357" s="25"/>
      <c r="O1357" s="25"/>
      <c r="P1357" s="26"/>
      <c r="Q1357" s="26"/>
      <c r="R1357" s="25"/>
      <c r="S1357" s="25"/>
      <c r="T1357" s="25"/>
      <c r="U1357" s="27"/>
      <c r="V1357" s="21"/>
      <c r="W1357" s="16"/>
      <c r="X1357" s="16"/>
      <c r="Y1357" s="16"/>
    </row>
    <row r="1358" customFormat="false" ht="15.75" hidden="false" customHeight="false" outlineLevel="0" collapsed="false">
      <c r="A1358" s="9"/>
      <c r="B1358" s="10"/>
      <c r="C1358" s="11"/>
      <c r="D1358" s="10"/>
      <c r="E1358" s="10"/>
      <c r="F1358" s="10"/>
      <c r="G1358" s="10"/>
      <c r="H1358" s="10"/>
      <c r="I1358" s="12" t="n">
        <v>1</v>
      </c>
      <c r="J1358" s="12"/>
      <c r="K1358" s="13"/>
      <c r="L1358" s="13"/>
      <c r="M1358" s="12"/>
      <c r="N1358" s="12"/>
      <c r="O1358" s="12"/>
      <c r="P1358" s="13"/>
      <c r="Q1358" s="13"/>
      <c r="R1358" s="12"/>
      <c r="S1358" s="12"/>
      <c r="T1358" s="12"/>
      <c r="U1358" s="14"/>
      <c r="V1358" s="15"/>
      <c r="W1358" s="16" t="n">
        <f aca="false">A1358</f>
        <v>0</v>
      </c>
      <c r="X1358" s="17" t="e">
        <f aca="false">ifs(C1358="","",X1358="",NOW(),TRUE(),X1358)</f>
        <v>#VALUE!</v>
      </c>
      <c r="Y1358" s="17" t="e">
        <f aca="false">ifs(COUNTA(K1358:U1361)&lt;44,"",Y1358="",NOW(),TRUE(),Y1358)</f>
        <v>#VALUE!</v>
      </c>
    </row>
    <row r="1359" customFormat="false" ht="15.75" hidden="false" customHeight="false" outlineLevel="0" collapsed="false">
      <c r="A1359" s="9"/>
      <c r="B1359" s="10"/>
      <c r="C1359" s="10"/>
      <c r="D1359" s="10"/>
      <c r="E1359" s="10"/>
      <c r="F1359" s="10"/>
      <c r="G1359" s="10"/>
      <c r="H1359" s="10"/>
      <c r="I1359" s="18" t="n">
        <v>2</v>
      </c>
      <c r="J1359" s="18"/>
      <c r="K1359" s="19"/>
      <c r="L1359" s="19"/>
      <c r="M1359" s="18"/>
      <c r="N1359" s="18"/>
      <c r="O1359" s="18"/>
      <c r="P1359" s="19"/>
      <c r="Q1359" s="19"/>
      <c r="R1359" s="18"/>
      <c r="S1359" s="18"/>
      <c r="T1359" s="18"/>
      <c r="U1359" s="20"/>
      <c r="V1359" s="21"/>
      <c r="W1359" s="16"/>
      <c r="X1359" s="16"/>
      <c r="Y1359" s="16"/>
    </row>
    <row r="1360" customFormat="false" ht="15.75" hidden="false" customHeight="false" outlineLevel="0" collapsed="false">
      <c r="A1360" s="9"/>
      <c r="B1360" s="10"/>
      <c r="C1360" s="10"/>
      <c r="D1360" s="10"/>
      <c r="E1360" s="10"/>
      <c r="F1360" s="10"/>
      <c r="G1360" s="10"/>
      <c r="H1360" s="10"/>
      <c r="I1360" s="22" t="n">
        <v>3</v>
      </c>
      <c r="J1360" s="22"/>
      <c r="K1360" s="23"/>
      <c r="L1360" s="23"/>
      <c r="M1360" s="22"/>
      <c r="N1360" s="22"/>
      <c r="O1360" s="22"/>
      <c r="P1360" s="23"/>
      <c r="Q1360" s="23"/>
      <c r="R1360" s="22"/>
      <c r="S1360" s="22"/>
      <c r="T1360" s="22"/>
      <c r="U1360" s="24"/>
      <c r="V1360" s="15"/>
      <c r="W1360" s="16"/>
      <c r="X1360" s="16"/>
      <c r="Y1360" s="16"/>
    </row>
    <row r="1361" customFormat="false" ht="15.75" hidden="false" customHeight="false" outlineLevel="0" collapsed="false">
      <c r="A1361" s="9"/>
      <c r="B1361" s="10"/>
      <c r="C1361" s="10"/>
      <c r="D1361" s="10"/>
      <c r="E1361" s="10"/>
      <c r="F1361" s="10"/>
      <c r="G1361" s="10"/>
      <c r="H1361" s="10"/>
      <c r="I1361" s="25" t="n">
        <v>4</v>
      </c>
      <c r="J1361" s="25"/>
      <c r="K1361" s="26"/>
      <c r="L1361" s="26"/>
      <c r="M1361" s="25"/>
      <c r="N1361" s="25"/>
      <c r="O1361" s="25"/>
      <c r="P1361" s="26"/>
      <c r="Q1361" s="26"/>
      <c r="R1361" s="25"/>
      <c r="S1361" s="25"/>
      <c r="T1361" s="25"/>
      <c r="U1361" s="27"/>
      <c r="V1361" s="21"/>
      <c r="W1361" s="16"/>
      <c r="X1361" s="16"/>
      <c r="Y1361" s="16"/>
    </row>
    <row r="1362" customFormat="false" ht="15.75" hidden="false" customHeight="false" outlineLevel="0" collapsed="false">
      <c r="A1362" s="9"/>
      <c r="B1362" s="10"/>
      <c r="C1362" s="11"/>
      <c r="D1362" s="10"/>
      <c r="E1362" s="10"/>
      <c r="F1362" s="10"/>
      <c r="G1362" s="10"/>
      <c r="H1362" s="10"/>
      <c r="I1362" s="12" t="n">
        <v>1</v>
      </c>
      <c r="J1362" s="12"/>
      <c r="K1362" s="13"/>
      <c r="L1362" s="13"/>
      <c r="M1362" s="12"/>
      <c r="N1362" s="12"/>
      <c r="O1362" s="12"/>
      <c r="P1362" s="13"/>
      <c r="Q1362" s="13"/>
      <c r="R1362" s="12"/>
      <c r="S1362" s="12"/>
      <c r="T1362" s="12"/>
      <c r="U1362" s="14"/>
      <c r="V1362" s="15"/>
      <c r="W1362" s="16" t="n">
        <f aca="false">A1362</f>
        <v>0</v>
      </c>
      <c r="X1362" s="17" t="e">
        <f aca="false">ifs(C1362="","",X1362="",NOW(),TRUE(),X1362)</f>
        <v>#VALUE!</v>
      </c>
      <c r="Y1362" s="17" t="e">
        <f aca="false">ifs(COUNTA(K1362:U1365)&lt;44,"",Y1362="",NOW(),TRUE(),Y1362)</f>
        <v>#VALUE!</v>
      </c>
    </row>
    <row r="1363" customFormat="false" ht="15.75" hidden="false" customHeight="false" outlineLevel="0" collapsed="false">
      <c r="A1363" s="9"/>
      <c r="B1363" s="10"/>
      <c r="C1363" s="10"/>
      <c r="D1363" s="10"/>
      <c r="E1363" s="10"/>
      <c r="F1363" s="10"/>
      <c r="G1363" s="10"/>
      <c r="H1363" s="10"/>
      <c r="I1363" s="18" t="n">
        <v>2</v>
      </c>
      <c r="J1363" s="18"/>
      <c r="K1363" s="19"/>
      <c r="L1363" s="19"/>
      <c r="M1363" s="18"/>
      <c r="N1363" s="18"/>
      <c r="O1363" s="18"/>
      <c r="P1363" s="19"/>
      <c r="Q1363" s="19"/>
      <c r="R1363" s="18"/>
      <c r="S1363" s="18"/>
      <c r="T1363" s="18"/>
      <c r="U1363" s="20"/>
      <c r="V1363" s="21"/>
      <c r="W1363" s="16"/>
      <c r="X1363" s="16"/>
      <c r="Y1363" s="16"/>
    </row>
    <row r="1364" customFormat="false" ht="15.75" hidden="false" customHeight="false" outlineLevel="0" collapsed="false">
      <c r="A1364" s="9"/>
      <c r="B1364" s="10"/>
      <c r="C1364" s="10"/>
      <c r="D1364" s="10"/>
      <c r="E1364" s="10"/>
      <c r="F1364" s="10"/>
      <c r="G1364" s="10"/>
      <c r="H1364" s="10"/>
      <c r="I1364" s="22" t="n">
        <v>3</v>
      </c>
      <c r="J1364" s="22"/>
      <c r="K1364" s="23"/>
      <c r="L1364" s="23"/>
      <c r="M1364" s="22"/>
      <c r="N1364" s="22"/>
      <c r="O1364" s="22"/>
      <c r="P1364" s="23"/>
      <c r="Q1364" s="23"/>
      <c r="R1364" s="22"/>
      <c r="S1364" s="22"/>
      <c r="T1364" s="22"/>
      <c r="U1364" s="24"/>
      <c r="V1364" s="15"/>
      <c r="W1364" s="16"/>
      <c r="X1364" s="16"/>
      <c r="Y1364" s="16"/>
    </row>
    <row r="1365" customFormat="false" ht="15.75" hidden="false" customHeight="false" outlineLevel="0" collapsed="false">
      <c r="A1365" s="9"/>
      <c r="B1365" s="10"/>
      <c r="C1365" s="10"/>
      <c r="D1365" s="10"/>
      <c r="E1365" s="10"/>
      <c r="F1365" s="10"/>
      <c r="G1365" s="10"/>
      <c r="H1365" s="10"/>
      <c r="I1365" s="25" t="n">
        <v>4</v>
      </c>
      <c r="J1365" s="25"/>
      <c r="K1365" s="26"/>
      <c r="L1365" s="26"/>
      <c r="M1365" s="25"/>
      <c r="N1365" s="25"/>
      <c r="O1365" s="25"/>
      <c r="P1365" s="26"/>
      <c r="Q1365" s="26"/>
      <c r="R1365" s="25"/>
      <c r="S1365" s="25"/>
      <c r="T1365" s="25"/>
      <c r="U1365" s="27"/>
      <c r="V1365" s="21"/>
      <c r="W1365" s="16"/>
      <c r="X1365" s="16"/>
      <c r="Y1365" s="16"/>
    </row>
    <row r="1366" customFormat="false" ht="15.75" hidden="false" customHeight="false" outlineLevel="0" collapsed="false">
      <c r="A1366" s="9"/>
      <c r="B1366" s="10"/>
      <c r="C1366" s="11"/>
      <c r="D1366" s="10"/>
      <c r="E1366" s="10"/>
      <c r="F1366" s="10"/>
      <c r="G1366" s="10"/>
      <c r="H1366" s="10"/>
      <c r="I1366" s="12" t="n">
        <v>1</v>
      </c>
      <c r="J1366" s="12"/>
      <c r="K1366" s="13"/>
      <c r="L1366" s="13"/>
      <c r="M1366" s="12"/>
      <c r="N1366" s="12"/>
      <c r="O1366" s="12"/>
      <c r="P1366" s="13"/>
      <c r="Q1366" s="13"/>
      <c r="R1366" s="12"/>
      <c r="S1366" s="12"/>
      <c r="T1366" s="12"/>
      <c r="U1366" s="14"/>
      <c r="V1366" s="15"/>
      <c r="W1366" s="16" t="n">
        <f aca="false">A1366</f>
        <v>0</v>
      </c>
      <c r="X1366" s="17" t="e">
        <f aca="false">ifs(C1366="","",X1366="",NOW(),TRUE(),X1366)</f>
        <v>#VALUE!</v>
      </c>
      <c r="Y1366" s="17" t="e">
        <f aca="false">ifs(COUNTA(K1366:U1369)&lt;44,"",Y1366="",NOW(),TRUE(),Y1366)</f>
        <v>#VALUE!</v>
      </c>
    </row>
    <row r="1367" customFormat="false" ht="15.75" hidden="false" customHeight="false" outlineLevel="0" collapsed="false">
      <c r="A1367" s="9"/>
      <c r="B1367" s="10"/>
      <c r="C1367" s="10"/>
      <c r="D1367" s="10"/>
      <c r="E1367" s="10"/>
      <c r="F1367" s="10"/>
      <c r="G1367" s="10"/>
      <c r="H1367" s="10"/>
      <c r="I1367" s="18" t="n">
        <v>2</v>
      </c>
      <c r="J1367" s="18"/>
      <c r="K1367" s="19"/>
      <c r="L1367" s="19"/>
      <c r="M1367" s="18"/>
      <c r="N1367" s="18"/>
      <c r="O1367" s="18"/>
      <c r="P1367" s="19"/>
      <c r="Q1367" s="19"/>
      <c r="R1367" s="18"/>
      <c r="S1367" s="18"/>
      <c r="T1367" s="18"/>
      <c r="U1367" s="20"/>
      <c r="V1367" s="21"/>
      <c r="W1367" s="16"/>
      <c r="X1367" s="16"/>
      <c r="Y1367" s="16"/>
    </row>
    <row r="1368" customFormat="false" ht="15.75" hidden="false" customHeight="false" outlineLevel="0" collapsed="false">
      <c r="A1368" s="9"/>
      <c r="B1368" s="10"/>
      <c r="C1368" s="10"/>
      <c r="D1368" s="10"/>
      <c r="E1368" s="10"/>
      <c r="F1368" s="10"/>
      <c r="G1368" s="10"/>
      <c r="H1368" s="10"/>
      <c r="I1368" s="22" t="n">
        <v>3</v>
      </c>
      <c r="J1368" s="22"/>
      <c r="K1368" s="23"/>
      <c r="L1368" s="23"/>
      <c r="M1368" s="22"/>
      <c r="N1368" s="22"/>
      <c r="O1368" s="22"/>
      <c r="P1368" s="23"/>
      <c r="Q1368" s="23"/>
      <c r="R1368" s="22"/>
      <c r="S1368" s="22"/>
      <c r="T1368" s="22"/>
      <c r="U1368" s="24"/>
      <c r="V1368" s="15"/>
      <c r="W1368" s="16"/>
      <c r="X1368" s="16"/>
      <c r="Y1368" s="16"/>
    </row>
    <row r="1369" customFormat="false" ht="15.75" hidden="false" customHeight="false" outlineLevel="0" collapsed="false">
      <c r="A1369" s="9"/>
      <c r="B1369" s="10"/>
      <c r="C1369" s="10"/>
      <c r="D1369" s="10"/>
      <c r="E1369" s="10"/>
      <c r="F1369" s="10"/>
      <c r="G1369" s="10"/>
      <c r="H1369" s="10"/>
      <c r="I1369" s="25" t="n">
        <v>4</v>
      </c>
      <c r="J1369" s="25"/>
      <c r="K1369" s="26"/>
      <c r="L1369" s="26"/>
      <c r="M1369" s="25"/>
      <c r="N1369" s="25"/>
      <c r="O1369" s="25"/>
      <c r="P1369" s="26"/>
      <c r="Q1369" s="26"/>
      <c r="R1369" s="25"/>
      <c r="S1369" s="25"/>
      <c r="T1369" s="25"/>
      <c r="U1369" s="27"/>
      <c r="V1369" s="21"/>
      <c r="W1369" s="16"/>
      <c r="X1369" s="16"/>
      <c r="Y1369" s="16"/>
    </row>
    <row r="1370" customFormat="false" ht="15.75" hidden="false" customHeight="false" outlineLevel="0" collapsed="false">
      <c r="A1370" s="9"/>
      <c r="B1370" s="10"/>
      <c r="C1370" s="11"/>
      <c r="D1370" s="10"/>
      <c r="E1370" s="10"/>
      <c r="F1370" s="10"/>
      <c r="G1370" s="10"/>
      <c r="H1370" s="10"/>
      <c r="I1370" s="12" t="n">
        <v>1</v>
      </c>
      <c r="J1370" s="12"/>
      <c r="K1370" s="13"/>
      <c r="L1370" s="13"/>
      <c r="M1370" s="12"/>
      <c r="N1370" s="12"/>
      <c r="O1370" s="12"/>
      <c r="P1370" s="13"/>
      <c r="Q1370" s="13"/>
      <c r="R1370" s="12"/>
      <c r="S1370" s="12"/>
      <c r="T1370" s="12"/>
      <c r="U1370" s="14"/>
      <c r="V1370" s="15"/>
      <c r="W1370" s="16" t="n">
        <f aca="false">A1370</f>
        <v>0</v>
      </c>
      <c r="X1370" s="17" t="e">
        <f aca="false">ifs(C1370="","",X1370="",NOW(),TRUE(),X1370)</f>
        <v>#VALUE!</v>
      </c>
      <c r="Y1370" s="17" t="e">
        <f aca="false">ifs(COUNTA(K1370:U1373)&lt;44,"",Y1370="",NOW(),TRUE(),Y1370)</f>
        <v>#VALUE!</v>
      </c>
    </row>
    <row r="1371" customFormat="false" ht="15.75" hidden="false" customHeight="false" outlineLevel="0" collapsed="false">
      <c r="A1371" s="9"/>
      <c r="B1371" s="10"/>
      <c r="C1371" s="10"/>
      <c r="D1371" s="10"/>
      <c r="E1371" s="10"/>
      <c r="F1371" s="10"/>
      <c r="G1371" s="10"/>
      <c r="H1371" s="10"/>
      <c r="I1371" s="18" t="n">
        <v>2</v>
      </c>
      <c r="J1371" s="18"/>
      <c r="K1371" s="19"/>
      <c r="L1371" s="19"/>
      <c r="M1371" s="18"/>
      <c r="N1371" s="18"/>
      <c r="O1371" s="18"/>
      <c r="P1371" s="19"/>
      <c r="Q1371" s="19"/>
      <c r="R1371" s="18"/>
      <c r="S1371" s="18"/>
      <c r="T1371" s="18"/>
      <c r="U1371" s="20"/>
      <c r="V1371" s="21"/>
      <c r="W1371" s="16"/>
      <c r="X1371" s="16"/>
      <c r="Y1371" s="16"/>
    </row>
    <row r="1372" customFormat="false" ht="15.75" hidden="false" customHeight="false" outlineLevel="0" collapsed="false">
      <c r="A1372" s="9"/>
      <c r="B1372" s="10"/>
      <c r="C1372" s="10"/>
      <c r="D1372" s="10"/>
      <c r="E1372" s="10"/>
      <c r="F1372" s="10"/>
      <c r="G1372" s="10"/>
      <c r="H1372" s="10"/>
      <c r="I1372" s="22" t="n">
        <v>3</v>
      </c>
      <c r="J1372" s="22"/>
      <c r="K1372" s="23"/>
      <c r="L1372" s="23"/>
      <c r="M1372" s="22"/>
      <c r="N1372" s="22"/>
      <c r="O1372" s="22"/>
      <c r="P1372" s="23"/>
      <c r="Q1372" s="23"/>
      <c r="R1372" s="22"/>
      <c r="S1372" s="22"/>
      <c r="T1372" s="22"/>
      <c r="U1372" s="24"/>
      <c r="V1372" s="15"/>
      <c r="W1372" s="16"/>
      <c r="X1372" s="16"/>
      <c r="Y1372" s="16"/>
    </row>
    <row r="1373" customFormat="false" ht="15.75" hidden="false" customHeight="false" outlineLevel="0" collapsed="false">
      <c r="A1373" s="9"/>
      <c r="B1373" s="10"/>
      <c r="C1373" s="10"/>
      <c r="D1373" s="10"/>
      <c r="E1373" s="10"/>
      <c r="F1373" s="10"/>
      <c r="G1373" s="10"/>
      <c r="H1373" s="10"/>
      <c r="I1373" s="25" t="n">
        <v>4</v>
      </c>
      <c r="J1373" s="25"/>
      <c r="K1373" s="26"/>
      <c r="L1373" s="26"/>
      <c r="M1373" s="25"/>
      <c r="N1373" s="25"/>
      <c r="O1373" s="25"/>
      <c r="P1373" s="26"/>
      <c r="Q1373" s="26"/>
      <c r="R1373" s="25"/>
      <c r="S1373" s="25"/>
      <c r="T1373" s="25"/>
      <c r="U1373" s="27"/>
      <c r="V1373" s="21"/>
      <c r="W1373" s="16"/>
      <c r="X1373" s="16"/>
      <c r="Y1373" s="16"/>
    </row>
    <row r="1374" customFormat="false" ht="15.75" hidden="false" customHeight="false" outlineLevel="0" collapsed="false">
      <c r="A1374" s="9"/>
      <c r="B1374" s="10"/>
      <c r="C1374" s="11"/>
      <c r="D1374" s="10"/>
      <c r="E1374" s="10"/>
      <c r="F1374" s="10"/>
      <c r="G1374" s="10"/>
      <c r="H1374" s="10"/>
      <c r="I1374" s="12" t="n">
        <v>1</v>
      </c>
      <c r="J1374" s="12"/>
      <c r="K1374" s="13"/>
      <c r="L1374" s="13"/>
      <c r="M1374" s="12"/>
      <c r="N1374" s="12"/>
      <c r="O1374" s="12"/>
      <c r="P1374" s="13"/>
      <c r="Q1374" s="13"/>
      <c r="R1374" s="12"/>
      <c r="S1374" s="12"/>
      <c r="T1374" s="12"/>
      <c r="U1374" s="14"/>
      <c r="V1374" s="15"/>
      <c r="W1374" s="16" t="n">
        <f aca="false">A1374</f>
        <v>0</v>
      </c>
      <c r="X1374" s="17" t="e">
        <f aca="false">ifs(C1374="","",X1374="",NOW(),TRUE(),X1374)</f>
        <v>#VALUE!</v>
      </c>
      <c r="Y1374" s="17" t="e">
        <f aca="false">ifs(COUNTA(K1374:U1377)&lt;44,"",Y1374="",NOW(),TRUE(),Y1374)</f>
        <v>#VALUE!</v>
      </c>
    </row>
    <row r="1375" customFormat="false" ht="15.75" hidden="false" customHeight="false" outlineLevel="0" collapsed="false">
      <c r="A1375" s="9"/>
      <c r="B1375" s="10"/>
      <c r="C1375" s="10"/>
      <c r="D1375" s="10"/>
      <c r="E1375" s="10"/>
      <c r="F1375" s="10"/>
      <c r="G1375" s="10"/>
      <c r="H1375" s="10"/>
      <c r="I1375" s="18" t="n">
        <v>2</v>
      </c>
      <c r="J1375" s="18"/>
      <c r="K1375" s="19"/>
      <c r="L1375" s="19"/>
      <c r="M1375" s="18"/>
      <c r="N1375" s="18"/>
      <c r="O1375" s="18"/>
      <c r="P1375" s="19"/>
      <c r="Q1375" s="19"/>
      <c r="R1375" s="18"/>
      <c r="S1375" s="18"/>
      <c r="T1375" s="18"/>
      <c r="U1375" s="20"/>
      <c r="V1375" s="21"/>
      <c r="W1375" s="16"/>
      <c r="X1375" s="16"/>
      <c r="Y1375" s="16"/>
    </row>
    <row r="1376" customFormat="false" ht="15.75" hidden="false" customHeight="false" outlineLevel="0" collapsed="false">
      <c r="A1376" s="9"/>
      <c r="B1376" s="10"/>
      <c r="C1376" s="10"/>
      <c r="D1376" s="10"/>
      <c r="E1376" s="10"/>
      <c r="F1376" s="10"/>
      <c r="G1376" s="10"/>
      <c r="H1376" s="10"/>
      <c r="I1376" s="22" t="n">
        <v>3</v>
      </c>
      <c r="J1376" s="22"/>
      <c r="K1376" s="23"/>
      <c r="L1376" s="23"/>
      <c r="M1376" s="22"/>
      <c r="N1376" s="22"/>
      <c r="O1376" s="22"/>
      <c r="P1376" s="23"/>
      <c r="Q1376" s="23"/>
      <c r="R1376" s="22"/>
      <c r="S1376" s="22"/>
      <c r="T1376" s="22"/>
      <c r="U1376" s="24"/>
      <c r="V1376" s="15"/>
      <c r="W1376" s="16"/>
      <c r="X1376" s="16"/>
      <c r="Y1376" s="16"/>
    </row>
    <row r="1377" customFormat="false" ht="15.75" hidden="false" customHeight="false" outlineLevel="0" collapsed="false">
      <c r="A1377" s="9"/>
      <c r="B1377" s="10"/>
      <c r="C1377" s="10"/>
      <c r="D1377" s="10"/>
      <c r="E1377" s="10"/>
      <c r="F1377" s="10"/>
      <c r="G1377" s="10"/>
      <c r="H1377" s="10"/>
      <c r="I1377" s="25" t="n">
        <v>4</v>
      </c>
      <c r="J1377" s="25"/>
      <c r="K1377" s="26"/>
      <c r="L1377" s="26"/>
      <c r="M1377" s="25"/>
      <c r="N1377" s="25"/>
      <c r="O1377" s="25"/>
      <c r="P1377" s="26"/>
      <c r="Q1377" s="26"/>
      <c r="R1377" s="25"/>
      <c r="S1377" s="25"/>
      <c r="T1377" s="25"/>
      <c r="U1377" s="27"/>
      <c r="V1377" s="21"/>
      <c r="W1377" s="16"/>
      <c r="X1377" s="16"/>
      <c r="Y1377" s="16"/>
    </row>
    <row r="1378" customFormat="false" ht="15.75" hidden="false" customHeight="false" outlineLevel="0" collapsed="false">
      <c r="A1378" s="9"/>
      <c r="B1378" s="10"/>
      <c r="C1378" s="11"/>
      <c r="D1378" s="10"/>
      <c r="E1378" s="10"/>
      <c r="F1378" s="10"/>
      <c r="G1378" s="10"/>
      <c r="H1378" s="10"/>
      <c r="I1378" s="12" t="n">
        <v>1</v>
      </c>
      <c r="J1378" s="12"/>
      <c r="K1378" s="13"/>
      <c r="L1378" s="13"/>
      <c r="M1378" s="12"/>
      <c r="N1378" s="12"/>
      <c r="O1378" s="12"/>
      <c r="P1378" s="13"/>
      <c r="Q1378" s="13"/>
      <c r="R1378" s="12"/>
      <c r="S1378" s="12"/>
      <c r="T1378" s="12"/>
      <c r="U1378" s="14"/>
      <c r="V1378" s="15"/>
      <c r="W1378" s="16" t="n">
        <f aca="false">A1378</f>
        <v>0</v>
      </c>
      <c r="X1378" s="17" t="e">
        <f aca="false">ifs(C1378="","",X1378="",NOW(),TRUE(),X1378)</f>
        <v>#VALUE!</v>
      </c>
      <c r="Y1378" s="17" t="e">
        <f aca="false">ifs(COUNTA(K1378:U1381)&lt;44,"",Y1378="",NOW(),TRUE(),Y1378)</f>
        <v>#VALUE!</v>
      </c>
    </row>
    <row r="1379" customFormat="false" ht="15.75" hidden="false" customHeight="false" outlineLevel="0" collapsed="false">
      <c r="A1379" s="9"/>
      <c r="B1379" s="10"/>
      <c r="C1379" s="10"/>
      <c r="D1379" s="10"/>
      <c r="E1379" s="10"/>
      <c r="F1379" s="10"/>
      <c r="G1379" s="10"/>
      <c r="H1379" s="10"/>
      <c r="I1379" s="18" t="n">
        <v>2</v>
      </c>
      <c r="J1379" s="18"/>
      <c r="K1379" s="19"/>
      <c r="L1379" s="19"/>
      <c r="M1379" s="18"/>
      <c r="N1379" s="18"/>
      <c r="O1379" s="18"/>
      <c r="P1379" s="19"/>
      <c r="Q1379" s="19"/>
      <c r="R1379" s="18"/>
      <c r="S1379" s="18"/>
      <c r="T1379" s="18"/>
      <c r="U1379" s="20"/>
      <c r="V1379" s="21"/>
      <c r="W1379" s="16"/>
      <c r="X1379" s="16"/>
      <c r="Y1379" s="16"/>
    </row>
    <row r="1380" customFormat="false" ht="15.75" hidden="false" customHeight="false" outlineLevel="0" collapsed="false">
      <c r="A1380" s="9"/>
      <c r="B1380" s="10"/>
      <c r="C1380" s="10"/>
      <c r="D1380" s="10"/>
      <c r="E1380" s="10"/>
      <c r="F1380" s="10"/>
      <c r="G1380" s="10"/>
      <c r="H1380" s="10"/>
      <c r="I1380" s="22" t="n">
        <v>3</v>
      </c>
      <c r="J1380" s="22"/>
      <c r="K1380" s="23"/>
      <c r="L1380" s="23"/>
      <c r="M1380" s="22"/>
      <c r="N1380" s="22"/>
      <c r="O1380" s="22"/>
      <c r="P1380" s="23"/>
      <c r="Q1380" s="23"/>
      <c r="R1380" s="22"/>
      <c r="S1380" s="22"/>
      <c r="T1380" s="22"/>
      <c r="U1380" s="24"/>
      <c r="V1380" s="15"/>
      <c r="W1380" s="16"/>
      <c r="X1380" s="16"/>
      <c r="Y1380" s="16"/>
    </row>
    <row r="1381" customFormat="false" ht="15.75" hidden="false" customHeight="false" outlineLevel="0" collapsed="false">
      <c r="A1381" s="9"/>
      <c r="B1381" s="10"/>
      <c r="C1381" s="10"/>
      <c r="D1381" s="10"/>
      <c r="E1381" s="10"/>
      <c r="F1381" s="10"/>
      <c r="G1381" s="10"/>
      <c r="H1381" s="10"/>
      <c r="I1381" s="25" t="n">
        <v>4</v>
      </c>
      <c r="J1381" s="25"/>
      <c r="K1381" s="26"/>
      <c r="L1381" s="26"/>
      <c r="M1381" s="25"/>
      <c r="N1381" s="25"/>
      <c r="O1381" s="25"/>
      <c r="P1381" s="26"/>
      <c r="Q1381" s="26"/>
      <c r="R1381" s="25"/>
      <c r="S1381" s="25"/>
      <c r="T1381" s="25"/>
      <c r="U1381" s="27"/>
      <c r="V1381" s="21"/>
      <c r="W1381" s="16"/>
      <c r="X1381" s="16"/>
      <c r="Y1381" s="16"/>
    </row>
    <row r="1382" customFormat="false" ht="15.75" hidden="false" customHeight="false" outlineLevel="0" collapsed="false">
      <c r="A1382" s="9"/>
      <c r="B1382" s="10"/>
      <c r="C1382" s="11"/>
      <c r="D1382" s="10"/>
      <c r="E1382" s="10"/>
      <c r="F1382" s="10"/>
      <c r="G1382" s="10"/>
      <c r="H1382" s="10"/>
      <c r="I1382" s="12" t="n">
        <v>1</v>
      </c>
      <c r="J1382" s="12"/>
      <c r="K1382" s="13"/>
      <c r="L1382" s="13"/>
      <c r="M1382" s="12"/>
      <c r="N1382" s="12"/>
      <c r="O1382" s="12"/>
      <c r="P1382" s="13"/>
      <c r="Q1382" s="13"/>
      <c r="R1382" s="12"/>
      <c r="S1382" s="12"/>
      <c r="T1382" s="12"/>
      <c r="U1382" s="14"/>
      <c r="V1382" s="15"/>
      <c r="W1382" s="16" t="n">
        <f aca="false">A1382</f>
        <v>0</v>
      </c>
      <c r="X1382" s="17" t="e">
        <f aca="false">ifs(C1382="","",X1382="",NOW(),TRUE(),X1382)</f>
        <v>#VALUE!</v>
      </c>
      <c r="Y1382" s="17" t="e">
        <f aca="false">ifs(COUNTA(K1382:U1385)&lt;44,"",Y1382="",NOW(),TRUE(),Y1382)</f>
        <v>#VALUE!</v>
      </c>
    </row>
    <row r="1383" customFormat="false" ht="15.75" hidden="false" customHeight="false" outlineLevel="0" collapsed="false">
      <c r="A1383" s="9"/>
      <c r="B1383" s="10"/>
      <c r="C1383" s="10"/>
      <c r="D1383" s="10"/>
      <c r="E1383" s="10"/>
      <c r="F1383" s="10"/>
      <c r="G1383" s="10"/>
      <c r="H1383" s="10"/>
      <c r="I1383" s="18" t="n">
        <v>2</v>
      </c>
      <c r="J1383" s="18"/>
      <c r="K1383" s="19"/>
      <c r="L1383" s="19"/>
      <c r="M1383" s="18"/>
      <c r="N1383" s="18"/>
      <c r="O1383" s="18"/>
      <c r="P1383" s="19"/>
      <c r="Q1383" s="19"/>
      <c r="R1383" s="18"/>
      <c r="S1383" s="18"/>
      <c r="T1383" s="18"/>
      <c r="U1383" s="20"/>
      <c r="V1383" s="21"/>
      <c r="W1383" s="16"/>
      <c r="X1383" s="16"/>
      <c r="Y1383" s="16"/>
    </row>
    <row r="1384" customFormat="false" ht="15.75" hidden="false" customHeight="false" outlineLevel="0" collapsed="false">
      <c r="A1384" s="9"/>
      <c r="B1384" s="10"/>
      <c r="C1384" s="10"/>
      <c r="D1384" s="10"/>
      <c r="E1384" s="10"/>
      <c r="F1384" s="10"/>
      <c r="G1384" s="10"/>
      <c r="H1384" s="10"/>
      <c r="I1384" s="22" t="n">
        <v>3</v>
      </c>
      <c r="J1384" s="22"/>
      <c r="K1384" s="23"/>
      <c r="L1384" s="23"/>
      <c r="M1384" s="22"/>
      <c r="N1384" s="22"/>
      <c r="O1384" s="22"/>
      <c r="P1384" s="23"/>
      <c r="Q1384" s="23"/>
      <c r="R1384" s="22"/>
      <c r="S1384" s="22"/>
      <c r="T1384" s="22"/>
      <c r="U1384" s="24"/>
      <c r="V1384" s="15"/>
      <c r="W1384" s="16"/>
      <c r="X1384" s="16"/>
      <c r="Y1384" s="16"/>
    </row>
    <row r="1385" customFormat="false" ht="15.75" hidden="false" customHeight="false" outlineLevel="0" collapsed="false">
      <c r="A1385" s="9"/>
      <c r="B1385" s="10"/>
      <c r="C1385" s="10"/>
      <c r="D1385" s="10"/>
      <c r="E1385" s="10"/>
      <c r="F1385" s="10"/>
      <c r="G1385" s="10"/>
      <c r="H1385" s="10"/>
      <c r="I1385" s="25" t="n">
        <v>4</v>
      </c>
      <c r="J1385" s="25"/>
      <c r="K1385" s="26"/>
      <c r="L1385" s="26"/>
      <c r="M1385" s="25"/>
      <c r="N1385" s="25"/>
      <c r="O1385" s="25"/>
      <c r="P1385" s="26"/>
      <c r="Q1385" s="26"/>
      <c r="R1385" s="25"/>
      <c r="S1385" s="25"/>
      <c r="T1385" s="25"/>
      <c r="U1385" s="27"/>
      <c r="V1385" s="21"/>
      <c r="W1385" s="16"/>
      <c r="X1385" s="16"/>
      <c r="Y1385" s="16"/>
    </row>
    <row r="1386" customFormat="false" ht="15.75" hidden="false" customHeight="false" outlineLevel="0" collapsed="false">
      <c r="A1386" s="9"/>
      <c r="B1386" s="10"/>
      <c r="C1386" s="11"/>
      <c r="D1386" s="10"/>
      <c r="E1386" s="10"/>
      <c r="F1386" s="10"/>
      <c r="G1386" s="10"/>
      <c r="H1386" s="10"/>
      <c r="I1386" s="12" t="n">
        <v>1</v>
      </c>
      <c r="J1386" s="12"/>
      <c r="K1386" s="13"/>
      <c r="L1386" s="13"/>
      <c r="M1386" s="12"/>
      <c r="N1386" s="12"/>
      <c r="O1386" s="12"/>
      <c r="P1386" s="13"/>
      <c r="Q1386" s="13"/>
      <c r="R1386" s="12"/>
      <c r="S1386" s="12"/>
      <c r="T1386" s="12"/>
      <c r="U1386" s="14"/>
      <c r="V1386" s="15"/>
      <c r="W1386" s="16" t="n">
        <f aca="false">A1386</f>
        <v>0</v>
      </c>
      <c r="X1386" s="17" t="e">
        <f aca="false">ifs(C1386="","",X1386="",NOW(),TRUE(),X1386)</f>
        <v>#VALUE!</v>
      </c>
      <c r="Y1386" s="17" t="e">
        <f aca="false">ifs(COUNTA(K1386:U1389)&lt;44,"",Y1386="",NOW(),TRUE(),Y1386)</f>
        <v>#VALUE!</v>
      </c>
    </row>
    <row r="1387" customFormat="false" ht="15.75" hidden="false" customHeight="false" outlineLevel="0" collapsed="false">
      <c r="A1387" s="9"/>
      <c r="B1387" s="10"/>
      <c r="C1387" s="10"/>
      <c r="D1387" s="10"/>
      <c r="E1387" s="10"/>
      <c r="F1387" s="10"/>
      <c r="G1387" s="10"/>
      <c r="H1387" s="10"/>
      <c r="I1387" s="18" t="n">
        <v>2</v>
      </c>
      <c r="J1387" s="18"/>
      <c r="K1387" s="19"/>
      <c r="L1387" s="19"/>
      <c r="M1387" s="18"/>
      <c r="N1387" s="18"/>
      <c r="O1387" s="18"/>
      <c r="P1387" s="19"/>
      <c r="Q1387" s="19"/>
      <c r="R1387" s="18"/>
      <c r="S1387" s="18"/>
      <c r="T1387" s="18"/>
      <c r="U1387" s="20"/>
      <c r="V1387" s="21"/>
      <c r="W1387" s="16"/>
      <c r="X1387" s="16"/>
      <c r="Y1387" s="16"/>
    </row>
    <row r="1388" customFormat="false" ht="15.75" hidden="false" customHeight="false" outlineLevel="0" collapsed="false">
      <c r="A1388" s="9"/>
      <c r="B1388" s="10"/>
      <c r="C1388" s="10"/>
      <c r="D1388" s="10"/>
      <c r="E1388" s="10"/>
      <c r="F1388" s="10"/>
      <c r="G1388" s="10"/>
      <c r="H1388" s="10"/>
      <c r="I1388" s="22" t="n">
        <v>3</v>
      </c>
      <c r="J1388" s="22"/>
      <c r="K1388" s="23"/>
      <c r="L1388" s="23"/>
      <c r="M1388" s="22"/>
      <c r="N1388" s="22"/>
      <c r="O1388" s="22"/>
      <c r="P1388" s="23"/>
      <c r="Q1388" s="23"/>
      <c r="R1388" s="22"/>
      <c r="S1388" s="22"/>
      <c r="T1388" s="22"/>
      <c r="U1388" s="24"/>
      <c r="V1388" s="15"/>
      <c r="W1388" s="16"/>
      <c r="X1388" s="16"/>
      <c r="Y1388" s="16"/>
    </row>
    <row r="1389" customFormat="false" ht="15.75" hidden="false" customHeight="false" outlineLevel="0" collapsed="false">
      <c r="A1389" s="9"/>
      <c r="B1389" s="10"/>
      <c r="C1389" s="10"/>
      <c r="D1389" s="10"/>
      <c r="E1389" s="10"/>
      <c r="F1389" s="10"/>
      <c r="G1389" s="10"/>
      <c r="H1389" s="10"/>
      <c r="I1389" s="25" t="n">
        <v>4</v>
      </c>
      <c r="J1389" s="25"/>
      <c r="K1389" s="26"/>
      <c r="L1389" s="26"/>
      <c r="M1389" s="25"/>
      <c r="N1389" s="25"/>
      <c r="O1389" s="25"/>
      <c r="P1389" s="26"/>
      <c r="Q1389" s="26"/>
      <c r="R1389" s="25"/>
      <c r="S1389" s="25"/>
      <c r="T1389" s="25"/>
      <c r="U1389" s="27"/>
      <c r="V1389" s="21"/>
      <c r="W1389" s="16"/>
      <c r="X1389" s="16"/>
      <c r="Y1389" s="16"/>
    </row>
    <row r="1390" customFormat="false" ht="15.75" hidden="false" customHeight="false" outlineLevel="0" collapsed="false">
      <c r="A1390" s="9"/>
      <c r="B1390" s="10"/>
      <c r="C1390" s="11"/>
      <c r="D1390" s="10"/>
      <c r="E1390" s="10"/>
      <c r="F1390" s="10"/>
      <c r="G1390" s="10"/>
      <c r="H1390" s="10"/>
      <c r="I1390" s="12" t="n">
        <v>1</v>
      </c>
      <c r="J1390" s="12"/>
      <c r="K1390" s="13"/>
      <c r="L1390" s="13"/>
      <c r="M1390" s="12"/>
      <c r="N1390" s="12"/>
      <c r="O1390" s="12"/>
      <c r="P1390" s="13"/>
      <c r="Q1390" s="13"/>
      <c r="R1390" s="12"/>
      <c r="S1390" s="12"/>
      <c r="T1390" s="12"/>
      <c r="U1390" s="14"/>
      <c r="V1390" s="15"/>
      <c r="W1390" s="16" t="n">
        <f aca="false">A1390</f>
        <v>0</v>
      </c>
      <c r="X1390" s="17" t="e">
        <f aca="false">ifs(C1390="","",X1390="",NOW(),TRUE(),X1390)</f>
        <v>#VALUE!</v>
      </c>
      <c r="Y1390" s="17" t="e">
        <f aca="false">ifs(COUNTA(K1390:U1393)&lt;44,"",Y1390="",NOW(),TRUE(),Y1390)</f>
        <v>#VALUE!</v>
      </c>
    </row>
    <row r="1391" customFormat="false" ht="15.75" hidden="false" customHeight="false" outlineLevel="0" collapsed="false">
      <c r="A1391" s="9"/>
      <c r="B1391" s="10"/>
      <c r="C1391" s="10"/>
      <c r="D1391" s="10"/>
      <c r="E1391" s="10"/>
      <c r="F1391" s="10"/>
      <c r="G1391" s="10"/>
      <c r="H1391" s="10"/>
      <c r="I1391" s="18" t="n">
        <v>2</v>
      </c>
      <c r="J1391" s="18"/>
      <c r="K1391" s="19"/>
      <c r="L1391" s="19"/>
      <c r="M1391" s="18"/>
      <c r="N1391" s="18"/>
      <c r="O1391" s="18"/>
      <c r="P1391" s="19"/>
      <c r="Q1391" s="19"/>
      <c r="R1391" s="18"/>
      <c r="S1391" s="18"/>
      <c r="T1391" s="18"/>
      <c r="U1391" s="20"/>
      <c r="V1391" s="21"/>
      <c r="W1391" s="16"/>
      <c r="X1391" s="16"/>
      <c r="Y1391" s="16"/>
    </row>
    <row r="1392" customFormat="false" ht="15.75" hidden="false" customHeight="false" outlineLevel="0" collapsed="false">
      <c r="A1392" s="9"/>
      <c r="B1392" s="10"/>
      <c r="C1392" s="10"/>
      <c r="D1392" s="10"/>
      <c r="E1392" s="10"/>
      <c r="F1392" s="10"/>
      <c r="G1392" s="10"/>
      <c r="H1392" s="10"/>
      <c r="I1392" s="22" t="n">
        <v>3</v>
      </c>
      <c r="J1392" s="22"/>
      <c r="K1392" s="23"/>
      <c r="L1392" s="23"/>
      <c r="M1392" s="22"/>
      <c r="N1392" s="22"/>
      <c r="O1392" s="22"/>
      <c r="P1392" s="23"/>
      <c r="Q1392" s="23"/>
      <c r="R1392" s="22"/>
      <c r="S1392" s="22"/>
      <c r="T1392" s="22"/>
      <c r="U1392" s="24"/>
      <c r="V1392" s="15"/>
      <c r="W1392" s="16"/>
      <c r="X1392" s="16"/>
      <c r="Y1392" s="16"/>
    </row>
    <row r="1393" customFormat="false" ht="15.75" hidden="false" customHeight="false" outlineLevel="0" collapsed="false">
      <c r="A1393" s="9"/>
      <c r="B1393" s="10"/>
      <c r="C1393" s="10"/>
      <c r="D1393" s="10"/>
      <c r="E1393" s="10"/>
      <c r="F1393" s="10"/>
      <c r="G1393" s="10"/>
      <c r="H1393" s="10"/>
      <c r="I1393" s="25" t="n">
        <v>4</v>
      </c>
      <c r="J1393" s="25"/>
      <c r="K1393" s="26"/>
      <c r="L1393" s="26"/>
      <c r="M1393" s="25"/>
      <c r="N1393" s="25"/>
      <c r="O1393" s="25"/>
      <c r="P1393" s="26"/>
      <c r="Q1393" s="26"/>
      <c r="R1393" s="25"/>
      <c r="S1393" s="25"/>
      <c r="T1393" s="25"/>
      <c r="U1393" s="27"/>
      <c r="V1393" s="21"/>
      <c r="W1393" s="16"/>
      <c r="X1393" s="16"/>
      <c r="Y1393" s="16"/>
    </row>
    <row r="1394" customFormat="false" ht="15.75" hidden="false" customHeight="false" outlineLevel="0" collapsed="false">
      <c r="A1394" s="9"/>
      <c r="B1394" s="10"/>
      <c r="C1394" s="11"/>
      <c r="D1394" s="10"/>
      <c r="E1394" s="10"/>
      <c r="F1394" s="10"/>
      <c r="G1394" s="10"/>
      <c r="H1394" s="10"/>
      <c r="I1394" s="12" t="n">
        <v>1</v>
      </c>
      <c r="J1394" s="12"/>
      <c r="K1394" s="13"/>
      <c r="L1394" s="13"/>
      <c r="M1394" s="12"/>
      <c r="N1394" s="12"/>
      <c r="O1394" s="12"/>
      <c r="P1394" s="13"/>
      <c r="Q1394" s="13"/>
      <c r="R1394" s="12"/>
      <c r="S1394" s="12"/>
      <c r="T1394" s="12"/>
      <c r="U1394" s="14"/>
      <c r="V1394" s="15"/>
      <c r="W1394" s="16" t="n">
        <f aca="false">A1394</f>
        <v>0</v>
      </c>
      <c r="X1394" s="17" t="e">
        <f aca="false">ifs(C1394="","",X1394="",NOW(),TRUE(),X1394)</f>
        <v>#VALUE!</v>
      </c>
      <c r="Y1394" s="17" t="e">
        <f aca="false">ifs(COUNTA(K1394:U1397)&lt;44,"",Y1394="",NOW(),TRUE(),Y1394)</f>
        <v>#VALUE!</v>
      </c>
    </row>
    <row r="1395" customFormat="false" ht="15.75" hidden="false" customHeight="false" outlineLevel="0" collapsed="false">
      <c r="A1395" s="9"/>
      <c r="B1395" s="10"/>
      <c r="C1395" s="10"/>
      <c r="D1395" s="10"/>
      <c r="E1395" s="10"/>
      <c r="F1395" s="10"/>
      <c r="G1395" s="10"/>
      <c r="H1395" s="10"/>
      <c r="I1395" s="18" t="n">
        <v>2</v>
      </c>
      <c r="J1395" s="18"/>
      <c r="K1395" s="19"/>
      <c r="L1395" s="19"/>
      <c r="M1395" s="18"/>
      <c r="N1395" s="18"/>
      <c r="O1395" s="18"/>
      <c r="P1395" s="19"/>
      <c r="Q1395" s="19"/>
      <c r="R1395" s="18"/>
      <c r="S1395" s="18"/>
      <c r="T1395" s="18"/>
      <c r="U1395" s="20"/>
      <c r="V1395" s="21"/>
      <c r="W1395" s="16"/>
      <c r="X1395" s="16"/>
      <c r="Y1395" s="16"/>
    </row>
    <row r="1396" customFormat="false" ht="15.75" hidden="false" customHeight="false" outlineLevel="0" collapsed="false">
      <c r="A1396" s="9"/>
      <c r="B1396" s="10"/>
      <c r="C1396" s="10"/>
      <c r="D1396" s="10"/>
      <c r="E1396" s="10"/>
      <c r="F1396" s="10"/>
      <c r="G1396" s="10"/>
      <c r="H1396" s="10"/>
      <c r="I1396" s="22" t="n">
        <v>3</v>
      </c>
      <c r="J1396" s="22"/>
      <c r="K1396" s="23"/>
      <c r="L1396" s="23"/>
      <c r="M1396" s="22"/>
      <c r="N1396" s="22"/>
      <c r="O1396" s="22"/>
      <c r="P1396" s="23"/>
      <c r="Q1396" s="23"/>
      <c r="R1396" s="22"/>
      <c r="S1396" s="22"/>
      <c r="T1396" s="22"/>
      <c r="U1396" s="24"/>
      <c r="V1396" s="15"/>
      <c r="W1396" s="16"/>
      <c r="X1396" s="16"/>
      <c r="Y1396" s="16"/>
    </row>
    <row r="1397" customFormat="false" ht="15.75" hidden="false" customHeight="false" outlineLevel="0" collapsed="false">
      <c r="A1397" s="9"/>
      <c r="B1397" s="10"/>
      <c r="C1397" s="10"/>
      <c r="D1397" s="10"/>
      <c r="E1397" s="10"/>
      <c r="F1397" s="10"/>
      <c r="G1397" s="10"/>
      <c r="H1397" s="10"/>
      <c r="I1397" s="25" t="n">
        <v>4</v>
      </c>
      <c r="J1397" s="25"/>
      <c r="K1397" s="26"/>
      <c r="L1397" s="26"/>
      <c r="M1397" s="25"/>
      <c r="N1397" s="25"/>
      <c r="O1397" s="25"/>
      <c r="P1397" s="26"/>
      <c r="Q1397" s="26"/>
      <c r="R1397" s="25"/>
      <c r="S1397" s="25"/>
      <c r="T1397" s="25"/>
      <c r="U1397" s="27"/>
      <c r="V1397" s="21"/>
      <c r="W1397" s="16"/>
      <c r="X1397" s="16"/>
      <c r="Y1397" s="16"/>
    </row>
    <row r="1398" customFormat="false" ht="15.75" hidden="false" customHeight="false" outlineLevel="0" collapsed="false">
      <c r="A1398" s="9"/>
      <c r="B1398" s="10"/>
      <c r="C1398" s="11"/>
      <c r="D1398" s="10"/>
      <c r="E1398" s="10"/>
      <c r="F1398" s="10"/>
      <c r="G1398" s="10"/>
      <c r="H1398" s="10"/>
      <c r="I1398" s="12" t="n">
        <v>1</v>
      </c>
      <c r="J1398" s="12"/>
      <c r="K1398" s="13"/>
      <c r="L1398" s="13"/>
      <c r="M1398" s="12"/>
      <c r="N1398" s="12"/>
      <c r="O1398" s="12"/>
      <c r="P1398" s="13"/>
      <c r="Q1398" s="13"/>
      <c r="R1398" s="12"/>
      <c r="S1398" s="12"/>
      <c r="T1398" s="12"/>
      <c r="U1398" s="14"/>
      <c r="V1398" s="15"/>
      <c r="W1398" s="16" t="n">
        <f aca="false">A1398</f>
        <v>0</v>
      </c>
      <c r="X1398" s="17" t="e">
        <f aca="false">ifs(C1398="","",X1398="",NOW(),TRUE(),X1398)</f>
        <v>#VALUE!</v>
      </c>
      <c r="Y1398" s="17" t="e">
        <f aca="false">ifs(COUNTA(K1398:U1401)&lt;44,"",Y1398="",NOW(),TRUE(),Y1398)</f>
        <v>#VALUE!</v>
      </c>
    </row>
    <row r="1399" customFormat="false" ht="15.75" hidden="false" customHeight="false" outlineLevel="0" collapsed="false">
      <c r="A1399" s="9"/>
      <c r="B1399" s="10"/>
      <c r="C1399" s="10"/>
      <c r="D1399" s="10"/>
      <c r="E1399" s="10"/>
      <c r="F1399" s="10"/>
      <c r="G1399" s="10"/>
      <c r="H1399" s="10"/>
      <c r="I1399" s="18" t="n">
        <v>2</v>
      </c>
      <c r="J1399" s="18"/>
      <c r="K1399" s="19"/>
      <c r="L1399" s="19"/>
      <c r="M1399" s="18"/>
      <c r="N1399" s="18"/>
      <c r="O1399" s="18"/>
      <c r="P1399" s="19"/>
      <c r="Q1399" s="19"/>
      <c r="R1399" s="18"/>
      <c r="S1399" s="18"/>
      <c r="T1399" s="18"/>
      <c r="U1399" s="20"/>
      <c r="V1399" s="21"/>
      <c r="W1399" s="16"/>
      <c r="X1399" s="16"/>
      <c r="Y1399" s="16"/>
    </row>
    <row r="1400" customFormat="false" ht="15.75" hidden="false" customHeight="false" outlineLevel="0" collapsed="false">
      <c r="A1400" s="9"/>
      <c r="B1400" s="10"/>
      <c r="C1400" s="10"/>
      <c r="D1400" s="10"/>
      <c r="E1400" s="10"/>
      <c r="F1400" s="10"/>
      <c r="G1400" s="10"/>
      <c r="H1400" s="10"/>
      <c r="I1400" s="22" t="n">
        <v>3</v>
      </c>
      <c r="J1400" s="22"/>
      <c r="K1400" s="23"/>
      <c r="L1400" s="23"/>
      <c r="M1400" s="22"/>
      <c r="N1400" s="22"/>
      <c r="O1400" s="22"/>
      <c r="P1400" s="23"/>
      <c r="Q1400" s="23"/>
      <c r="R1400" s="22"/>
      <c r="S1400" s="22"/>
      <c r="T1400" s="22"/>
      <c r="U1400" s="24"/>
      <c r="V1400" s="15"/>
      <c r="W1400" s="16"/>
      <c r="X1400" s="16"/>
      <c r="Y1400" s="16"/>
    </row>
    <row r="1401" customFormat="false" ht="15.75" hidden="false" customHeight="false" outlineLevel="0" collapsed="false">
      <c r="A1401" s="9"/>
      <c r="B1401" s="10"/>
      <c r="C1401" s="10"/>
      <c r="D1401" s="10"/>
      <c r="E1401" s="10"/>
      <c r="F1401" s="10"/>
      <c r="G1401" s="10"/>
      <c r="H1401" s="10"/>
      <c r="I1401" s="25" t="n">
        <v>4</v>
      </c>
      <c r="J1401" s="25"/>
      <c r="K1401" s="26"/>
      <c r="L1401" s="26"/>
      <c r="M1401" s="25"/>
      <c r="N1401" s="25"/>
      <c r="O1401" s="25"/>
      <c r="P1401" s="26"/>
      <c r="Q1401" s="26"/>
      <c r="R1401" s="25"/>
      <c r="S1401" s="25"/>
      <c r="T1401" s="25"/>
      <c r="U1401" s="27"/>
      <c r="V1401" s="21"/>
      <c r="W1401" s="16"/>
      <c r="X1401" s="16"/>
      <c r="Y1401" s="16"/>
    </row>
    <row r="1402" customFormat="false" ht="15.75" hidden="false" customHeight="false" outlineLevel="0" collapsed="false">
      <c r="A1402" s="9"/>
      <c r="B1402" s="10"/>
      <c r="C1402" s="11"/>
      <c r="D1402" s="10"/>
      <c r="E1402" s="10"/>
      <c r="F1402" s="10"/>
      <c r="G1402" s="10"/>
      <c r="H1402" s="10"/>
      <c r="I1402" s="12" t="n">
        <v>1</v>
      </c>
      <c r="J1402" s="12"/>
      <c r="K1402" s="13"/>
      <c r="L1402" s="13"/>
      <c r="M1402" s="12"/>
      <c r="N1402" s="12"/>
      <c r="O1402" s="12"/>
      <c r="P1402" s="13"/>
      <c r="Q1402" s="13"/>
      <c r="R1402" s="12"/>
      <c r="S1402" s="12"/>
      <c r="T1402" s="12"/>
      <c r="U1402" s="14"/>
      <c r="V1402" s="15"/>
      <c r="W1402" s="16" t="n">
        <f aca="false">A1402</f>
        <v>0</v>
      </c>
      <c r="X1402" s="17" t="e">
        <f aca="false">ifs(C1402="","",X1402="",NOW(),TRUE(),X1402)</f>
        <v>#VALUE!</v>
      </c>
      <c r="Y1402" s="17" t="e">
        <f aca="false">ifs(COUNTA(K1402:U1405)&lt;44,"",Y1402="",NOW(),TRUE(),Y1402)</f>
        <v>#VALUE!</v>
      </c>
    </row>
    <row r="1403" customFormat="false" ht="15.75" hidden="false" customHeight="false" outlineLevel="0" collapsed="false">
      <c r="A1403" s="9"/>
      <c r="B1403" s="10"/>
      <c r="C1403" s="10"/>
      <c r="D1403" s="10"/>
      <c r="E1403" s="10"/>
      <c r="F1403" s="10"/>
      <c r="G1403" s="10"/>
      <c r="H1403" s="10"/>
      <c r="I1403" s="18" t="n">
        <v>2</v>
      </c>
      <c r="J1403" s="18"/>
      <c r="K1403" s="19"/>
      <c r="L1403" s="19"/>
      <c r="M1403" s="18"/>
      <c r="N1403" s="18"/>
      <c r="O1403" s="18"/>
      <c r="P1403" s="19"/>
      <c r="Q1403" s="19"/>
      <c r="R1403" s="18"/>
      <c r="S1403" s="18"/>
      <c r="T1403" s="18"/>
      <c r="U1403" s="20"/>
      <c r="V1403" s="21"/>
      <c r="W1403" s="16"/>
      <c r="X1403" s="16"/>
      <c r="Y1403" s="16"/>
    </row>
    <row r="1404" customFormat="false" ht="15.75" hidden="false" customHeight="false" outlineLevel="0" collapsed="false">
      <c r="A1404" s="9"/>
      <c r="B1404" s="10"/>
      <c r="C1404" s="10"/>
      <c r="D1404" s="10"/>
      <c r="E1404" s="10"/>
      <c r="F1404" s="10"/>
      <c r="G1404" s="10"/>
      <c r="H1404" s="10"/>
      <c r="I1404" s="22" t="n">
        <v>3</v>
      </c>
      <c r="J1404" s="22"/>
      <c r="K1404" s="23"/>
      <c r="L1404" s="23"/>
      <c r="M1404" s="22"/>
      <c r="N1404" s="22"/>
      <c r="O1404" s="22"/>
      <c r="P1404" s="23"/>
      <c r="Q1404" s="23"/>
      <c r="R1404" s="22"/>
      <c r="S1404" s="22"/>
      <c r="T1404" s="22"/>
      <c r="U1404" s="24"/>
      <c r="V1404" s="15"/>
      <c r="W1404" s="16"/>
      <c r="X1404" s="16"/>
      <c r="Y1404" s="16"/>
    </row>
    <row r="1405" customFormat="false" ht="15.75" hidden="false" customHeight="false" outlineLevel="0" collapsed="false">
      <c r="A1405" s="9"/>
      <c r="B1405" s="10"/>
      <c r="C1405" s="10"/>
      <c r="D1405" s="10"/>
      <c r="E1405" s="10"/>
      <c r="F1405" s="10"/>
      <c r="G1405" s="10"/>
      <c r="H1405" s="10"/>
      <c r="I1405" s="25" t="n">
        <v>4</v>
      </c>
      <c r="J1405" s="25"/>
      <c r="K1405" s="26"/>
      <c r="L1405" s="26"/>
      <c r="M1405" s="25"/>
      <c r="N1405" s="25"/>
      <c r="O1405" s="25"/>
      <c r="P1405" s="26"/>
      <c r="Q1405" s="26"/>
      <c r="R1405" s="25"/>
      <c r="S1405" s="25"/>
      <c r="T1405" s="25"/>
      <c r="U1405" s="27"/>
      <c r="V1405" s="21"/>
      <c r="W1405" s="16"/>
      <c r="X1405" s="16"/>
      <c r="Y1405" s="16"/>
    </row>
    <row r="1406" customFormat="false" ht="15.75" hidden="false" customHeight="false" outlineLevel="0" collapsed="false">
      <c r="A1406" s="9"/>
      <c r="B1406" s="10"/>
      <c r="C1406" s="11"/>
      <c r="D1406" s="10"/>
      <c r="E1406" s="10"/>
      <c r="F1406" s="10"/>
      <c r="G1406" s="10"/>
      <c r="H1406" s="10"/>
      <c r="I1406" s="12" t="n">
        <v>1</v>
      </c>
      <c r="J1406" s="12"/>
      <c r="K1406" s="13"/>
      <c r="L1406" s="13"/>
      <c r="M1406" s="12"/>
      <c r="N1406" s="12"/>
      <c r="O1406" s="12"/>
      <c r="P1406" s="13"/>
      <c r="Q1406" s="13"/>
      <c r="R1406" s="12"/>
      <c r="S1406" s="12"/>
      <c r="T1406" s="12"/>
      <c r="U1406" s="14"/>
      <c r="V1406" s="15"/>
      <c r="W1406" s="16" t="n">
        <f aca="false">A1406</f>
        <v>0</v>
      </c>
      <c r="X1406" s="17" t="e">
        <f aca="false">ifs(C1406="","",X1406="",NOW(),TRUE(),X1406)</f>
        <v>#VALUE!</v>
      </c>
      <c r="Y1406" s="17" t="e">
        <f aca="false">ifs(COUNTA(K1406:U1409)&lt;44,"",Y1406="",NOW(),TRUE(),Y1406)</f>
        <v>#VALUE!</v>
      </c>
    </row>
    <row r="1407" customFormat="false" ht="15.75" hidden="false" customHeight="false" outlineLevel="0" collapsed="false">
      <c r="A1407" s="9"/>
      <c r="B1407" s="10"/>
      <c r="C1407" s="10"/>
      <c r="D1407" s="10"/>
      <c r="E1407" s="10"/>
      <c r="F1407" s="10"/>
      <c r="G1407" s="10"/>
      <c r="H1407" s="10"/>
      <c r="I1407" s="18" t="n">
        <v>2</v>
      </c>
      <c r="J1407" s="18"/>
      <c r="K1407" s="19"/>
      <c r="L1407" s="19"/>
      <c r="M1407" s="18"/>
      <c r="N1407" s="18"/>
      <c r="O1407" s="18"/>
      <c r="P1407" s="19"/>
      <c r="Q1407" s="19"/>
      <c r="R1407" s="18"/>
      <c r="S1407" s="18"/>
      <c r="T1407" s="18"/>
      <c r="U1407" s="20"/>
      <c r="V1407" s="21"/>
      <c r="W1407" s="16"/>
      <c r="X1407" s="16"/>
      <c r="Y1407" s="16"/>
    </row>
    <row r="1408" customFormat="false" ht="15.75" hidden="false" customHeight="false" outlineLevel="0" collapsed="false">
      <c r="A1408" s="9"/>
      <c r="B1408" s="10"/>
      <c r="C1408" s="10"/>
      <c r="D1408" s="10"/>
      <c r="E1408" s="10"/>
      <c r="F1408" s="10"/>
      <c r="G1408" s="10"/>
      <c r="H1408" s="10"/>
      <c r="I1408" s="22" t="n">
        <v>3</v>
      </c>
      <c r="J1408" s="22"/>
      <c r="K1408" s="23"/>
      <c r="L1408" s="23"/>
      <c r="M1408" s="22"/>
      <c r="N1408" s="22"/>
      <c r="O1408" s="22"/>
      <c r="P1408" s="23"/>
      <c r="Q1408" s="23"/>
      <c r="R1408" s="22"/>
      <c r="S1408" s="22"/>
      <c r="T1408" s="22"/>
      <c r="U1408" s="24"/>
      <c r="V1408" s="15"/>
      <c r="W1408" s="16"/>
      <c r="X1408" s="16"/>
      <c r="Y1408" s="16"/>
    </row>
    <row r="1409" customFormat="false" ht="15.75" hidden="false" customHeight="false" outlineLevel="0" collapsed="false">
      <c r="A1409" s="9"/>
      <c r="B1409" s="10"/>
      <c r="C1409" s="10"/>
      <c r="D1409" s="10"/>
      <c r="E1409" s="10"/>
      <c r="F1409" s="10"/>
      <c r="G1409" s="10"/>
      <c r="H1409" s="10"/>
      <c r="I1409" s="25" t="n">
        <v>4</v>
      </c>
      <c r="J1409" s="25"/>
      <c r="K1409" s="26"/>
      <c r="L1409" s="26"/>
      <c r="M1409" s="25"/>
      <c r="N1409" s="25"/>
      <c r="O1409" s="25"/>
      <c r="P1409" s="26"/>
      <c r="Q1409" s="26"/>
      <c r="R1409" s="25"/>
      <c r="S1409" s="25"/>
      <c r="T1409" s="25"/>
      <c r="U1409" s="27"/>
      <c r="V1409" s="21"/>
      <c r="W1409" s="16"/>
      <c r="X1409" s="16"/>
      <c r="Y1409" s="16"/>
    </row>
    <row r="1410" customFormat="false" ht="15.75" hidden="false" customHeight="false" outlineLevel="0" collapsed="false">
      <c r="A1410" s="9"/>
      <c r="B1410" s="10"/>
      <c r="C1410" s="11"/>
      <c r="D1410" s="10"/>
      <c r="E1410" s="10"/>
      <c r="F1410" s="10"/>
      <c r="G1410" s="10"/>
      <c r="H1410" s="10"/>
      <c r="I1410" s="12" t="n">
        <v>1</v>
      </c>
      <c r="J1410" s="12"/>
      <c r="K1410" s="13"/>
      <c r="L1410" s="13"/>
      <c r="M1410" s="12"/>
      <c r="N1410" s="12"/>
      <c r="O1410" s="12"/>
      <c r="P1410" s="13"/>
      <c r="Q1410" s="13"/>
      <c r="R1410" s="12"/>
      <c r="S1410" s="12"/>
      <c r="T1410" s="12"/>
      <c r="U1410" s="14"/>
      <c r="V1410" s="15"/>
      <c r="W1410" s="16" t="n">
        <f aca="false">A1410</f>
        <v>0</v>
      </c>
      <c r="X1410" s="17" t="e">
        <f aca="false">ifs(C1410="","",X1410="",NOW(),TRUE(),X1410)</f>
        <v>#VALUE!</v>
      </c>
      <c r="Y1410" s="17" t="e">
        <f aca="false">ifs(COUNTA(K1410:U1413)&lt;44,"",Y1410="",NOW(),TRUE(),Y1410)</f>
        <v>#VALUE!</v>
      </c>
    </row>
    <row r="1411" customFormat="false" ht="15.75" hidden="false" customHeight="false" outlineLevel="0" collapsed="false">
      <c r="A1411" s="9"/>
      <c r="B1411" s="10"/>
      <c r="C1411" s="10"/>
      <c r="D1411" s="10"/>
      <c r="E1411" s="10"/>
      <c r="F1411" s="10"/>
      <c r="G1411" s="10"/>
      <c r="H1411" s="10"/>
      <c r="I1411" s="18" t="n">
        <v>2</v>
      </c>
      <c r="J1411" s="18"/>
      <c r="K1411" s="19"/>
      <c r="L1411" s="19"/>
      <c r="M1411" s="18"/>
      <c r="N1411" s="18"/>
      <c r="O1411" s="18"/>
      <c r="P1411" s="19"/>
      <c r="Q1411" s="19"/>
      <c r="R1411" s="18"/>
      <c r="S1411" s="18"/>
      <c r="T1411" s="18"/>
      <c r="U1411" s="20"/>
      <c r="V1411" s="21"/>
      <c r="W1411" s="16"/>
      <c r="X1411" s="16"/>
      <c r="Y1411" s="16"/>
    </row>
    <row r="1412" customFormat="false" ht="15.75" hidden="false" customHeight="false" outlineLevel="0" collapsed="false">
      <c r="A1412" s="9"/>
      <c r="B1412" s="10"/>
      <c r="C1412" s="10"/>
      <c r="D1412" s="10"/>
      <c r="E1412" s="10"/>
      <c r="F1412" s="10"/>
      <c r="G1412" s="10"/>
      <c r="H1412" s="10"/>
      <c r="I1412" s="22" t="n">
        <v>3</v>
      </c>
      <c r="J1412" s="22"/>
      <c r="K1412" s="23"/>
      <c r="L1412" s="23"/>
      <c r="M1412" s="22"/>
      <c r="N1412" s="22"/>
      <c r="O1412" s="22"/>
      <c r="P1412" s="23"/>
      <c r="Q1412" s="23"/>
      <c r="R1412" s="22"/>
      <c r="S1412" s="22"/>
      <c r="T1412" s="22"/>
      <c r="U1412" s="24"/>
      <c r="V1412" s="15"/>
      <c r="W1412" s="16"/>
      <c r="X1412" s="16"/>
      <c r="Y1412" s="16"/>
    </row>
    <row r="1413" customFormat="false" ht="15.75" hidden="false" customHeight="false" outlineLevel="0" collapsed="false">
      <c r="A1413" s="9"/>
      <c r="B1413" s="10"/>
      <c r="C1413" s="10"/>
      <c r="D1413" s="10"/>
      <c r="E1413" s="10"/>
      <c r="F1413" s="10"/>
      <c r="G1413" s="10"/>
      <c r="H1413" s="10"/>
      <c r="I1413" s="25" t="n">
        <v>4</v>
      </c>
      <c r="J1413" s="25"/>
      <c r="K1413" s="26"/>
      <c r="L1413" s="26"/>
      <c r="M1413" s="25"/>
      <c r="N1413" s="25"/>
      <c r="O1413" s="25"/>
      <c r="P1413" s="26"/>
      <c r="Q1413" s="26"/>
      <c r="R1413" s="25"/>
      <c r="S1413" s="25"/>
      <c r="T1413" s="25"/>
      <c r="U1413" s="27"/>
      <c r="V1413" s="21"/>
      <c r="W1413" s="16"/>
      <c r="X1413" s="16"/>
      <c r="Y1413" s="16"/>
    </row>
    <row r="1414" customFormat="false" ht="15.75" hidden="false" customHeight="false" outlineLevel="0" collapsed="false">
      <c r="A1414" s="9"/>
      <c r="B1414" s="10"/>
      <c r="C1414" s="11"/>
      <c r="D1414" s="10"/>
      <c r="E1414" s="10"/>
      <c r="F1414" s="10"/>
      <c r="G1414" s="10"/>
      <c r="H1414" s="10"/>
      <c r="I1414" s="12" t="n">
        <v>1</v>
      </c>
      <c r="J1414" s="12"/>
      <c r="K1414" s="13"/>
      <c r="L1414" s="13"/>
      <c r="M1414" s="12"/>
      <c r="N1414" s="12"/>
      <c r="O1414" s="12"/>
      <c r="P1414" s="13"/>
      <c r="Q1414" s="13"/>
      <c r="R1414" s="12"/>
      <c r="S1414" s="12"/>
      <c r="T1414" s="12"/>
      <c r="U1414" s="14"/>
      <c r="V1414" s="15"/>
      <c r="W1414" s="16" t="n">
        <f aca="false">A1414</f>
        <v>0</v>
      </c>
      <c r="X1414" s="17" t="e">
        <f aca="false">ifs(C1414="","",X1414="",NOW(),TRUE(),X1414)</f>
        <v>#VALUE!</v>
      </c>
      <c r="Y1414" s="17" t="e">
        <f aca="false">ifs(COUNTA(K1414:U1417)&lt;44,"",Y1414="",NOW(),TRUE(),Y1414)</f>
        <v>#VALUE!</v>
      </c>
    </row>
    <row r="1415" customFormat="false" ht="15.75" hidden="false" customHeight="false" outlineLevel="0" collapsed="false">
      <c r="A1415" s="9"/>
      <c r="B1415" s="10"/>
      <c r="C1415" s="10"/>
      <c r="D1415" s="10"/>
      <c r="E1415" s="10"/>
      <c r="F1415" s="10"/>
      <c r="G1415" s="10"/>
      <c r="H1415" s="10"/>
      <c r="I1415" s="18" t="n">
        <v>2</v>
      </c>
      <c r="J1415" s="18"/>
      <c r="K1415" s="19"/>
      <c r="L1415" s="19"/>
      <c r="M1415" s="18"/>
      <c r="N1415" s="18"/>
      <c r="O1415" s="18"/>
      <c r="P1415" s="19"/>
      <c r="Q1415" s="19"/>
      <c r="R1415" s="18"/>
      <c r="S1415" s="18"/>
      <c r="T1415" s="18"/>
      <c r="U1415" s="20"/>
      <c r="V1415" s="21"/>
      <c r="W1415" s="16"/>
      <c r="X1415" s="16"/>
      <c r="Y1415" s="16"/>
    </row>
    <row r="1416" customFormat="false" ht="15.75" hidden="false" customHeight="false" outlineLevel="0" collapsed="false">
      <c r="A1416" s="9"/>
      <c r="B1416" s="10"/>
      <c r="C1416" s="10"/>
      <c r="D1416" s="10"/>
      <c r="E1416" s="10"/>
      <c r="F1416" s="10"/>
      <c r="G1416" s="10"/>
      <c r="H1416" s="10"/>
      <c r="I1416" s="22" t="n">
        <v>3</v>
      </c>
      <c r="J1416" s="22"/>
      <c r="K1416" s="23"/>
      <c r="L1416" s="23"/>
      <c r="M1416" s="22"/>
      <c r="N1416" s="22"/>
      <c r="O1416" s="22"/>
      <c r="P1416" s="23"/>
      <c r="Q1416" s="23"/>
      <c r="R1416" s="22"/>
      <c r="S1416" s="22"/>
      <c r="T1416" s="22"/>
      <c r="U1416" s="24"/>
      <c r="V1416" s="15"/>
      <c r="W1416" s="16"/>
      <c r="X1416" s="16"/>
      <c r="Y1416" s="16"/>
    </row>
    <row r="1417" customFormat="false" ht="15.75" hidden="false" customHeight="false" outlineLevel="0" collapsed="false">
      <c r="A1417" s="9"/>
      <c r="B1417" s="10"/>
      <c r="C1417" s="10"/>
      <c r="D1417" s="10"/>
      <c r="E1417" s="10"/>
      <c r="F1417" s="10"/>
      <c r="G1417" s="10"/>
      <c r="H1417" s="10"/>
      <c r="I1417" s="25" t="n">
        <v>4</v>
      </c>
      <c r="J1417" s="25"/>
      <c r="K1417" s="26"/>
      <c r="L1417" s="26"/>
      <c r="M1417" s="25"/>
      <c r="N1417" s="25"/>
      <c r="O1417" s="25"/>
      <c r="P1417" s="26"/>
      <c r="Q1417" s="26"/>
      <c r="R1417" s="25"/>
      <c r="S1417" s="25"/>
      <c r="T1417" s="25"/>
      <c r="U1417" s="27"/>
      <c r="V1417" s="21"/>
      <c r="W1417" s="16"/>
      <c r="X1417" s="16"/>
      <c r="Y1417" s="16"/>
    </row>
    <row r="1418" customFormat="false" ht="15.75" hidden="false" customHeight="false" outlineLevel="0" collapsed="false">
      <c r="A1418" s="9"/>
      <c r="B1418" s="10"/>
      <c r="C1418" s="11"/>
      <c r="D1418" s="10"/>
      <c r="E1418" s="10"/>
      <c r="F1418" s="10"/>
      <c r="G1418" s="10"/>
      <c r="H1418" s="10"/>
      <c r="I1418" s="12" t="n">
        <v>1</v>
      </c>
      <c r="J1418" s="12"/>
      <c r="K1418" s="13"/>
      <c r="L1418" s="13"/>
      <c r="M1418" s="12"/>
      <c r="N1418" s="12"/>
      <c r="O1418" s="12"/>
      <c r="P1418" s="13"/>
      <c r="Q1418" s="13"/>
      <c r="R1418" s="12"/>
      <c r="S1418" s="12"/>
      <c r="T1418" s="12"/>
      <c r="U1418" s="14"/>
      <c r="V1418" s="15"/>
      <c r="W1418" s="16" t="n">
        <f aca="false">A1418</f>
        <v>0</v>
      </c>
      <c r="X1418" s="17" t="e">
        <f aca="false">ifs(C1418="","",X1418="",NOW(),TRUE(),X1418)</f>
        <v>#VALUE!</v>
      </c>
      <c r="Y1418" s="17" t="e">
        <f aca="false">ifs(COUNTA(K1418:U1421)&lt;44,"",Y1418="",NOW(),TRUE(),Y1418)</f>
        <v>#VALUE!</v>
      </c>
    </row>
    <row r="1419" customFormat="false" ht="15.75" hidden="false" customHeight="false" outlineLevel="0" collapsed="false">
      <c r="A1419" s="9"/>
      <c r="B1419" s="10"/>
      <c r="C1419" s="10"/>
      <c r="D1419" s="10"/>
      <c r="E1419" s="10"/>
      <c r="F1419" s="10"/>
      <c r="G1419" s="10"/>
      <c r="H1419" s="10"/>
      <c r="I1419" s="18" t="n">
        <v>2</v>
      </c>
      <c r="J1419" s="18"/>
      <c r="K1419" s="19"/>
      <c r="L1419" s="19"/>
      <c r="M1419" s="18"/>
      <c r="N1419" s="18"/>
      <c r="O1419" s="18"/>
      <c r="P1419" s="19"/>
      <c r="Q1419" s="19"/>
      <c r="R1419" s="18"/>
      <c r="S1419" s="18"/>
      <c r="T1419" s="18"/>
      <c r="U1419" s="20"/>
      <c r="V1419" s="21"/>
      <c r="W1419" s="16"/>
      <c r="X1419" s="16"/>
      <c r="Y1419" s="16"/>
    </row>
    <row r="1420" customFormat="false" ht="15.75" hidden="false" customHeight="false" outlineLevel="0" collapsed="false">
      <c r="A1420" s="9"/>
      <c r="B1420" s="10"/>
      <c r="C1420" s="10"/>
      <c r="D1420" s="10"/>
      <c r="E1420" s="10"/>
      <c r="F1420" s="10"/>
      <c r="G1420" s="10"/>
      <c r="H1420" s="10"/>
      <c r="I1420" s="22" t="n">
        <v>3</v>
      </c>
      <c r="J1420" s="22"/>
      <c r="K1420" s="23"/>
      <c r="L1420" s="23"/>
      <c r="M1420" s="22"/>
      <c r="N1420" s="22"/>
      <c r="O1420" s="22"/>
      <c r="P1420" s="23"/>
      <c r="Q1420" s="23"/>
      <c r="R1420" s="22"/>
      <c r="S1420" s="22"/>
      <c r="T1420" s="22"/>
      <c r="U1420" s="24"/>
      <c r="V1420" s="15"/>
      <c r="W1420" s="16"/>
      <c r="X1420" s="16"/>
      <c r="Y1420" s="16"/>
    </row>
    <row r="1421" customFormat="false" ht="15.75" hidden="false" customHeight="false" outlineLevel="0" collapsed="false">
      <c r="A1421" s="9"/>
      <c r="B1421" s="10"/>
      <c r="C1421" s="10"/>
      <c r="D1421" s="10"/>
      <c r="E1421" s="10"/>
      <c r="F1421" s="10"/>
      <c r="G1421" s="10"/>
      <c r="H1421" s="10"/>
      <c r="I1421" s="25" t="n">
        <v>4</v>
      </c>
      <c r="J1421" s="25"/>
      <c r="K1421" s="26"/>
      <c r="L1421" s="26"/>
      <c r="M1421" s="25"/>
      <c r="N1421" s="25"/>
      <c r="O1421" s="25"/>
      <c r="P1421" s="26"/>
      <c r="Q1421" s="26"/>
      <c r="R1421" s="25"/>
      <c r="S1421" s="25"/>
      <c r="T1421" s="25"/>
      <c r="U1421" s="27"/>
      <c r="V1421" s="21"/>
      <c r="W1421" s="16"/>
      <c r="X1421" s="16"/>
      <c r="Y1421" s="16"/>
    </row>
    <row r="1422" customFormat="false" ht="15.75" hidden="false" customHeight="false" outlineLevel="0" collapsed="false">
      <c r="A1422" s="9"/>
      <c r="B1422" s="10"/>
      <c r="C1422" s="11"/>
      <c r="D1422" s="10"/>
      <c r="E1422" s="10"/>
      <c r="F1422" s="10"/>
      <c r="G1422" s="10"/>
      <c r="H1422" s="10"/>
      <c r="I1422" s="12" t="n">
        <v>1</v>
      </c>
      <c r="J1422" s="12"/>
      <c r="K1422" s="13"/>
      <c r="L1422" s="13"/>
      <c r="M1422" s="12"/>
      <c r="N1422" s="12"/>
      <c r="O1422" s="12"/>
      <c r="P1422" s="13"/>
      <c r="Q1422" s="13"/>
      <c r="R1422" s="12"/>
      <c r="S1422" s="12"/>
      <c r="T1422" s="12"/>
      <c r="U1422" s="14"/>
      <c r="V1422" s="15"/>
      <c r="W1422" s="16" t="n">
        <f aca="false">A1422</f>
        <v>0</v>
      </c>
      <c r="X1422" s="17" t="e">
        <f aca="false">ifs(C1422="","",X1422="",NOW(),TRUE(),X1422)</f>
        <v>#VALUE!</v>
      </c>
      <c r="Y1422" s="17" t="e">
        <f aca="false">ifs(COUNTA(K1422:U1425)&lt;44,"",Y1422="",NOW(),TRUE(),Y1422)</f>
        <v>#VALUE!</v>
      </c>
    </row>
    <row r="1423" customFormat="false" ht="15.75" hidden="false" customHeight="false" outlineLevel="0" collapsed="false">
      <c r="A1423" s="9"/>
      <c r="B1423" s="10"/>
      <c r="C1423" s="10"/>
      <c r="D1423" s="10"/>
      <c r="E1423" s="10"/>
      <c r="F1423" s="10"/>
      <c r="G1423" s="10"/>
      <c r="H1423" s="10"/>
      <c r="I1423" s="18" t="n">
        <v>2</v>
      </c>
      <c r="J1423" s="18"/>
      <c r="K1423" s="19"/>
      <c r="L1423" s="19"/>
      <c r="M1423" s="18"/>
      <c r="N1423" s="18"/>
      <c r="O1423" s="18"/>
      <c r="P1423" s="19"/>
      <c r="Q1423" s="19"/>
      <c r="R1423" s="18"/>
      <c r="S1423" s="18"/>
      <c r="T1423" s="18"/>
      <c r="U1423" s="20"/>
      <c r="V1423" s="21"/>
      <c r="W1423" s="16"/>
      <c r="X1423" s="16"/>
      <c r="Y1423" s="16"/>
    </row>
    <row r="1424" customFormat="false" ht="15.75" hidden="false" customHeight="false" outlineLevel="0" collapsed="false">
      <c r="A1424" s="9"/>
      <c r="B1424" s="10"/>
      <c r="C1424" s="10"/>
      <c r="D1424" s="10"/>
      <c r="E1424" s="10"/>
      <c r="F1424" s="10"/>
      <c r="G1424" s="10"/>
      <c r="H1424" s="10"/>
      <c r="I1424" s="22" t="n">
        <v>3</v>
      </c>
      <c r="J1424" s="22"/>
      <c r="K1424" s="23"/>
      <c r="L1424" s="23"/>
      <c r="M1424" s="22"/>
      <c r="N1424" s="22"/>
      <c r="O1424" s="22"/>
      <c r="P1424" s="23"/>
      <c r="Q1424" s="23"/>
      <c r="R1424" s="22"/>
      <c r="S1424" s="22"/>
      <c r="T1424" s="22"/>
      <c r="U1424" s="24"/>
      <c r="V1424" s="15"/>
      <c r="W1424" s="16"/>
      <c r="X1424" s="16"/>
      <c r="Y1424" s="16"/>
    </row>
    <row r="1425" customFormat="false" ht="15.75" hidden="false" customHeight="false" outlineLevel="0" collapsed="false">
      <c r="A1425" s="9"/>
      <c r="B1425" s="10"/>
      <c r="C1425" s="10"/>
      <c r="D1425" s="10"/>
      <c r="E1425" s="10"/>
      <c r="F1425" s="10"/>
      <c r="G1425" s="10"/>
      <c r="H1425" s="10"/>
      <c r="I1425" s="25" t="n">
        <v>4</v>
      </c>
      <c r="J1425" s="25"/>
      <c r="K1425" s="26"/>
      <c r="L1425" s="26"/>
      <c r="M1425" s="25"/>
      <c r="N1425" s="25"/>
      <c r="O1425" s="25"/>
      <c r="P1425" s="26"/>
      <c r="Q1425" s="26"/>
      <c r="R1425" s="25"/>
      <c r="S1425" s="25"/>
      <c r="T1425" s="25"/>
      <c r="U1425" s="27"/>
      <c r="V1425" s="21"/>
      <c r="W1425" s="16"/>
      <c r="X1425" s="16"/>
      <c r="Y1425" s="16"/>
    </row>
    <row r="1426" customFormat="false" ht="15.75" hidden="false" customHeight="false" outlineLevel="0" collapsed="false">
      <c r="A1426" s="9"/>
      <c r="B1426" s="10"/>
      <c r="C1426" s="11"/>
      <c r="D1426" s="10"/>
      <c r="E1426" s="10"/>
      <c r="F1426" s="10"/>
      <c r="G1426" s="10"/>
      <c r="H1426" s="10"/>
      <c r="I1426" s="12" t="n">
        <v>1</v>
      </c>
      <c r="J1426" s="12"/>
      <c r="K1426" s="13"/>
      <c r="L1426" s="13"/>
      <c r="M1426" s="12"/>
      <c r="N1426" s="12"/>
      <c r="O1426" s="12"/>
      <c r="P1426" s="13"/>
      <c r="Q1426" s="13"/>
      <c r="R1426" s="12"/>
      <c r="S1426" s="12"/>
      <c r="T1426" s="12"/>
      <c r="U1426" s="14"/>
      <c r="V1426" s="15"/>
      <c r="W1426" s="16" t="n">
        <f aca="false">A1426</f>
        <v>0</v>
      </c>
      <c r="X1426" s="17" t="e">
        <f aca="false">ifs(C1426="","",X1426="",NOW(),TRUE(),X1426)</f>
        <v>#VALUE!</v>
      </c>
      <c r="Y1426" s="17" t="e">
        <f aca="false">ifs(COUNTA(K1426:U1429)&lt;44,"",Y1426="",NOW(),TRUE(),Y1426)</f>
        <v>#VALUE!</v>
      </c>
    </row>
    <row r="1427" customFormat="false" ht="15.75" hidden="false" customHeight="false" outlineLevel="0" collapsed="false">
      <c r="A1427" s="9"/>
      <c r="B1427" s="10"/>
      <c r="C1427" s="10"/>
      <c r="D1427" s="10"/>
      <c r="E1427" s="10"/>
      <c r="F1427" s="10"/>
      <c r="G1427" s="10"/>
      <c r="H1427" s="10"/>
      <c r="I1427" s="18" t="n">
        <v>2</v>
      </c>
      <c r="J1427" s="18"/>
      <c r="K1427" s="19"/>
      <c r="L1427" s="19"/>
      <c r="M1427" s="18"/>
      <c r="N1427" s="18"/>
      <c r="O1427" s="18"/>
      <c r="P1427" s="19"/>
      <c r="Q1427" s="19"/>
      <c r="R1427" s="18"/>
      <c r="S1427" s="18"/>
      <c r="T1427" s="18"/>
      <c r="U1427" s="20"/>
      <c r="V1427" s="21"/>
      <c r="W1427" s="16"/>
      <c r="X1427" s="16"/>
      <c r="Y1427" s="16"/>
    </row>
    <row r="1428" customFormat="false" ht="15.75" hidden="false" customHeight="false" outlineLevel="0" collapsed="false">
      <c r="A1428" s="9"/>
      <c r="B1428" s="10"/>
      <c r="C1428" s="10"/>
      <c r="D1428" s="10"/>
      <c r="E1428" s="10"/>
      <c r="F1428" s="10"/>
      <c r="G1428" s="10"/>
      <c r="H1428" s="10"/>
      <c r="I1428" s="22" t="n">
        <v>3</v>
      </c>
      <c r="J1428" s="22"/>
      <c r="K1428" s="23"/>
      <c r="L1428" s="23"/>
      <c r="M1428" s="22"/>
      <c r="N1428" s="22"/>
      <c r="O1428" s="22"/>
      <c r="P1428" s="23"/>
      <c r="Q1428" s="23"/>
      <c r="R1428" s="22"/>
      <c r="S1428" s="22"/>
      <c r="T1428" s="22"/>
      <c r="U1428" s="24"/>
      <c r="V1428" s="15"/>
      <c r="W1428" s="16"/>
      <c r="X1428" s="16"/>
      <c r="Y1428" s="16"/>
    </row>
    <row r="1429" customFormat="false" ht="15.75" hidden="false" customHeight="false" outlineLevel="0" collapsed="false">
      <c r="A1429" s="9"/>
      <c r="B1429" s="10"/>
      <c r="C1429" s="10"/>
      <c r="D1429" s="10"/>
      <c r="E1429" s="10"/>
      <c r="F1429" s="10"/>
      <c r="G1429" s="10"/>
      <c r="H1429" s="10"/>
      <c r="I1429" s="25" t="n">
        <v>4</v>
      </c>
      <c r="J1429" s="25"/>
      <c r="K1429" s="26"/>
      <c r="L1429" s="26"/>
      <c r="M1429" s="25"/>
      <c r="N1429" s="25"/>
      <c r="O1429" s="25"/>
      <c r="P1429" s="26"/>
      <c r="Q1429" s="26"/>
      <c r="R1429" s="25"/>
      <c r="S1429" s="25"/>
      <c r="T1429" s="25"/>
      <c r="U1429" s="27"/>
      <c r="V1429" s="21"/>
      <c r="W1429" s="16"/>
      <c r="X1429" s="16"/>
      <c r="Y1429" s="16"/>
    </row>
    <row r="1430" customFormat="false" ht="15.75" hidden="false" customHeight="false" outlineLevel="0" collapsed="false">
      <c r="A1430" s="9"/>
      <c r="B1430" s="10"/>
      <c r="C1430" s="11"/>
      <c r="D1430" s="10"/>
      <c r="E1430" s="10"/>
      <c r="F1430" s="10"/>
      <c r="G1430" s="10"/>
      <c r="H1430" s="10"/>
      <c r="I1430" s="12" t="n">
        <v>1</v>
      </c>
      <c r="J1430" s="12"/>
      <c r="K1430" s="13"/>
      <c r="L1430" s="13"/>
      <c r="M1430" s="12"/>
      <c r="N1430" s="12"/>
      <c r="O1430" s="12"/>
      <c r="P1430" s="13"/>
      <c r="Q1430" s="13"/>
      <c r="R1430" s="12"/>
      <c r="S1430" s="12"/>
      <c r="T1430" s="12"/>
      <c r="U1430" s="14"/>
      <c r="V1430" s="15"/>
      <c r="W1430" s="16" t="n">
        <f aca="false">A1430</f>
        <v>0</v>
      </c>
      <c r="X1430" s="17" t="e">
        <f aca="false">ifs(C1430="","",X1430="",NOW(),TRUE(),X1430)</f>
        <v>#VALUE!</v>
      </c>
      <c r="Y1430" s="17" t="e">
        <f aca="false">ifs(COUNTA(K1430:U1433)&lt;44,"",Y1430="",NOW(),TRUE(),Y1430)</f>
        <v>#VALUE!</v>
      </c>
    </row>
    <row r="1431" customFormat="false" ht="15.75" hidden="false" customHeight="false" outlineLevel="0" collapsed="false">
      <c r="A1431" s="9"/>
      <c r="B1431" s="10"/>
      <c r="C1431" s="10"/>
      <c r="D1431" s="10"/>
      <c r="E1431" s="10"/>
      <c r="F1431" s="10"/>
      <c r="G1431" s="10"/>
      <c r="H1431" s="10"/>
      <c r="I1431" s="18" t="n">
        <v>2</v>
      </c>
      <c r="J1431" s="18"/>
      <c r="K1431" s="19"/>
      <c r="L1431" s="19"/>
      <c r="M1431" s="18"/>
      <c r="N1431" s="18"/>
      <c r="O1431" s="18"/>
      <c r="P1431" s="19"/>
      <c r="Q1431" s="19"/>
      <c r="R1431" s="18"/>
      <c r="S1431" s="18"/>
      <c r="T1431" s="18"/>
      <c r="U1431" s="20"/>
      <c r="V1431" s="21"/>
      <c r="W1431" s="16"/>
      <c r="X1431" s="16"/>
      <c r="Y1431" s="16"/>
    </row>
    <row r="1432" customFormat="false" ht="15.75" hidden="false" customHeight="false" outlineLevel="0" collapsed="false">
      <c r="A1432" s="9"/>
      <c r="B1432" s="10"/>
      <c r="C1432" s="10"/>
      <c r="D1432" s="10"/>
      <c r="E1432" s="10"/>
      <c r="F1432" s="10"/>
      <c r="G1432" s="10"/>
      <c r="H1432" s="10"/>
      <c r="I1432" s="22" t="n">
        <v>3</v>
      </c>
      <c r="J1432" s="22"/>
      <c r="K1432" s="23"/>
      <c r="L1432" s="23"/>
      <c r="M1432" s="22"/>
      <c r="N1432" s="22"/>
      <c r="O1432" s="22"/>
      <c r="P1432" s="23"/>
      <c r="Q1432" s="23"/>
      <c r="R1432" s="22"/>
      <c r="S1432" s="22"/>
      <c r="T1432" s="22"/>
      <c r="U1432" s="24"/>
      <c r="V1432" s="15"/>
      <c r="W1432" s="16"/>
      <c r="X1432" s="16"/>
      <c r="Y1432" s="16"/>
    </row>
    <row r="1433" customFormat="false" ht="15.75" hidden="false" customHeight="false" outlineLevel="0" collapsed="false">
      <c r="A1433" s="9"/>
      <c r="B1433" s="10"/>
      <c r="C1433" s="10"/>
      <c r="D1433" s="10"/>
      <c r="E1433" s="10"/>
      <c r="F1433" s="10"/>
      <c r="G1433" s="10"/>
      <c r="H1433" s="10"/>
      <c r="I1433" s="25" t="n">
        <v>4</v>
      </c>
      <c r="J1433" s="25"/>
      <c r="K1433" s="26"/>
      <c r="L1433" s="26"/>
      <c r="M1433" s="25"/>
      <c r="N1433" s="25"/>
      <c r="O1433" s="25"/>
      <c r="P1433" s="26"/>
      <c r="Q1433" s="26"/>
      <c r="R1433" s="25"/>
      <c r="S1433" s="25"/>
      <c r="T1433" s="25"/>
      <c r="U1433" s="27"/>
      <c r="V1433" s="21"/>
      <c r="W1433" s="16"/>
      <c r="X1433" s="16"/>
      <c r="Y1433" s="16"/>
    </row>
    <row r="1434" customFormat="false" ht="15.75" hidden="false" customHeight="false" outlineLevel="0" collapsed="false">
      <c r="A1434" s="9"/>
      <c r="B1434" s="10"/>
      <c r="C1434" s="11"/>
      <c r="D1434" s="10"/>
      <c r="E1434" s="10"/>
      <c r="F1434" s="10"/>
      <c r="G1434" s="10"/>
      <c r="H1434" s="10"/>
      <c r="I1434" s="12" t="n">
        <v>1</v>
      </c>
      <c r="J1434" s="12"/>
      <c r="K1434" s="13"/>
      <c r="L1434" s="13"/>
      <c r="M1434" s="12"/>
      <c r="N1434" s="12"/>
      <c r="O1434" s="12"/>
      <c r="P1434" s="13"/>
      <c r="Q1434" s="13"/>
      <c r="R1434" s="12"/>
      <c r="S1434" s="12"/>
      <c r="T1434" s="12"/>
      <c r="U1434" s="14"/>
      <c r="V1434" s="15"/>
      <c r="W1434" s="16" t="n">
        <f aca="false">A1434</f>
        <v>0</v>
      </c>
      <c r="X1434" s="17" t="e">
        <f aca="false">ifs(C1434="","",X1434="",NOW(),TRUE(),X1434)</f>
        <v>#VALUE!</v>
      </c>
      <c r="Y1434" s="17" t="e">
        <f aca="false">ifs(COUNTA(K1434:U1437)&lt;44,"",Y1434="",NOW(),TRUE(),Y1434)</f>
        <v>#VALUE!</v>
      </c>
    </row>
    <row r="1435" customFormat="false" ht="15.75" hidden="false" customHeight="false" outlineLevel="0" collapsed="false">
      <c r="A1435" s="9"/>
      <c r="B1435" s="10"/>
      <c r="C1435" s="10"/>
      <c r="D1435" s="10"/>
      <c r="E1435" s="10"/>
      <c r="F1435" s="10"/>
      <c r="G1435" s="10"/>
      <c r="H1435" s="10"/>
      <c r="I1435" s="18" t="n">
        <v>2</v>
      </c>
      <c r="J1435" s="18"/>
      <c r="K1435" s="19"/>
      <c r="L1435" s="19"/>
      <c r="M1435" s="18"/>
      <c r="N1435" s="18"/>
      <c r="O1435" s="18"/>
      <c r="P1435" s="19"/>
      <c r="Q1435" s="19"/>
      <c r="R1435" s="18"/>
      <c r="S1435" s="18"/>
      <c r="T1435" s="18"/>
      <c r="U1435" s="20"/>
      <c r="V1435" s="21"/>
      <c r="W1435" s="16"/>
      <c r="X1435" s="16"/>
      <c r="Y1435" s="16"/>
    </row>
    <row r="1436" customFormat="false" ht="15.75" hidden="false" customHeight="false" outlineLevel="0" collapsed="false">
      <c r="A1436" s="9"/>
      <c r="B1436" s="10"/>
      <c r="C1436" s="10"/>
      <c r="D1436" s="10"/>
      <c r="E1436" s="10"/>
      <c r="F1436" s="10"/>
      <c r="G1436" s="10"/>
      <c r="H1436" s="10"/>
      <c r="I1436" s="22" t="n">
        <v>3</v>
      </c>
      <c r="J1436" s="22"/>
      <c r="K1436" s="23"/>
      <c r="L1436" s="23"/>
      <c r="M1436" s="22"/>
      <c r="N1436" s="22"/>
      <c r="O1436" s="22"/>
      <c r="P1436" s="23"/>
      <c r="Q1436" s="23"/>
      <c r="R1436" s="22"/>
      <c r="S1436" s="22"/>
      <c r="T1436" s="22"/>
      <c r="U1436" s="24"/>
      <c r="V1436" s="15"/>
      <c r="W1436" s="16"/>
      <c r="X1436" s="16"/>
      <c r="Y1436" s="16"/>
    </row>
    <row r="1437" customFormat="false" ht="15.75" hidden="false" customHeight="false" outlineLevel="0" collapsed="false">
      <c r="A1437" s="9"/>
      <c r="B1437" s="10"/>
      <c r="C1437" s="10"/>
      <c r="D1437" s="10"/>
      <c r="E1437" s="10"/>
      <c r="F1437" s="10"/>
      <c r="G1437" s="10"/>
      <c r="H1437" s="10"/>
      <c r="I1437" s="25" t="n">
        <v>4</v>
      </c>
      <c r="J1437" s="25"/>
      <c r="K1437" s="26"/>
      <c r="L1437" s="26"/>
      <c r="M1437" s="25"/>
      <c r="N1437" s="25"/>
      <c r="O1437" s="25"/>
      <c r="P1437" s="26"/>
      <c r="Q1437" s="26"/>
      <c r="R1437" s="25"/>
      <c r="S1437" s="25"/>
      <c r="T1437" s="25"/>
      <c r="U1437" s="27"/>
      <c r="V1437" s="21"/>
      <c r="W1437" s="16"/>
      <c r="X1437" s="16"/>
      <c r="Y1437" s="16"/>
    </row>
    <row r="1438" customFormat="false" ht="15.75" hidden="false" customHeight="false" outlineLevel="0" collapsed="false">
      <c r="A1438" s="9"/>
      <c r="B1438" s="10"/>
      <c r="C1438" s="11"/>
      <c r="D1438" s="10"/>
      <c r="E1438" s="10"/>
      <c r="F1438" s="10"/>
      <c r="G1438" s="10"/>
      <c r="H1438" s="10"/>
      <c r="I1438" s="12" t="n">
        <v>1</v>
      </c>
      <c r="J1438" s="12"/>
      <c r="K1438" s="13"/>
      <c r="L1438" s="13"/>
      <c r="M1438" s="12"/>
      <c r="N1438" s="12"/>
      <c r="O1438" s="12"/>
      <c r="P1438" s="13"/>
      <c r="Q1438" s="13"/>
      <c r="R1438" s="12"/>
      <c r="S1438" s="12"/>
      <c r="T1438" s="12"/>
      <c r="U1438" s="14"/>
      <c r="V1438" s="15"/>
      <c r="W1438" s="16" t="n">
        <f aca="false">A1438</f>
        <v>0</v>
      </c>
      <c r="X1438" s="17" t="e">
        <f aca="false">ifs(C1438="","",X1438="",NOW(),TRUE(),X1438)</f>
        <v>#VALUE!</v>
      </c>
      <c r="Y1438" s="17" t="e">
        <f aca="false">ifs(COUNTA(K1438:U1441)&lt;44,"",Y1438="",NOW(),TRUE(),Y1438)</f>
        <v>#VALUE!</v>
      </c>
    </row>
    <row r="1439" customFormat="false" ht="15.75" hidden="false" customHeight="false" outlineLevel="0" collapsed="false">
      <c r="A1439" s="9"/>
      <c r="B1439" s="10"/>
      <c r="C1439" s="10"/>
      <c r="D1439" s="10"/>
      <c r="E1439" s="10"/>
      <c r="F1439" s="10"/>
      <c r="G1439" s="10"/>
      <c r="H1439" s="10"/>
      <c r="I1439" s="18" t="n">
        <v>2</v>
      </c>
      <c r="J1439" s="18"/>
      <c r="K1439" s="19"/>
      <c r="L1439" s="19"/>
      <c r="M1439" s="18"/>
      <c r="N1439" s="18"/>
      <c r="O1439" s="18"/>
      <c r="P1439" s="19"/>
      <c r="Q1439" s="19"/>
      <c r="R1439" s="18"/>
      <c r="S1439" s="18"/>
      <c r="T1439" s="18"/>
      <c r="U1439" s="20"/>
      <c r="V1439" s="21"/>
      <c r="W1439" s="16"/>
      <c r="X1439" s="16"/>
      <c r="Y1439" s="16"/>
    </row>
    <row r="1440" customFormat="false" ht="15.75" hidden="false" customHeight="false" outlineLevel="0" collapsed="false">
      <c r="A1440" s="9"/>
      <c r="B1440" s="10"/>
      <c r="C1440" s="10"/>
      <c r="D1440" s="10"/>
      <c r="E1440" s="10"/>
      <c r="F1440" s="10"/>
      <c r="G1440" s="10"/>
      <c r="H1440" s="10"/>
      <c r="I1440" s="22" t="n">
        <v>3</v>
      </c>
      <c r="J1440" s="22"/>
      <c r="K1440" s="23"/>
      <c r="L1440" s="23"/>
      <c r="M1440" s="22"/>
      <c r="N1440" s="22"/>
      <c r="O1440" s="22"/>
      <c r="P1440" s="23"/>
      <c r="Q1440" s="23"/>
      <c r="R1440" s="22"/>
      <c r="S1440" s="22"/>
      <c r="T1440" s="22"/>
      <c r="U1440" s="24"/>
      <c r="V1440" s="15"/>
      <c r="W1440" s="16"/>
      <c r="X1440" s="16"/>
      <c r="Y1440" s="16"/>
    </row>
    <row r="1441" customFormat="false" ht="15.75" hidden="false" customHeight="false" outlineLevel="0" collapsed="false">
      <c r="A1441" s="9"/>
      <c r="B1441" s="10"/>
      <c r="C1441" s="10"/>
      <c r="D1441" s="10"/>
      <c r="E1441" s="10"/>
      <c r="F1441" s="10"/>
      <c r="G1441" s="10"/>
      <c r="H1441" s="10"/>
      <c r="I1441" s="25" t="n">
        <v>4</v>
      </c>
      <c r="J1441" s="25"/>
      <c r="K1441" s="26"/>
      <c r="L1441" s="26"/>
      <c r="M1441" s="25"/>
      <c r="N1441" s="25"/>
      <c r="O1441" s="25"/>
      <c r="P1441" s="26"/>
      <c r="Q1441" s="26"/>
      <c r="R1441" s="25"/>
      <c r="S1441" s="25"/>
      <c r="T1441" s="25"/>
      <c r="U1441" s="27"/>
      <c r="V1441" s="21"/>
      <c r="W1441" s="16"/>
      <c r="X1441" s="16"/>
      <c r="Y1441" s="16"/>
    </row>
    <row r="1442" customFormat="false" ht="15.75" hidden="false" customHeight="false" outlineLevel="0" collapsed="false">
      <c r="A1442" s="9"/>
      <c r="B1442" s="10"/>
      <c r="C1442" s="11"/>
      <c r="D1442" s="10"/>
      <c r="E1442" s="10"/>
      <c r="F1442" s="10"/>
      <c r="G1442" s="10"/>
      <c r="H1442" s="10"/>
      <c r="I1442" s="12" t="n">
        <v>1</v>
      </c>
      <c r="J1442" s="12"/>
      <c r="K1442" s="13"/>
      <c r="L1442" s="13"/>
      <c r="M1442" s="12"/>
      <c r="N1442" s="12"/>
      <c r="O1442" s="12"/>
      <c r="P1442" s="13"/>
      <c r="Q1442" s="13"/>
      <c r="R1442" s="12"/>
      <c r="S1442" s="12"/>
      <c r="T1442" s="12"/>
      <c r="U1442" s="14"/>
      <c r="V1442" s="15"/>
      <c r="W1442" s="16" t="n">
        <f aca="false">A1442</f>
        <v>0</v>
      </c>
      <c r="X1442" s="17" t="e">
        <f aca="false">ifs(C1442="","",X1442="",NOW(),TRUE(),X1442)</f>
        <v>#VALUE!</v>
      </c>
      <c r="Y1442" s="17" t="e">
        <f aca="false">ifs(COUNTA(K1442:U1445)&lt;44,"",Y1442="",NOW(),TRUE(),Y1442)</f>
        <v>#VALUE!</v>
      </c>
    </row>
    <row r="1443" customFormat="false" ht="15.75" hidden="false" customHeight="false" outlineLevel="0" collapsed="false">
      <c r="A1443" s="9"/>
      <c r="B1443" s="10"/>
      <c r="C1443" s="10"/>
      <c r="D1443" s="10"/>
      <c r="E1443" s="10"/>
      <c r="F1443" s="10"/>
      <c r="G1443" s="10"/>
      <c r="H1443" s="10"/>
      <c r="I1443" s="18" t="n">
        <v>2</v>
      </c>
      <c r="J1443" s="18"/>
      <c r="K1443" s="19"/>
      <c r="L1443" s="19"/>
      <c r="M1443" s="18"/>
      <c r="N1443" s="18"/>
      <c r="O1443" s="18"/>
      <c r="P1443" s="19"/>
      <c r="Q1443" s="19"/>
      <c r="R1443" s="18"/>
      <c r="S1443" s="18"/>
      <c r="T1443" s="18"/>
      <c r="U1443" s="20"/>
      <c r="V1443" s="21"/>
      <c r="W1443" s="16"/>
      <c r="X1443" s="16"/>
      <c r="Y1443" s="16"/>
    </row>
    <row r="1444" customFormat="false" ht="15.75" hidden="false" customHeight="false" outlineLevel="0" collapsed="false">
      <c r="A1444" s="9"/>
      <c r="B1444" s="10"/>
      <c r="C1444" s="10"/>
      <c r="D1444" s="10"/>
      <c r="E1444" s="10"/>
      <c r="F1444" s="10"/>
      <c r="G1444" s="10"/>
      <c r="H1444" s="10"/>
      <c r="I1444" s="22" t="n">
        <v>3</v>
      </c>
      <c r="J1444" s="22"/>
      <c r="K1444" s="23"/>
      <c r="L1444" s="23"/>
      <c r="M1444" s="22"/>
      <c r="N1444" s="22"/>
      <c r="O1444" s="22"/>
      <c r="P1444" s="23"/>
      <c r="Q1444" s="23"/>
      <c r="R1444" s="22"/>
      <c r="S1444" s="22"/>
      <c r="T1444" s="22"/>
      <c r="U1444" s="24"/>
      <c r="V1444" s="15"/>
      <c r="W1444" s="16"/>
      <c r="X1444" s="16"/>
      <c r="Y1444" s="16"/>
    </row>
    <row r="1445" customFormat="false" ht="15.75" hidden="false" customHeight="false" outlineLevel="0" collapsed="false">
      <c r="A1445" s="9"/>
      <c r="B1445" s="10"/>
      <c r="C1445" s="10"/>
      <c r="D1445" s="10"/>
      <c r="E1445" s="10"/>
      <c r="F1445" s="10"/>
      <c r="G1445" s="10"/>
      <c r="H1445" s="10"/>
      <c r="I1445" s="25" t="n">
        <v>4</v>
      </c>
      <c r="J1445" s="25"/>
      <c r="K1445" s="26"/>
      <c r="L1445" s="26"/>
      <c r="M1445" s="25"/>
      <c r="N1445" s="25"/>
      <c r="O1445" s="25"/>
      <c r="P1445" s="26"/>
      <c r="Q1445" s="26"/>
      <c r="R1445" s="25"/>
      <c r="S1445" s="25"/>
      <c r="T1445" s="25"/>
      <c r="U1445" s="27"/>
      <c r="V1445" s="21"/>
      <c r="W1445" s="16"/>
      <c r="X1445" s="16"/>
      <c r="Y1445" s="16"/>
    </row>
    <row r="1446" customFormat="false" ht="15.75" hidden="false" customHeight="false" outlineLevel="0" collapsed="false">
      <c r="A1446" s="9"/>
      <c r="B1446" s="10"/>
      <c r="C1446" s="11"/>
      <c r="D1446" s="10"/>
      <c r="E1446" s="10"/>
      <c r="F1446" s="10"/>
      <c r="G1446" s="10"/>
      <c r="H1446" s="10"/>
      <c r="I1446" s="12" t="n">
        <v>1</v>
      </c>
      <c r="J1446" s="12"/>
      <c r="K1446" s="13"/>
      <c r="L1446" s="13"/>
      <c r="M1446" s="12"/>
      <c r="N1446" s="12"/>
      <c r="O1446" s="12"/>
      <c r="P1446" s="13"/>
      <c r="Q1446" s="13"/>
      <c r="R1446" s="12"/>
      <c r="S1446" s="12"/>
      <c r="T1446" s="12"/>
      <c r="U1446" s="14"/>
      <c r="V1446" s="15"/>
      <c r="W1446" s="16" t="n">
        <f aca="false">A1446</f>
        <v>0</v>
      </c>
      <c r="X1446" s="17" t="e">
        <f aca="false">ifs(C1446="","",X1446="",NOW(),TRUE(),X1446)</f>
        <v>#VALUE!</v>
      </c>
      <c r="Y1446" s="17" t="e">
        <f aca="false">ifs(COUNTA(K1446:U1449)&lt;44,"",Y1446="",NOW(),TRUE(),Y1446)</f>
        <v>#VALUE!</v>
      </c>
    </row>
    <row r="1447" customFormat="false" ht="15.75" hidden="false" customHeight="false" outlineLevel="0" collapsed="false">
      <c r="A1447" s="9"/>
      <c r="B1447" s="10"/>
      <c r="C1447" s="10"/>
      <c r="D1447" s="10"/>
      <c r="E1447" s="10"/>
      <c r="F1447" s="10"/>
      <c r="G1447" s="10"/>
      <c r="H1447" s="10"/>
      <c r="I1447" s="18" t="n">
        <v>2</v>
      </c>
      <c r="J1447" s="18"/>
      <c r="K1447" s="19"/>
      <c r="L1447" s="19"/>
      <c r="M1447" s="18"/>
      <c r="N1447" s="18"/>
      <c r="O1447" s="18"/>
      <c r="P1447" s="19"/>
      <c r="Q1447" s="19"/>
      <c r="R1447" s="18"/>
      <c r="S1447" s="18"/>
      <c r="T1447" s="18"/>
      <c r="U1447" s="20"/>
      <c r="V1447" s="21"/>
      <c r="W1447" s="16"/>
      <c r="X1447" s="16"/>
      <c r="Y1447" s="16"/>
    </row>
    <row r="1448" customFormat="false" ht="15.75" hidden="false" customHeight="false" outlineLevel="0" collapsed="false">
      <c r="A1448" s="9"/>
      <c r="B1448" s="10"/>
      <c r="C1448" s="10"/>
      <c r="D1448" s="10"/>
      <c r="E1448" s="10"/>
      <c r="F1448" s="10"/>
      <c r="G1448" s="10"/>
      <c r="H1448" s="10"/>
      <c r="I1448" s="22" t="n">
        <v>3</v>
      </c>
      <c r="J1448" s="22"/>
      <c r="K1448" s="23"/>
      <c r="L1448" s="23"/>
      <c r="M1448" s="22"/>
      <c r="N1448" s="22"/>
      <c r="O1448" s="22"/>
      <c r="P1448" s="23"/>
      <c r="Q1448" s="23"/>
      <c r="R1448" s="22"/>
      <c r="S1448" s="22"/>
      <c r="T1448" s="22"/>
      <c r="U1448" s="24"/>
      <c r="V1448" s="15"/>
      <c r="W1448" s="16"/>
      <c r="X1448" s="16"/>
      <c r="Y1448" s="16"/>
    </row>
    <row r="1449" customFormat="false" ht="15.75" hidden="false" customHeight="false" outlineLevel="0" collapsed="false">
      <c r="A1449" s="9"/>
      <c r="B1449" s="10"/>
      <c r="C1449" s="10"/>
      <c r="D1449" s="10"/>
      <c r="E1449" s="10"/>
      <c r="F1449" s="10"/>
      <c r="G1449" s="10"/>
      <c r="H1449" s="10"/>
      <c r="I1449" s="25" t="n">
        <v>4</v>
      </c>
      <c r="J1449" s="25"/>
      <c r="K1449" s="26"/>
      <c r="L1449" s="26"/>
      <c r="M1449" s="25"/>
      <c r="N1449" s="25"/>
      <c r="O1449" s="25"/>
      <c r="P1449" s="26"/>
      <c r="Q1449" s="26"/>
      <c r="R1449" s="25"/>
      <c r="S1449" s="25"/>
      <c r="T1449" s="25"/>
      <c r="U1449" s="27"/>
      <c r="V1449" s="21"/>
      <c r="W1449" s="16"/>
      <c r="X1449" s="16"/>
      <c r="Y1449" s="16"/>
    </row>
    <row r="1450" customFormat="false" ht="15.75" hidden="false" customHeight="false" outlineLevel="0" collapsed="false">
      <c r="A1450" s="9"/>
      <c r="B1450" s="10"/>
      <c r="C1450" s="11"/>
      <c r="D1450" s="10"/>
      <c r="E1450" s="10"/>
      <c r="F1450" s="10"/>
      <c r="G1450" s="10"/>
      <c r="H1450" s="10"/>
      <c r="I1450" s="12" t="n">
        <v>1</v>
      </c>
      <c r="J1450" s="12"/>
      <c r="K1450" s="13"/>
      <c r="L1450" s="13"/>
      <c r="M1450" s="12"/>
      <c r="N1450" s="12"/>
      <c r="O1450" s="12"/>
      <c r="P1450" s="13"/>
      <c r="Q1450" s="13"/>
      <c r="R1450" s="12"/>
      <c r="S1450" s="12"/>
      <c r="T1450" s="12"/>
      <c r="U1450" s="14"/>
      <c r="V1450" s="15"/>
      <c r="W1450" s="16" t="n">
        <f aca="false">A1450</f>
        <v>0</v>
      </c>
      <c r="X1450" s="17" t="e">
        <f aca="false">ifs(C1450="","",X1450="",NOW(),TRUE(),X1450)</f>
        <v>#VALUE!</v>
      </c>
      <c r="Y1450" s="17" t="e">
        <f aca="false">ifs(COUNTA(K1450:U1453)&lt;44,"",Y1450="",NOW(),TRUE(),Y1450)</f>
        <v>#VALUE!</v>
      </c>
    </row>
    <row r="1451" customFormat="false" ht="15.75" hidden="false" customHeight="false" outlineLevel="0" collapsed="false">
      <c r="A1451" s="9"/>
      <c r="B1451" s="10"/>
      <c r="C1451" s="10"/>
      <c r="D1451" s="10"/>
      <c r="E1451" s="10"/>
      <c r="F1451" s="10"/>
      <c r="G1451" s="10"/>
      <c r="H1451" s="10"/>
      <c r="I1451" s="18" t="n">
        <v>2</v>
      </c>
      <c r="J1451" s="18"/>
      <c r="K1451" s="19"/>
      <c r="L1451" s="19"/>
      <c r="M1451" s="18"/>
      <c r="N1451" s="18"/>
      <c r="O1451" s="18"/>
      <c r="P1451" s="19"/>
      <c r="Q1451" s="19"/>
      <c r="R1451" s="18"/>
      <c r="S1451" s="18"/>
      <c r="T1451" s="18"/>
      <c r="U1451" s="20"/>
      <c r="V1451" s="21"/>
      <c r="W1451" s="16"/>
      <c r="X1451" s="16"/>
      <c r="Y1451" s="16"/>
    </row>
    <row r="1452" customFormat="false" ht="15.75" hidden="false" customHeight="false" outlineLevel="0" collapsed="false">
      <c r="A1452" s="9"/>
      <c r="B1452" s="10"/>
      <c r="C1452" s="10"/>
      <c r="D1452" s="10"/>
      <c r="E1452" s="10"/>
      <c r="F1452" s="10"/>
      <c r="G1452" s="10"/>
      <c r="H1452" s="10"/>
      <c r="I1452" s="22" t="n">
        <v>3</v>
      </c>
      <c r="J1452" s="22"/>
      <c r="K1452" s="23"/>
      <c r="L1452" s="23"/>
      <c r="M1452" s="22"/>
      <c r="N1452" s="22"/>
      <c r="O1452" s="22"/>
      <c r="P1452" s="23"/>
      <c r="Q1452" s="23"/>
      <c r="R1452" s="22"/>
      <c r="S1452" s="22"/>
      <c r="T1452" s="22"/>
      <c r="U1452" s="24"/>
      <c r="V1452" s="15"/>
      <c r="W1452" s="16"/>
      <c r="X1452" s="16"/>
      <c r="Y1452" s="16"/>
    </row>
    <row r="1453" customFormat="false" ht="15.75" hidden="false" customHeight="false" outlineLevel="0" collapsed="false">
      <c r="A1453" s="9"/>
      <c r="B1453" s="10"/>
      <c r="C1453" s="10"/>
      <c r="D1453" s="10"/>
      <c r="E1453" s="10"/>
      <c r="F1453" s="10"/>
      <c r="G1453" s="10"/>
      <c r="H1453" s="10"/>
      <c r="I1453" s="25" t="n">
        <v>4</v>
      </c>
      <c r="J1453" s="25"/>
      <c r="K1453" s="26"/>
      <c r="L1453" s="26"/>
      <c r="M1453" s="25"/>
      <c r="N1453" s="25"/>
      <c r="O1453" s="25"/>
      <c r="P1453" s="26"/>
      <c r="Q1453" s="26"/>
      <c r="R1453" s="25"/>
      <c r="S1453" s="25"/>
      <c r="T1453" s="25"/>
      <c r="U1453" s="27"/>
      <c r="V1453" s="21"/>
      <c r="W1453" s="16"/>
      <c r="X1453" s="16"/>
      <c r="Y1453" s="16"/>
    </row>
    <row r="1454" customFormat="false" ht="15.75" hidden="false" customHeight="false" outlineLevel="0" collapsed="false">
      <c r="A1454" s="9"/>
      <c r="B1454" s="10"/>
      <c r="C1454" s="11"/>
      <c r="D1454" s="10"/>
      <c r="E1454" s="10"/>
      <c r="F1454" s="10"/>
      <c r="G1454" s="10"/>
      <c r="H1454" s="10"/>
      <c r="I1454" s="12" t="n">
        <v>1</v>
      </c>
      <c r="J1454" s="12"/>
      <c r="K1454" s="13"/>
      <c r="L1454" s="13"/>
      <c r="M1454" s="12"/>
      <c r="N1454" s="12"/>
      <c r="O1454" s="12"/>
      <c r="P1454" s="13"/>
      <c r="Q1454" s="13"/>
      <c r="R1454" s="12"/>
      <c r="S1454" s="12"/>
      <c r="T1454" s="12"/>
      <c r="U1454" s="14"/>
      <c r="V1454" s="15"/>
      <c r="W1454" s="16" t="n">
        <f aca="false">A1454</f>
        <v>0</v>
      </c>
      <c r="X1454" s="17" t="e">
        <f aca="false">ifs(C1454="","",X1454="",NOW(),TRUE(),X1454)</f>
        <v>#VALUE!</v>
      </c>
      <c r="Y1454" s="17" t="e">
        <f aca="false">ifs(COUNTA(K1454:U1457)&lt;44,"",Y1454="",NOW(),TRUE(),Y1454)</f>
        <v>#VALUE!</v>
      </c>
    </row>
    <row r="1455" customFormat="false" ht="15.75" hidden="false" customHeight="false" outlineLevel="0" collapsed="false">
      <c r="A1455" s="9"/>
      <c r="B1455" s="10"/>
      <c r="C1455" s="10"/>
      <c r="D1455" s="10"/>
      <c r="E1455" s="10"/>
      <c r="F1455" s="10"/>
      <c r="G1455" s="10"/>
      <c r="H1455" s="10"/>
      <c r="I1455" s="18" t="n">
        <v>2</v>
      </c>
      <c r="J1455" s="18"/>
      <c r="K1455" s="19"/>
      <c r="L1455" s="19"/>
      <c r="M1455" s="18"/>
      <c r="N1455" s="18"/>
      <c r="O1455" s="18"/>
      <c r="P1455" s="19"/>
      <c r="Q1455" s="19"/>
      <c r="R1455" s="18"/>
      <c r="S1455" s="18"/>
      <c r="T1455" s="18"/>
      <c r="U1455" s="20"/>
      <c r="V1455" s="21"/>
      <c r="W1455" s="16"/>
      <c r="X1455" s="16"/>
      <c r="Y1455" s="16"/>
    </row>
    <row r="1456" customFormat="false" ht="15.75" hidden="false" customHeight="false" outlineLevel="0" collapsed="false">
      <c r="A1456" s="9"/>
      <c r="B1456" s="10"/>
      <c r="C1456" s="10"/>
      <c r="D1456" s="10"/>
      <c r="E1456" s="10"/>
      <c r="F1456" s="10"/>
      <c r="G1456" s="10"/>
      <c r="H1456" s="10"/>
      <c r="I1456" s="22" t="n">
        <v>3</v>
      </c>
      <c r="J1456" s="22"/>
      <c r="K1456" s="23"/>
      <c r="L1456" s="23"/>
      <c r="M1456" s="22"/>
      <c r="N1456" s="22"/>
      <c r="O1456" s="22"/>
      <c r="P1456" s="23"/>
      <c r="Q1456" s="23"/>
      <c r="R1456" s="22"/>
      <c r="S1456" s="22"/>
      <c r="T1456" s="22"/>
      <c r="U1456" s="24"/>
      <c r="V1456" s="15"/>
      <c r="W1456" s="16"/>
      <c r="X1456" s="16"/>
      <c r="Y1456" s="16"/>
    </row>
    <row r="1457" customFormat="false" ht="15.75" hidden="false" customHeight="false" outlineLevel="0" collapsed="false">
      <c r="A1457" s="9"/>
      <c r="B1457" s="10"/>
      <c r="C1457" s="10"/>
      <c r="D1457" s="10"/>
      <c r="E1457" s="10"/>
      <c r="F1457" s="10"/>
      <c r="G1457" s="10"/>
      <c r="H1457" s="10"/>
      <c r="I1457" s="25" t="n">
        <v>4</v>
      </c>
      <c r="J1457" s="25"/>
      <c r="K1457" s="26"/>
      <c r="L1457" s="26"/>
      <c r="M1457" s="25"/>
      <c r="N1457" s="25"/>
      <c r="O1457" s="25"/>
      <c r="P1457" s="26"/>
      <c r="Q1457" s="26"/>
      <c r="R1457" s="25"/>
      <c r="S1457" s="25"/>
      <c r="T1457" s="25"/>
      <c r="U1457" s="27"/>
      <c r="V1457" s="21"/>
      <c r="W1457" s="16"/>
      <c r="X1457" s="16"/>
      <c r="Y1457" s="16"/>
    </row>
    <row r="1458" customFormat="false" ht="15.75" hidden="false" customHeight="false" outlineLevel="0" collapsed="false">
      <c r="A1458" s="9"/>
      <c r="B1458" s="10"/>
      <c r="C1458" s="11"/>
      <c r="D1458" s="10"/>
      <c r="E1458" s="10"/>
      <c r="F1458" s="10"/>
      <c r="G1458" s="10"/>
      <c r="H1458" s="10"/>
      <c r="I1458" s="12" t="n">
        <v>1</v>
      </c>
      <c r="J1458" s="12"/>
      <c r="K1458" s="13"/>
      <c r="L1458" s="13"/>
      <c r="M1458" s="12"/>
      <c r="N1458" s="12"/>
      <c r="O1458" s="12"/>
      <c r="P1458" s="13"/>
      <c r="Q1458" s="13"/>
      <c r="R1458" s="12"/>
      <c r="S1458" s="12"/>
      <c r="T1458" s="12"/>
      <c r="U1458" s="14"/>
      <c r="V1458" s="15"/>
      <c r="W1458" s="16" t="n">
        <f aca="false">A1458</f>
        <v>0</v>
      </c>
      <c r="X1458" s="17" t="e">
        <f aca="false">ifs(C1458="","",X1458="",NOW(),TRUE(),X1458)</f>
        <v>#VALUE!</v>
      </c>
      <c r="Y1458" s="17" t="e">
        <f aca="false">ifs(COUNTA(K1458:U1461)&lt;44,"",Y1458="",NOW(),TRUE(),Y1458)</f>
        <v>#VALUE!</v>
      </c>
    </row>
    <row r="1459" customFormat="false" ht="15.75" hidden="false" customHeight="false" outlineLevel="0" collapsed="false">
      <c r="A1459" s="9"/>
      <c r="B1459" s="10"/>
      <c r="C1459" s="10"/>
      <c r="D1459" s="10"/>
      <c r="E1459" s="10"/>
      <c r="F1459" s="10"/>
      <c r="G1459" s="10"/>
      <c r="H1459" s="10"/>
      <c r="I1459" s="18" t="n">
        <v>2</v>
      </c>
      <c r="J1459" s="18"/>
      <c r="K1459" s="19"/>
      <c r="L1459" s="19"/>
      <c r="M1459" s="18"/>
      <c r="N1459" s="18"/>
      <c r="O1459" s="18"/>
      <c r="P1459" s="19"/>
      <c r="Q1459" s="19"/>
      <c r="R1459" s="18"/>
      <c r="S1459" s="18"/>
      <c r="T1459" s="18"/>
      <c r="U1459" s="20"/>
      <c r="V1459" s="21"/>
      <c r="W1459" s="16"/>
      <c r="X1459" s="16"/>
      <c r="Y1459" s="16"/>
    </row>
    <row r="1460" customFormat="false" ht="15.75" hidden="false" customHeight="false" outlineLevel="0" collapsed="false">
      <c r="A1460" s="9"/>
      <c r="B1460" s="10"/>
      <c r="C1460" s="10"/>
      <c r="D1460" s="10"/>
      <c r="E1460" s="10"/>
      <c r="F1460" s="10"/>
      <c r="G1460" s="10"/>
      <c r="H1460" s="10"/>
      <c r="I1460" s="22" t="n">
        <v>3</v>
      </c>
      <c r="J1460" s="22"/>
      <c r="K1460" s="23"/>
      <c r="L1460" s="23"/>
      <c r="M1460" s="22"/>
      <c r="N1460" s="22"/>
      <c r="O1460" s="22"/>
      <c r="P1460" s="23"/>
      <c r="Q1460" s="23"/>
      <c r="R1460" s="22"/>
      <c r="S1460" s="22"/>
      <c r="T1460" s="22"/>
      <c r="U1460" s="24"/>
      <c r="V1460" s="15"/>
      <c r="W1460" s="16"/>
      <c r="X1460" s="16"/>
      <c r="Y1460" s="16"/>
    </row>
    <row r="1461" customFormat="false" ht="15.75" hidden="false" customHeight="false" outlineLevel="0" collapsed="false">
      <c r="A1461" s="9"/>
      <c r="B1461" s="10"/>
      <c r="C1461" s="10"/>
      <c r="D1461" s="10"/>
      <c r="E1461" s="10"/>
      <c r="F1461" s="10"/>
      <c r="G1461" s="10"/>
      <c r="H1461" s="10"/>
      <c r="I1461" s="25" t="n">
        <v>4</v>
      </c>
      <c r="J1461" s="25"/>
      <c r="K1461" s="26"/>
      <c r="L1461" s="26"/>
      <c r="M1461" s="25"/>
      <c r="N1461" s="25"/>
      <c r="O1461" s="25"/>
      <c r="P1461" s="26"/>
      <c r="Q1461" s="26"/>
      <c r="R1461" s="25"/>
      <c r="S1461" s="25"/>
      <c r="T1461" s="25"/>
      <c r="U1461" s="27"/>
      <c r="V1461" s="21"/>
      <c r="W1461" s="16"/>
      <c r="X1461" s="16"/>
      <c r="Y1461" s="16"/>
    </row>
    <row r="1462" customFormat="false" ht="15.75" hidden="false" customHeight="false" outlineLevel="0" collapsed="false">
      <c r="A1462" s="9"/>
      <c r="B1462" s="10"/>
      <c r="C1462" s="11"/>
      <c r="D1462" s="10"/>
      <c r="E1462" s="10"/>
      <c r="F1462" s="10"/>
      <c r="G1462" s="10"/>
      <c r="H1462" s="10"/>
      <c r="I1462" s="12" t="n">
        <v>1</v>
      </c>
      <c r="J1462" s="12"/>
      <c r="K1462" s="13"/>
      <c r="L1462" s="13"/>
      <c r="M1462" s="12"/>
      <c r="N1462" s="12"/>
      <c r="O1462" s="12"/>
      <c r="P1462" s="13"/>
      <c r="Q1462" s="13"/>
      <c r="R1462" s="12"/>
      <c r="S1462" s="12"/>
      <c r="T1462" s="12"/>
      <c r="U1462" s="14"/>
      <c r="V1462" s="15"/>
      <c r="W1462" s="16" t="n">
        <f aca="false">A1462</f>
        <v>0</v>
      </c>
      <c r="X1462" s="17" t="e">
        <f aca="false">ifs(C1462="","",X1462="",NOW(),TRUE(),X1462)</f>
        <v>#VALUE!</v>
      </c>
      <c r="Y1462" s="17" t="e">
        <f aca="false">ifs(COUNTA(K1462:U1465)&lt;44,"",Y1462="",NOW(),TRUE(),Y1462)</f>
        <v>#VALUE!</v>
      </c>
    </row>
    <row r="1463" customFormat="false" ht="15.75" hidden="false" customHeight="false" outlineLevel="0" collapsed="false">
      <c r="A1463" s="9"/>
      <c r="B1463" s="10"/>
      <c r="C1463" s="10"/>
      <c r="D1463" s="10"/>
      <c r="E1463" s="10"/>
      <c r="F1463" s="10"/>
      <c r="G1463" s="10"/>
      <c r="H1463" s="10"/>
      <c r="I1463" s="18" t="n">
        <v>2</v>
      </c>
      <c r="J1463" s="18"/>
      <c r="K1463" s="19"/>
      <c r="L1463" s="19"/>
      <c r="M1463" s="18"/>
      <c r="N1463" s="18"/>
      <c r="O1463" s="18"/>
      <c r="P1463" s="19"/>
      <c r="Q1463" s="19"/>
      <c r="R1463" s="18"/>
      <c r="S1463" s="18"/>
      <c r="T1463" s="18"/>
      <c r="U1463" s="20"/>
      <c r="V1463" s="21"/>
      <c r="W1463" s="16"/>
      <c r="X1463" s="16"/>
      <c r="Y1463" s="16"/>
    </row>
    <row r="1464" customFormat="false" ht="15.75" hidden="false" customHeight="false" outlineLevel="0" collapsed="false">
      <c r="A1464" s="9"/>
      <c r="B1464" s="10"/>
      <c r="C1464" s="10"/>
      <c r="D1464" s="10"/>
      <c r="E1464" s="10"/>
      <c r="F1464" s="10"/>
      <c r="G1464" s="10"/>
      <c r="H1464" s="10"/>
      <c r="I1464" s="22" t="n">
        <v>3</v>
      </c>
      <c r="J1464" s="22"/>
      <c r="K1464" s="23"/>
      <c r="L1464" s="23"/>
      <c r="M1464" s="22"/>
      <c r="N1464" s="22"/>
      <c r="O1464" s="22"/>
      <c r="P1464" s="23"/>
      <c r="Q1464" s="23"/>
      <c r="R1464" s="22"/>
      <c r="S1464" s="22"/>
      <c r="T1464" s="22"/>
      <c r="U1464" s="24"/>
      <c r="V1464" s="15"/>
      <c r="W1464" s="16"/>
      <c r="X1464" s="16"/>
      <c r="Y1464" s="16"/>
    </row>
    <row r="1465" customFormat="false" ht="15.75" hidden="false" customHeight="false" outlineLevel="0" collapsed="false">
      <c r="A1465" s="9"/>
      <c r="B1465" s="10"/>
      <c r="C1465" s="10"/>
      <c r="D1465" s="10"/>
      <c r="E1465" s="10"/>
      <c r="F1465" s="10"/>
      <c r="G1465" s="10"/>
      <c r="H1465" s="10"/>
      <c r="I1465" s="25" t="n">
        <v>4</v>
      </c>
      <c r="J1465" s="25"/>
      <c r="K1465" s="26"/>
      <c r="L1465" s="26"/>
      <c r="M1465" s="25"/>
      <c r="N1465" s="25"/>
      <c r="O1465" s="25"/>
      <c r="P1465" s="26"/>
      <c r="Q1465" s="26"/>
      <c r="R1465" s="25"/>
      <c r="S1465" s="25"/>
      <c r="T1465" s="25"/>
      <c r="U1465" s="27"/>
      <c r="V1465" s="21"/>
      <c r="W1465" s="16"/>
      <c r="X1465" s="16"/>
      <c r="Y1465" s="16"/>
    </row>
    <row r="1466" customFormat="false" ht="15.75" hidden="false" customHeight="false" outlineLevel="0" collapsed="false">
      <c r="A1466" s="9"/>
      <c r="B1466" s="10"/>
      <c r="C1466" s="11"/>
      <c r="D1466" s="10"/>
      <c r="E1466" s="10"/>
      <c r="F1466" s="10"/>
      <c r="G1466" s="10"/>
      <c r="H1466" s="10"/>
      <c r="I1466" s="12" t="n">
        <v>1</v>
      </c>
      <c r="J1466" s="12"/>
      <c r="K1466" s="13"/>
      <c r="L1466" s="13"/>
      <c r="M1466" s="12"/>
      <c r="N1466" s="12"/>
      <c r="O1466" s="12"/>
      <c r="P1466" s="13"/>
      <c r="Q1466" s="13"/>
      <c r="R1466" s="12"/>
      <c r="S1466" s="12"/>
      <c r="T1466" s="12"/>
      <c r="U1466" s="14"/>
      <c r="V1466" s="15"/>
      <c r="W1466" s="16" t="n">
        <f aca="false">A1466</f>
        <v>0</v>
      </c>
      <c r="X1466" s="17" t="e">
        <f aca="false">ifs(C1466="","",X1466="",NOW(),TRUE(),X1466)</f>
        <v>#VALUE!</v>
      </c>
      <c r="Y1466" s="17" t="e">
        <f aca="false">ifs(COUNTA(K1466:U1469)&lt;44,"",Y1466="",NOW(),TRUE(),Y1466)</f>
        <v>#VALUE!</v>
      </c>
    </row>
    <row r="1467" customFormat="false" ht="15.75" hidden="false" customHeight="false" outlineLevel="0" collapsed="false">
      <c r="A1467" s="9"/>
      <c r="B1467" s="10"/>
      <c r="C1467" s="10"/>
      <c r="D1467" s="10"/>
      <c r="E1467" s="10"/>
      <c r="F1467" s="10"/>
      <c r="G1467" s="10"/>
      <c r="H1467" s="10"/>
      <c r="I1467" s="18" t="n">
        <v>2</v>
      </c>
      <c r="J1467" s="18"/>
      <c r="K1467" s="19"/>
      <c r="L1467" s="19"/>
      <c r="M1467" s="18"/>
      <c r="N1467" s="18"/>
      <c r="O1467" s="18"/>
      <c r="P1467" s="19"/>
      <c r="Q1467" s="19"/>
      <c r="R1467" s="18"/>
      <c r="S1467" s="18"/>
      <c r="T1467" s="18"/>
      <c r="U1467" s="20"/>
      <c r="V1467" s="21"/>
      <c r="W1467" s="16"/>
      <c r="X1467" s="16"/>
      <c r="Y1467" s="16"/>
    </row>
    <row r="1468" customFormat="false" ht="15.75" hidden="false" customHeight="false" outlineLevel="0" collapsed="false">
      <c r="A1468" s="9"/>
      <c r="B1468" s="10"/>
      <c r="C1468" s="10"/>
      <c r="D1468" s="10"/>
      <c r="E1468" s="10"/>
      <c r="F1468" s="10"/>
      <c r="G1468" s="10"/>
      <c r="H1468" s="10"/>
      <c r="I1468" s="22" t="n">
        <v>3</v>
      </c>
      <c r="J1468" s="22"/>
      <c r="K1468" s="23"/>
      <c r="L1468" s="23"/>
      <c r="M1468" s="22"/>
      <c r="N1468" s="22"/>
      <c r="O1468" s="22"/>
      <c r="P1468" s="23"/>
      <c r="Q1468" s="23"/>
      <c r="R1468" s="22"/>
      <c r="S1468" s="22"/>
      <c r="T1468" s="22"/>
      <c r="U1468" s="24"/>
      <c r="V1468" s="15"/>
      <c r="W1468" s="16"/>
      <c r="X1468" s="16"/>
      <c r="Y1468" s="16"/>
    </row>
    <row r="1469" customFormat="false" ht="15.75" hidden="false" customHeight="false" outlineLevel="0" collapsed="false">
      <c r="A1469" s="9"/>
      <c r="B1469" s="10"/>
      <c r="C1469" s="10"/>
      <c r="D1469" s="10"/>
      <c r="E1469" s="10"/>
      <c r="F1469" s="10"/>
      <c r="G1469" s="10"/>
      <c r="H1469" s="10"/>
      <c r="I1469" s="25" t="n">
        <v>4</v>
      </c>
      <c r="J1469" s="25"/>
      <c r="K1469" s="26"/>
      <c r="L1469" s="26"/>
      <c r="M1469" s="25"/>
      <c r="N1469" s="25"/>
      <c r="O1469" s="25"/>
      <c r="P1469" s="26"/>
      <c r="Q1469" s="26"/>
      <c r="R1469" s="25"/>
      <c r="S1469" s="25"/>
      <c r="T1469" s="25"/>
      <c r="U1469" s="27"/>
      <c r="V1469" s="21"/>
      <c r="W1469" s="16"/>
      <c r="X1469" s="16"/>
      <c r="Y1469" s="16"/>
    </row>
    <row r="1470" customFormat="false" ht="15.75" hidden="false" customHeight="false" outlineLevel="0" collapsed="false">
      <c r="A1470" s="9"/>
      <c r="B1470" s="10"/>
      <c r="C1470" s="11"/>
      <c r="D1470" s="10"/>
      <c r="E1470" s="10"/>
      <c r="F1470" s="10"/>
      <c r="G1470" s="10"/>
      <c r="H1470" s="10"/>
      <c r="I1470" s="12" t="n">
        <v>1</v>
      </c>
      <c r="J1470" s="12"/>
      <c r="K1470" s="13"/>
      <c r="L1470" s="13"/>
      <c r="M1470" s="12"/>
      <c r="N1470" s="12"/>
      <c r="O1470" s="12"/>
      <c r="P1470" s="13"/>
      <c r="Q1470" s="13"/>
      <c r="R1470" s="12"/>
      <c r="S1470" s="12"/>
      <c r="T1470" s="12"/>
      <c r="U1470" s="14"/>
      <c r="V1470" s="15"/>
      <c r="W1470" s="16" t="n">
        <f aca="false">A1470</f>
        <v>0</v>
      </c>
      <c r="X1470" s="17" t="e">
        <f aca="false">ifs(C1470="","",X1470="",NOW(),TRUE(),X1470)</f>
        <v>#VALUE!</v>
      </c>
      <c r="Y1470" s="17" t="e">
        <f aca="false">ifs(COUNTA(K1470:U1473)&lt;44,"",Y1470="",NOW(),TRUE(),Y1470)</f>
        <v>#VALUE!</v>
      </c>
    </row>
    <row r="1471" customFormat="false" ht="15.75" hidden="false" customHeight="false" outlineLevel="0" collapsed="false">
      <c r="A1471" s="9"/>
      <c r="B1471" s="10"/>
      <c r="C1471" s="10"/>
      <c r="D1471" s="10"/>
      <c r="E1471" s="10"/>
      <c r="F1471" s="10"/>
      <c r="G1471" s="10"/>
      <c r="H1471" s="10"/>
      <c r="I1471" s="18" t="n">
        <v>2</v>
      </c>
      <c r="J1471" s="18"/>
      <c r="K1471" s="19"/>
      <c r="L1471" s="19"/>
      <c r="M1471" s="18"/>
      <c r="N1471" s="18"/>
      <c r="O1471" s="18"/>
      <c r="P1471" s="19"/>
      <c r="Q1471" s="19"/>
      <c r="R1471" s="18"/>
      <c r="S1471" s="18"/>
      <c r="T1471" s="18"/>
      <c r="U1471" s="20"/>
      <c r="V1471" s="21"/>
      <c r="W1471" s="16"/>
      <c r="X1471" s="16"/>
      <c r="Y1471" s="16"/>
    </row>
    <row r="1472" customFormat="false" ht="15.75" hidden="false" customHeight="false" outlineLevel="0" collapsed="false">
      <c r="A1472" s="9"/>
      <c r="B1472" s="10"/>
      <c r="C1472" s="10"/>
      <c r="D1472" s="10"/>
      <c r="E1472" s="10"/>
      <c r="F1472" s="10"/>
      <c r="G1472" s="10"/>
      <c r="H1472" s="10"/>
      <c r="I1472" s="22" t="n">
        <v>3</v>
      </c>
      <c r="J1472" s="22"/>
      <c r="K1472" s="23"/>
      <c r="L1472" s="23"/>
      <c r="M1472" s="22"/>
      <c r="N1472" s="22"/>
      <c r="O1472" s="22"/>
      <c r="P1472" s="23"/>
      <c r="Q1472" s="23"/>
      <c r="R1472" s="22"/>
      <c r="S1472" s="22"/>
      <c r="T1472" s="22"/>
      <c r="U1472" s="24"/>
      <c r="V1472" s="15"/>
      <c r="W1472" s="16"/>
      <c r="X1472" s="16"/>
      <c r="Y1472" s="16"/>
    </row>
    <row r="1473" customFormat="false" ht="15.75" hidden="false" customHeight="false" outlineLevel="0" collapsed="false">
      <c r="A1473" s="9"/>
      <c r="B1473" s="10"/>
      <c r="C1473" s="10"/>
      <c r="D1473" s="10"/>
      <c r="E1473" s="10"/>
      <c r="F1473" s="10"/>
      <c r="G1473" s="10"/>
      <c r="H1473" s="10"/>
      <c r="I1473" s="25" t="n">
        <v>4</v>
      </c>
      <c r="J1473" s="25"/>
      <c r="K1473" s="26"/>
      <c r="L1473" s="26"/>
      <c r="M1473" s="25"/>
      <c r="N1473" s="25"/>
      <c r="O1473" s="25"/>
      <c r="P1473" s="26"/>
      <c r="Q1473" s="26"/>
      <c r="R1473" s="25"/>
      <c r="S1473" s="25"/>
      <c r="T1473" s="25"/>
      <c r="U1473" s="27"/>
      <c r="V1473" s="21"/>
      <c r="W1473" s="16"/>
      <c r="X1473" s="16"/>
      <c r="Y1473" s="16"/>
    </row>
    <row r="1474" customFormat="false" ht="15.75" hidden="false" customHeight="false" outlineLevel="0" collapsed="false">
      <c r="A1474" s="9"/>
      <c r="B1474" s="10"/>
      <c r="C1474" s="11"/>
      <c r="D1474" s="10"/>
      <c r="E1474" s="10"/>
      <c r="F1474" s="10"/>
      <c r="G1474" s="10"/>
      <c r="H1474" s="10"/>
      <c r="I1474" s="12" t="n">
        <v>1</v>
      </c>
      <c r="J1474" s="12"/>
      <c r="K1474" s="13"/>
      <c r="L1474" s="13"/>
      <c r="M1474" s="12"/>
      <c r="N1474" s="12"/>
      <c r="O1474" s="12"/>
      <c r="P1474" s="13"/>
      <c r="Q1474" s="13"/>
      <c r="R1474" s="12"/>
      <c r="S1474" s="12"/>
      <c r="T1474" s="12"/>
      <c r="U1474" s="14"/>
      <c r="V1474" s="15"/>
      <c r="W1474" s="16" t="n">
        <f aca="false">A1474</f>
        <v>0</v>
      </c>
      <c r="X1474" s="17" t="e">
        <f aca="false">ifs(C1474="","",X1474="",NOW(),TRUE(),X1474)</f>
        <v>#VALUE!</v>
      </c>
      <c r="Y1474" s="17" t="e">
        <f aca="false">ifs(COUNTA(K1474:U1477)&lt;44,"",Y1474="",NOW(),TRUE(),Y1474)</f>
        <v>#VALUE!</v>
      </c>
    </row>
    <row r="1475" customFormat="false" ht="15.75" hidden="false" customHeight="false" outlineLevel="0" collapsed="false">
      <c r="A1475" s="9"/>
      <c r="B1475" s="10"/>
      <c r="C1475" s="10"/>
      <c r="D1475" s="10"/>
      <c r="E1475" s="10"/>
      <c r="F1475" s="10"/>
      <c r="G1475" s="10"/>
      <c r="H1475" s="10"/>
      <c r="I1475" s="18" t="n">
        <v>2</v>
      </c>
      <c r="J1475" s="18"/>
      <c r="K1475" s="19"/>
      <c r="L1475" s="19"/>
      <c r="M1475" s="18"/>
      <c r="N1475" s="18"/>
      <c r="O1475" s="18"/>
      <c r="P1475" s="19"/>
      <c r="Q1475" s="19"/>
      <c r="R1475" s="18"/>
      <c r="S1475" s="18"/>
      <c r="T1475" s="18"/>
      <c r="U1475" s="20"/>
      <c r="V1475" s="21"/>
      <c r="W1475" s="16"/>
      <c r="X1475" s="16"/>
      <c r="Y1475" s="16"/>
    </row>
    <row r="1476" customFormat="false" ht="15.75" hidden="false" customHeight="false" outlineLevel="0" collapsed="false">
      <c r="A1476" s="9"/>
      <c r="B1476" s="10"/>
      <c r="C1476" s="10"/>
      <c r="D1476" s="10"/>
      <c r="E1476" s="10"/>
      <c r="F1476" s="10"/>
      <c r="G1476" s="10"/>
      <c r="H1476" s="10"/>
      <c r="I1476" s="22" t="n">
        <v>3</v>
      </c>
      <c r="J1476" s="22"/>
      <c r="K1476" s="23"/>
      <c r="L1476" s="23"/>
      <c r="M1476" s="22"/>
      <c r="N1476" s="22"/>
      <c r="O1476" s="22"/>
      <c r="P1476" s="23"/>
      <c r="Q1476" s="23"/>
      <c r="R1476" s="22"/>
      <c r="S1476" s="22"/>
      <c r="T1476" s="22"/>
      <c r="U1476" s="24"/>
      <c r="V1476" s="15"/>
      <c r="W1476" s="16"/>
      <c r="X1476" s="16"/>
      <c r="Y1476" s="16"/>
    </row>
    <row r="1477" customFormat="false" ht="15.75" hidden="false" customHeight="false" outlineLevel="0" collapsed="false">
      <c r="A1477" s="9"/>
      <c r="B1477" s="10"/>
      <c r="C1477" s="10"/>
      <c r="D1477" s="10"/>
      <c r="E1477" s="10"/>
      <c r="F1477" s="10"/>
      <c r="G1477" s="10"/>
      <c r="H1477" s="10"/>
      <c r="I1477" s="25" t="n">
        <v>4</v>
      </c>
      <c r="J1477" s="25"/>
      <c r="K1477" s="26"/>
      <c r="L1477" s="26"/>
      <c r="M1477" s="25"/>
      <c r="N1477" s="25"/>
      <c r="O1477" s="25"/>
      <c r="P1477" s="26"/>
      <c r="Q1477" s="26"/>
      <c r="R1477" s="25"/>
      <c r="S1477" s="25"/>
      <c r="T1477" s="25"/>
      <c r="U1477" s="27"/>
      <c r="V1477" s="21"/>
      <c r="W1477" s="16"/>
      <c r="X1477" s="16"/>
      <c r="Y1477" s="16"/>
    </row>
    <row r="1478" customFormat="false" ht="15.75" hidden="false" customHeight="false" outlineLevel="0" collapsed="false">
      <c r="A1478" s="9"/>
      <c r="B1478" s="10"/>
      <c r="C1478" s="11"/>
      <c r="D1478" s="10"/>
      <c r="E1478" s="10"/>
      <c r="F1478" s="10"/>
      <c r="G1478" s="10"/>
      <c r="H1478" s="10"/>
      <c r="I1478" s="12" t="n">
        <v>1</v>
      </c>
      <c r="J1478" s="12"/>
      <c r="K1478" s="13"/>
      <c r="L1478" s="13"/>
      <c r="M1478" s="12"/>
      <c r="N1478" s="12"/>
      <c r="O1478" s="12"/>
      <c r="P1478" s="13"/>
      <c r="Q1478" s="13"/>
      <c r="R1478" s="12"/>
      <c r="S1478" s="12"/>
      <c r="T1478" s="12"/>
      <c r="U1478" s="14"/>
      <c r="V1478" s="15"/>
      <c r="W1478" s="16" t="n">
        <f aca="false">A1478</f>
        <v>0</v>
      </c>
      <c r="X1478" s="17" t="e">
        <f aca="false">ifs(C1478="","",X1478="",NOW(),TRUE(),X1478)</f>
        <v>#VALUE!</v>
      </c>
      <c r="Y1478" s="17" t="e">
        <f aca="false">ifs(COUNTA(K1478:U1481)&lt;44,"",Y1478="",NOW(),TRUE(),Y1478)</f>
        <v>#VALUE!</v>
      </c>
    </row>
    <row r="1479" customFormat="false" ht="15.75" hidden="false" customHeight="false" outlineLevel="0" collapsed="false">
      <c r="A1479" s="9"/>
      <c r="B1479" s="10"/>
      <c r="C1479" s="10"/>
      <c r="D1479" s="10"/>
      <c r="E1479" s="10"/>
      <c r="F1479" s="10"/>
      <c r="G1479" s="10"/>
      <c r="H1479" s="10"/>
      <c r="I1479" s="18" t="n">
        <v>2</v>
      </c>
      <c r="J1479" s="18"/>
      <c r="K1479" s="19"/>
      <c r="L1479" s="19"/>
      <c r="M1479" s="18"/>
      <c r="N1479" s="18"/>
      <c r="O1479" s="18"/>
      <c r="P1479" s="19"/>
      <c r="Q1479" s="19"/>
      <c r="R1479" s="18"/>
      <c r="S1479" s="18"/>
      <c r="T1479" s="18"/>
      <c r="U1479" s="20"/>
      <c r="V1479" s="21"/>
      <c r="W1479" s="16"/>
      <c r="X1479" s="16"/>
      <c r="Y1479" s="16"/>
    </row>
    <row r="1480" customFormat="false" ht="15.75" hidden="false" customHeight="false" outlineLevel="0" collapsed="false">
      <c r="A1480" s="9"/>
      <c r="B1480" s="10"/>
      <c r="C1480" s="10"/>
      <c r="D1480" s="10"/>
      <c r="E1480" s="10"/>
      <c r="F1480" s="10"/>
      <c r="G1480" s="10"/>
      <c r="H1480" s="10"/>
      <c r="I1480" s="22" t="n">
        <v>3</v>
      </c>
      <c r="J1480" s="22"/>
      <c r="K1480" s="23"/>
      <c r="L1480" s="23"/>
      <c r="M1480" s="22"/>
      <c r="N1480" s="22"/>
      <c r="O1480" s="22"/>
      <c r="P1480" s="23"/>
      <c r="Q1480" s="23"/>
      <c r="R1480" s="22"/>
      <c r="S1480" s="22"/>
      <c r="T1480" s="22"/>
      <c r="U1480" s="24"/>
      <c r="V1480" s="15"/>
      <c r="W1480" s="16"/>
      <c r="X1480" s="16"/>
      <c r="Y1480" s="16"/>
    </row>
    <row r="1481" customFormat="false" ht="15.75" hidden="false" customHeight="false" outlineLevel="0" collapsed="false">
      <c r="A1481" s="9"/>
      <c r="B1481" s="10"/>
      <c r="C1481" s="10"/>
      <c r="D1481" s="10"/>
      <c r="E1481" s="10"/>
      <c r="F1481" s="10"/>
      <c r="G1481" s="10"/>
      <c r="H1481" s="10"/>
      <c r="I1481" s="25" t="n">
        <v>4</v>
      </c>
      <c r="J1481" s="25"/>
      <c r="K1481" s="26"/>
      <c r="L1481" s="26"/>
      <c r="M1481" s="25"/>
      <c r="N1481" s="25"/>
      <c r="O1481" s="25"/>
      <c r="P1481" s="26"/>
      <c r="Q1481" s="26"/>
      <c r="R1481" s="25"/>
      <c r="S1481" s="25"/>
      <c r="T1481" s="25"/>
      <c r="U1481" s="27"/>
      <c r="V1481" s="21"/>
      <c r="W1481" s="16"/>
      <c r="X1481" s="16"/>
      <c r="Y1481" s="16"/>
    </row>
    <row r="1482" customFormat="false" ht="15.75" hidden="false" customHeight="false" outlineLevel="0" collapsed="false">
      <c r="A1482" s="9"/>
      <c r="B1482" s="10"/>
      <c r="C1482" s="11"/>
      <c r="D1482" s="10"/>
      <c r="E1482" s="10"/>
      <c r="F1482" s="10"/>
      <c r="G1482" s="10"/>
      <c r="H1482" s="10"/>
      <c r="I1482" s="12" t="n">
        <v>1</v>
      </c>
      <c r="J1482" s="12"/>
      <c r="K1482" s="13"/>
      <c r="L1482" s="13"/>
      <c r="M1482" s="12"/>
      <c r="N1482" s="12"/>
      <c r="O1482" s="12"/>
      <c r="P1482" s="13"/>
      <c r="Q1482" s="13"/>
      <c r="R1482" s="12"/>
      <c r="S1482" s="12"/>
      <c r="T1482" s="12"/>
      <c r="U1482" s="14"/>
      <c r="V1482" s="15"/>
      <c r="W1482" s="16" t="n">
        <f aca="false">A1482</f>
        <v>0</v>
      </c>
      <c r="X1482" s="17" t="e">
        <f aca="false">ifs(C1482="","",X1482="",NOW(),TRUE(),X1482)</f>
        <v>#VALUE!</v>
      </c>
      <c r="Y1482" s="17" t="e">
        <f aca="false">ifs(COUNTA(K1482:U1485)&lt;44,"",Y1482="",NOW(),TRUE(),Y1482)</f>
        <v>#VALUE!</v>
      </c>
    </row>
    <row r="1483" customFormat="false" ht="15.75" hidden="false" customHeight="false" outlineLevel="0" collapsed="false">
      <c r="A1483" s="9"/>
      <c r="B1483" s="10"/>
      <c r="C1483" s="10"/>
      <c r="D1483" s="10"/>
      <c r="E1483" s="10"/>
      <c r="F1483" s="10"/>
      <c r="G1483" s="10"/>
      <c r="H1483" s="10"/>
      <c r="I1483" s="18" t="n">
        <v>2</v>
      </c>
      <c r="J1483" s="18"/>
      <c r="K1483" s="19"/>
      <c r="L1483" s="19"/>
      <c r="M1483" s="18"/>
      <c r="N1483" s="18"/>
      <c r="O1483" s="18"/>
      <c r="P1483" s="19"/>
      <c r="Q1483" s="19"/>
      <c r="R1483" s="18"/>
      <c r="S1483" s="18"/>
      <c r="T1483" s="18"/>
      <c r="U1483" s="20"/>
      <c r="V1483" s="21"/>
      <c r="W1483" s="16"/>
      <c r="X1483" s="16"/>
      <c r="Y1483" s="16"/>
    </row>
    <row r="1484" customFormat="false" ht="15.75" hidden="false" customHeight="false" outlineLevel="0" collapsed="false">
      <c r="A1484" s="9"/>
      <c r="B1484" s="10"/>
      <c r="C1484" s="10"/>
      <c r="D1484" s="10"/>
      <c r="E1484" s="10"/>
      <c r="F1484" s="10"/>
      <c r="G1484" s="10"/>
      <c r="H1484" s="10"/>
      <c r="I1484" s="22" t="n">
        <v>3</v>
      </c>
      <c r="J1484" s="22"/>
      <c r="K1484" s="23"/>
      <c r="L1484" s="23"/>
      <c r="M1484" s="22"/>
      <c r="N1484" s="22"/>
      <c r="O1484" s="22"/>
      <c r="P1484" s="23"/>
      <c r="Q1484" s="23"/>
      <c r="R1484" s="22"/>
      <c r="S1484" s="22"/>
      <c r="T1484" s="22"/>
      <c r="U1484" s="24"/>
      <c r="V1484" s="15"/>
      <c r="W1484" s="16"/>
      <c r="X1484" s="16"/>
      <c r="Y1484" s="16"/>
    </row>
    <row r="1485" customFormat="false" ht="15.75" hidden="false" customHeight="false" outlineLevel="0" collapsed="false">
      <c r="A1485" s="9"/>
      <c r="B1485" s="10"/>
      <c r="C1485" s="10"/>
      <c r="D1485" s="10"/>
      <c r="E1485" s="10"/>
      <c r="F1485" s="10"/>
      <c r="G1485" s="10"/>
      <c r="H1485" s="10"/>
      <c r="I1485" s="25" t="n">
        <v>4</v>
      </c>
      <c r="J1485" s="25"/>
      <c r="K1485" s="26"/>
      <c r="L1485" s="26"/>
      <c r="M1485" s="25"/>
      <c r="N1485" s="25"/>
      <c r="O1485" s="25"/>
      <c r="P1485" s="26"/>
      <c r="Q1485" s="26"/>
      <c r="R1485" s="25"/>
      <c r="S1485" s="25"/>
      <c r="T1485" s="25"/>
      <c r="U1485" s="27"/>
      <c r="V1485" s="21"/>
      <c r="W1485" s="16"/>
      <c r="X1485" s="16"/>
      <c r="Y1485" s="16"/>
    </row>
    <row r="1486" customFormat="false" ht="15.75" hidden="false" customHeight="false" outlineLevel="0" collapsed="false">
      <c r="A1486" s="9"/>
      <c r="B1486" s="10"/>
      <c r="C1486" s="11"/>
      <c r="D1486" s="10"/>
      <c r="E1486" s="10"/>
      <c r="F1486" s="10"/>
      <c r="G1486" s="10"/>
      <c r="H1486" s="10"/>
      <c r="I1486" s="12" t="n">
        <v>1</v>
      </c>
      <c r="J1486" s="12"/>
      <c r="K1486" s="13"/>
      <c r="L1486" s="13"/>
      <c r="M1486" s="12"/>
      <c r="N1486" s="12"/>
      <c r="O1486" s="12"/>
      <c r="P1486" s="13"/>
      <c r="Q1486" s="13"/>
      <c r="R1486" s="12"/>
      <c r="S1486" s="12"/>
      <c r="T1486" s="12"/>
      <c r="U1486" s="14"/>
      <c r="V1486" s="15"/>
      <c r="W1486" s="16" t="n">
        <f aca="false">A1486</f>
        <v>0</v>
      </c>
      <c r="X1486" s="17" t="e">
        <f aca="false">ifs(C1486="","",X1486="",NOW(),TRUE(),X1486)</f>
        <v>#VALUE!</v>
      </c>
      <c r="Y1486" s="17" t="e">
        <f aca="false">ifs(COUNTA(K1486:U1489)&lt;44,"",Y1486="",NOW(),TRUE(),Y1486)</f>
        <v>#VALUE!</v>
      </c>
    </row>
    <row r="1487" customFormat="false" ht="15.75" hidden="false" customHeight="false" outlineLevel="0" collapsed="false">
      <c r="A1487" s="9"/>
      <c r="B1487" s="10"/>
      <c r="C1487" s="10"/>
      <c r="D1487" s="10"/>
      <c r="E1487" s="10"/>
      <c r="F1487" s="10"/>
      <c r="G1487" s="10"/>
      <c r="H1487" s="10"/>
      <c r="I1487" s="18" t="n">
        <v>2</v>
      </c>
      <c r="J1487" s="18"/>
      <c r="K1487" s="19"/>
      <c r="L1487" s="19"/>
      <c r="M1487" s="18"/>
      <c r="N1487" s="18"/>
      <c r="O1487" s="18"/>
      <c r="P1487" s="19"/>
      <c r="Q1487" s="19"/>
      <c r="R1487" s="18"/>
      <c r="S1487" s="18"/>
      <c r="T1487" s="18"/>
      <c r="U1487" s="20"/>
      <c r="V1487" s="21"/>
      <c r="W1487" s="16"/>
      <c r="X1487" s="16"/>
      <c r="Y1487" s="16"/>
    </row>
    <row r="1488" customFormat="false" ht="15.75" hidden="false" customHeight="false" outlineLevel="0" collapsed="false">
      <c r="A1488" s="9"/>
      <c r="B1488" s="10"/>
      <c r="C1488" s="10"/>
      <c r="D1488" s="10"/>
      <c r="E1488" s="10"/>
      <c r="F1488" s="10"/>
      <c r="G1488" s="10"/>
      <c r="H1488" s="10"/>
      <c r="I1488" s="22" t="n">
        <v>3</v>
      </c>
      <c r="J1488" s="22"/>
      <c r="K1488" s="23"/>
      <c r="L1488" s="23"/>
      <c r="M1488" s="22"/>
      <c r="N1488" s="22"/>
      <c r="O1488" s="22"/>
      <c r="P1488" s="23"/>
      <c r="Q1488" s="23"/>
      <c r="R1488" s="22"/>
      <c r="S1488" s="22"/>
      <c r="T1488" s="22"/>
      <c r="U1488" s="24"/>
      <c r="V1488" s="15"/>
      <c r="W1488" s="16"/>
      <c r="X1488" s="16"/>
      <c r="Y1488" s="16"/>
    </row>
    <row r="1489" customFormat="false" ht="15.75" hidden="false" customHeight="false" outlineLevel="0" collapsed="false">
      <c r="A1489" s="9"/>
      <c r="B1489" s="10"/>
      <c r="C1489" s="10"/>
      <c r="D1489" s="10"/>
      <c r="E1489" s="10"/>
      <c r="F1489" s="10"/>
      <c r="G1489" s="10"/>
      <c r="H1489" s="10"/>
      <c r="I1489" s="25" t="n">
        <v>4</v>
      </c>
      <c r="J1489" s="25"/>
      <c r="K1489" s="26"/>
      <c r="L1489" s="26"/>
      <c r="M1489" s="25"/>
      <c r="N1489" s="25"/>
      <c r="O1489" s="25"/>
      <c r="P1489" s="26"/>
      <c r="Q1489" s="26"/>
      <c r="R1489" s="25"/>
      <c r="S1489" s="25"/>
      <c r="T1489" s="25"/>
      <c r="U1489" s="27"/>
      <c r="V1489" s="21"/>
      <c r="W1489" s="16"/>
      <c r="X1489" s="16"/>
      <c r="Y1489" s="16"/>
    </row>
    <row r="1490" customFormat="false" ht="15.75" hidden="false" customHeight="false" outlineLevel="0" collapsed="false">
      <c r="A1490" s="9"/>
      <c r="B1490" s="10"/>
      <c r="C1490" s="11"/>
      <c r="D1490" s="10"/>
      <c r="E1490" s="10"/>
      <c r="F1490" s="10"/>
      <c r="G1490" s="10"/>
      <c r="H1490" s="10"/>
      <c r="I1490" s="12" t="n">
        <v>1</v>
      </c>
      <c r="J1490" s="12"/>
      <c r="K1490" s="13"/>
      <c r="L1490" s="13"/>
      <c r="M1490" s="12"/>
      <c r="N1490" s="12"/>
      <c r="O1490" s="12"/>
      <c r="P1490" s="13"/>
      <c r="Q1490" s="13"/>
      <c r="R1490" s="12"/>
      <c r="S1490" s="12"/>
      <c r="T1490" s="12"/>
      <c r="U1490" s="14"/>
      <c r="V1490" s="15"/>
      <c r="W1490" s="16" t="n">
        <f aca="false">A1490</f>
        <v>0</v>
      </c>
      <c r="X1490" s="17" t="e">
        <f aca="false">ifs(C1490="","",X1490="",NOW(),TRUE(),X1490)</f>
        <v>#VALUE!</v>
      </c>
      <c r="Y1490" s="17" t="e">
        <f aca="false">ifs(COUNTA(K1490:U1493)&lt;44,"",Y1490="",NOW(),TRUE(),Y1490)</f>
        <v>#VALUE!</v>
      </c>
    </row>
    <row r="1491" customFormat="false" ht="15.75" hidden="false" customHeight="false" outlineLevel="0" collapsed="false">
      <c r="A1491" s="9"/>
      <c r="B1491" s="10"/>
      <c r="C1491" s="10"/>
      <c r="D1491" s="10"/>
      <c r="E1491" s="10"/>
      <c r="F1491" s="10"/>
      <c r="G1491" s="10"/>
      <c r="H1491" s="10"/>
      <c r="I1491" s="18" t="n">
        <v>2</v>
      </c>
      <c r="J1491" s="18"/>
      <c r="K1491" s="19"/>
      <c r="L1491" s="19"/>
      <c r="M1491" s="18"/>
      <c r="N1491" s="18"/>
      <c r="O1491" s="18"/>
      <c r="P1491" s="19"/>
      <c r="Q1491" s="19"/>
      <c r="R1491" s="18"/>
      <c r="S1491" s="18"/>
      <c r="T1491" s="18"/>
      <c r="U1491" s="20"/>
      <c r="V1491" s="21"/>
      <c r="W1491" s="16"/>
      <c r="X1491" s="16"/>
      <c r="Y1491" s="16"/>
    </row>
    <row r="1492" customFormat="false" ht="15.75" hidden="false" customHeight="false" outlineLevel="0" collapsed="false">
      <c r="A1492" s="9"/>
      <c r="B1492" s="10"/>
      <c r="C1492" s="10"/>
      <c r="D1492" s="10"/>
      <c r="E1492" s="10"/>
      <c r="F1492" s="10"/>
      <c r="G1492" s="10"/>
      <c r="H1492" s="10"/>
      <c r="I1492" s="22" t="n">
        <v>3</v>
      </c>
      <c r="J1492" s="22"/>
      <c r="K1492" s="23"/>
      <c r="L1492" s="23"/>
      <c r="M1492" s="22"/>
      <c r="N1492" s="22"/>
      <c r="O1492" s="22"/>
      <c r="P1492" s="23"/>
      <c r="Q1492" s="23"/>
      <c r="R1492" s="22"/>
      <c r="S1492" s="22"/>
      <c r="T1492" s="22"/>
      <c r="U1492" s="24"/>
      <c r="V1492" s="15"/>
      <c r="W1492" s="16"/>
      <c r="X1492" s="16"/>
      <c r="Y1492" s="16"/>
    </row>
    <row r="1493" customFormat="false" ht="15.75" hidden="false" customHeight="false" outlineLevel="0" collapsed="false">
      <c r="A1493" s="9"/>
      <c r="B1493" s="10"/>
      <c r="C1493" s="10"/>
      <c r="D1493" s="10"/>
      <c r="E1493" s="10"/>
      <c r="F1493" s="10"/>
      <c r="G1493" s="10"/>
      <c r="H1493" s="10"/>
      <c r="I1493" s="25" t="n">
        <v>4</v>
      </c>
      <c r="J1493" s="25"/>
      <c r="K1493" s="26"/>
      <c r="L1493" s="26"/>
      <c r="M1493" s="25"/>
      <c r="N1493" s="25"/>
      <c r="O1493" s="25"/>
      <c r="P1493" s="26"/>
      <c r="Q1493" s="26"/>
      <c r="R1493" s="25"/>
      <c r="S1493" s="25"/>
      <c r="T1493" s="25"/>
      <c r="U1493" s="27"/>
      <c r="V1493" s="21"/>
      <c r="W1493" s="16"/>
      <c r="X1493" s="16"/>
      <c r="Y1493" s="16"/>
    </row>
    <row r="1494" customFormat="false" ht="15.75" hidden="false" customHeight="false" outlineLevel="0" collapsed="false">
      <c r="A1494" s="9"/>
      <c r="B1494" s="10"/>
      <c r="C1494" s="11"/>
      <c r="D1494" s="10"/>
      <c r="E1494" s="10"/>
      <c r="F1494" s="10"/>
      <c r="G1494" s="10"/>
      <c r="H1494" s="10"/>
      <c r="I1494" s="12" t="n">
        <v>1</v>
      </c>
      <c r="J1494" s="12"/>
      <c r="K1494" s="13"/>
      <c r="L1494" s="13"/>
      <c r="M1494" s="12"/>
      <c r="N1494" s="12"/>
      <c r="O1494" s="12"/>
      <c r="P1494" s="13"/>
      <c r="Q1494" s="13"/>
      <c r="R1494" s="12"/>
      <c r="S1494" s="12"/>
      <c r="T1494" s="12"/>
      <c r="U1494" s="14"/>
      <c r="V1494" s="15"/>
      <c r="W1494" s="16" t="n">
        <f aca="false">A1494</f>
        <v>0</v>
      </c>
      <c r="X1494" s="17" t="e">
        <f aca="false">ifs(C1494="","",X1494="",NOW(),TRUE(),X1494)</f>
        <v>#VALUE!</v>
      </c>
      <c r="Y1494" s="17" t="e">
        <f aca="false">ifs(COUNTA(K1494:U1497)&lt;44,"",Y1494="",NOW(),TRUE(),Y1494)</f>
        <v>#VALUE!</v>
      </c>
    </row>
    <row r="1495" customFormat="false" ht="15.75" hidden="false" customHeight="false" outlineLevel="0" collapsed="false">
      <c r="A1495" s="9"/>
      <c r="B1495" s="10"/>
      <c r="C1495" s="10"/>
      <c r="D1495" s="10"/>
      <c r="E1495" s="10"/>
      <c r="F1495" s="10"/>
      <c r="G1495" s="10"/>
      <c r="H1495" s="10"/>
      <c r="I1495" s="18" t="n">
        <v>2</v>
      </c>
      <c r="J1495" s="18"/>
      <c r="K1495" s="19"/>
      <c r="L1495" s="19"/>
      <c r="M1495" s="18"/>
      <c r="N1495" s="18"/>
      <c r="O1495" s="18"/>
      <c r="P1495" s="19"/>
      <c r="Q1495" s="19"/>
      <c r="R1495" s="18"/>
      <c r="S1495" s="18"/>
      <c r="T1495" s="18"/>
      <c r="U1495" s="20"/>
      <c r="V1495" s="21"/>
      <c r="W1495" s="16"/>
      <c r="X1495" s="16"/>
      <c r="Y1495" s="16"/>
    </row>
    <row r="1496" customFormat="false" ht="15.75" hidden="false" customHeight="false" outlineLevel="0" collapsed="false">
      <c r="A1496" s="9"/>
      <c r="B1496" s="10"/>
      <c r="C1496" s="10"/>
      <c r="D1496" s="10"/>
      <c r="E1496" s="10"/>
      <c r="F1496" s="10"/>
      <c r="G1496" s="10"/>
      <c r="H1496" s="10"/>
      <c r="I1496" s="22" t="n">
        <v>3</v>
      </c>
      <c r="J1496" s="22"/>
      <c r="K1496" s="23"/>
      <c r="L1496" s="23"/>
      <c r="M1496" s="22"/>
      <c r="N1496" s="22"/>
      <c r="O1496" s="22"/>
      <c r="P1496" s="23"/>
      <c r="Q1496" s="23"/>
      <c r="R1496" s="22"/>
      <c r="S1496" s="22"/>
      <c r="T1496" s="22"/>
      <c r="U1496" s="24"/>
      <c r="V1496" s="15"/>
      <c r="W1496" s="16"/>
      <c r="X1496" s="16"/>
      <c r="Y1496" s="16"/>
    </row>
    <row r="1497" customFormat="false" ht="15.75" hidden="false" customHeight="false" outlineLevel="0" collapsed="false">
      <c r="A1497" s="9"/>
      <c r="B1497" s="10"/>
      <c r="C1497" s="10"/>
      <c r="D1497" s="10"/>
      <c r="E1497" s="10"/>
      <c r="F1497" s="10"/>
      <c r="G1497" s="10"/>
      <c r="H1497" s="10"/>
      <c r="I1497" s="25" t="n">
        <v>4</v>
      </c>
      <c r="J1497" s="25"/>
      <c r="K1497" s="26"/>
      <c r="L1497" s="26"/>
      <c r="M1497" s="25"/>
      <c r="N1497" s="25"/>
      <c r="O1497" s="25"/>
      <c r="P1497" s="26"/>
      <c r="Q1497" s="26"/>
      <c r="R1497" s="25"/>
      <c r="S1497" s="25"/>
      <c r="T1497" s="25"/>
      <c r="U1497" s="27"/>
      <c r="V1497" s="21"/>
      <c r="W1497" s="16"/>
      <c r="X1497" s="16"/>
      <c r="Y1497" s="16"/>
    </row>
    <row r="1498" customFormat="false" ht="15.75" hidden="false" customHeight="false" outlineLevel="0" collapsed="false">
      <c r="A1498" s="9"/>
      <c r="B1498" s="10"/>
      <c r="C1498" s="11"/>
      <c r="D1498" s="10"/>
      <c r="E1498" s="10"/>
      <c r="F1498" s="10"/>
      <c r="G1498" s="10"/>
      <c r="H1498" s="10"/>
      <c r="I1498" s="12" t="n">
        <v>1</v>
      </c>
      <c r="J1498" s="12"/>
      <c r="K1498" s="13"/>
      <c r="L1498" s="13"/>
      <c r="M1498" s="12"/>
      <c r="N1498" s="12"/>
      <c r="O1498" s="12"/>
      <c r="P1498" s="13"/>
      <c r="Q1498" s="13"/>
      <c r="R1498" s="12"/>
      <c r="S1498" s="12"/>
      <c r="T1498" s="12"/>
      <c r="U1498" s="14"/>
      <c r="V1498" s="15"/>
      <c r="W1498" s="16" t="n">
        <f aca="false">A1498</f>
        <v>0</v>
      </c>
      <c r="X1498" s="17" t="e">
        <f aca="false">ifs(C1498="","",X1498="",NOW(),TRUE(),X1498)</f>
        <v>#VALUE!</v>
      </c>
      <c r="Y1498" s="17" t="e">
        <f aca="false">ifs(COUNTA(K1498:U1501)&lt;44,"",Y1498="",NOW(),TRUE(),Y1498)</f>
        <v>#VALUE!</v>
      </c>
    </row>
    <row r="1499" customFormat="false" ht="15.75" hidden="false" customHeight="false" outlineLevel="0" collapsed="false">
      <c r="A1499" s="9"/>
      <c r="B1499" s="10"/>
      <c r="C1499" s="10"/>
      <c r="D1499" s="10"/>
      <c r="E1499" s="10"/>
      <c r="F1499" s="10"/>
      <c r="G1499" s="10"/>
      <c r="H1499" s="10"/>
      <c r="I1499" s="18" t="n">
        <v>2</v>
      </c>
      <c r="J1499" s="18"/>
      <c r="K1499" s="19"/>
      <c r="L1499" s="19"/>
      <c r="M1499" s="18"/>
      <c r="N1499" s="18"/>
      <c r="O1499" s="18"/>
      <c r="P1499" s="19"/>
      <c r="Q1499" s="19"/>
      <c r="R1499" s="18"/>
      <c r="S1499" s="18"/>
      <c r="T1499" s="18"/>
      <c r="U1499" s="20"/>
      <c r="V1499" s="21"/>
      <c r="W1499" s="16"/>
      <c r="X1499" s="16"/>
      <c r="Y1499" s="16"/>
    </row>
    <row r="1500" customFormat="false" ht="15.75" hidden="false" customHeight="false" outlineLevel="0" collapsed="false">
      <c r="A1500" s="9"/>
      <c r="B1500" s="10"/>
      <c r="C1500" s="10"/>
      <c r="D1500" s="10"/>
      <c r="E1500" s="10"/>
      <c r="F1500" s="10"/>
      <c r="G1500" s="10"/>
      <c r="H1500" s="10"/>
      <c r="I1500" s="22" t="n">
        <v>3</v>
      </c>
      <c r="J1500" s="22"/>
      <c r="K1500" s="23"/>
      <c r="L1500" s="23"/>
      <c r="M1500" s="22"/>
      <c r="N1500" s="22"/>
      <c r="O1500" s="22"/>
      <c r="P1500" s="23"/>
      <c r="Q1500" s="23"/>
      <c r="R1500" s="22"/>
      <c r="S1500" s="22"/>
      <c r="T1500" s="22"/>
      <c r="U1500" s="24"/>
      <c r="V1500" s="15"/>
      <c r="W1500" s="16"/>
      <c r="X1500" s="16"/>
      <c r="Y1500" s="16"/>
    </row>
    <row r="1501" customFormat="false" ht="15.75" hidden="false" customHeight="false" outlineLevel="0" collapsed="false">
      <c r="A1501" s="9"/>
      <c r="B1501" s="10"/>
      <c r="C1501" s="10"/>
      <c r="D1501" s="10"/>
      <c r="E1501" s="10"/>
      <c r="F1501" s="10"/>
      <c r="G1501" s="10"/>
      <c r="H1501" s="10"/>
      <c r="I1501" s="25" t="n">
        <v>4</v>
      </c>
      <c r="J1501" s="25"/>
      <c r="K1501" s="26"/>
      <c r="L1501" s="26"/>
      <c r="M1501" s="25"/>
      <c r="N1501" s="25"/>
      <c r="O1501" s="25"/>
      <c r="P1501" s="26"/>
      <c r="Q1501" s="26"/>
      <c r="R1501" s="25"/>
      <c r="S1501" s="25"/>
      <c r="T1501" s="25"/>
      <c r="U1501" s="27"/>
      <c r="V1501" s="21"/>
      <c r="W1501" s="16"/>
      <c r="X1501" s="16"/>
      <c r="Y1501" s="16"/>
    </row>
    <row r="1502" customFormat="false" ht="15.75" hidden="false" customHeight="false" outlineLevel="0" collapsed="false">
      <c r="A1502" s="9"/>
      <c r="B1502" s="10"/>
      <c r="C1502" s="11"/>
      <c r="D1502" s="10"/>
      <c r="E1502" s="10"/>
      <c r="F1502" s="10"/>
      <c r="G1502" s="10"/>
      <c r="H1502" s="10"/>
      <c r="I1502" s="12" t="n">
        <v>1</v>
      </c>
      <c r="J1502" s="12"/>
      <c r="K1502" s="13"/>
      <c r="L1502" s="13"/>
      <c r="M1502" s="12"/>
      <c r="N1502" s="12"/>
      <c r="O1502" s="12"/>
      <c r="P1502" s="13"/>
      <c r="Q1502" s="13"/>
      <c r="R1502" s="12"/>
      <c r="S1502" s="12"/>
      <c r="T1502" s="12"/>
      <c r="U1502" s="14"/>
      <c r="V1502" s="15"/>
      <c r="W1502" s="16" t="n">
        <f aca="false">A1502</f>
        <v>0</v>
      </c>
      <c r="X1502" s="17" t="e">
        <f aca="false">ifs(C1502="","",X1502="",NOW(),TRUE(),X1502)</f>
        <v>#VALUE!</v>
      </c>
      <c r="Y1502" s="17" t="e">
        <f aca="false">ifs(COUNTA(K1502:U1505)&lt;44,"",Y1502="",NOW(),TRUE(),Y1502)</f>
        <v>#VALUE!</v>
      </c>
    </row>
    <row r="1503" customFormat="false" ht="15.75" hidden="false" customHeight="false" outlineLevel="0" collapsed="false">
      <c r="A1503" s="9"/>
      <c r="B1503" s="10"/>
      <c r="C1503" s="10"/>
      <c r="D1503" s="10"/>
      <c r="E1503" s="10"/>
      <c r="F1503" s="10"/>
      <c r="G1503" s="10"/>
      <c r="H1503" s="10"/>
      <c r="I1503" s="18" t="n">
        <v>2</v>
      </c>
      <c r="J1503" s="18"/>
      <c r="K1503" s="19"/>
      <c r="L1503" s="19"/>
      <c r="M1503" s="18"/>
      <c r="N1503" s="18"/>
      <c r="O1503" s="18"/>
      <c r="P1503" s="19"/>
      <c r="Q1503" s="19"/>
      <c r="R1503" s="18"/>
      <c r="S1503" s="18"/>
      <c r="T1503" s="18"/>
      <c r="U1503" s="20"/>
      <c r="V1503" s="21"/>
      <c r="W1503" s="16"/>
      <c r="X1503" s="16"/>
      <c r="Y1503" s="16"/>
    </row>
    <row r="1504" customFormat="false" ht="15.75" hidden="false" customHeight="false" outlineLevel="0" collapsed="false">
      <c r="A1504" s="9"/>
      <c r="B1504" s="10"/>
      <c r="C1504" s="10"/>
      <c r="D1504" s="10"/>
      <c r="E1504" s="10"/>
      <c r="F1504" s="10"/>
      <c r="G1504" s="10"/>
      <c r="H1504" s="10"/>
      <c r="I1504" s="22" t="n">
        <v>3</v>
      </c>
      <c r="J1504" s="22"/>
      <c r="K1504" s="23"/>
      <c r="L1504" s="23"/>
      <c r="M1504" s="22"/>
      <c r="N1504" s="22"/>
      <c r="O1504" s="22"/>
      <c r="P1504" s="23"/>
      <c r="Q1504" s="23"/>
      <c r="R1504" s="22"/>
      <c r="S1504" s="22"/>
      <c r="T1504" s="22"/>
      <c r="U1504" s="24"/>
      <c r="V1504" s="15"/>
      <c r="W1504" s="16"/>
      <c r="X1504" s="16"/>
      <c r="Y1504" s="16"/>
    </row>
    <row r="1505" customFormat="false" ht="15.75" hidden="false" customHeight="false" outlineLevel="0" collapsed="false">
      <c r="A1505" s="9"/>
      <c r="B1505" s="10"/>
      <c r="C1505" s="10"/>
      <c r="D1505" s="10"/>
      <c r="E1505" s="10"/>
      <c r="F1505" s="10"/>
      <c r="G1505" s="10"/>
      <c r="H1505" s="10"/>
      <c r="I1505" s="25" t="n">
        <v>4</v>
      </c>
      <c r="J1505" s="25"/>
      <c r="K1505" s="26"/>
      <c r="L1505" s="26"/>
      <c r="M1505" s="25"/>
      <c r="N1505" s="25"/>
      <c r="O1505" s="25"/>
      <c r="P1505" s="26"/>
      <c r="Q1505" s="26"/>
      <c r="R1505" s="25"/>
      <c r="S1505" s="25"/>
      <c r="T1505" s="25"/>
      <c r="U1505" s="27"/>
      <c r="V1505" s="21"/>
      <c r="W1505" s="16"/>
      <c r="X1505" s="16"/>
      <c r="Y1505" s="16"/>
    </row>
    <row r="1506" customFormat="false" ht="15.75" hidden="false" customHeight="false" outlineLevel="0" collapsed="false">
      <c r="A1506" s="9"/>
      <c r="B1506" s="10"/>
      <c r="C1506" s="11"/>
      <c r="D1506" s="10"/>
      <c r="E1506" s="10"/>
      <c r="F1506" s="10"/>
      <c r="G1506" s="10"/>
      <c r="H1506" s="10"/>
      <c r="I1506" s="12" t="n">
        <v>1</v>
      </c>
      <c r="J1506" s="12"/>
      <c r="K1506" s="13"/>
      <c r="L1506" s="13"/>
      <c r="M1506" s="12"/>
      <c r="N1506" s="12"/>
      <c r="O1506" s="12"/>
      <c r="P1506" s="13"/>
      <c r="Q1506" s="13"/>
      <c r="R1506" s="12"/>
      <c r="S1506" s="12"/>
      <c r="T1506" s="12"/>
      <c r="U1506" s="14"/>
      <c r="V1506" s="15"/>
      <c r="W1506" s="16" t="n">
        <f aca="false">A1506</f>
        <v>0</v>
      </c>
      <c r="X1506" s="17" t="e">
        <f aca="false">ifs(C1506="","",X1506="",NOW(),TRUE(),X1506)</f>
        <v>#VALUE!</v>
      </c>
      <c r="Y1506" s="17" t="e">
        <f aca="false">ifs(COUNTA(K1506:U1509)&lt;44,"",Y1506="",NOW(),TRUE(),Y1506)</f>
        <v>#VALUE!</v>
      </c>
    </row>
    <row r="1507" customFormat="false" ht="15.75" hidden="false" customHeight="false" outlineLevel="0" collapsed="false">
      <c r="A1507" s="9"/>
      <c r="B1507" s="10"/>
      <c r="C1507" s="10"/>
      <c r="D1507" s="10"/>
      <c r="E1507" s="10"/>
      <c r="F1507" s="10"/>
      <c r="G1507" s="10"/>
      <c r="H1507" s="10"/>
      <c r="I1507" s="18" t="n">
        <v>2</v>
      </c>
      <c r="J1507" s="18"/>
      <c r="K1507" s="19"/>
      <c r="L1507" s="19"/>
      <c r="M1507" s="18"/>
      <c r="N1507" s="18"/>
      <c r="O1507" s="18"/>
      <c r="P1507" s="19"/>
      <c r="Q1507" s="19"/>
      <c r="R1507" s="18"/>
      <c r="S1507" s="18"/>
      <c r="T1507" s="18"/>
      <c r="U1507" s="20"/>
      <c r="V1507" s="21"/>
      <c r="W1507" s="16"/>
      <c r="X1507" s="16"/>
      <c r="Y1507" s="16"/>
    </row>
    <row r="1508" customFormat="false" ht="15.75" hidden="false" customHeight="false" outlineLevel="0" collapsed="false">
      <c r="A1508" s="9"/>
      <c r="B1508" s="10"/>
      <c r="C1508" s="10"/>
      <c r="D1508" s="10"/>
      <c r="E1508" s="10"/>
      <c r="F1508" s="10"/>
      <c r="G1508" s="10"/>
      <c r="H1508" s="10"/>
      <c r="I1508" s="22" t="n">
        <v>3</v>
      </c>
      <c r="J1508" s="22"/>
      <c r="K1508" s="23"/>
      <c r="L1508" s="23"/>
      <c r="M1508" s="22"/>
      <c r="N1508" s="22"/>
      <c r="O1508" s="22"/>
      <c r="P1508" s="23"/>
      <c r="Q1508" s="23"/>
      <c r="R1508" s="22"/>
      <c r="S1508" s="22"/>
      <c r="T1508" s="22"/>
      <c r="U1508" s="24"/>
      <c r="V1508" s="15"/>
      <c r="W1508" s="16"/>
      <c r="X1508" s="16"/>
      <c r="Y1508" s="16"/>
    </row>
    <row r="1509" customFormat="false" ht="15.75" hidden="false" customHeight="false" outlineLevel="0" collapsed="false">
      <c r="A1509" s="9"/>
      <c r="B1509" s="10"/>
      <c r="C1509" s="10"/>
      <c r="D1509" s="10"/>
      <c r="E1509" s="10"/>
      <c r="F1509" s="10"/>
      <c r="G1509" s="10"/>
      <c r="H1509" s="10"/>
      <c r="I1509" s="25" t="n">
        <v>4</v>
      </c>
      <c r="J1509" s="25"/>
      <c r="K1509" s="26"/>
      <c r="L1509" s="26"/>
      <c r="M1509" s="25"/>
      <c r="N1509" s="25"/>
      <c r="O1509" s="25"/>
      <c r="P1509" s="26"/>
      <c r="Q1509" s="26"/>
      <c r="R1509" s="25"/>
      <c r="S1509" s="25"/>
      <c r="T1509" s="25"/>
      <c r="U1509" s="27"/>
      <c r="V1509" s="21"/>
      <c r="W1509" s="16"/>
      <c r="X1509" s="16"/>
      <c r="Y1509" s="16"/>
    </row>
    <row r="1510" customFormat="false" ht="15.75" hidden="false" customHeight="false" outlineLevel="0" collapsed="false">
      <c r="A1510" s="9"/>
      <c r="B1510" s="10"/>
      <c r="C1510" s="11"/>
      <c r="D1510" s="10"/>
      <c r="E1510" s="10"/>
      <c r="F1510" s="10"/>
      <c r="G1510" s="10"/>
      <c r="H1510" s="10"/>
      <c r="I1510" s="12" t="n">
        <v>1</v>
      </c>
      <c r="J1510" s="12"/>
      <c r="K1510" s="13"/>
      <c r="L1510" s="13"/>
      <c r="M1510" s="12"/>
      <c r="N1510" s="12"/>
      <c r="O1510" s="12"/>
      <c r="P1510" s="13"/>
      <c r="Q1510" s="13"/>
      <c r="R1510" s="12"/>
      <c r="S1510" s="12"/>
      <c r="T1510" s="12"/>
      <c r="U1510" s="14"/>
      <c r="V1510" s="15"/>
      <c r="W1510" s="16" t="n">
        <f aca="false">A1510</f>
        <v>0</v>
      </c>
      <c r="X1510" s="17" t="e">
        <f aca="false">ifs(C1510="","",X1510="",NOW(),TRUE(),X1510)</f>
        <v>#VALUE!</v>
      </c>
      <c r="Y1510" s="17" t="e">
        <f aca="false">ifs(COUNTA(K1510:U1513)&lt;44,"",Y1510="",NOW(),TRUE(),Y1510)</f>
        <v>#VALUE!</v>
      </c>
    </row>
    <row r="1511" customFormat="false" ht="15.75" hidden="false" customHeight="false" outlineLevel="0" collapsed="false">
      <c r="A1511" s="9"/>
      <c r="B1511" s="10"/>
      <c r="C1511" s="10"/>
      <c r="D1511" s="10"/>
      <c r="E1511" s="10"/>
      <c r="F1511" s="10"/>
      <c r="G1511" s="10"/>
      <c r="H1511" s="10"/>
      <c r="I1511" s="18" t="n">
        <v>2</v>
      </c>
      <c r="J1511" s="18"/>
      <c r="K1511" s="19"/>
      <c r="L1511" s="19"/>
      <c r="M1511" s="18"/>
      <c r="N1511" s="18"/>
      <c r="O1511" s="18"/>
      <c r="P1511" s="19"/>
      <c r="Q1511" s="19"/>
      <c r="R1511" s="18"/>
      <c r="S1511" s="18"/>
      <c r="T1511" s="18"/>
      <c r="U1511" s="20"/>
      <c r="V1511" s="21"/>
      <c r="W1511" s="16"/>
      <c r="X1511" s="16"/>
      <c r="Y1511" s="16"/>
    </row>
    <row r="1512" customFormat="false" ht="15.75" hidden="false" customHeight="false" outlineLevel="0" collapsed="false">
      <c r="A1512" s="9"/>
      <c r="B1512" s="10"/>
      <c r="C1512" s="10"/>
      <c r="D1512" s="10"/>
      <c r="E1512" s="10"/>
      <c r="F1512" s="10"/>
      <c r="G1512" s="10"/>
      <c r="H1512" s="10"/>
      <c r="I1512" s="22" t="n">
        <v>3</v>
      </c>
      <c r="J1512" s="22"/>
      <c r="K1512" s="23"/>
      <c r="L1512" s="23"/>
      <c r="M1512" s="22"/>
      <c r="N1512" s="22"/>
      <c r="O1512" s="22"/>
      <c r="P1512" s="23"/>
      <c r="Q1512" s="23"/>
      <c r="R1512" s="22"/>
      <c r="S1512" s="22"/>
      <c r="T1512" s="22"/>
      <c r="U1512" s="24"/>
      <c r="V1512" s="15"/>
      <c r="W1512" s="16"/>
      <c r="X1512" s="16"/>
      <c r="Y1512" s="16"/>
    </row>
    <row r="1513" customFormat="false" ht="15.75" hidden="false" customHeight="false" outlineLevel="0" collapsed="false">
      <c r="A1513" s="9"/>
      <c r="B1513" s="10"/>
      <c r="C1513" s="10"/>
      <c r="D1513" s="10"/>
      <c r="E1513" s="10"/>
      <c r="F1513" s="10"/>
      <c r="G1513" s="10"/>
      <c r="H1513" s="10"/>
      <c r="I1513" s="25" t="n">
        <v>4</v>
      </c>
      <c r="J1513" s="25"/>
      <c r="K1513" s="26"/>
      <c r="L1513" s="26"/>
      <c r="M1513" s="25"/>
      <c r="N1513" s="25"/>
      <c r="O1513" s="25"/>
      <c r="P1513" s="26"/>
      <c r="Q1513" s="26"/>
      <c r="R1513" s="25"/>
      <c r="S1513" s="25"/>
      <c r="T1513" s="25"/>
      <c r="U1513" s="27"/>
      <c r="V1513" s="21"/>
      <c r="W1513" s="16"/>
      <c r="X1513" s="16"/>
      <c r="Y1513" s="16"/>
    </row>
    <row r="1514" customFormat="false" ht="15.75" hidden="false" customHeight="false" outlineLevel="0" collapsed="false">
      <c r="A1514" s="9"/>
      <c r="B1514" s="10"/>
      <c r="C1514" s="11"/>
      <c r="D1514" s="10"/>
      <c r="E1514" s="10"/>
      <c r="F1514" s="10"/>
      <c r="G1514" s="10"/>
      <c r="H1514" s="10"/>
      <c r="I1514" s="12" t="n">
        <v>1</v>
      </c>
      <c r="J1514" s="12"/>
      <c r="K1514" s="13"/>
      <c r="L1514" s="13"/>
      <c r="M1514" s="12"/>
      <c r="N1514" s="12"/>
      <c r="O1514" s="12"/>
      <c r="P1514" s="13"/>
      <c r="Q1514" s="13"/>
      <c r="R1514" s="12"/>
      <c r="S1514" s="12"/>
      <c r="T1514" s="12"/>
      <c r="U1514" s="14"/>
      <c r="V1514" s="15"/>
      <c r="W1514" s="16" t="n">
        <f aca="false">A1514</f>
        <v>0</v>
      </c>
      <c r="X1514" s="17" t="e">
        <f aca="false">ifs(C1514="","",X1514="",NOW(),TRUE(),X1514)</f>
        <v>#VALUE!</v>
      </c>
      <c r="Y1514" s="17" t="e">
        <f aca="false">ifs(COUNTA(K1514:U1517)&lt;44,"",Y1514="",NOW(),TRUE(),Y1514)</f>
        <v>#VALUE!</v>
      </c>
    </row>
    <row r="1515" customFormat="false" ht="15.75" hidden="false" customHeight="false" outlineLevel="0" collapsed="false">
      <c r="A1515" s="9"/>
      <c r="B1515" s="10"/>
      <c r="C1515" s="10"/>
      <c r="D1515" s="10"/>
      <c r="E1515" s="10"/>
      <c r="F1515" s="10"/>
      <c r="G1515" s="10"/>
      <c r="H1515" s="10"/>
      <c r="I1515" s="18" t="n">
        <v>2</v>
      </c>
      <c r="J1515" s="18"/>
      <c r="K1515" s="19"/>
      <c r="L1515" s="19"/>
      <c r="M1515" s="18"/>
      <c r="N1515" s="18"/>
      <c r="O1515" s="18"/>
      <c r="P1515" s="19"/>
      <c r="Q1515" s="19"/>
      <c r="R1515" s="18"/>
      <c r="S1515" s="18"/>
      <c r="T1515" s="18"/>
      <c r="U1515" s="20"/>
      <c r="V1515" s="21"/>
      <c r="W1515" s="16"/>
      <c r="X1515" s="16"/>
      <c r="Y1515" s="16"/>
    </row>
    <row r="1516" customFormat="false" ht="15.75" hidden="false" customHeight="false" outlineLevel="0" collapsed="false">
      <c r="A1516" s="9"/>
      <c r="B1516" s="10"/>
      <c r="C1516" s="10"/>
      <c r="D1516" s="10"/>
      <c r="E1516" s="10"/>
      <c r="F1516" s="10"/>
      <c r="G1516" s="10"/>
      <c r="H1516" s="10"/>
      <c r="I1516" s="22" t="n">
        <v>3</v>
      </c>
      <c r="J1516" s="22"/>
      <c r="K1516" s="23"/>
      <c r="L1516" s="23"/>
      <c r="M1516" s="22"/>
      <c r="N1516" s="22"/>
      <c r="O1516" s="22"/>
      <c r="P1516" s="23"/>
      <c r="Q1516" s="23"/>
      <c r="R1516" s="22"/>
      <c r="S1516" s="22"/>
      <c r="T1516" s="22"/>
      <c r="U1516" s="24"/>
      <c r="V1516" s="15"/>
      <c r="W1516" s="16"/>
      <c r="X1516" s="16"/>
      <c r="Y1516" s="16"/>
    </row>
    <row r="1517" customFormat="false" ht="15.75" hidden="false" customHeight="false" outlineLevel="0" collapsed="false">
      <c r="A1517" s="9"/>
      <c r="B1517" s="10"/>
      <c r="C1517" s="10"/>
      <c r="D1517" s="10"/>
      <c r="E1517" s="10"/>
      <c r="F1517" s="10"/>
      <c r="G1517" s="10"/>
      <c r="H1517" s="10"/>
      <c r="I1517" s="25" t="n">
        <v>4</v>
      </c>
      <c r="J1517" s="25"/>
      <c r="K1517" s="26"/>
      <c r="L1517" s="26"/>
      <c r="M1517" s="25"/>
      <c r="N1517" s="25"/>
      <c r="O1517" s="25"/>
      <c r="P1517" s="26"/>
      <c r="Q1517" s="26"/>
      <c r="R1517" s="25"/>
      <c r="S1517" s="25"/>
      <c r="T1517" s="25"/>
      <c r="U1517" s="27"/>
      <c r="V1517" s="21"/>
      <c r="W1517" s="16"/>
      <c r="X1517" s="16"/>
      <c r="Y1517" s="16"/>
    </row>
    <row r="1518" customFormat="false" ht="15.75" hidden="false" customHeight="false" outlineLevel="0" collapsed="false">
      <c r="A1518" s="9"/>
      <c r="B1518" s="10"/>
      <c r="C1518" s="11"/>
      <c r="D1518" s="10"/>
      <c r="E1518" s="10"/>
      <c r="F1518" s="10"/>
      <c r="G1518" s="10"/>
      <c r="H1518" s="10"/>
      <c r="I1518" s="12" t="n">
        <v>1</v>
      </c>
      <c r="J1518" s="12"/>
      <c r="K1518" s="13"/>
      <c r="L1518" s="13"/>
      <c r="M1518" s="12"/>
      <c r="N1518" s="12"/>
      <c r="O1518" s="12"/>
      <c r="P1518" s="13"/>
      <c r="Q1518" s="13"/>
      <c r="R1518" s="12"/>
      <c r="S1518" s="12"/>
      <c r="T1518" s="12"/>
      <c r="U1518" s="14"/>
      <c r="V1518" s="15"/>
      <c r="W1518" s="16" t="n">
        <f aca="false">A1518</f>
        <v>0</v>
      </c>
      <c r="X1518" s="17" t="e">
        <f aca="false">ifs(C1518="","",X1518="",NOW(),TRUE(),X1518)</f>
        <v>#VALUE!</v>
      </c>
      <c r="Y1518" s="17" t="e">
        <f aca="false">ifs(COUNTA(K1518:U1521)&lt;44,"",Y1518="",NOW(),TRUE(),Y1518)</f>
        <v>#VALUE!</v>
      </c>
    </row>
    <row r="1519" customFormat="false" ht="15.75" hidden="false" customHeight="false" outlineLevel="0" collapsed="false">
      <c r="A1519" s="9"/>
      <c r="B1519" s="10"/>
      <c r="C1519" s="10"/>
      <c r="D1519" s="10"/>
      <c r="E1519" s="10"/>
      <c r="F1519" s="10"/>
      <c r="G1519" s="10"/>
      <c r="H1519" s="10"/>
      <c r="I1519" s="18" t="n">
        <v>2</v>
      </c>
      <c r="J1519" s="18"/>
      <c r="K1519" s="19"/>
      <c r="L1519" s="19"/>
      <c r="M1519" s="18"/>
      <c r="N1519" s="18"/>
      <c r="O1519" s="18"/>
      <c r="P1519" s="19"/>
      <c r="Q1519" s="19"/>
      <c r="R1519" s="18"/>
      <c r="S1519" s="18"/>
      <c r="T1519" s="18"/>
      <c r="U1519" s="20"/>
      <c r="V1519" s="21"/>
      <c r="W1519" s="16"/>
      <c r="X1519" s="16"/>
      <c r="Y1519" s="16"/>
    </row>
    <row r="1520" customFormat="false" ht="15.75" hidden="false" customHeight="false" outlineLevel="0" collapsed="false">
      <c r="A1520" s="9"/>
      <c r="B1520" s="10"/>
      <c r="C1520" s="10"/>
      <c r="D1520" s="10"/>
      <c r="E1520" s="10"/>
      <c r="F1520" s="10"/>
      <c r="G1520" s="10"/>
      <c r="H1520" s="10"/>
      <c r="I1520" s="22" t="n">
        <v>3</v>
      </c>
      <c r="J1520" s="22"/>
      <c r="K1520" s="23"/>
      <c r="L1520" s="23"/>
      <c r="M1520" s="22"/>
      <c r="N1520" s="22"/>
      <c r="O1520" s="22"/>
      <c r="P1520" s="23"/>
      <c r="Q1520" s="23"/>
      <c r="R1520" s="22"/>
      <c r="S1520" s="22"/>
      <c r="T1520" s="22"/>
      <c r="U1520" s="24"/>
      <c r="V1520" s="15"/>
      <c r="W1520" s="16"/>
      <c r="X1520" s="16"/>
      <c r="Y1520" s="16"/>
    </row>
    <row r="1521" customFormat="false" ht="15.75" hidden="false" customHeight="false" outlineLevel="0" collapsed="false">
      <c r="A1521" s="9"/>
      <c r="B1521" s="10"/>
      <c r="C1521" s="10"/>
      <c r="D1521" s="10"/>
      <c r="E1521" s="10"/>
      <c r="F1521" s="10"/>
      <c r="G1521" s="10"/>
      <c r="H1521" s="10"/>
      <c r="I1521" s="25" t="n">
        <v>4</v>
      </c>
      <c r="J1521" s="25"/>
      <c r="K1521" s="26"/>
      <c r="L1521" s="26"/>
      <c r="M1521" s="25"/>
      <c r="N1521" s="25"/>
      <c r="O1521" s="25"/>
      <c r="P1521" s="26"/>
      <c r="Q1521" s="26"/>
      <c r="R1521" s="25"/>
      <c r="S1521" s="25"/>
      <c r="T1521" s="25"/>
      <c r="U1521" s="27"/>
      <c r="V1521" s="21"/>
      <c r="W1521" s="16"/>
      <c r="X1521" s="16"/>
      <c r="Y1521" s="16"/>
    </row>
    <row r="1522" customFormat="false" ht="15.75" hidden="false" customHeight="false" outlineLevel="0" collapsed="false">
      <c r="A1522" s="9"/>
      <c r="B1522" s="10"/>
      <c r="C1522" s="11"/>
      <c r="D1522" s="10"/>
      <c r="E1522" s="10"/>
      <c r="F1522" s="10"/>
      <c r="G1522" s="10"/>
      <c r="H1522" s="10"/>
      <c r="I1522" s="12" t="n">
        <v>1</v>
      </c>
      <c r="J1522" s="12"/>
      <c r="K1522" s="13"/>
      <c r="L1522" s="13"/>
      <c r="M1522" s="12"/>
      <c r="N1522" s="12"/>
      <c r="O1522" s="12"/>
      <c r="P1522" s="13"/>
      <c r="Q1522" s="13"/>
      <c r="R1522" s="12"/>
      <c r="S1522" s="12"/>
      <c r="T1522" s="12"/>
      <c r="U1522" s="14"/>
      <c r="V1522" s="15"/>
      <c r="W1522" s="16" t="n">
        <f aca="false">A1522</f>
        <v>0</v>
      </c>
      <c r="X1522" s="17" t="e">
        <f aca="false">ifs(C1522="","",X1522="",NOW(),TRUE(),X1522)</f>
        <v>#VALUE!</v>
      </c>
      <c r="Y1522" s="17" t="e">
        <f aca="false">ifs(COUNTA(K1522:U1525)&lt;44,"",Y1522="",NOW(),TRUE(),Y1522)</f>
        <v>#VALUE!</v>
      </c>
    </row>
    <row r="1523" customFormat="false" ht="15.75" hidden="false" customHeight="false" outlineLevel="0" collapsed="false">
      <c r="A1523" s="9"/>
      <c r="B1523" s="10"/>
      <c r="C1523" s="10"/>
      <c r="D1523" s="10"/>
      <c r="E1523" s="10"/>
      <c r="F1523" s="10"/>
      <c r="G1523" s="10"/>
      <c r="H1523" s="10"/>
      <c r="I1523" s="18" t="n">
        <v>2</v>
      </c>
      <c r="J1523" s="18"/>
      <c r="K1523" s="19"/>
      <c r="L1523" s="19"/>
      <c r="M1523" s="18"/>
      <c r="N1523" s="18"/>
      <c r="O1523" s="18"/>
      <c r="P1523" s="19"/>
      <c r="Q1523" s="19"/>
      <c r="R1523" s="18"/>
      <c r="S1523" s="18"/>
      <c r="T1523" s="18"/>
      <c r="U1523" s="20"/>
      <c r="V1523" s="21"/>
      <c r="W1523" s="16"/>
      <c r="X1523" s="16"/>
      <c r="Y1523" s="16"/>
    </row>
    <row r="1524" customFormat="false" ht="15.75" hidden="false" customHeight="false" outlineLevel="0" collapsed="false">
      <c r="A1524" s="9"/>
      <c r="B1524" s="10"/>
      <c r="C1524" s="10"/>
      <c r="D1524" s="10"/>
      <c r="E1524" s="10"/>
      <c r="F1524" s="10"/>
      <c r="G1524" s="10"/>
      <c r="H1524" s="10"/>
      <c r="I1524" s="22" t="n">
        <v>3</v>
      </c>
      <c r="J1524" s="22"/>
      <c r="K1524" s="23"/>
      <c r="L1524" s="23"/>
      <c r="M1524" s="22"/>
      <c r="N1524" s="22"/>
      <c r="O1524" s="22"/>
      <c r="P1524" s="23"/>
      <c r="Q1524" s="23"/>
      <c r="R1524" s="22"/>
      <c r="S1524" s="22"/>
      <c r="T1524" s="22"/>
      <c r="U1524" s="24"/>
      <c r="V1524" s="15"/>
      <c r="W1524" s="16"/>
      <c r="X1524" s="16"/>
      <c r="Y1524" s="16"/>
    </row>
    <row r="1525" customFormat="false" ht="15.75" hidden="false" customHeight="false" outlineLevel="0" collapsed="false">
      <c r="A1525" s="9"/>
      <c r="B1525" s="10"/>
      <c r="C1525" s="10"/>
      <c r="D1525" s="10"/>
      <c r="E1525" s="10"/>
      <c r="F1525" s="10"/>
      <c r="G1525" s="10"/>
      <c r="H1525" s="10"/>
      <c r="I1525" s="25" t="n">
        <v>4</v>
      </c>
      <c r="J1525" s="25"/>
      <c r="K1525" s="26"/>
      <c r="L1525" s="26"/>
      <c r="M1525" s="25"/>
      <c r="N1525" s="25"/>
      <c r="O1525" s="25"/>
      <c r="P1525" s="26"/>
      <c r="Q1525" s="26"/>
      <c r="R1525" s="25"/>
      <c r="S1525" s="25"/>
      <c r="T1525" s="25"/>
      <c r="U1525" s="27"/>
      <c r="V1525" s="21"/>
      <c r="W1525" s="16"/>
      <c r="X1525" s="16"/>
      <c r="Y1525" s="16"/>
    </row>
    <row r="1526" customFormat="false" ht="15.75" hidden="false" customHeight="false" outlineLevel="0" collapsed="false">
      <c r="A1526" s="9"/>
      <c r="B1526" s="10"/>
      <c r="C1526" s="11"/>
      <c r="D1526" s="10"/>
      <c r="E1526" s="10"/>
      <c r="F1526" s="10"/>
      <c r="G1526" s="10"/>
      <c r="H1526" s="10"/>
      <c r="I1526" s="12" t="n">
        <v>1</v>
      </c>
      <c r="J1526" s="12"/>
      <c r="K1526" s="13"/>
      <c r="L1526" s="13"/>
      <c r="M1526" s="12"/>
      <c r="N1526" s="12"/>
      <c r="O1526" s="12"/>
      <c r="P1526" s="13"/>
      <c r="Q1526" s="13"/>
      <c r="R1526" s="12"/>
      <c r="S1526" s="12"/>
      <c r="T1526" s="12"/>
      <c r="U1526" s="14"/>
      <c r="V1526" s="15"/>
      <c r="W1526" s="16" t="n">
        <f aca="false">A1526</f>
        <v>0</v>
      </c>
      <c r="X1526" s="17" t="e">
        <f aca="false">ifs(C1526="","",X1526="",NOW(),TRUE(),X1526)</f>
        <v>#VALUE!</v>
      </c>
      <c r="Y1526" s="17" t="e">
        <f aca="false">ifs(COUNTA(K1526:U1529)&lt;44,"",Y1526="",NOW(),TRUE(),Y1526)</f>
        <v>#VALUE!</v>
      </c>
    </row>
    <row r="1527" customFormat="false" ht="15.75" hidden="false" customHeight="false" outlineLevel="0" collapsed="false">
      <c r="A1527" s="9"/>
      <c r="B1527" s="10"/>
      <c r="C1527" s="10"/>
      <c r="D1527" s="10"/>
      <c r="E1527" s="10"/>
      <c r="F1527" s="10"/>
      <c r="G1527" s="10"/>
      <c r="H1527" s="10"/>
      <c r="I1527" s="18" t="n">
        <v>2</v>
      </c>
      <c r="J1527" s="18"/>
      <c r="K1527" s="19"/>
      <c r="L1527" s="19"/>
      <c r="M1527" s="18"/>
      <c r="N1527" s="18"/>
      <c r="O1527" s="18"/>
      <c r="P1527" s="19"/>
      <c r="Q1527" s="19"/>
      <c r="R1527" s="18"/>
      <c r="S1527" s="18"/>
      <c r="T1527" s="18"/>
      <c r="U1527" s="20"/>
      <c r="V1527" s="21"/>
      <c r="W1527" s="16"/>
      <c r="X1527" s="16"/>
      <c r="Y1527" s="16"/>
    </row>
    <row r="1528" customFormat="false" ht="15.75" hidden="false" customHeight="false" outlineLevel="0" collapsed="false">
      <c r="A1528" s="9"/>
      <c r="B1528" s="10"/>
      <c r="C1528" s="10"/>
      <c r="D1528" s="10"/>
      <c r="E1528" s="10"/>
      <c r="F1528" s="10"/>
      <c r="G1528" s="10"/>
      <c r="H1528" s="10"/>
      <c r="I1528" s="22" t="n">
        <v>3</v>
      </c>
      <c r="J1528" s="22"/>
      <c r="K1528" s="23"/>
      <c r="L1528" s="23"/>
      <c r="M1528" s="22"/>
      <c r="N1528" s="22"/>
      <c r="O1528" s="22"/>
      <c r="P1528" s="23"/>
      <c r="Q1528" s="23"/>
      <c r="R1528" s="22"/>
      <c r="S1528" s="22"/>
      <c r="T1528" s="22"/>
      <c r="U1528" s="24"/>
      <c r="V1528" s="15"/>
      <c r="W1528" s="16"/>
      <c r="X1528" s="16"/>
      <c r="Y1528" s="16"/>
    </row>
    <row r="1529" customFormat="false" ht="15.75" hidden="false" customHeight="false" outlineLevel="0" collapsed="false">
      <c r="A1529" s="9"/>
      <c r="B1529" s="10"/>
      <c r="C1529" s="10"/>
      <c r="D1529" s="10"/>
      <c r="E1529" s="10"/>
      <c r="F1529" s="10"/>
      <c r="G1529" s="10"/>
      <c r="H1529" s="10"/>
      <c r="I1529" s="25" t="n">
        <v>4</v>
      </c>
      <c r="J1529" s="25"/>
      <c r="K1529" s="26"/>
      <c r="L1529" s="26"/>
      <c r="M1529" s="25"/>
      <c r="N1529" s="25"/>
      <c r="O1529" s="25"/>
      <c r="P1529" s="26"/>
      <c r="Q1529" s="26"/>
      <c r="R1529" s="25"/>
      <c r="S1529" s="25"/>
      <c r="T1529" s="25"/>
      <c r="U1529" s="27"/>
      <c r="V1529" s="21"/>
      <c r="W1529" s="16"/>
      <c r="X1529" s="16"/>
      <c r="Y1529" s="16"/>
    </row>
    <row r="1530" customFormat="false" ht="15.75" hidden="false" customHeight="false" outlineLevel="0" collapsed="false">
      <c r="A1530" s="9"/>
      <c r="B1530" s="10"/>
      <c r="C1530" s="11"/>
      <c r="D1530" s="10"/>
      <c r="E1530" s="10"/>
      <c r="F1530" s="10"/>
      <c r="G1530" s="10"/>
      <c r="H1530" s="10"/>
      <c r="I1530" s="12" t="n">
        <v>1</v>
      </c>
      <c r="J1530" s="12"/>
      <c r="K1530" s="13"/>
      <c r="L1530" s="13"/>
      <c r="M1530" s="12"/>
      <c r="N1530" s="12"/>
      <c r="O1530" s="12"/>
      <c r="P1530" s="13"/>
      <c r="Q1530" s="13"/>
      <c r="R1530" s="12"/>
      <c r="S1530" s="12"/>
      <c r="T1530" s="12"/>
      <c r="U1530" s="14"/>
      <c r="V1530" s="15"/>
      <c r="W1530" s="16" t="n">
        <f aca="false">A1530</f>
        <v>0</v>
      </c>
      <c r="X1530" s="17" t="e">
        <f aca="false">ifs(C1530="","",X1530="",NOW(),TRUE(),X1530)</f>
        <v>#VALUE!</v>
      </c>
      <c r="Y1530" s="17" t="e">
        <f aca="false">ifs(COUNTA(K1530:U1533)&lt;44,"",Y1530="",NOW(),TRUE(),Y1530)</f>
        <v>#VALUE!</v>
      </c>
    </row>
    <row r="1531" customFormat="false" ht="15.75" hidden="false" customHeight="false" outlineLevel="0" collapsed="false">
      <c r="A1531" s="9"/>
      <c r="B1531" s="10"/>
      <c r="C1531" s="10"/>
      <c r="D1531" s="10"/>
      <c r="E1531" s="10"/>
      <c r="F1531" s="10"/>
      <c r="G1531" s="10"/>
      <c r="H1531" s="10"/>
      <c r="I1531" s="18" t="n">
        <v>2</v>
      </c>
      <c r="J1531" s="18"/>
      <c r="K1531" s="19"/>
      <c r="L1531" s="19"/>
      <c r="M1531" s="18"/>
      <c r="N1531" s="18"/>
      <c r="O1531" s="18"/>
      <c r="P1531" s="19"/>
      <c r="Q1531" s="19"/>
      <c r="R1531" s="18"/>
      <c r="S1531" s="18"/>
      <c r="T1531" s="18"/>
      <c r="U1531" s="20"/>
      <c r="V1531" s="21"/>
      <c r="W1531" s="16"/>
      <c r="X1531" s="16"/>
      <c r="Y1531" s="16"/>
    </row>
    <row r="1532" customFormat="false" ht="15.75" hidden="false" customHeight="false" outlineLevel="0" collapsed="false">
      <c r="A1532" s="9"/>
      <c r="B1532" s="10"/>
      <c r="C1532" s="10"/>
      <c r="D1532" s="10"/>
      <c r="E1532" s="10"/>
      <c r="F1532" s="10"/>
      <c r="G1532" s="10"/>
      <c r="H1532" s="10"/>
      <c r="I1532" s="22" t="n">
        <v>3</v>
      </c>
      <c r="J1532" s="22"/>
      <c r="K1532" s="23"/>
      <c r="L1532" s="23"/>
      <c r="M1532" s="22"/>
      <c r="N1532" s="22"/>
      <c r="O1532" s="22"/>
      <c r="P1532" s="23"/>
      <c r="Q1532" s="23"/>
      <c r="R1532" s="22"/>
      <c r="S1532" s="22"/>
      <c r="T1532" s="22"/>
      <c r="U1532" s="24"/>
      <c r="V1532" s="15"/>
      <c r="W1532" s="16"/>
      <c r="X1532" s="16"/>
      <c r="Y1532" s="16"/>
    </row>
    <row r="1533" customFormat="false" ht="15.75" hidden="false" customHeight="false" outlineLevel="0" collapsed="false">
      <c r="A1533" s="9"/>
      <c r="B1533" s="10"/>
      <c r="C1533" s="10"/>
      <c r="D1533" s="10"/>
      <c r="E1533" s="10"/>
      <c r="F1533" s="10"/>
      <c r="G1533" s="10"/>
      <c r="H1533" s="10"/>
      <c r="I1533" s="25" t="n">
        <v>4</v>
      </c>
      <c r="J1533" s="25"/>
      <c r="K1533" s="26"/>
      <c r="L1533" s="26"/>
      <c r="M1533" s="25"/>
      <c r="N1533" s="25"/>
      <c r="O1533" s="25"/>
      <c r="P1533" s="26"/>
      <c r="Q1533" s="26"/>
      <c r="R1533" s="25"/>
      <c r="S1533" s="25"/>
      <c r="T1533" s="25"/>
      <c r="U1533" s="27"/>
      <c r="V1533" s="21"/>
      <c r="W1533" s="16"/>
      <c r="X1533" s="16"/>
      <c r="Y1533" s="16"/>
    </row>
    <row r="1534" customFormat="false" ht="15.75" hidden="false" customHeight="false" outlineLevel="0" collapsed="false">
      <c r="A1534" s="9"/>
      <c r="B1534" s="10"/>
      <c r="C1534" s="11"/>
      <c r="D1534" s="10"/>
      <c r="E1534" s="10"/>
      <c r="F1534" s="10"/>
      <c r="G1534" s="10"/>
      <c r="H1534" s="10"/>
      <c r="I1534" s="12" t="n">
        <v>1</v>
      </c>
      <c r="J1534" s="12"/>
      <c r="K1534" s="13"/>
      <c r="L1534" s="13"/>
      <c r="M1534" s="12"/>
      <c r="N1534" s="12"/>
      <c r="O1534" s="12"/>
      <c r="P1534" s="13"/>
      <c r="Q1534" s="13"/>
      <c r="R1534" s="12"/>
      <c r="S1534" s="12"/>
      <c r="T1534" s="12"/>
      <c r="U1534" s="14"/>
      <c r="V1534" s="15"/>
      <c r="W1534" s="16" t="n">
        <f aca="false">A1534</f>
        <v>0</v>
      </c>
      <c r="X1534" s="17" t="e">
        <f aca="false">ifs(C1534="","",X1534="",NOW(),TRUE(),X1534)</f>
        <v>#VALUE!</v>
      </c>
      <c r="Y1534" s="17" t="e">
        <f aca="false">ifs(COUNTA(K1534:U1537)&lt;44,"",Y1534="",NOW(),TRUE(),Y1534)</f>
        <v>#VALUE!</v>
      </c>
    </row>
    <row r="1535" customFormat="false" ht="15.75" hidden="false" customHeight="false" outlineLevel="0" collapsed="false">
      <c r="A1535" s="9"/>
      <c r="B1535" s="10"/>
      <c r="C1535" s="10"/>
      <c r="D1535" s="10"/>
      <c r="E1535" s="10"/>
      <c r="F1535" s="10"/>
      <c r="G1535" s="10"/>
      <c r="H1535" s="10"/>
      <c r="I1535" s="18" t="n">
        <v>2</v>
      </c>
      <c r="J1535" s="18"/>
      <c r="K1535" s="19"/>
      <c r="L1535" s="19"/>
      <c r="M1535" s="18"/>
      <c r="N1535" s="18"/>
      <c r="O1535" s="18"/>
      <c r="P1535" s="19"/>
      <c r="Q1535" s="19"/>
      <c r="R1535" s="18"/>
      <c r="S1535" s="18"/>
      <c r="T1535" s="18"/>
      <c r="U1535" s="20"/>
      <c r="V1535" s="21"/>
      <c r="W1535" s="16"/>
      <c r="X1535" s="16"/>
      <c r="Y1535" s="16"/>
    </row>
    <row r="1536" customFormat="false" ht="15.75" hidden="false" customHeight="false" outlineLevel="0" collapsed="false">
      <c r="A1536" s="9"/>
      <c r="B1536" s="10"/>
      <c r="C1536" s="10"/>
      <c r="D1536" s="10"/>
      <c r="E1536" s="10"/>
      <c r="F1536" s="10"/>
      <c r="G1536" s="10"/>
      <c r="H1536" s="10"/>
      <c r="I1536" s="22" t="n">
        <v>3</v>
      </c>
      <c r="J1536" s="22"/>
      <c r="K1536" s="23"/>
      <c r="L1536" s="23"/>
      <c r="M1536" s="22"/>
      <c r="N1536" s="22"/>
      <c r="O1536" s="22"/>
      <c r="P1536" s="23"/>
      <c r="Q1536" s="23"/>
      <c r="R1536" s="22"/>
      <c r="S1536" s="22"/>
      <c r="T1536" s="22"/>
      <c r="U1536" s="24"/>
      <c r="V1536" s="15"/>
      <c r="W1536" s="16"/>
      <c r="X1536" s="16"/>
      <c r="Y1536" s="16"/>
    </row>
    <row r="1537" customFormat="false" ht="15.75" hidden="false" customHeight="false" outlineLevel="0" collapsed="false">
      <c r="A1537" s="9"/>
      <c r="B1537" s="10"/>
      <c r="C1537" s="10"/>
      <c r="D1537" s="10"/>
      <c r="E1537" s="10"/>
      <c r="F1537" s="10"/>
      <c r="G1537" s="10"/>
      <c r="H1537" s="10"/>
      <c r="I1537" s="25" t="n">
        <v>4</v>
      </c>
      <c r="J1537" s="25"/>
      <c r="K1537" s="26"/>
      <c r="L1537" s="26"/>
      <c r="M1537" s="25"/>
      <c r="N1537" s="25"/>
      <c r="O1537" s="25"/>
      <c r="P1537" s="26"/>
      <c r="Q1537" s="26"/>
      <c r="R1537" s="25"/>
      <c r="S1537" s="25"/>
      <c r="T1537" s="25"/>
      <c r="U1537" s="27"/>
      <c r="V1537" s="21"/>
      <c r="W1537" s="16"/>
      <c r="X1537" s="16"/>
      <c r="Y1537" s="16"/>
    </row>
    <row r="1538" customFormat="false" ht="15.75" hidden="false" customHeight="false" outlineLevel="0" collapsed="false">
      <c r="A1538" s="9"/>
      <c r="B1538" s="10"/>
      <c r="C1538" s="11"/>
      <c r="D1538" s="10"/>
      <c r="E1538" s="10"/>
      <c r="F1538" s="10"/>
      <c r="G1538" s="10"/>
      <c r="H1538" s="10"/>
      <c r="I1538" s="12" t="n">
        <v>1</v>
      </c>
      <c r="J1538" s="12"/>
      <c r="K1538" s="13"/>
      <c r="L1538" s="13"/>
      <c r="M1538" s="12"/>
      <c r="N1538" s="12"/>
      <c r="O1538" s="12"/>
      <c r="P1538" s="13"/>
      <c r="Q1538" s="13"/>
      <c r="R1538" s="12"/>
      <c r="S1538" s="12"/>
      <c r="T1538" s="12"/>
      <c r="U1538" s="14"/>
      <c r="V1538" s="15"/>
      <c r="W1538" s="16" t="n">
        <f aca="false">A1538</f>
        <v>0</v>
      </c>
      <c r="X1538" s="17" t="e">
        <f aca="false">ifs(C1538="","",X1538="",NOW(),TRUE(),X1538)</f>
        <v>#VALUE!</v>
      </c>
      <c r="Y1538" s="17" t="e">
        <f aca="false">ifs(COUNTA(K1538:U1541)&lt;44,"",Y1538="",NOW(),TRUE(),Y1538)</f>
        <v>#VALUE!</v>
      </c>
    </row>
    <row r="1539" customFormat="false" ht="15.75" hidden="false" customHeight="false" outlineLevel="0" collapsed="false">
      <c r="A1539" s="9"/>
      <c r="B1539" s="10"/>
      <c r="C1539" s="10"/>
      <c r="D1539" s="10"/>
      <c r="E1539" s="10"/>
      <c r="F1539" s="10"/>
      <c r="G1539" s="10"/>
      <c r="H1539" s="10"/>
      <c r="I1539" s="18" t="n">
        <v>2</v>
      </c>
      <c r="J1539" s="18"/>
      <c r="K1539" s="19"/>
      <c r="L1539" s="19"/>
      <c r="M1539" s="18"/>
      <c r="N1539" s="18"/>
      <c r="O1539" s="18"/>
      <c r="P1539" s="19"/>
      <c r="Q1539" s="19"/>
      <c r="R1539" s="18"/>
      <c r="S1539" s="18"/>
      <c r="T1539" s="18"/>
      <c r="U1539" s="20"/>
      <c r="V1539" s="21"/>
      <c r="W1539" s="16"/>
      <c r="X1539" s="16"/>
      <c r="Y1539" s="16"/>
    </row>
    <row r="1540" customFormat="false" ht="15.75" hidden="false" customHeight="false" outlineLevel="0" collapsed="false">
      <c r="A1540" s="9"/>
      <c r="B1540" s="10"/>
      <c r="C1540" s="10"/>
      <c r="D1540" s="10"/>
      <c r="E1540" s="10"/>
      <c r="F1540" s="10"/>
      <c r="G1540" s="10"/>
      <c r="H1540" s="10"/>
      <c r="I1540" s="22" t="n">
        <v>3</v>
      </c>
      <c r="J1540" s="22"/>
      <c r="K1540" s="23"/>
      <c r="L1540" s="23"/>
      <c r="M1540" s="22"/>
      <c r="N1540" s="22"/>
      <c r="O1540" s="22"/>
      <c r="P1540" s="23"/>
      <c r="Q1540" s="23"/>
      <c r="R1540" s="22"/>
      <c r="S1540" s="22"/>
      <c r="T1540" s="22"/>
      <c r="U1540" s="24"/>
      <c r="V1540" s="15"/>
      <c r="W1540" s="16"/>
      <c r="X1540" s="16"/>
      <c r="Y1540" s="16"/>
    </row>
    <row r="1541" customFormat="false" ht="15.75" hidden="false" customHeight="false" outlineLevel="0" collapsed="false">
      <c r="A1541" s="9"/>
      <c r="B1541" s="10"/>
      <c r="C1541" s="10"/>
      <c r="D1541" s="10"/>
      <c r="E1541" s="10"/>
      <c r="F1541" s="10"/>
      <c r="G1541" s="10"/>
      <c r="H1541" s="10"/>
      <c r="I1541" s="25" t="n">
        <v>4</v>
      </c>
      <c r="J1541" s="25"/>
      <c r="K1541" s="26"/>
      <c r="L1541" s="26"/>
      <c r="M1541" s="25"/>
      <c r="N1541" s="25"/>
      <c r="O1541" s="25"/>
      <c r="P1541" s="26"/>
      <c r="Q1541" s="26"/>
      <c r="R1541" s="25"/>
      <c r="S1541" s="25"/>
      <c r="T1541" s="25"/>
      <c r="U1541" s="27"/>
      <c r="V1541" s="21"/>
      <c r="W1541" s="16"/>
      <c r="X1541" s="16"/>
      <c r="Y1541" s="16"/>
    </row>
    <row r="1542" customFormat="false" ht="15.75" hidden="false" customHeight="false" outlineLevel="0" collapsed="false">
      <c r="A1542" s="9"/>
      <c r="B1542" s="10"/>
      <c r="C1542" s="11"/>
      <c r="D1542" s="10"/>
      <c r="E1542" s="10"/>
      <c r="F1542" s="10"/>
      <c r="G1542" s="10"/>
      <c r="H1542" s="10"/>
      <c r="I1542" s="12" t="n">
        <v>1</v>
      </c>
      <c r="J1542" s="12"/>
      <c r="K1542" s="13"/>
      <c r="L1542" s="13"/>
      <c r="M1542" s="12"/>
      <c r="N1542" s="12"/>
      <c r="O1542" s="12"/>
      <c r="P1542" s="13"/>
      <c r="Q1542" s="13"/>
      <c r="R1542" s="12"/>
      <c r="S1542" s="12"/>
      <c r="T1542" s="12"/>
      <c r="U1542" s="14"/>
      <c r="V1542" s="15"/>
      <c r="W1542" s="16" t="n">
        <f aca="false">A1542</f>
        <v>0</v>
      </c>
      <c r="X1542" s="17" t="e">
        <f aca="false">ifs(C1542="","",X1542="",NOW(),TRUE(),X1542)</f>
        <v>#VALUE!</v>
      </c>
      <c r="Y1542" s="17" t="e">
        <f aca="false">ifs(COUNTA(K1542:U1545)&lt;44,"",Y1542="",NOW(),TRUE(),Y1542)</f>
        <v>#VALUE!</v>
      </c>
    </row>
    <row r="1543" customFormat="false" ht="15.75" hidden="false" customHeight="false" outlineLevel="0" collapsed="false">
      <c r="A1543" s="9"/>
      <c r="B1543" s="10"/>
      <c r="C1543" s="10"/>
      <c r="D1543" s="10"/>
      <c r="E1543" s="10"/>
      <c r="F1543" s="10"/>
      <c r="G1543" s="10"/>
      <c r="H1543" s="10"/>
      <c r="I1543" s="18" t="n">
        <v>2</v>
      </c>
      <c r="J1543" s="18"/>
      <c r="K1543" s="19"/>
      <c r="L1543" s="19"/>
      <c r="M1543" s="18"/>
      <c r="N1543" s="18"/>
      <c r="O1543" s="18"/>
      <c r="P1543" s="19"/>
      <c r="Q1543" s="19"/>
      <c r="R1543" s="18"/>
      <c r="S1543" s="18"/>
      <c r="T1543" s="18"/>
      <c r="U1543" s="20"/>
      <c r="V1543" s="21"/>
      <c r="W1543" s="16"/>
      <c r="X1543" s="16"/>
      <c r="Y1543" s="16"/>
    </row>
    <row r="1544" customFormat="false" ht="15.75" hidden="false" customHeight="false" outlineLevel="0" collapsed="false">
      <c r="A1544" s="9"/>
      <c r="B1544" s="10"/>
      <c r="C1544" s="10"/>
      <c r="D1544" s="10"/>
      <c r="E1544" s="10"/>
      <c r="F1544" s="10"/>
      <c r="G1544" s="10"/>
      <c r="H1544" s="10"/>
      <c r="I1544" s="22" t="n">
        <v>3</v>
      </c>
      <c r="J1544" s="22"/>
      <c r="K1544" s="23"/>
      <c r="L1544" s="23"/>
      <c r="M1544" s="22"/>
      <c r="N1544" s="22"/>
      <c r="O1544" s="22"/>
      <c r="P1544" s="23"/>
      <c r="Q1544" s="23"/>
      <c r="R1544" s="22"/>
      <c r="S1544" s="22"/>
      <c r="T1544" s="22"/>
      <c r="U1544" s="24"/>
      <c r="V1544" s="15"/>
      <c r="W1544" s="16"/>
      <c r="X1544" s="16"/>
      <c r="Y1544" s="16"/>
    </row>
    <row r="1545" customFormat="false" ht="15.75" hidden="false" customHeight="false" outlineLevel="0" collapsed="false">
      <c r="A1545" s="9"/>
      <c r="B1545" s="10"/>
      <c r="C1545" s="10"/>
      <c r="D1545" s="10"/>
      <c r="E1545" s="10"/>
      <c r="F1545" s="10"/>
      <c r="G1545" s="10"/>
      <c r="H1545" s="10"/>
      <c r="I1545" s="25" t="n">
        <v>4</v>
      </c>
      <c r="J1545" s="25"/>
      <c r="K1545" s="26"/>
      <c r="L1545" s="26"/>
      <c r="M1545" s="25"/>
      <c r="N1545" s="25"/>
      <c r="O1545" s="25"/>
      <c r="P1545" s="26"/>
      <c r="Q1545" s="26"/>
      <c r="R1545" s="25"/>
      <c r="S1545" s="25"/>
      <c r="T1545" s="25"/>
      <c r="U1545" s="27"/>
      <c r="V1545" s="21"/>
      <c r="W1545" s="16"/>
      <c r="X1545" s="16"/>
      <c r="Y1545" s="16"/>
    </row>
    <row r="1546" customFormat="false" ht="15.75" hidden="false" customHeight="false" outlineLevel="0" collapsed="false">
      <c r="A1546" s="9"/>
      <c r="B1546" s="10"/>
      <c r="C1546" s="11"/>
      <c r="D1546" s="10"/>
      <c r="E1546" s="10"/>
      <c r="F1546" s="10"/>
      <c r="G1546" s="10"/>
      <c r="H1546" s="10"/>
      <c r="I1546" s="12" t="n">
        <v>1</v>
      </c>
      <c r="J1546" s="12"/>
      <c r="K1546" s="13"/>
      <c r="L1546" s="13"/>
      <c r="M1546" s="12"/>
      <c r="N1546" s="12"/>
      <c r="O1546" s="12"/>
      <c r="P1546" s="13"/>
      <c r="Q1546" s="13"/>
      <c r="R1546" s="12"/>
      <c r="S1546" s="12"/>
      <c r="T1546" s="12"/>
      <c r="U1546" s="14"/>
      <c r="V1546" s="15"/>
      <c r="W1546" s="16" t="n">
        <f aca="false">A1546</f>
        <v>0</v>
      </c>
      <c r="X1546" s="17" t="e">
        <f aca="false">ifs(C1546="","",X1546="",NOW(),TRUE(),X1546)</f>
        <v>#VALUE!</v>
      </c>
      <c r="Y1546" s="17" t="e">
        <f aca="false">ifs(COUNTA(K1546:U1549)&lt;44,"",Y1546="",NOW(),TRUE(),Y1546)</f>
        <v>#VALUE!</v>
      </c>
    </row>
    <row r="1547" customFormat="false" ht="15.75" hidden="false" customHeight="false" outlineLevel="0" collapsed="false">
      <c r="A1547" s="9"/>
      <c r="B1547" s="10"/>
      <c r="C1547" s="10"/>
      <c r="D1547" s="10"/>
      <c r="E1547" s="10"/>
      <c r="F1547" s="10"/>
      <c r="G1547" s="10"/>
      <c r="H1547" s="10"/>
      <c r="I1547" s="18" t="n">
        <v>2</v>
      </c>
      <c r="J1547" s="18"/>
      <c r="K1547" s="19"/>
      <c r="L1547" s="19"/>
      <c r="M1547" s="18"/>
      <c r="N1547" s="18"/>
      <c r="O1547" s="18"/>
      <c r="P1547" s="19"/>
      <c r="Q1547" s="19"/>
      <c r="R1547" s="18"/>
      <c r="S1547" s="18"/>
      <c r="T1547" s="18"/>
      <c r="U1547" s="20"/>
      <c r="V1547" s="21"/>
      <c r="W1547" s="16"/>
      <c r="X1547" s="16"/>
      <c r="Y1547" s="16"/>
    </row>
    <row r="1548" customFormat="false" ht="15.75" hidden="false" customHeight="false" outlineLevel="0" collapsed="false">
      <c r="A1548" s="9"/>
      <c r="B1548" s="10"/>
      <c r="C1548" s="10"/>
      <c r="D1548" s="10"/>
      <c r="E1548" s="10"/>
      <c r="F1548" s="10"/>
      <c r="G1548" s="10"/>
      <c r="H1548" s="10"/>
      <c r="I1548" s="22" t="n">
        <v>3</v>
      </c>
      <c r="J1548" s="22"/>
      <c r="K1548" s="23"/>
      <c r="L1548" s="23"/>
      <c r="M1548" s="22"/>
      <c r="N1548" s="22"/>
      <c r="O1548" s="22"/>
      <c r="P1548" s="23"/>
      <c r="Q1548" s="23"/>
      <c r="R1548" s="22"/>
      <c r="S1548" s="22"/>
      <c r="T1548" s="22"/>
      <c r="U1548" s="24"/>
      <c r="V1548" s="15"/>
      <c r="W1548" s="16"/>
      <c r="X1548" s="16"/>
      <c r="Y1548" s="16"/>
    </row>
    <row r="1549" customFormat="false" ht="15.75" hidden="false" customHeight="false" outlineLevel="0" collapsed="false">
      <c r="A1549" s="9"/>
      <c r="B1549" s="10"/>
      <c r="C1549" s="10"/>
      <c r="D1549" s="10"/>
      <c r="E1549" s="10"/>
      <c r="F1549" s="10"/>
      <c r="G1549" s="10"/>
      <c r="H1549" s="10"/>
      <c r="I1549" s="25" t="n">
        <v>4</v>
      </c>
      <c r="J1549" s="25"/>
      <c r="K1549" s="26"/>
      <c r="L1549" s="26"/>
      <c r="M1549" s="25"/>
      <c r="N1549" s="25"/>
      <c r="O1549" s="25"/>
      <c r="P1549" s="26"/>
      <c r="Q1549" s="26"/>
      <c r="R1549" s="25"/>
      <c r="S1549" s="25"/>
      <c r="T1549" s="25"/>
      <c r="U1549" s="27"/>
      <c r="V1549" s="21"/>
      <c r="W1549" s="16"/>
      <c r="X1549" s="16"/>
      <c r="Y1549" s="16"/>
    </row>
    <row r="1550" customFormat="false" ht="15.75" hidden="false" customHeight="false" outlineLevel="0" collapsed="false">
      <c r="A1550" s="9"/>
      <c r="B1550" s="10"/>
      <c r="C1550" s="11"/>
      <c r="D1550" s="10"/>
      <c r="E1550" s="10"/>
      <c r="F1550" s="10"/>
      <c r="G1550" s="10"/>
      <c r="H1550" s="10"/>
      <c r="I1550" s="12" t="n">
        <v>1</v>
      </c>
      <c r="J1550" s="12"/>
      <c r="K1550" s="13"/>
      <c r="L1550" s="13"/>
      <c r="M1550" s="12"/>
      <c r="N1550" s="12"/>
      <c r="O1550" s="12"/>
      <c r="P1550" s="13"/>
      <c r="Q1550" s="13"/>
      <c r="R1550" s="12"/>
      <c r="S1550" s="12"/>
      <c r="T1550" s="12"/>
      <c r="U1550" s="14"/>
      <c r="V1550" s="15"/>
      <c r="W1550" s="16" t="n">
        <f aca="false">A1550</f>
        <v>0</v>
      </c>
      <c r="X1550" s="17" t="e">
        <f aca="false">ifs(C1550="","",X1550="",NOW(),TRUE(),X1550)</f>
        <v>#VALUE!</v>
      </c>
      <c r="Y1550" s="17" t="e">
        <f aca="false">ifs(COUNTA(K1550:U1553)&lt;44,"",Y1550="",NOW(),TRUE(),Y1550)</f>
        <v>#VALUE!</v>
      </c>
    </row>
    <row r="1551" customFormat="false" ht="15.75" hidden="false" customHeight="false" outlineLevel="0" collapsed="false">
      <c r="A1551" s="9"/>
      <c r="B1551" s="10"/>
      <c r="C1551" s="10"/>
      <c r="D1551" s="10"/>
      <c r="E1551" s="10"/>
      <c r="F1551" s="10"/>
      <c r="G1551" s="10"/>
      <c r="H1551" s="10"/>
      <c r="I1551" s="18" t="n">
        <v>2</v>
      </c>
      <c r="J1551" s="18"/>
      <c r="K1551" s="19"/>
      <c r="L1551" s="19"/>
      <c r="M1551" s="18"/>
      <c r="N1551" s="18"/>
      <c r="O1551" s="18"/>
      <c r="P1551" s="19"/>
      <c r="Q1551" s="19"/>
      <c r="R1551" s="18"/>
      <c r="S1551" s="18"/>
      <c r="T1551" s="18"/>
      <c r="U1551" s="20"/>
      <c r="V1551" s="21"/>
      <c r="W1551" s="16"/>
      <c r="X1551" s="16"/>
      <c r="Y1551" s="16"/>
    </row>
    <row r="1552" customFormat="false" ht="15.75" hidden="false" customHeight="false" outlineLevel="0" collapsed="false">
      <c r="A1552" s="9"/>
      <c r="B1552" s="10"/>
      <c r="C1552" s="10"/>
      <c r="D1552" s="10"/>
      <c r="E1552" s="10"/>
      <c r="F1552" s="10"/>
      <c r="G1552" s="10"/>
      <c r="H1552" s="10"/>
      <c r="I1552" s="22" t="n">
        <v>3</v>
      </c>
      <c r="J1552" s="22"/>
      <c r="K1552" s="23"/>
      <c r="L1552" s="23"/>
      <c r="M1552" s="22"/>
      <c r="N1552" s="22"/>
      <c r="O1552" s="22"/>
      <c r="P1552" s="23"/>
      <c r="Q1552" s="23"/>
      <c r="R1552" s="22"/>
      <c r="S1552" s="22"/>
      <c r="T1552" s="22"/>
      <c r="U1552" s="24"/>
      <c r="V1552" s="15"/>
      <c r="W1552" s="16"/>
      <c r="X1552" s="16"/>
      <c r="Y1552" s="16"/>
    </row>
    <row r="1553" customFormat="false" ht="15.75" hidden="false" customHeight="false" outlineLevel="0" collapsed="false">
      <c r="A1553" s="9"/>
      <c r="B1553" s="10"/>
      <c r="C1553" s="10"/>
      <c r="D1553" s="10"/>
      <c r="E1553" s="10"/>
      <c r="F1553" s="10"/>
      <c r="G1553" s="10"/>
      <c r="H1553" s="10"/>
      <c r="I1553" s="25" t="n">
        <v>4</v>
      </c>
      <c r="J1553" s="25"/>
      <c r="K1553" s="26"/>
      <c r="L1553" s="26"/>
      <c r="M1553" s="25"/>
      <c r="N1553" s="25"/>
      <c r="O1553" s="25"/>
      <c r="P1553" s="26"/>
      <c r="Q1553" s="26"/>
      <c r="R1553" s="25"/>
      <c r="S1553" s="25"/>
      <c r="T1553" s="25"/>
      <c r="U1553" s="27"/>
      <c r="V1553" s="21"/>
      <c r="W1553" s="16"/>
      <c r="X1553" s="16"/>
      <c r="Y1553" s="16"/>
    </row>
    <row r="1554" customFormat="false" ht="15.75" hidden="false" customHeight="false" outlineLevel="0" collapsed="false">
      <c r="A1554" s="9"/>
      <c r="B1554" s="10"/>
      <c r="C1554" s="11"/>
      <c r="D1554" s="10"/>
      <c r="E1554" s="10"/>
      <c r="F1554" s="10"/>
      <c r="G1554" s="10"/>
      <c r="H1554" s="10"/>
      <c r="I1554" s="12" t="n">
        <v>1</v>
      </c>
      <c r="J1554" s="12"/>
      <c r="K1554" s="13"/>
      <c r="L1554" s="13"/>
      <c r="M1554" s="12"/>
      <c r="N1554" s="12"/>
      <c r="O1554" s="12"/>
      <c r="P1554" s="13"/>
      <c r="Q1554" s="13"/>
      <c r="R1554" s="12"/>
      <c r="S1554" s="12"/>
      <c r="T1554" s="12"/>
      <c r="U1554" s="14"/>
      <c r="V1554" s="15"/>
      <c r="W1554" s="16" t="n">
        <f aca="false">A1554</f>
        <v>0</v>
      </c>
      <c r="X1554" s="17" t="e">
        <f aca="false">ifs(C1554="","",X1554="",NOW(),TRUE(),X1554)</f>
        <v>#VALUE!</v>
      </c>
      <c r="Y1554" s="17" t="e">
        <f aca="false">ifs(COUNTA(K1554:U1557)&lt;44,"",Y1554="",NOW(),TRUE(),Y1554)</f>
        <v>#VALUE!</v>
      </c>
    </row>
    <row r="1555" customFormat="false" ht="15.75" hidden="false" customHeight="false" outlineLevel="0" collapsed="false">
      <c r="A1555" s="9"/>
      <c r="B1555" s="10"/>
      <c r="C1555" s="10"/>
      <c r="D1555" s="10"/>
      <c r="E1555" s="10"/>
      <c r="F1555" s="10"/>
      <c r="G1555" s="10"/>
      <c r="H1555" s="10"/>
      <c r="I1555" s="18" t="n">
        <v>2</v>
      </c>
      <c r="J1555" s="18"/>
      <c r="K1555" s="19"/>
      <c r="L1555" s="19"/>
      <c r="M1555" s="18"/>
      <c r="N1555" s="18"/>
      <c r="O1555" s="18"/>
      <c r="P1555" s="19"/>
      <c r="Q1555" s="19"/>
      <c r="R1555" s="18"/>
      <c r="S1555" s="18"/>
      <c r="T1555" s="18"/>
      <c r="U1555" s="20"/>
      <c r="V1555" s="21"/>
      <c r="W1555" s="16"/>
      <c r="X1555" s="16"/>
      <c r="Y1555" s="16"/>
    </row>
    <row r="1556" customFormat="false" ht="15.75" hidden="false" customHeight="false" outlineLevel="0" collapsed="false">
      <c r="A1556" s="9"/>
      <c r="B1556" s="10"/>
      <c r="C1556" s="10"/>
      <c r="D1556" s="10"/>
      <c r="E1556" s="10"/>
      <c r="F1556" s="10"/>
      <c r="G1556" s="10"/>
      <c r="H1556" s="10"/>
      <c r="I1556" s="22" t="n">
        <v>3</v>
      </c>
      <c r="J1556" s="22"/>
      <c r="K1556" s="23"/>
      <c r="L1556" s="23"/>
      <c r="M1556" s="22"/>
      <c r="N1556" s="22"/>
      <c r="O1556" s="22"/>
      <c r="P1556" s="23"/>
      <c r="Q1556" s="23"/>
      <c r="R1556" s="22"/>
      <c r="S1556" s="22"/>
      <c r="T1556" s="22"/>
      <c r="U1556" s="24"/>
      <c r="V1556" s="15"/>
      <c r="W1556" s="16"/>
      <c r="X1556" s="16"/>
      <c r="Y1556" s="16"/>
    </row>
    <row r="1557" customFormat="false" ht="15.75" hidden="false" customHeight="false" outlineLevel="0" collapsed="false">
      <c r="A1557" s="9"/>
      <c r="B1557" s="10"/>
      <c r="C1557" s="10"/>
      <c r="D1557" s="10"/>
      <c r="E1557" s="10"/>
      <c r="F1557" s="10"/>
      <c r="G1557" s="10"/>
      <c r="H1557" s="10"/>
      <c r="I1557" s="25" t="n">
        <v>4</v>
      </c>
      <c r="J1557" s="25"/>
      <c r="K1557" s="26"/>
      <c r="L1557" s="26"/>
      <c r="M1557" s="25"/>
      <c r="N1557" s="25"/>
      <c r="O1557" s="25"/>
      <c r="P1557" s="26"/>
      <c r="Q1557" s="26"/>
      <c r="R1557" s="25"/>
      <c r="S1557" s="25"/>
      <c r="T1557" s="25"/>
      <c r="U1557" s="27"/>
      <c r="V1557" s="21"/>
      <c r="W1557" s="16"/>
      <c r="X1557" s="16"/>
      <c r="Y1557" s="16"/>
    </row>
    <row r="1558" customFormat="false" ht="15.75" hidden="false" customHeight="false" outlineLevel="0" collapsed="false">
      <c r="A1558" s="9"/>
      <c r="B1558" s="10"/>
      <c r="C1558" s="11"/>
      <c r="D1558" s="10"/>
      <c r="E1558" s="10"/>
      <c r="F1558" s="10"/>
      <c r="G1558" s="10"/>
      <c r="H1558" s="10"/>
      <c r="I1558" s="12" t="n">
        <v>1</v>
      </c>
      <c r="J1558" s="12"/>
      <c r="K1558" s="13"/>
      <c r="L1558" s="13"/>
      <c r="M1558" s="12"/>
      <c r="N1558" s="12"/>
      <c r="O1558" s="12"/>
      <c r="P1558" s="13"/>
      <c r="Q1558" s="13"/>
      <c r="R1558" s="12"/>
      <c r="S1558" s="12"/>
      <c r="T1558" s="12"/>
      <c r="U1558" s="14"/>
      <c r="V1558" s="15"/>
      <c r="W1558" s="16" t="n">
        <f aca="false">A1558</f>
        <v>0</v>
      </c>
      <c r="X1558" s="17" t="e">
        <f aca="false">ifs(C1558="","",X1558="",NOW(),TRUE(),X1558)</f>
        <v>#VALUE!</v>
      </c>
      <c r="Y1558" s="17" t="e">
        <f aca="false">ifs(COUNTA(K1558:U1561)&lt;44,"",Y1558="",NOW(),TRUE(),Y1558)</f>
        <v>#VALUE!</v>
      </c>
    </row>
    <row r="1559" customFormat="false" ht="15.75" hidden="false" customHeight="false" outlineLevel="0" collapsed="false">
      <c r="A1559" s="9"/>
      <c r="B1559" s="10"/>
      <c r="C1559" s="10"/>
      <c r="D1559" s="10"/>
      <c r="E1559" s="10"/>
      <c r="F1559" s="10"/>
      <c r="G1559" s="10"/>
      <c r="H1559" s="10"/>
      <c r="I1559" s="18" t="n">
        <v>2</v>
      </c>
      <c r="J1559" s="18"/>
      <c r="K1559" s="19"/>
      <c r="L1559" s="19"/>
      <c r="M1559" s="18"/>
      <c r="N1559" s="18"/>
      <c r="O1559" s="18"/>
      <c r="P1559" s="19"/>
      <c r="Q1559" s="19"/>
      <c r="R1559" s="18"/>
      <c r="S1559" s="18"/>
      <c r="T1559" s="18"/>
      <c r="U1559" s="20"/>
      <c r="V1559" s="21"/>
      <c r="W1559" s="16"/>
      <c r="X1559" s="16"/>
      <c r="Y1559" s="16"/>
    </row>
    <row r="1560" customFormat="false" ht="15.75" hidden="false" customHeight="false" outlineLevel="0" collapsed="false">
      <c r="A1560" s="9"/>
      <c r="B1560" s="10"/>
      <c r="C1560" s="10"/>
      <c r="D1560" s="10"/>
      <c r="E1560" s="10"/>
      <c r="F1560" s="10"/>
      <c r="G1560" s="10"/>
      <c r="H1560" s="10"/>
      <c r="I1560" s="22" t="n">
        <v>3</v>
      </c>
      <c r="J1560" s="22"/>
      <c r="K1560" s="23"/>
      <c r="L1560" s="23"/>
      <c r="M1560" s="22"/>
      <c r="N1560" s="22"/>
      <c r="O1560" s="22"/>
      <c r="P1560" s="23"/>
      <c r="Q1560" s="23"/>
      <c r="R1560" s="22"/>
      <c r="S1560" s="22"/>
      <c r="T1560" s="22"/>
      <c r="U1560" s="24"/>
      <c r="V1560" s="15"/>
      <c r="W1560" s="16"/>
      <c r="X1560" s="16"/>
      <c r="Y1560" s="16"/>
    </row>
    <row r="1561" customFormat="false" ht="15.75" hidden="false" customHeight="false" outlineLevel="0" collapsed="false">
      <c r="A1561" s="9"/>
      <c r="B1561" s="10"/>
      <c r="C1561" s="10"/>
      <c r="D1561" s="10"/>
      <c r="E1561" s="10"/>
      <c r="F1561" s="10"/>
      <c r="G1561" s="10"/>
      <c r="H1561" s="10"/>
      <c r="I1561" s="25" t="n">
        <v>4</v>
      </c>
      <c r="J1561" s="25"/>
      <c r="K1561" s="26"/>
      <c r="L1561" s="26"/>
      <c r="M1561" s="25"/>
      <c r="N1561" s="25"/>
      <c r="O1561" s="25"/>
      <c r="P1561" s="26"/>
      <c r="Q1561" s="26"/>
      <c r="R1561" s="25"/>
      <c r="S1561" s="25"/>
      <c r="T1561" s="25"/>
      <c r="U1561" s="27"/>
      <c r="V1561" s="21"/>
      <c r="W1561" s="16"/>
      <c r="X1561" s="16"/>
      <c r="Y1561" s="16"/>
    </row>
    <row r="1562" customFormat="false" ht="15.75" hidden="false" customHeight="false" outlineLevel="0" collapsed="false">
      <c r="A1562" s="9"/>
      <c r="B1562" s="10"/>
      <c r="C1562" s="11"/>
      <c r="D1562" s="10"/>
      <c r="E1562" s="10"/>
      <c r="F1562" s="10"/>
      <c r="G1562" s="10"/>
      <c r="H1562" s="10"/>
      <c r="I1562" s="12" t="n">
        <v>1</v>
      </c>
      <c r="J1562" s="12"/>
      <c r="K1562" s="13"/>
      <c r="L1562" s="13"/>
      <c r="M1562" s="12"/>
      <c r="N1562" s="12"/>
      <c r="O1562" s="12"/>
      <c r="P1562" s="13"/>
      <c r="Q1562" s="13"/>
      <c r="R1562" s="12"/>
      <c r="S1562" s="12"/>
      <c r="T1562" s="12"/>
      <c r="U1562" s="14"/>
      <c r="V1562" s="15"/>
      <c r="W1562" s="16" t="n">
        <f aca="false">A1562</f>
        <v>0</v>
      </c>
      <c r="X1562" s="17" t="e">
        <f aca="false">ifs(C1562="","",X1562="",NOW(),TRUE(),X1562)</f>
        <v>#VALUE!</v>
      </c>
      <c r="Y1562" s="17" t="e">
        <f aca="false">ifs(COUNTA(K1562:U1565)&lt;44,"",Y1562="",NOW(),TRUE(),Y1562)</f>
        <v>#VALUE!</v>
      </c>
    </row>
    <row r="1563" customFormat="false" ht="15.75" hidden="false" customHeight="false" outlineLevel="0" collapsed="false">
      <c r="A1563" s="9"/>
      <c r="B1563" s="10"/>
      <c r="C1563" s="10"/>
      <c r="D1563" s="10"/>
      <c r="E1563" s="10"/>
      <c r="F1563" s="10"/>
      <c r="G1563" s="10"/>
      <c r="H1563" s="10"/>
      <c r="I1563" s="18" t="n">
        <v>2</v>
      </c>
      <c r="J1563" s="18"/>
      <c r="K1563" s="19"/>
      <c r="L1563" s="19"/>
      <c r="M1563" s="18"/>
      <c r="N1563" s="18"/>
      <c r="O1563" s="18"/>
      <c r="P1563" s="19"/>
      <c r="Q1563" s="19"/>
      <c r="R1563" s="18"/>
      <c r="S1563" s="18"/>
      <c r="T1563" s="18"/>
      <c r="U1563" s="20"/>
      <c r="V1563" s="21"/>
      <c r="W1563" s="16"/>
      <c r="X1563" s="16"/>
      <c r="Y1563" s="16"/>
    </row>
    <row r="1564" customFormat="false" ht="15.75" hidden="false" customHeight="false" outlineLevel="0" collapsed="false">
      <c r="A1564" s="9"/>
      <c r="B1564" s="10"/>
      <c r="C1564" s="10"/>
      <c r="D1564" s="10"/>
      <c r="E1564" s="10"/>
      <c r="F1564" s="10"/>
      <c r="G1564" s="10"/>
      <c r="H1564" s="10"/>
      <c r="I1564" s="22" t="n">
        <v>3</v>
      </c>
      <c r="J1564" s="22"/>
      <c r="K1564" s="23"/>
      <c r="L1564" s="23"/>
      <c r="M1564" s="22"/>
      <c r="N1564" s="22"/>
      <c r="O1564" s="22"/>
      <c r="P1564" s="23"/>
      <c r="Q1564" s="23"/>
      <c r="R1564" s="22"/>
      <c r="S1564" s="22"/>
      <c r="T1564" s="22"/>
      <c r="U1564" s="24"/>
      <c r="V1564" s="15"/>
      <c r="W1564" s="16"/>
      <c r="X1564" s="16"/>
      <c r="Y1564" s="16"/>
    </row>
    <row r="1565" customFormat="false" ht="15.75" hidden="false" customHeight="false" outlineLevel="0" collapsed="false">
      <c r="A1565" s="9"/>
      <c r="B1565" s="10"/>
      <c r="C1565" s="10"/>
      <c r="D1565" s="10"/>
      <c r="E1565" s="10"/>
      <c r="F1565" s="10"/>
      <c r="G1565" s="10"/>
      <c r="H1565" s="10"/>
      <c r="I1565" s="25" t="n">
        <v>4</v>
      </c>
      <c r="J1565" s="25"/>
      <c r="K1565" s="26"/>
      <c r="L1565" s="26"/>
      <c r="M1565" s="25"/>
      <c r="N1565" s="25"/>
      <c r="O1565" s="25"/>
      <c r="P1565" s="26"/>
      <c r="Q1565" s="26"/>
      <c r="R1565" s="25"/>
      <c r="S1565" s="25"/>
      <c r="T1565" s="25"/>
      <c r="U1565" s="27"/>
      <c r="V1565" s="21"/>
      <c r="W1565" s="16"/>
      <c r="X1565" s="16"/>
      <c r="Y1565" s="16"/>
    </row>
    <row r="1566" customFormat="false" ht="15.75" hidden="false" customHeight="false" outlineLevel="0" collapsed="false">
      <c r="A1566" s="9"/>
      <c r="B1566" s="10"/>
      <c r="C1566" s="11"/>
      <c r="D1566" s="10"/>
      <c r="E1566" s="10"/>
      <c r="F1566" s="10"/>
      <c r="G1566" s="10"/>
      <c r="H1566" s="10"/>
      <c r="I1566" s="12" t="n">
        <v>1</v>
      </c>
      <c r="J1566" s="12"/>
      <c r="K1566" s="13"/>
      <c r="L1566" s="13"/>
      <c r="M1566" s="12"/>
      <c r="N1566" s="12"/>
      <c r="O1566" s="12"/>
      <c r="P1566" s="13"/>
      <c r="Q1566" s="13"/>
      <c r="R1566" s="12"/>
      <c r="S1566" s="12"/>
      <c r="T1566" s="12"/>
      <c r="U1566" s="14"/>
      <c r="V1566" s="15"/>
      <c r="W1566" s="16" t="n">
        <f aca="false">A1566</f>
        <v>0</v>
      </c>
      <c r="X1566" s="17" t="e">
        <f aca="false">ifs(C1566="","",X1566="",NOW(),TRUE(),X1566)</f>
        <v>#VALUE!</v>
      </c>
      <c r="Y1566" s="17" t="e">
        <f aca="false">ifs(COUNTA(K1566:U1569)&lt;44,"",Y1566="",NOW(),TRUE(),Y1566)</f>
        <v>#VALUE!</v>
      </c>
    </row>
    <row r="1567" customFormat="false" ht="15.75" hidden="false" customHeight="false" outlineLevel="0" collapsed="false">
      <c r="A1567" s="9"/>
      <c r="B1567" s="10"/>
      <c r="C1567" s="10"/>
      <c r="D1567" s="10"/>
      <c r="E1567" s="10"/>
      <c r="F1567" s="10"/>
      <c r="G1567" s="10"/>
      <c r="H1567" s="10"/>
      <c r="I1567" s="18" t="n">
        <v>2</v>
      </c>
      <c r="J1567" s="18"/>
      <c r="K1567" s="19"/>
      <c r="L1567" s="19"/>
      <c r="M1567" s="18"/>
      <c r="N1567" s="18"/>
      <c r="O1567" s="18"/>
      <c r="P1567" s="19"/>
      <c r="Q1567" s="19"/>
      <c r="R1567" s="18"/>
      <c r="S1567" s="18"/>
      <c r="T1567" s="18"/>
      <c r="U1567" s="20"/>
      <c r="V1567" s="21"/>
      <c r="W1567" s="16"/>
      <c r="X1567" s="16"/>
      <c r="Y1567" s="16"/>
    </row>
    <row r="1568" customFormat="false" ht="15.75" hidden="false" customHeight="false" outlineLevel="0" collapsed="false">
      <c r="A1568" s="9"/>
      <c r="B1568" s="10"/>
      <c r="C1568" s="10"/>
      <c r="D1568" s="10"/>
      <c r="E1568" s="10"/>
      <c r="F1568" s="10"/>
      <c r="G1568" s="10"/>
      <c r="H1568" s="10"/>
      <c r="I1568" s="22" t="n">
        <v>3</v>
      </c>
      <c r="J1568" s="22"/>
      <c r="K1568" s="23"/>
      <c r="L1568" s="23"/>
      <c r="M1568" s="22"/>
      <c r="N1568" s="22"/>
      <c r="O1568" s="22"/>
      <c r="P1568" s="23"/>
      <c r="Q1568" s="23"/>
      <c r="R1568" s="22"/>
      <c r="S1568" s="22"/>
      <c r="T1568" s="22"/>
      <c r="U1568" s="24"/>
      <c r="V1568" s="15"/>
      <c r="W1568" s="16"/>
      <c r="X1568" s="16"/>
      <c r="Y1568" s="16"/>
    </row>
    <row r="1569" customFormat="false" ht="15.75" hidden="false" customHeight="false" outlineLevel="0" collapsed="false">
      <c r="A1569" s="9"/>
      <c r="B1569" s="10"/>
      <c r="C1569" s="10"/>
      <c r="D1569" s="10"/>
      <c r="E1569" s="10"/>
      <c r="F1569" s="10"/>
      <c r="G1569" s="10"/>
      <c r="H1569" s="10"/>
      <c r="I1569" s="25" t="n">
        <v>4</v>
      </c>
      <c r="J1569" s="25"/>
      <c r="K1569" s="26"/>
      <c r="L1569" s="26"/>
      <c r="M1569" s="25"/>
      <c r="N1569" s="25"/>
      <c r="O1569" s="25"/>
      <c r="P1569" s="26"/>
      <c r="Q1569" s="26"/>
      <c r="R1569" s="25"/>
      <c r="S1569" s="25"/>
      <c r="T1569" s="25"/>
      <c r="U1569" s="27"/>
      <c r="V1569" s="21"/>
      <c r="W1569" s="16"/>
      <c r="X1569" s="16"/>
      <c r="Y1569" s="16"/>
    </row>
    <row r="1570" customFormat="false" ht="15.75" hidden="false" customHeight="false" outlineLevel="0" collapsed="false">
      <c r="A1570" s="9"/>
      <c r="B1570" s="10"/>
      <c r="C1570" s="11"/>
      <c r="D1570" s="10"/>
      <c r="E1570" s="10"/>
      <c r="F1570" s="10"/>
      <c r="G1570" s="10"/>
      <c r="H1570" s="10"/>
      <c r="I1570" s="12" t="n">
        <v>1</v>
      </c>
      <c r="J1570" s="12"/>
      <c r="K1570" s="13"/>
      <c r="L1570" s="13"/>
      <c r="M1570" s="12"/>
      <c r="N1570" s="12"/>
      <c r="O1570" s="12"/>
      <c r="P1570" s="13"/>
      <c r="Q1570" s="13"/>
      <c r="R1570" s="12"/>
      <c r="S1570" s="12"/>
      <c r="T1570" s="12"/>
      <c r="U1570" s="14"/>
      <c r="V1570" s="15"/>
      <c r="W1570" s="16" t="n">
        <f aca="false">A1570</f>
        <v>0</v>
      </c>
      <c r="X1570" s="17" t="e">
        <f aca="false">ifs(C1570="","",X1570="",NOW(),TRUE(),X1570)</f>
        <v>#VALUE!</v>
      </c>
      <c r="Y1570" s="17" t="e">
        <f aca="false">ifs(COUNTA(K1570:U1573)&lt;44,"",Y1570="",NOW(),TRUE(),Y1570)</f>
        <v>#VALUE!</v>
      </c>
    </row>
    <row r="1571" customFormat="false" ht="15.75" hidden="false" customHeight="false" outlineLevel="0" collapsed="false">
      <c r="A1571" s="9"/>
      <c r="B1571" s="10"/>
      <c r="C1571" s="10"/>
      <c r="D1571" s="10"/>
      <c r="E1571" s="10"/>
      <c r="F1571" s="10"/>
      <c r="G1571" s="10"/>
      <c r="H1571" s="10"/>
      <c r="I1571" s="18" t="n">
        <v>2</v>
      </c>
      <c r="J1571" s="18"/>
      <c r="K1571" s="19"/>
      <c r="L1571" s="19"/>
      <c r="M1571" s="18"/>
      <c r="N1571" s="18"/>
      <c r="O1571" s="18"/>
      <c r="P1571" s="19"/>
      <c r="Q1571" s="19"/>
      <c r="R1571" s="18"/>
      <c r="S1571" s="18"/>
      <c r="T1571" s="18"/>
      <c r="U1571" s="20"/>
      <c r="V1571" s="21"/>
      <c r="W1571" s="16"/>
      <c r="X1571" s="16"/>
      <c r="Y1571" s="16"/>
    </row>
    <row r="1572" customFormat="false" ht="15.75" hidden="false" customHeight="false" outlineLevel="0" collapsed="false">
      <c r="A1572" s="9"/>
      <c r="B1572" s="10"/>
      <c r="C1572" s="10"/>
      <c r="D1572" s="10"/>
      <c r="E1572" s="10"/>
      <c r="F1572" s="10"/>
      <c r="G1572" s="10"/>
      <c r="H1572" s="10"/>
      <c r="I1572" s="22" t="n">
        <v>3</v>
      </c>
      <c r="J1572" s="22"/>
      <c r="K1572" s="23"/>
      <c r="L1572" s="23"/>
      <c r="M1572" s="22"/>
      <c r="N1572" s="22"/>
      <c r="O1572" s="22"/>
      <c r="P1572" s="23"/>
      <c r="Q1572" s="23"/>
      <c r="R1572" s="22"/>
      <c r="S1572" s="22"/>
      <c r="T1572" s="22"/>
      <c r="U1572" s="24"/>
      <c r="V1572" s="15"/>
      <c r="W1572" s="16"/>
      <c r="X1572" s="16"/>
      <c r="Y1572" s="16"/>
    </row>
    <row r="1573" customFormat="false" ht="15.75" hidden="false" customHeight="false" outlineLevel="0" collapsed="false">
      <c r="A1573" s="9"/>
      <c r="B1573" s="10"/>
      <c r="C1573" s="10"/>
      <c r="D1573" s="10"/>
      <c r="E1573" s="10"/>
      <c r="F1573" s="10"/>
      <c r="G1573" s="10"/>
      <c r="H1573" s="10"/>
      <c r="I1573" s="25" t="n">
        <v>4</v>
      </c>
      <c r="J1573" s="25"/>
      <c r="K1573" s="26"/>
      <c r="L1573" s="26"/>
      <c r="M1573" s="25"/>
      <c r="N1573" s="25"/>
      <c r="O1573" s="25"/>
      <c r="P1573" s="26"/>
      <c r="Q1573" s="26"/>
      <c r="R1573" s="25"/>
      <c r="S1573" s="25"/>
      <c r="T1573" s="25"/>
      <c r="U1573" s="27"/>
      <c r="V1573" s="21"/>
      <c r="W1573" s="16"/>
      <c r="X1573" s="16"/>
      <c r="Y1573" s="16"/>
    </row>
    <row r="1574" customFormat="false" ht="15.75" hidden="false" customHeight="false" outlineLevel="0" collapsed="false">
      <c r="A1574" s="9"/>
      <c r="B1574" s="10"/>
      <c r="C1574" s="11"/>
      <c r="D1574" s="10"/>
      <c r="E1574" s="10"/>
      <c r="F1574" s="10"/>
      <c r="G1574" s="10"/>
      <c r="H1574" s="10"/>
      <c r="I1574" s="12" t="n">
        <v>1</v>
      </c>
      <c r="J1574" s="12"/>
      <c r="K1574" s="13"/>
      <c r="L1574" s="13"/>
      <c r="M1574" s="12"/>
      <c r="N1574" s="12"/>
      <c r="O1574" s="12"/>
      <c r="P1574" s="13"/>
      <c r="Q1574" s="13"/>
      <c r="R1574" s="12"/>
      <c r="S1574" s="12"/>
      <c r="T1574" s="12"/>
      <c r="U1574" s="14"/>
      <c r="V1574" s="15"/>
      <c r="W1574" s="16" t="n">
        <f aca="false">A1574</f>
        <v>0</v>
      </c>
      <c r="X1574" s="17" t="e">
        <f aca="false">ifs(C1574="","",X1574="",NOW(),TRUE(),X1574)</f>
        <v>#VALUE!</v>
      </c>
      <c r="Y1574" s="17" t="e">
        <f aca="false">ifs(COUNTA(K1574:U1577)&lt;44,"",Y1574="",NOW(),TRUE(),Y1574)</f>
        <v>#VALUE!</v>
      </c>
    </row>
    <row r="1575" customFormat="false" ht="15.75" hidden="false" customHeight="false" outlineLevel="0" collapsed="false">
      <c r="A1575" s="9"/>
      <c r="B1575" s="10"/>
      <c r="C1575" s="10"/>
      <c r="D1575" s="10"/>
      <c r="E1575" s="10"/>
      <c r="F1575" s="10"/>
      <c r="G1575" s="10"/>
      <c r="H1575" s="10"/>
      <c r="I1575" s="18" t="n">
        <v>2</v>
      </c>
      <c r="J1575" s="18"/>
      <c r="K1575" s="19"/>
      <c r="L1575" s="19"/>
      <c r="M1575" s="18"/>
      <c r="N1575" s="18"/>
      <c r="O1575" s="18"/>
      <c r="P1575" s="19"/>
      <c r="Q1575" s="19"/>
      <c r="R1575" s="18"/>
      <c r="S1575" s="18"/>
      <c r="T1575" s="18"/>
      <c r="U1575" s="20"/>
      <c r="V1575" s="21"/>
      <c r="W1575" s="16"/>
      <c r="X1575" s="16"/>
      <c r="Y1575" s="16"/>
    </row>
    <row r="1576" customFormat="false" ht="15.75" hidden="false" customHeight="false" outlineLevel="0" collapsed="false">
      <c r="A1576" s="9"/>
      <c r="B1576" s="10"/>
      <c r="C1576" s="10"/>
      <c r="D1576" s="10"/>
      <c r="E1576" s="10"/>
      <c r="F1576" s="10"/>
      <c r="G1576" s="10"/>
      <c r="H1576" s="10"/>
      <c r="I1576" s="22" t="n">
        <v>3</v>
      </c>
      <c r="J1576" s="22"/>
      <c r="K1576" s="23"/>
      <c r="L1576" s="23"/>
      <c r="M1576" s="22"/>
      <c r="N1576" s="22"/>
      <c r="O1576" s="22"/>
      <c r="P1576" s="23"/>
      <c r="Q1576" s="23"/>
      <c r="R1576" s="22"/>
      <c r="S1576" s="22"/>
      <c r="T1576" s="22"/>
      <c r="U1576" s="24"/>
      <c r="V1576" s="15"/>
      <c r="W1576" s="16"/>
      <c r="X1576" s="16"/>
      <c r="Y1576" s="16"/>
    </row>
    <row r="1577" customFormat="false" ht="15.75" hidden="false" customHeight="false" outlineLevel="0" collapsed="false">
      <c r="A1577" s="9"/>
      <c r="B1577" s="10"/>
      <c r="C1577" s="10"/>
      <c r="D1577" s="10"/>
      <c r="E1577" s="10"/>
      <c r="F1577" s="10"/>
      <c r="G1577" s="10"/>
      <c r="H1577" s="10"/>
      <c r="I1577" s="25" t="n">
        <v>4</v>
      </c>
      <c r="J1577" s="25"/>
      <c r="K1577" s="26"/>
      <c r="L1577" s="26"/>
      <c r="M1577" s="25"/>
      <c r="N1577" s="25"/>
      <c r="O1577" s="25"/>
      <c r="P1577" s="26"/>
      <c r="Q1577" s="26"/>
      <c r="R1577" s="25"/>
      <c r="S1577" s="25"/>
      <c r="T1577" s="25"/>
      <c r="U1577" s="27"/>
      <c r="V1577" s="21"/>
      <c r="W1577" s="16"/>
      <c r="X1577" s="16"/>
      <c r="Y1577" s="16"/>
    </row>
    <row r="1578" customFormat="false" ht="15.75" hidden="false" customHeight="false" outlineLevel="0" collapsed="false">
      <c r="A1578" s="9"/>
      <c r="B1578" s="10"/>
      <c r="C1578" s="11"/>
      <c r="D1578" s="10"/>
      <c r="E1578" s="10"/>
      <c r="F1578" s="10"/>
      <c r="G1578" s="10"/>
      <c r="H1578" s="10"/>
      <c r="I1578" s="12" t="n">
        <v>1</v>
      </c>
      <c r="J1578" s="12"/>
      <c r="K1578" s="13"/>
      <c r="L1578" s="13"/>
      <c r="M1578" s="12"/>
      <c r="N1578" s="12"/>
      <c r="O1578" s="12"/>
      <c r="P1578" s="13"/>
      <c r="Q1578" s="13"/>
      <c r="R1578" s="12"/>
      <c r="S1578" s="12"/>
      <c r="T1578" s="12"/>
      <c r="U1578" s="14"/>
      <c r="V1578" s="15"/>
      <c r="W1578" s="16" t="n">
        <f aca="false">A1578</f>
        <v>0</v>
      </c>
      <c r="X1578" s="17" t="e">
        <f aca="false">ifs(C1578="","",X1578="",NOW(),TRUE(),X1578)</f>
        <v>#VALUE!</v>
      </c>
      <c r="Y1578" s="17" t="e">
        <f aca="false">ifs(COUNTA(K1578:U1581)&lt;44,"",Y1578="",NOW(),TRUE(),Y1578)</f>
        <v>#VALUE!</v>
      </c>
    </row>
    <row r="1579" customFormat="false" ht="15.75" hidden="false" customHeight="false" outlineLevel="0" collapsed="false">
      <c r="A1579" s="9"/>
      <c r="B1579" s="10"/>
      <c r="C1579" s="10"/>
      <c r="D1579" s="10"/>
      <c r="E1579" s="10"/>
      <c r="F1579" s="10"/>
      <c r="G1579" s="10"/>
      <c r="H1579" s="10"/>
      <c r="I1579" s="18" t="n">
        <v>2</v>
      </c>
      <c r="J1579" s="18"/>
      <c r="K1579" s="19"/>
      <c r="L1579" s="19"/>
      <c r="M1579" s="18"/>
      <c r="N1579" s="18"/>
      <c r="O1579" s="18"/>
      <c r="P1579" s="19"/>
      <c r="Q1579" s="19"/>
      <c r="R1579" s="18"/>
      <c r="S1579" s="18"/>
      <c r="T1579" s="18"/>
      <c r="U1579" s="20"/>
      <c r="V1579" s="21"/>
      <c r="W1579" s="16"/>
      <c r="X1579" s="16"/>
      <c r="Y1579" s="16"/>
    </row>
    <row r="1580" customFormat="false" ht="15.75" hidden="false" customHeight="false" outlineLevel="0" collapsed="false">
      <c r="A1580" s="9"/>
      <c r="B1580" s="10"/>
      <c r="C1580" s="10"/>
      <c r="D1580" s="10"/>
      <c r="E1580" s="10"/>
      <c r="F1580" s="10"/>
      <c r="G1580" s="10"/>
      <c r="H1580" s="10"/>
      <c r="I1580" s="22" t="n">
        <v>3</v>
      </c>
      <c r="J1580" s="22"/>
      <c r="K1580" s="23"/>
      <c r="L1580" s="23"/>
      <c r="M1580" s="22"/>
      <c r="N1580" s="22"/>
      <c r="O1580" s="22"/>
      <c r="P1580" s="23"/>
      <c r="Q1580" s="23"/>
      <c r="R1580" s="22"/>
      <c r="S1580" s="22"/>
      <c r="T1580" s="22"/>
      <c r="U1580" s="24"/>
      <c r="V1580" s="15"/>
      <c r="W1580" s="16"/>
      <c r="X1580" s="16"/>
      <c r="Y1580" s="16"/>
    </row>
    <row r="1581" customFormat="false" ht="15.75" hidden="false" customHeight="false" outlineLevel="0" collapsed="false">
      <c r="A1581" s="9"/>
      <c r="B1581" s="10"/>
      <c r="C1581" s="10"/>
      <c r="D1581" s="10"/>
      <c r="E1581" s="10"/>
      <c r="F1581" s="10"/>
      <c r="G1581" s="10"/>
      <c r="H1581" s="10"/>
      <c r="I1581" s="25" t="n">
        <v>4</v>
      </c>
      <c r="J1581" s="25"/>
      <c r="K1581" s="26"/>
      <c r="L1581" s="26"/>
      <c r="M1581" s="25"/>
      <c r="N1581" s="25"/>
      <c r="O1581" s="25"/>
      <c r="P1581" s="26"/>
      <c r="Q1581" s="26"/>
      <c r="R1581" s="25"/>
      <c r="S1581" s="25"/>
      <c r="T1581" s="25"/>
      <c r="U1581" s="27"/>
      <c r="V1581" s="21"/>
      <c r="W1581" s="16"/>
      <c r="X1581" s="16"/>
      <c r="Y1581" s="16"/>
    </row>
    <row r="1582" customFormat="false" ht="15.75" hidden="false" customHeight="false" outlineLevel="0" collapsed="false">
      <c r="A1582" s="9"/>
      <c r="B1582" s="10"/>
      <c r="C1582" s="11"/>
      <c r="D1582" s="10"/>
      <c r="E1582" s="10"/>
      <c r="F1582" s="10"/>
      <c r="G1582" s="10"/>
      <c r="H1582" s="10"/>
      <c r="I1582" s="12" t="n">
        <v>1</v>
      </c>
      <c r="J1582" s="12"/>
      <c r="K1582" s="13"/>
      <c r="L1582" s="13"/>
      <c r="M1582" s="12"/>
      <c r="N1582" s="12"/>
      <c r="O1582" s="12"/>
      <c r="P1582" s="13"/>
      <c r="Q1582" s="13"/>
      <c r="R1582" s="12"/>
      <c r="S1582" s="12"/>
      <c r="T1582" s="12"/>
      <c r="U1582" s="14"/>
      <c r="V1582" s="15"/>
      <c r="W1582" s="16" t="n">
        <f aca="false">A1582</f>
        <v>0</v>
      </c>
      <c r="X1582" s="17" t="e">
        <f aca="false">ifs(C1582="","",X1582="",NOW(),TRUE(),X1582)</f>
        <v>#VALUE!</v>
      </c>
      <c r="Y1582" s="17" t="e">
        <f aca="false">ifs(COUNTA(K1582:U1585)&lt;44,"",Y1582="",NOW(),TRUE(),Y1582)</f>
        <v>#VALUE!</v>
      </c>
    </row>
    <row r="1583" customFormat="false" ht="15.75" hidden="false" customHeight="false" outlineLevel="0" collapsed="false">
      <c r="A1583" s="9"/>
      <c r="B1583" s="10"/>
      <c r="C1583" s="10"/>
      <c r="D1583" s="10"/>
      <c r="E1583" s="10"/>
      <c r="F1583" s="10"/>
      <c r="G1583" s="10"/>
      <c r="H1583" s="10"/>
      <c r="I1583" s="18" t="n">
        <v>2</v>
      </c>
      <c r="J1583" s="18"/>
      <c r="K1583" s="19"/>
      <c r="L1583" s="19"/>
      <c r="M1583" s="18"/>
      <c r="N1583" s="18"/>
      <c r="O1583" s="18"/>
      <c r="P1583" s="19"/>
      <c r="Q1583" s="19"/>
      <c r="R1583" s="18"/>
      <c r="S1583" s="18"/>
      <c r="T1583" s="18"/>
      <c r="U1583" s="20"/>
      <c r="V1583" s="21"/>
      <c r="W1583" s="16"/>
      <c r="X1583" s="16"/>
      <c r="Y1583" s="16"/>
    </row>
    <row r="1584" customFormat="false" ht="15.75" hidden="false" customHeight="false" outlineLevel="0" collapsed="false">
      <c r="A1584" s="9"/>
      <c r="B1584" s="10"/>
      <c r="C1584" s="10"/>
      <c r="D1584" s="10"/>
      <c r="E1584" s="10"/>
      <c r="F1584" s="10"/>
      <c r="G1584" s="10"/>
      <c r="H1584" s="10"/>
      <c r="I1584" s="22" t="n">
        <v>3</v>
      </c>
      <c r="J1584" s="22"/>
      <c r="K1584" s="23"/>
      <c r="L1584" s="23"/>
      <c r="M1584" s="22"/>
      <c r="N1584" s="22"/>
      <c r="O1584" s="22"/>
      <c r="P1584" s="23"/>
      <c r="Q1584" s="23"/>
      <c r="R1584" s="22"/>
      <c r="S1584" s="22"/>
      <c r="T1584" s="22"/>
      <c r="U1584" s="24"/>
      <c r="V1584" s="15"/>
      <c r="W1584" s="16"/>
      <c r="X1584" s="16"/>
      <c r="Y1584" s="16"/>
    </row>
    <row r="1585" customFormat="false" ht="15.75" hidden="false" customHeight="false" outlineLevel="0" collapsed="false">
      <c r="A1585" s="9"/>
      <c r="B1585" s="10"/>
      <c r="C1585" s="10"/>
      <c r="D1585" s="10"/>
      <c r="E1585" s="10"/>
      <c r="F1585" s="10"/>
      <c r="G1585" s="10"/>
      <c r="H1585" s="10"/>
      <c r="I1585" s="25" t="n">
        <v>4</v>
      </c>
      <c r="J1585" s="25"/>
      <c r="K1585" s="26"/>
      <c r="L1585" s="26"/>
      <c r="M1585" s="25"/>
      <c r="N1585" s="25"/>
      <c r="O1585" s="25"/>
      <c r="P1585" s="26"/>
      <c r="Q1585" s="26"/>
      <c r="R1585" s="25"/>
      <c r="S1585" s="25"/>
      <c r="T1585" s="25"/>
      <c r="U1585" s="27"/>
      <c r="V1585" s="21"/>
      <c r="W1585" s="16"/>
      <c r="X1585" s="16"/>
      <c r="Y1585" s="16"/>
    </row>
    <row r="1586" customFormat="false" ht="15.75" hidden="false" customHeight="false" outlineLevel="0" collapsed="false">
      <c r="A1586" s="9"/>
      <c r="B1586" s="10"/>
      <c r="C1586" s="11"/>
      <c r="D1586" s="10"/>
      <c r="E1586" s="10"/>
      <c r="F1586" s="10"/>
      <c r="G1586" s="10"/>
      <c r="H1586" s="10"/>
      <c r="I1586" s="12" t="n">
        <v>1</v>
      </c>
      <c r="J1586" s="12"/>
      <c r="K1586" s="13"/>
      <c r="L1586" s="13"/>
      <c r="M1586" s="12"/>
      <c r="N1586" s="12"/>
      <c r="O1586" s="12"/>
      <c r="P1586" s="13"/>
      <c r="Q1586" s="13"/>
      <c r="R1586" s="12"/>
      <c r="S1586" s="12"/>
      <c r="T1586" s="12"/>
      <c r="U1586" s="14"/>
      <c r="V1586" s="15"/>
      <c r="W1586" s="16" t="n">
        <f aca="false">A1586</f>
        <v>0</v>
      </c>
      <c r="X1586" s="17" t="e">
        <f aca="false">ifs(C1586="","",X1586="",NOW(),TRUE(),X1586)</f>
        <v>#VALUE!</v>
      </c>
      <c r="Y1586" s="17" t="e">
        <f aca="false">ifs(COUNTA(K1586:U1589)&lt;44,"",Y1586="",NOW(),TRUE(),Y1586)</f>
        <v>#VALUE!</v>
      </c>
    </row>
    <row r="1587" customFormat="false" ht="15.75" hidden="false" customHeight="false" outlineLevel="0" collapsed="false">
      <c r="A1587" s="9"/>
      <c r="B1587" s="10"/>
      <c r="C1587" s="10"/>
      <c r="D1587" s="10"/>
      <c r="E1587" s="10"/>
      <c r="F1587" s="10"/>
      <c r="G1587" s="10"/>
      <c r="H1587" s="10"/>
      <c r="I1587" s="18" t="n">
        <v>2</v>
      </c>
      <c r="J1587" s="18"/>
      <c r="K1587" s="19"/>
      <c r="L1587" s="19"/>
      <c r="M1587" s="18"/>
      <c r="N1587" s="18"/>
      <c r="O1587" s="18"/>
      <c r="P1587" s="19"/>
      <c r="Q1587" s="19"/>
      <c r="R1587" s="18"/>
      <c r="S1587" s="18"/>
      <c r="T1587" s="18"/>
      <c r="U1587" s="20"/>
      <c r="V1587" s="21"/>
      <c r="W1587" s="16"/>
      <c r="X1587" s="16"/>
      <c r="Y1587" s="16"/>
    </row>
    <row r="1588" customFormat="false" ht="15.75" hidden="false" customHeight="false" outlineLevel="0" collapsed="false">
      <c r="A1588" s="9"/>
      <c r="B1588" s="10"/>
      <c r="C1588" s="10"/>
      <c r="D1588" s="10"/>
      <c r="E1588" s="10"/>
      <c r="F1588" s="10"/>
      <c r="G1588" s="10"/>
      <c r="H1588" s="10"/>
      <c r="I1588" s="22" t="n">
        <v>3</v>
      </c>
      <c r="J1588" s="22"/>
      <c r="K1588" s="23"/>
      <c r="L1588" s="23"/>
      <c r="M1588" s="22"/>
      <c r="N1588" s="22"/>
      <c r="O1588" s="22"/>
      <c r="P1588" s="23"/>
      <c r="Q1588" s="23"/>
      <c r="R1588" s="22"/>
      <c r="S1588" s="22"/>
      <c r="T1588" s="22"/>
      <c r="U1588" s="24"/>
      <c r="V1588" s="15"/>
      <c r="W1588" s="16"/>
      <c r="X1588" s="16"/>
      <c r="Y1588" s="16"/>
    </row>
    <row r="1589" customFormat="false" ht="15.75" hidden="false" customHeight="false" outlineLevel="0" collapsed="false">
      <c r="A1589" s="9"/>
      <c r="B1589" s="10"/>
      <c r="C1589" s="10"/>
      <c r="D1589" s="10"/>
      <c r="E1589" s="10"/>
      <c r="F1589" s="10"/>
      <c r="G1589" s="10"/>
      <c r="H1589" s="10"/>
      <c r="I1589" s="25" t="n">
        <v>4</v>
      </c>
      <c r="J1589" s="25"/>
      <c r="K1589" s="26"/>
      <c r="L1589" s="26"/>
      <c r="M1589" s="25"/>
      <c r="N1589" s="25"/>
      <c r="O1589" s="25"/>
      <c r="P1589" s="26"/>
      <c r="Q1589" s="26"/>
      <c r="R1589" s="25"/>
      <c r="S1589" s="25"/>
      <c r="T1589" s="25"/>
      <c r="U1589" s="27"/>
      <c r="V1589" s="21"/>
      <c r="W1589" s="16"/>
      <c r="X1589" s="16"/>
      <c r="Y1589" s="16"/>
    </row>
    <row r="1590" customFormat="false" ht="15.75" hidden="false" customHeight="false" outlineLevel="0" collapsed="false">
      <c r="A1590" s="9"/>
      <c r="B1590" s="10"/>
      <c r="C1590" s="11"/>
      <c r="D1590" s="10"/>
      <c r="E1590" s="10"/>
      <c r="F1590" s="10"/>
      <c r="G1590" s="10"/>
      <c r="H1590" s="10"/>
      <c r="I1590" s="12" t="n">
        <v>1</v>
      </c>
      <c r="J1590" s="12"/>
      <c r="K1590" s="13"/>
      <c r="L1590" s="13"/>
      <c r="M1590" s="12"/>
      <c r="N1590" s="12"/>
      <c r="O1590" s="12"/>
      <c r="P1590" s="13"/>
      <c r="Q1590" s="13"/>
      <c r="R1590" s="12"/>
      <c r="S1590" s="12"/>
      <c r="T1590" s="12"/>
      <c r="U1590" s="14"/>
      <c r="V1590" s="15"/>
      <c r="W1590" s="16" t="n">
        <f aca="false">A1590</f>
        <v>0</v>
      </c>
      <c r="X1590" s="17" t="e">
        <f aca="false">ifs(C1590="","",X1590="",NOW(),TRUE(),X1590)</f>
        <v>#VALUE!</v>
      </c>
      <c r="Y1590" s="17" t="e">
        <f aca="false">ifs(COUNTA(K1590:U1593)&lt;44,"",Y1590="",NOW(),TRUE(),Y1590)</f>
        <v>#VALUE!</v>
      </c>
    </row>
    <row r="1591" customFormat="false" ht="15.75" hidden="false" customHeight="false" outlineLevel="0" collapsed="false">
      <c r="A1591" s="9"/>
      <c r="B1591" s="10"/>
      <c r="C1591" s="10"/>
      <c r="D1591" s="10"/>
      <c r="E1591" s="10"/>
      <c r="F1591" s="10"/>
      <c r="G1591" s="10"/>
      <c r="H1591" s="10"/>
      <c r="I1591" s="18" t="n">
        <v>2</v>
      </c>
      <c r="J1591" s="18"/>
      <c r="K1591" s="19"/>
      <c r="L1591" s="19"/>
      <c r="M1591" s="18"/>
      <c r="N1591" s="18"/>
      <c r="O1591" s="18"/>
      <c r="P1591" s="19"/>
      <c r="Q1591" s="19"/>
      <c r="R1591" s="18"/>
      <c r="S1591" s="18"/>
      <c r="T1591" s="18"/>
      <c r="U1591" s="20"/>
      <c r="V1591" s="21"/>
      <c r="W1591" s="16"/>
      <c r="X1591" s="16"/>
      <c r="Y1591" s="16"/>
    </row>
    <row r="1592" customFormat="false" ht="15.75" hidden="false" customHeight="false" outlineLevel="0" collapsed="false">
      <c r="A1592" s="9"/>
      <c r="B1592" s="10"/>
      <c r="C1592" s="10"/>
      <c r="D1592" s="10"/>
      <c r="E1592" s="10"/>
      <c r="F1592" s="10"/>
      <c r="G1592" s="10"/>
      <c r="H1592" s="10"/>
      <c r="I1592" s="22" t="n">
        <v>3</v>
      </c>
      <c r="J1592" s="22"/>
      <c r="K1592" s="23"/>
      <c r="L1592" s="23"/>
      <c r="M1592" s="22"/>
      <c r="N1592" s="22"/>
      <c r="O1592" s="22"/>
      <c r="P1592" s="23"/>
      <c r="Q1592" s="23"/>
      <c r="R1592" s="22"/>
      <c r="S1592" s="22"/>
      <c r="T1592" s="22"/>
      <c r="U1592" s="24"/>
      <c r="V1592" s="15"/>
      <c r="W1592" s="16"/>
      <c r="X1592" s="16"/>
      <c r="Y1592" s="16"/>
    </row>
    <row r="1593" customFormat="false" ht="15.75" hidden="false" customHeight="false" outlineLevel="0" collapsed="false">
      <c r="A1593" s="9"/>
      <c r="B1593" s="10"/>
      <c r="C1593" s="10"/>
      <c r="D1593" s="10"/>
      <c r="E1593" s="10"/>
      <c r="F1593" s="10"/>
      <c r="G1593" s="10"/>
      <c r="H1593" s="10"/>
      <c r="I1593" s="25" t="n">
        <v>4</v>
      </c>
      <c r="J1593" s="25"/>
      <c r="K1593" s="26"/>
      <c r="L1593" s="26"/>
      <c r="M1593" s="25"/>
      <c r="N1593" s="25"/>
      <c r="O1593" s="25"/>
      <c r="P1593" s="26"/>
      <c r="Q1593" s="26"/>
      <c r="R1593" s="25"/>
      <c r="S1593" s="25"/>
      <c r="T1593" s="25"/>
      <c r="U1593" s="27"/>
      <c r="V1593" s="21"/>
      <c r="W1593" s="16"/>
      <c r="X1593" s="16"/>
      <c r="Y1593" s="16"/>
    </row>
    <row r="1594" customFormat="false" ht="15.75" hidden="false" customHeight="false" outlineLevel="0" collapsed="false">
      <c r="A1594" s="9"/>
      <c r="B1594" s="10"/>
      <c r="C1594" s="11"/>
      <c r="D1594" s="10"/>
      <c r="E1594" s="10"/>
      <c r="F1594" s="10"/>
      <c r="G1594" s="10"/>
      <c r="H1594" s="10"/>
      <c r="I1594" s="12" t="n">
        <v>1</v>
      </c>
      <c r="J1594" s="12"/>
      <c r="K1594" s="13"/>
      <c r="L1594" s="13"/>
      <c r="M1594" s="12"/>
      <c r="N1594" s="12"/>
      <c r="O1594" s="12"/>
      <c r="P1594" s="13"/>
      <c r="Q1594" s="13"/>
      <c r="R1594" s="12"/>
      <c r="S1594" s="12"/>
      <c r="T1594" s="12"/>
      <c r="U1594" s="14"/>
      <c r="V1594" s="15"/>
      <c r="W1594" s="16" t="n">
        <f aca="false">A1594</f>
        <v>0</v>
      </c>
      <c r="X1594" s="17" t="e">
        <f aca="false">ifs(C1594="","",X1594="",NOW(),TRUE(),X1594)</f>
        <v>#VALUE!</v>
      </c>
      <c r="Y1594" s="17" t="e">
        <f aca="false">ifs(COUNTA(K1594:U1597)&lt;44,"",Y1594="",NOW(),TRUE(),Y1594)</f>
        <v>#VALUE!</v>
      </c>
    </row>
    <row r="1595" customFormat="false" ht="15.75" hidden="false" customHeight="false" outlineLevel="0" collapsed="false">
      <c r="A1595" s="9"/>
      <c r="B1595" s="10"/>
      <c r="C1595" s="10"/>
      <c r="D1595" s="10"/>
      <c r="E1595" s="10"/>
      <c r="F1595" s="10"/>
      <c r="G1595" s="10"/>
      <c r="H1595" s="10"/>
      <c r="I1595" s="18" t="n">
        <v>2</v>
      </c>
      <c r="J1595" s="18"/>
      <c r="K1595" s="19"/>
      <c r="L1595" s="19"/>
      <c r="M1595" s="18"/>
      <c r="N1595" s="18"/>
      <c r="O1595" s="18"/>
      <c r="P1595" s="19"/>
      <c r="Q1595" s="19"/>
      <c r="R1595" s="18"/>
      <c r="S1595" s="18"/>
      <c r="T1595" s="18"/>
      <c r="U1595" s="20"/>
      <c r="V1595" s="21"/>
      <c r="W1595" s="16"/>
      <c r="X1595" s="16"/>
      <c r="Y1595" s="16"/>
    </row>
    <row r="1596" customFormat="false" ht="15.75" hidden="false" customHeight="false" outlineLevel="0" collapsed="false">
      <c r="A1596" s="9"/>
      <c r="B1596" s="10"/>
      <c r="C1596" s="10"/>
      <c r="D1596" s="10"/>
      <c r="E1596" s="10"/>
      <c r="F1596" s="10"/>
      <c r="G1596" s="10"/>
      <c r="H1596" s="10"/>
      <c r="I1596" s="22" t="n">
        <v>3</v>
      </c>
      <c r="J1596" s="22"/>
      <c r="K1596" s="23"/>
      <c r="L1596" s="23"/>
      <c r="M1596" s="22"/>
      <c r="N1596" s="22"/>
      <c r="O1596" s="22"/>
      <c r="P1596" s="23"/>
      <c r="Q1596" s="23"/>
      <c r="R1596" s="22"/>
      <c r="S1596" s="22"/>
      <c r="T1596" s="22"/>
      <c r="U1596" s="24"/>
      <c r="V1596" s="15"/>
      <c r="W1596" s="16"/>
      <c r="X1596" s="16"/>
      <c r="Y1596" s="16"/>
    </row>
    <row r="1597" customFormat="false" ht="15.75" hidden="false" customHeight="false" outlineLevel="0" collapsed="false">
      <c r="A1597" s="9"/>
      <c r="B1597" s="10"/>
      <c r="C1597" s="10"/>
      <c r="D1597" s="10"/>
      <c r="E1597" s="10"/>
      <c r="F1597" s="10"/>
      <c r="G1597" s="10"/>
      <c r="H1597" s="10"/>
      <c r="I1597" s="25" t="n">
        <v>4</v>
      </c>
      <c r="J1597" s="25"/>
      <c r="K1597" s="26"/>
      <c r="L1597" s="26"/>
      <c r="M1597" s="25"/>
      <c r="N1597" s="25"/>
      <c r="O1597" s="25"/>
      <c r="P1597" s="26"/>
      <c r="Q1597" s="26"/>
      <c r="R1597" s="25"/>
      <c r="S1597" s="25"/>
      <c r="T1597" s="25"/>
      <c r="U1597" s="27"/>
      <c r="V1597" s="21"/>
      <c r="W1597" s="16"/>
      <c r="X1597" s="16"/>
      <c r="Y1597" s="16"/>
    </row>
    <row r="1598" customFormat="false" ht="15.75" hidden="false" customHeight="false" outlineLevel="0" collapsed="false">
      <c r="A1598" s="9"/>
      <c r="B1598" s="10"/>
      <c r="C1598" s="11"/>
      <c r="D1598" s="10"/>
      <c r="E1598" s="10"/>
      <c r="F1598" s="10"/>
      <c r="G1598" s="10"/>
      <c r="H1598" s="10"/>
      <c r="I1598" s="12" t="n">
        <v>1</v>
      </c>
      <c r="J1598" s="12"/>
      <c r="K1598" s="13"/>
      <c r="L1598" s="13"/>
      <c r="M1598" s="12"/>
      <c r="N1598" s="12"/>
      <c r="O1598" s="12"/>
      <c r="P1598" s="13"/>
      <c r="Q1598" s="13"/>
      <c r="R1598" s="12"/>
      <c r="S1598" s="12"/>
      <c r="T1598" s="12"/>
      <c r="U1598" s="14"/>
      <c r="V1598" s="15"/>
      <c r="W1598" s="16" t="n">
        <f aca="false">A1598</f>
        <v>0</v>
      </c>
      <c r="X1598" s="17" t="e">
        <f aca="false">ifs(C1598="","",X1598="",NOW(),TRUE(),X1598)</f>
        <v>#VALUE!</v>
      </c>
      <c r="Y1598" s="17" t="e">
        <f aca="false">ifs(COUNTA(K1598:U1601)&lt;44,"",Y1598="",NOW(),TRUE(),Y1598)</f>
        <v>#VALUE!</v>
      </c>
    </row>
    <row r="1599" customFormat="false" ht="15.75" hidden="false" customHeight="false" outlineLevel="0" collapsed="false">
      <c r="A1599" s="9"/>
      <c r="B1599" s="10"/>
      <c r="C1599" s="10"/>
      <c r="D1599" s="10"/>
      <c r="E1599" s="10"/>
      <c r="F1599" s="10"/>
      <c r="G1599" s="10"/>
      <c r="H1599" s="10"/>
      <c r="I1599" s="18" t="n">
        <v>2</v>
      </c>
      <c r="J1599" s="18"/>
      <c r="K1599" s="19"/>
      <c r="L1599" s="19"/>
      <c r="M1599" s="18"/>
      <c r="N1599" s="18"/>
      <c r="O1599" s="18"/>
      <c r="P1599" s="19"/>
      <c r="Q1599" s="19"/>
      <c r="R1599" s="18"/>
      <c r="S1599" s="18"/>
      <c r="T1599" s="18"/>
      <c r="U1599" s="20"/>
      <c r="V1599" s="21"/>
      <c r="W1599" s="16"/>
      <c r="X1599" s="16"/>
      <c r="Y1599" s="16"/>
    </row>
    <row r="1600" customFormat="false" ht="15.75" hidden="false" customHeight="false" outlineLevel="0" collapsed="false">
      <c r="A1600" s="9"/>
      <c r="B1600" s="10"/>
      <c r="C1600" s="10"/>
      <c r="D1600" s="10"/>
      <c r="E1600" s="10"/>
      <c r="F1600" s="10"/>
      <c r="G1600" s="10"/>
      <c r="H1600" s="10"/>
      <c r="I1600" s="22" t="n">
        <v>3</v>
      </c>
      <c r="J1600" s="22"/>
      <c r="K1600" s="23"/>
      <c r="L1600" s="23"/>
      <c r="M1600" s="22"/>
      <c r="N1600" s="22"/>
      <c r="O1600" s="22"/>
      <c r="P1600" s="23"/>
      <c r="Q1600" s="23"/>
      <c r="R1600" s="22"/>
      <c r="S1600" s="22"/>
      <c r="T1600" s="22"/>
      <c r="U1600" s="24"/>
      <c r="V1600" s="15"/>
      <c r="W1600" s="16"/>
      <c r="X1600" s="16"/>
      <c r="Y1600" s="16"/>
    </row>
    <row r="1601" customFormat="false" ht="15.75" hidden="false" customHeight="false" outlineLevel="0" collapsed="false">
      <c r="A1601" s="9"/>
      <c r="B1601" s="10"/>
      <c r="C1601" s="10"/>
      <c r="D1601" s="10"/>
      <c r="E1601" s="10"/>
      <c r="F1601" s="10"/>
      <c r="G1601" s="10"/>
      <c r="H1601" s="10"/>
      <c r="I1601" s="25" t="n">
        <v>4</v>
      </c>
      <c r="J1601" s="25"/>
      <c r="K1601" s="26"/>
      <c r="L1601" s="26"/>
      <c r="M1601" s="25"/>
      <c r="N1601" s="25"/>
      <c r="O1601" s="25"/>
      <c r="P1601" s="26"/>
      <c r="Q1601" s="26"/>
      <c r="R1601" s="25"/>
      <c r="S1601" s="25"/>
      <c r="T1601" s="25"/>
      <c r="U1601" s="27"/>
      <c r="V1601" s="21"/>
      <c r="W1601" s="16"/>
      <c r="X1601" s="16"/>
      <c r="Y1601" s="16"/>
    </row>
    <row r="1602" customFormat="false" ht="15.75" hidden="false" customHeight="false" outlineLevel="0" collapsed="false">
      <c r="A1602" s="9"/>
      <c r="B1602" s="10"/>
      <c r="C1602" s="11"/>
      <c r="D1602" s="10"/>
      <c r="E1602" s="10"/>
      <c r="F1602" s="10"/>
      <c r="G1602" s="10"/>
      <c r="H1602" s="10"/>
      <c r="I1602" s="12" t="n">
        <v>1</v>
      </c>
      <c r="J1602" s="12"/>
      <c r="K1602" s="13"/>
      <c r="L1602" s="13"/>
      <c r="M1602" s="12"/>
      <c r="N1602" s="12"/>
      <c r="O1602" s="12"/>
      <c r="P1602" s="13"/>
      <c r="Q1602" s="13"/>
      <c r="R1602" s="12"/>
      <c r="S1602" s="12"/>
      <c r="T1602" s="12"/>
      <c r="U1602" s="14"/>
      <c r="V1602" s="15"/>
      <c r="W1602" s="16" t="n">
        <f aca="false">A1602</f>
        <v>0</v>
      </c>
      <c r="X1602" s="17" t="e">
        <f aca="false">ifs(C1602="","",X1602="",NOW(),TRUE(),X1602)</f>
        <v>#VALUE!</v>
      </c>
      <c r="Y1602" s="17" t="e">
        <f aca="false">ifs(COUNTA(K1602:U1605)&lt;44,"",Y1602="",NOW(),TRUE(),Y1602)</f>
        <v>#VALUE!</v>
      </c>
    </row>
    <row r="1603" customFormat="false" ht="15.75" hidden="false" customHeight="false" outlineLevel="0" collapsed="false">
      <c r="A1603" s="9"/>
      <c r="B1603" s="10"/>
      <c r="C1603" s="10"/>
      <c r="D1603" s="10"/>
      <c r="E1603" s="10"/>
      <c r="F1603" s="10"/>
      <c r="G1603" s="10"/>
      <c r="H1603" s="10"/>
      <c r="I1603" s="18" t="n">
        <v>2</v>
      </c>
      <c r="J1603" s="18"/>
      <c r="K1603" s="19"/>
      <c r="L1603" s="19"/>
      <c r="M1603" s="18"/>
      <c r="N1603" s="18"/>
      <c r="O1603" s="18"/>
      <c r="P1603" s="19"/>
      <c r="Q1603" s="19"/>
      <c r="R1603" s="18"/>
      <c r="S1603" s="18"/>
      <c r="T1603" s="18"/>
      <c r="U1603" s="20"/>
      <c r="V1603" s="21"/>
      <c r="W1603" s="16"/>
      <c r="X1603" s="16"/>
      <c r="Y1603" s="16"/>
    </row>
    <row r="1604" customFormat="false" ht="15.75" hidden="false" customHeight="false" outlineLevel="0" collapsed="false">
      <c r="A1604" s="9"/>
      <c r="B1604" s="10"/>
      <c r="C1604" s="10"/>
      <c r="D1604" s="10"/>
      <c r="E1604" s="10"/>
      <c r="F1604" s="10"/>
      <c r="G1604" s="10"/>
      <c r="H1604" s="10"/>
      <c r="I1604" s="22" t="n">
        <v>3</v>
      </c>
      <c r="J1604" s="22"/>
      <c r="K1604" s="23"/>
      <c r="L1604" s="23"/>
      <c r="M1604" s="22"/>
      <c r="N1604" s="22"/>
      <c r="O1604" s="22"/>
      <c r="P1604" s="23"/>
      <c r="Q1604" s="23"/>
      <c r="R1604" s="22"/>
      <c r="S1604" s="22"/>
      <c r="T1604" s="22"/>
      <c r="U1604" s="24"/>
      <c r="V1604" s="15"/>
      <c r="W1604" s="16"/>
      <c r="X1604" s="16"/>
      <c r="Y1604" s="16"/>
    </row>
    <row r="1605" customFormat="false" ht="15.75" hidden="false" customHeight="false" outlineLevel="0" collapsed="false">
      <c r="A1605" s="9"/>
      <c r="B1605" s="10"/>
      <c r="C1605" s="10"/>
      <c r="D1605" s="10"/>
      <c r="E1605" s="10"/>
      <c r="F1605" s="10"/>
      <c r="G1605" s="10"/>
      <c r="H1605" s="10"/>
      <c r="I1605" s="25" t="n">
        <v>4</v>
      </c>
      <c r="J1605" s="25"/>
      <c r="K1605" s="26"/>
      <c r="L1605" s="26"/>
      <c r="M1605" s="25"/>
      <c r="N1605" s="25"/>
      <c r="O1605" s="25"/>
      <c r="P1605" s="26"/>
      <c r="Q1605" s="26"/>
      <c r="R1605" s="25"/>
      <c r="S1605" s="25"/>
      <c r="T1605" s="25"/>
      <c r="U1605" s="27"/>
      <c r="V1605" s="21"/>
      <c r="W1605" s="16"/>
      <c r="X1605" s="16"/>
      <c r="Y1605" s="16"/>
    </row>
    <row r="1606" customFormat="false" ht="15.75" hidden="false" customHeight="false" outlineLevel="0" collapsed="false">
      <c r="A1606" s="9"/>
      <c r="B1606" s="10"/>
      <c r="C1606" s="11"/>
      <c r="D1606" s="10"/>
      <c r="E1606" s="10"/>
      <c r="F1606" s="10"/>
      <c r="G1606" s="10"/>
      <c r="H1606" s="10"/>
      <c r="I1606" s="12" t="n">
        <v>1</v>
      </c>
      <c r="J1606" s="12"/>
      <c r="K1606" s="13"/>
      <c r="L1606" s="13"/>
      <c r="M1606" s="12"/>
      <c r="N1606" s="12"/>
      <c r="O1606" s="12"/>
      <c r="P1606" s="13"/>
      <c r="Q1606" s="13"/>
      <c r="R1606" s="12"/>
      <c r="S1606" s="12"/>
      <c r="T1606" s="12"/>
      <c r="U1606" s="14"/>
      <c r="V1606" s="15"/>
      <c r="W1606" s="16" t="n">
        <f aca="false">A1606</f>
        <v>0</v>
      </c>
      <c r="X1606" s="17" t="e">
        <f aca="false">ifs(C1606="","",X1606="",NOW(),TRUE(),X1606)</f>
        <v>#VALUE!</v>
      </c>
      <c r="Y1606" s="17" t="e">
        <f aca="false">ifs(COUNTA(K1606:U1609)&lt;44,"",Y1606="",NOW(),TRUE(),Y1606)</f>
        <v>#VALUE!</v>
      </c>
    </row>
    <row r="1607" customFormat="false" ht="15.75" hidden="false" customHeight="false" outlineLevel="0" collapsed="false">
      <c r="A1607" s="9"/>
      <c r="B1607" s="10"/>
      <c r="C1607" s="10"/>
      <c r="D1607" s="10"/>
      <c r="E1607" s="10"/>
      <c r="F1607" s="10"/>
      <c r="G1607" s="10"/>
      <c r="H1607" s="10"/>
      <c r="I1607" s="18" t="n">
        <v>2</v>
      </c>
      <c r="J1607" s="18"/>
      <c r="K1607" s="19"/>
      <c r="L1607" s="19"/>
      <c r="M1607" s="18"/>
      <c r="N1607" s="18"/>
      <c r="O1607" s="18"/>
      <c r="P1607" s="19"/>
      <c r="Q1607" s="19"/>
      <c r="R1607" s="18"/>
      <c r="S1607" s="18"/>
      <c r="T1607" s="18"/>
      <c r="U1607" s="20"/>
      <c r="V1607" s="21"/>
      <c r="W1607" s="16"/>
      <c r="X1607" s="16"/>
      <c r="Y1607" s="16"/>
    </row>
    <row r="1608" customFormat="false" ht="15.75" hidden="false" customHeight="false" outlineLevel="0" collapsed="false">
      <c r="A1608" s="9"/>
      <c r="B1608" s="10"/>
      <c r="C1608" s="10"/>
      <c r="D1608" s="10"/>
      <c r="E1608" s="10"/>
      <c r="F1608" s="10"/>
      <c r="G1608" s="10"/>
      <c r="H1608" s="10"/>
      <c r="I1608" s="22" t="n">
        <v>3</v>
      </c>
      <c r="J1608" s="22"/>
      <c r="K1608" s="23"/>
      <c r="L1608" s="23"/>
      <c r="M1608" s="22"/>
      <c r="N1608" s="22"/>
      <c r="O1608" s="22"/>
      <c r="P1608" s="23"/>
      <c r="Q1608" s="23"/>
      <c r="R1608" s="22"/>
      <c r="S1608" s="22"/>
      <c r="T1608" s="22"/>
      <c r="U1608" s="24"/>
      <c r="V1608" s="15"/>
      <c r="W1608" s="16"/>
      <c r="X1608" s="16"/>
      <c r="Y1608" s="16"/>
    </row>
    <row r="1609" customFormat="false" ht="15.75" hidden="false" customHeight="false" outlineLevel="0" collapsed="false">
      <c r="A1609" s="9"/>
      <c r="B1609" s="10"/>
      <c r="C1609" s="10"/>
      <c r="D1609" s="10"/>
      <c r="E1609" s="10"/>
      <c r="F1609" s="10"/>
      <c r="G1609" s="10"/>
      <c r="H1609" s="10"/>
      <c r="I1609" s="25" t="n">
        <v>4</v>
      </c>
      <c r="J1609" s="25"/>
      <c r="K1609" s="26"/>
      <c r="L1609" s="26"/>
      <c r="M1609" s="25"/>
      <c r="N1609" s="25"/>
      <c r="O1609" s="25"/>
      <c r="P1609" s="26"/>
      <c r="Q1609" s="26"/>
      <c r="R1609" s="25"/>
      <c r="S1609" s="25"/>
      <c r="T1609" s="25"/>
      <c r="U1609" s="27"/>
      <c r="V1609" s="21"/>
      <c r="W1609" s="16"/>
      <c r="X1609" s="16"/>
      <c r="Y1609" s="16"/>
    </row>
    <row r="1610" customFormat="false" ht="15.75" hidden="false" customHeight="false" outlineLevel="0" collapsed="false">
      <c r="A1610" s="9"/>
      <c r="B1610" s="10"/>
      <c r="C1610" s="11"/>
      <c r="D1610" s="10"/>
      <c r="E1610" s="10"/>
      <c r="F1610" s="10"/>
      <c r="G1610" s="10"/>
      <c r="H1610" s="10"/>
      <c r="I1610" s="12" t="n">
        <v>1</v>
      </c>
      <c r="J1610" s="12"/>
      <c r="K1610" s="13"/>
      <c r="L1610" s="13"/>
      <c r="M1610" s="12"/>
      <c r="N1610" s="12"/>
      <c r="O1610" s="12"/>
      <c r="P1610" s="13"/>
      <c r="Q1610" s="13"/>
      <c r="R1610" s="12"/>
      <c r="S1610" s="12"/>
      <c r="T1610" s="12"/>
      <c r="U1610" s="14"/>
      <c r="V1610" s="15"/>
      <c r="W1610" s="16" t="n">
        <f aca="false">A1610</f>
        <v>0</v>
      </c>
      <c r="X1610" s="17" t="e">
        <f aca="false">ifs(C1610="","",X1610="",NOW(),TRUE(),X1610)</f>
        <v>#VALUE!</v>
      </c>
      <c r="Y1610" s="17" t="e">
        <f aca="false">ifs(COUNTA(K1610:U1613)&lt;44,"",Y1610="",NOW(),TRUE(),Y1610)</f>
        <v>#VALUE!</v>
      </c>
    </row>
    <row r="1611" customFormat="false" ht="15.75" hidden="false" customHeight="false" outlineLevel="0" collapsed="false">
      <c r="A1611" s="9"/>
      <c r="B1611" s="10"/>
      <c r="C1611" s="10"/>
      <c r="D1611" s="10"/>
      <c r="E1611" s="10"/>
      <c r="F1611" s="10"/>
      <c r="G1611" s="10"/>
      <c r="H1611" s="10"/>
      <c r="I1611" s="18" t="n">
        <v>2</v>
      </c>
      <c r="J1611" s="18"/>
      <c r="K1611" s="19"/>
      <c r="L1611" s="19"/>
      <c r="M1611" s="18"/>
      <c r="N1611" s="18"/>
      <c r="O1611" s="18"/>
      <c r="P1611" s="19"/>
      <c r="Q1611" s="19"/>
      <c r="R1611" s="18"/>
      <c r="S1611" s="18"/>
      <c r="T1611" s="18"/>
      <c r="U1611" s="20"/>
      <c r="V1611" s="21"/>
      <c r="W1611" s="16"/>
      <c r="X1611" s="16"/>
      <c r="Y1611" s="16"/>
    </row>
    <row r="1612" customFormat="false" ht="15.75" hidden="false" customHeight="false" outlineLevel="0" collapsed="false">
      <c r="A1612" s="9"/>
      <c r="B1612" s="10"/>
      <c r="C1612" s="10"/>
      <c r="D1612" s="10"/>
      <c r="E1612" s="10"/>
      <c r="F1612" s="10"/>
      <c r="G1612" s="10"/>
      <c r="H1612" s="10"/>
      <c r="I1612" s="22" t="n">
        <v>3</v>
      </c>
      <c r="J1612" s="22"/>
      <c r="K1612" s="23"/>
      <c r="L1612" s="23"/>
      <c r="M1612" s="22"/>
      <c r="N1612" s="22"/>
      <c r="O1612" s="22"/>
      <c r="P1612" s="23"/>
      <c r="Q1612" s="23"/>
      <c r="R1612" s="22"/>
      <c r="S1612" s="22"/>
      <c r="T1612" s="22"/>
      <c r="U1612" s="24"/>
      <c r="V1612" s="15"/>
      <c r="W1612" s="16"/>
      <c r="X1612" s="16"/>
      <c r="Y1612" s="16"/>
    </row>
    <row r="1613" customFormat="false" ht="15.75" hidden="false" customHeight="false" outlineLevel="0" collapsed="false">
      <c r="A1613" s="9"/>
      <c r="B1613" s="10"/>
      <c r="C1613" s="10"/>
      <c r="D1613" s="10"/>
      <c r="E1613" s="10"/>
      <c r="F1613" s="10"/>
      <c r="G1613" s="10"/>
      <c r="H1613" s="10"/>
      <c r="I1613" s="25" t="n">
        <v>4</v>
      </c>
      <c r="J1613" s="25"/>
      <c r="K1613" s="26"/>
      <c r="L1613" s="26"/>
      <c r="M1613" s="25"/>
      <c r="N1613" s="25"/>
      <c r="O1613" s="25"/>
      <c r="P1613" s="26"/>
      <c r="Q1613" s="26"/>
      <c r="R1613" s="25"/>
      <c r="S1613" s="25"/>
      <c r="T1613" s="25"/>
      <c r="U1613" s="27"/>
      <c r="V1613" s="21"/>
      <c r="W1613" s="16"/>
      <c r="X1613" s="16"/>
      <c r="Y1613" s="16"/>
    </row>
    <row r="1614" customFormat="false" ht="15.75" hidden="false" customHeight="false" outlineLevel="0" collapsed="false">
      <c r="A1614" s="9"/>
      <c r="B1614" s="10"/>
      <c r="C1614" s="11"/>
      <c r="D1614" s="10"/>
      <c r="E1614" s="10"/>
      <c r="F1614" s="10"/>
      <c r="G1614" s="10"/>
      <c r="H1614" s="10"/>
      <c r="I1614" s="12" t="n">
        <v>1</v>
      </c>
      <c r="J1614" s="12"/>
      <c r="K1614" s="13"/>
      <c r="L1614" s="13"/>
      <c r="M1614" s="12"/>
      <c r="N1614" s="12"/>
      <c r="O1614" s="12"/>
      <c r="P1614" s="13"/>
      <c r="Q1614" s="13"/>
      <c r="R1614" s="12"/>
      <c r="S1614" s="12"/>
      <c r="T1614" s="12"/>
      <c r="U1614" s="14"/>
      <c r="V1614" s="15"/>
      <c r="W1614" s="16" t="n">
        <f aca="false">A1614</f>
        <v>0</v>
      </c>
      <c r="X1614" s="17" t="e">
        <f aca="false">ifs(C1614="","",X1614="",NOW(),TRUE(),X1614)</f>
        <v>#VALUE!</v>
      </c>
      <c r="Y1614" s="17" t="e">
        <f aca="false">ifs(COUNTA(K1614:U1617)&lt;44,"",Y1614="",NOW(),TRUE(),Y1614)</f>
        <v>#VALUE!</v>
      </c>
    </row>
    <row r="1615" customFormat="false" ht="15.75" hidden="false" customHeight="false" outlineLevel="0" collapsed="false">
      <c r="A1615" s="9"/>
      <c r="B1615" s="10"/>
      <c r="C1615" s="10"/>
      <c r="D1615" s="10"/>
      <c r="E1615" s="10"/>
      <c r="F1615" s="10"/>
      <c r="G1615" s="10"/>
      <c r="H1615" s="10"/>
      <c r="I1615" s="18" t="n">
        <v>2</v>
      </c>
      <c r="J1615" s="18"/>
      <c r="K1615" s="19"/>
      <c r="L1615" s="19"/>
      <c r="M1615" s="18"/>
      <c r="N1615" s="18"/>
      <c r="O1615" s="18"/>
      <c r="P1615" s="19"/>
      <c r="Q1615" s="19"/>
      <c r="R1615" s="18"/>
      <c r="S1615" s="18"/>
      <c r="T1615" s="18"/>
      <c r="U1615" s="20"/>
      <c r="V1615" s="21"/>
      <c r="W1615" s="16"/>
      <c r="X1615" s="16"/>
      <c r="Y1615" s="16"/>
    </row>
    <row r="1616" customFormat="false" ht="15.75" hidden="false" customHeight="false" outlineLevel="0" collapsed="false">
      <c r="A1616" s="9"/>
      <c r="B1616" s="10"/>
      <c r="C1616" s="10"/>
      <c r="D1616" s="10"/>
      <c r="E1616" s="10"/>
      <c r="F1616" s="10"/>
      <c r="G1616" s="10"/>
      <c r="H1616" s="10"/>
      <c r="I1616" s="22" t="n">
        <v>3</v>
      </c>
      <c r="J1616" s="22"/>
      <c r="K1616" s="23"/>
      <c r="L1616" s="23"/>
      <c r="M1616" s="22"/>
      <c r="N1616" s="22"/>
      <c r="O1616" s="22"/>
      <c r="P1616" s="23"/>
      <c r="Q1616" s="23"/>
      <c r="R1616" s="22"/>
      <c r="S1616" s="22"/>
      <c r="T1616" s="22"/>
      <c r="U1616" s="24"/>
      <c r="V1616" s="15"/>
      <c r="W1616" s="16"/>
      <c r="X1616" s="16"/>
      <c r="Y1616" s="16"/>
    </row>
    <row r="1617" customFormat="false" ht="15.75" hidden="false" customHeight="false" outlineLevel="0" collapsed="false">
      <c r="A1617" s="9"/>
      <c r="B1617" s="10"/>
      <c r="C1617" s="10"/>
      <c r="D1617" s="10"/>
      <c r="E1617" s="10"/>
      <c r="F1617" s="10"/>
      <c r="G1617" s="10"/>
      <c r="H1617" s="10"/>
      <c r="I1617" s="25" t="n">
        <v>4</v>
      </c>
      <c r="J1617" s="25"/>
      <c r="K1617" s="26"/>
      <c r="L1617" s="26"/>
      <c r="M1617" s="25"/>
      <c r="N1617" s="25"/>
      <c r="O1617" s="25"/>
      <c r="P1617" s="26"/>
      <c r="Q1617" s="26"/>
      <c r="R1617" s="25"/>
      <c r="S1617" s="25"/>
      <c r="T1617" s="25"/>
      <c r="U1617" s="27"/>
      <c r="V1617" s="21"/>
      <c r="W1617" s="16"/>
      <c r="X1617" s="16"/>
      <c r="Y1617" s="16"/>
    </row>
    <row r="1618" customFormat="false" ht="15.75" hidden="false" customHeight="false" outlineLevel="0" collapsed="false">
      <c r="A1618" s="9"/>
      <c r="B1618" s="10"/>
      <c r="C1618" s="11"/>
      <c r="D1618" s="10"/>
      <c r="E1618" s="10"/>
      <c r="F1618" s="10"/>
      <c r="G1618" s="10"/>
      <c r="H1618" s="10"/>
      <c r="I1618" s="12" t="n">
        <v>1</v>
      </c>
      <c r="J1618" s="12"/>
      <c r="K1618" s="13"/>
      <c r="L1618" s="13"/>
      <c r="M1618" s="12"/>
      <c r="N1618" s="12"/>
      <c r="O1618" s="12"/>
      <c r="P1618" s="13"/>
      <c r="Q1618" s="13"/>
      <c r="R1618" s="12"/>
      <c r="S1618" s="12"/>
      <c r="T1618" s="12"/>
      <c r="U1618" s="14"/>
      <c r="V1618" s="15"/>
      <c r="W1618" s="16" t="n">
        <f aca="false">A1618</f>
        <v>0</v>
      </c>
      <c r="X1618" s="17" t="e">
        <f aca="false">ifs(C1618="","",X1618="",NOW(),TRUE(),X1618)</f>
        <v>#VALUE!</v>
      </c>
      <c r="Y1618" s="17" t="e">
        <f aca="false">ifs(COUNTA(K1618:U1621)&lt;44,"",Y1618="",NOW(),TRUE(),Y1618)</f>
        <v>#VALUE!</v>
      </c>
    </row>
    <row r="1619" customFormat="false" ht="15.75" hidden="false" customHeight="false" outlineLevel="0" collapsed="false">
      <c r="A1619" s="9"/>
      <c r="B1619" s="10"/>
      <c r="C1619" s="10"/>
      <c r="D1619" s="10"/>
      <c r="E1619" s="10"/>
      <c r="F1619" s="10"/>
      <c r="G1619" s="10"/>
      <c r="H1619" s="10"/>
      <c r="I1619" s="18" t="n">
        <v>2</v>
      </c>
      <c r="J1619" s="18"/>
      <c r="K1619" s="19"/>
      <c r="L1619" s="19"/>
      <c r="M1619" s="18"/>
      <c r="N1619" s="18"/>
      <c r="O1619" s="18"/>
      <c r="P1619" s="19"/>
      <c r="Q1619" s="19"/>
      <c r="R1619" s="18"/>
      <c r="S1619" s="18"/>
      <c r="T1619" s="18"/>
      <c r="U1619" s="20"/>
      <c r="V1619" s="21"/>
      <c r="W1619" s="16"/>
      <c r="X1619" s="16"/>
      <c r="Y1619" s="16"/>
    </row>
    <row r="1620" customFormat="false" ht="15.75" hidden="false" customHeight="false" outlineLevel="0" collapsed="false">
      <c r="A1620" s="9"/>
      <c r="B1620" s="10"/>
      <c r="C1620" s="10"/>
      <c r="D1620" s="10"/>
      <c r="E1620" s="10"/>
      <c r="F1620" s="10"/>
      <c r="G1620" s="10"/>
      <c r="H1620" s="10"/>
      <c r="I1620" s="22" t="n">
        <v>3</v>
      </c>
      <c r="J1620" s="22"/>
      <c r="K1620" s="23"/>
      <c r="L1620" s="23"/>
      <c r="M1620" s="22"/>
      <c r="N1620" s="22"/>
      <c r="O1620" s="22"/>
      <c r="P1620" s="23"/>
      <c r="Q1620" s="23"/>
      <c r="R1620" s="22"/>
      <c r="S1620" s="22"/>
      <c r="T1620" s="22"/>
      <c r="U1620" s="24"/>
      <c r="V1620" s="15"/>
      <c r="W1620" s="16"/>
      <c r="X1620" s="16"/>
      <c r="Y1620" s="16"/>
    </row>
    <row r="1621" customFormat="false" ht="15.75" hidden="false" customHeight="false" outlineLevel="0" collapsed="false">
      <c r="A1621" s="9"/>
      <c r="B1621" s="10"/>
      <c r="C1621" s="10"/>
      <c r="D1621" s="10"/>
      <c r="E1621" s="10"/>
      <c r="F1621" s="10"/>
      <c r="G1621" s="10"/>
      <c r="H1621" s="10"/>
      <c r="I1621" s="25" t="n">
        <v>4</v>
      </c>
      <c r="J1621" s="25"/>
      <c r="K1621" s="26"/>
      <c r="L1621" s="26"/>
      <c r="M1621" s="25"/>
      <c r="N1621" s="25"/>
      <c r="O1621" s="25"/>
      <c r="P1621" s="26"/>
      <c r="Q1621" s="26"/>
      <c r="R1621" s="25"/>
      <c r="S1621" s="25"/>
      <c r="T1621" s="25"/>
      <c r="U1621" s="27"/>
      <c r="V1621" s="21"/>
      <c r="W1621" s="16"/>
      <c r="X1621" s="16"/>
      <c r="Y1621" s="16"/>
    </row>
    <row r="1622" customFormat="false" ht="15.75" hidden="false" customHeight="false" outlineLevel="0" collapsed="false">
      <c r="A1622" s="9"/>
      <c r="B1622" s="10"/>
      <c r="C1622" s="11"/>
      <c r="D1622" s="10"/>
      <c r="E1622" s="10"/>
      <c r="F1622" s="10"/>
      <c r="G1622" s="10"/>
      <c r="H1622" s="10"/>
      <c r="I1622" s="12" t="n">
        <v>1</v>
      </c>
      <c r="J1622" s="12"/>
      <c r="K1622" s="13"/>
      <c r="L1622" s="13"/>
      <c r="M1622" s="12"/>
      <c r="N1622" s="12"/>
      <c r="O1622" s="12"/>
      <c r="P1622" s="13"/>
      <c r="Q1622" s="13"/>
      <c r="R1622" s="12"/>
      <c r="S1622" s="12"/>
      <c r="T1622" s="12"/>
      <c r="U1622" s="14"/>
      <c r="V1622" s="15"/>
      <c r="W1622" s="16" t="n">
        <f aca="false">A1622</f>
        <v>0</v>
      </c>
      <c r="X1622" s="17" t="e">
        <f aca="false">ifs(C1622="","",X1622="",NOW(),TRUE(),X1622)</f>
        <v>#VALUE!</v>
      </c>
      <c r="Y1622" s="17" t="e">
        <f aca="false">ifs(COUNTA(K1622:U1625)&lt;44,"",Y1622="",NOW(),TRUE(),Y1622)</f>
        <v>#VALUE!</v>
      </c>
    </row>
    <row r="1623" customFormat="false" ht="15.75" hidden="false" customHeight="false" outlineLevel="0" collapsed="false">
      <c r="A1623" s="9"/>
      <c r="B1623" s="10"/>
      <c r="C1623" s="10"/>
      <c r="D1623" s="10"/>
      <c r="E1623" s="10"/>
      <c r="F1623" s="10"/>
      <c r="G1623" s="10"/>
      <c r="H1623" s="10"/>
      <c r="I1623" s="18" t="n">
        <v>2</v>
      </c>
      <c r="J1623" s="18"/>
      <c r="K1623" s="19"/>
      <c r="L1623" s="19"/>
      <c r="M1623" s="18"/>
      <c r="N1623" s="18"/>
      <c r="O1623" s="18"/>
      <c r="P1623" s="19"/>
      <c r="Q1623" s="19"/>
      <c r="R1623" s="18"/>
      <c r="S1623" s="18"/>
      <c r="T1623" s="18"/>
      <c r="U1623" s="20"/>
      <c r="V1623" s="21"/>
      <c r="W1623" s="16"/>
      <c r="X1623" s="16"/>
      <c r="Y1623" s="16"/>
    </row>
    <row r="1624" customFormat="false" ht="15.75" hidden="false" customHeight="false" outlineLevel="0" collapsed="false">
      <c r="A1624" s="9"/>
      <c r="B1624" s="10"/>
      <c r="C1624" s="10"/>
      <c r="D1624" s="10"/>
      <c r="E1624" s="10"/>
      <c r="F1624" s="10"/>
      <c r="G1624" s="10"/>
      <c r="H1624" s="10"/>
      <c r="I1624" s="22" t="n">
        <v>3</v>
      </c>
      <c r="J1624" s="22"/>
      <c r="K1624" s="23"/>
      <c r="L1624" s="23"/>
      <c r="M1624" s="22"/>
      <c r="N1624" s="22"/>
      <c r="O1624" s="22"/>
      <c r="P1624" s="23"/>
      <c r="Q1624" s="23"/>
      <c r="R1624" s="22"/>
      <c r="S1624" s="22"/>
      <c r="T1624" s="22"/>
      <c r="U1624" s="24"/>
      <c r="V1624" s="15"/>
      <c r="W1624" s="16"/>
      <c r="X1624" s="16"/>
      <c r="Y1624" s="16"/>
    </row>
    <row r="1625" customFormat="false" ht="15.75" hidden="false" customHeight="false" outlineLevel="0" collapsed="false">
      <c r="A1625" s="9"/>
      <c r="B1625" s="10"/>
      <c r="C1625" s="10"/>
      <c r="D1625" s="10"/>
      <c r="E1625" s="10"/>
      <c r="F1625" s="10"/>
      <c r="G1625" s="10"/>
      <c r="H1625" s="10"/>
      <c r="I1625" s="25" t="n">
        <v>4</v>
      </c>
      <c r="J1625" s="25"/>
      <c r="K1625" s="26"/>
      <c r="L1625" s="26"/>
      <c r="M1625" s="25"/>
      <c r="N1625" s="25"/>
      <c r="O1625" s="25"/>
      <c r="P1625" s="26"/>
      <c r="Q1625" s="26"/>
      <c r="R1625" s="25"/>
      <c r="S1625" s="25"/>
      <c r="T1625" s="25"/>
      <c r="U1625" s="27"/>
      <c r="V1625" s="21"/>
      <c r="W1625" s="16"/>
      <c r="X1625" s="16"/>
      <c r="Y1625" s="16"/>
    </row>
    <row r="1626" customFormat="false" ht="15.75" hidden="false" customHeight="false" outlineLevel="0" collapsed="false">
      <c r="A1626" s="9"/>
      <c r="B1626" s="10"/>
      <c r="C1626" s="11"/>
      <c r="D1626" s="10"/>
      <c r="E1626" s="10"/>
      <c r="F1626" s="10"/>
      <c r="G1626" s="10"/>
      <c r="H1626" s="10"/>
      <c r="I1626" s="12" t="n">
        <v>1</v>
      </c>
      <c r="J1626" s="12"/>
      <c r="K1626" s="13"/>
      <c r="L1626" s="13"/>
      <c r="M1626" s="12"/>
      <c r="N1626" s="12"/>
      <c r="O1626" s="12"/>
      <c r="P1626" s="13"/>
      <c r="Q1626" s="13"/>
      <c r="R1626" s="12"/>
      <c r="S1626" s="12"/>
      <c r="T1626" s="12"/>
      <c r="U1626" s="14"/>
      <c r="V1626" s="15"/>
      <c r="W1626" s="16" t="n">
        <f aca="false">A1626</f>
        <v>0</v>
      </c>
      <c r="X1626" s="17" t="e">
        <f aca="false">ifs(C1626="","",X1626="",NOW(),TRUE(),X1626)</f>
        <v>#VALUE!</v>
      </c>
      <c r="Y1626" s="17" t="e">
        <f aca="false">ifs(COUNTA(K1626:U1629)&lt;44,"",Y1626="",NOW(),TRUE(),Y1626)</f>
        <v>#VALUE!</v>
      </c>
    </row>
    <row r="1627" customFormat="false" ht="15.75" hidden="false" customHeight="false" outlineLevel="0" collapsed="false">
      <c r="A1627" s="9"/>
      <c r="B1627" s="10"/>
      <c r="C1627" s="10"/>
      <c r="D1627" s="10"/>
      <c r="E1627" s="10"/>
      <c r="F1627" s="10"/>
      <c r="G1627" s="10"/>
      <c r="H1627" s="10"/>
      <c r="I1627" s="18" t="n">
        <v>2</v>
      </c>
      <c r="J1627" s="18"/>
      <c r="K1627" s="19"/>
      <c r="L1627" s="19"/>
      <c r="M1627" s="18"/>
      <c r="N1627" s="18"/>
      <c r="O1627" s="18"/>
      <c r="P1627" s="19"/>
      <c r="Q1627" s="19"/>
      <c r="R1627" s="18"/>
      <c r="S1627" s="18"/>
      <c r="T1627" s="18"/>
      <c r="U1627" s="20"/>
      <c r="V1627" s="21"/>
      <c r="W1627" s="16"/>
      <c r="X1627" s="16"/>
      <c r="Y1627" s="16"/>
    </row>
    <row r="1628" customFormat="false" ht="15.75" hidden="false" customHeight="false" outlineLevel="0" collapsed="false">
      <c r="A1628" s="9"/>
      <c r="B1628" s="10"/>
      <c r="C1628" s="10"/>
      <c r="D1628" s="10"/>
      <c r="E1628" s="10"/>
      <c r="F1628" s="10"/>
      <c r="G1628" s="10"/>
      <c r="H1628" s="10"/>
      <c r="I1628" s="22" t="n">
        <v>3</v>
      </c>
      <c r="J1628" s="22"/>
      <c r="K1628" s="23"/>
      <c r="L1628" s="23"/>
      <c r="M1628" s="22"/>
      <c r="N1628" s="22"/>
      <c r="O1628" s="22"/>
      <c r="P1628" s="23"/>
      <c r="Q1628" s="23"/>
      <c r="R1628" s="22"/>
      <c r="S1628" s="22"/>
      <c r="T1628" s="22"/>
      <c r="U1628" s="24"/>
      <c r="V1628" s="15"/>
      <c r="W1628" s="16"/>
      <c r="X1628" s="16"/>
      <c r="Y1628" s="16"/>
    </row>
    <row r="1629" customFormat="false" ht="15.75" hidden="false" customHeight="false" outlineLevel="0" collapsed="false">
      <c r="A1629" s="9"/>
      <c r="B1629" s="10"/>
      <c r="C1629" s="10"/>
      <c r="D1629" s="10"/>
      <c r="E1629" s="10"/>
      <c r="F1629" s="10"/>
      <c r="G1629" s="10"/>
      <c r="H1629" s="10"/>
      <c r="I1629" s="25" t="n">
        <v>4</v>
      </c>
      <c r="J1629" s="25"/>
      <c r="K1629" s="26"/>
      <c r="L1629" s="26"/>
      <c r="M1629" s="25"/>
      <c r="N1629" s="25"/>
      <c r="O1629" s="25"/>
      <c r="P1629" s="26"/>
      <c r="Q1629" s="26"/>
      <c r="R1629" s="25"/>
      <c r="S1629" s="25"/>
      <c r="T1629" s="25"/>
      <c r="U1629" s="27"/>
      <c r="V1629" s="21"/>
      <c r="W1629" s="16"/>
      <c r="X1629" s="16"/>
      <c r="Y1629" s="16"/>
    </row>
    <row r="1630" customFormat="false" ht="15.75" hidden="false" customHeight="false" outlineLevel="0" collapsed="false">
      <c r="A1630" s="9"/>
      <c r="B1630" s="10"/>
      <c r="C1630" s="11"/>
      <c r="D1630" s="10"/>
      <c r="E1630" s="10"/>
      <c r="F1630" s="10"/>
      <c r="G1630" s="10"/>
      <c r="H1630" s="10"/>
      <c r="I1630" s="12" t="n">
        <v>1</v>
      </c>
      <c r="J1630" s="12"/>
      <c r="K1630" s="13"/>
      <c r="L1630" s="13"/>
      <c r="M1630" s="12"/>
      <c r="N1630" s="12"/>
      <c r="O1630" s="12"/>
      <c r="P1630" s="13"/>
      <c r="Q1630" s="13"/>
      <c r="R1630" s="12"/>
      <c r="S1630" s="12"/>
      <c r="T1630" s="12"/>
      <c r="U1630" s="14"/>
      <c r="V1630" s="15"/>
      <c r="W1630" s="16" t="n">
        <f aca="false">A1630</f>
        <v>0</v>
      </c>
      <c r="X1630" s="17" t="e">
        <f aca="false">ifs(C1630="","",X1630="",NOW(),TRUE(),X1630)</f>
        <v>#VALUE!</v>
      </c>
      <c r="Y1630" s="17" t="e">
        <f aca="false">ifs(COUNTA(K1630:U1633)&lt;44,"",Y1630="",NOW(),TRUE(),Y1630)</f>
        <v>#VALUE!</v>
      </c>
    </row>
    <row r="1631" customFormat="false" ht="15.75" hidden="false" customHeight="false" outlineLevel="0" collapsed="false">
      <c r="A1631" s="9"/>
      <c r="B1631" s="10"/>
      <c r="C1631" s="10"/>
      <c r="D1631" s="10"/>
      <c r="E1631" s="10"/>
      <c r="F1631" s="10"/>
      <c r="G1631" s="10"/>
      <c r="H1631" s="10"/>
      <c r="I1631" s="18" t="n">
        <v>2</v>
      </c>
      <c r="J1631" s="18"/>
      <c r="K1631" s="19"/>
      <c r="L1631" s="19"/>
      <c r="M1631" s="18"/>
      <c r="N1631" s="18"/>
      <c r="O1631" s="18"/>
      <c r="P1631" s="19"/>
      <c r="Q1631" s="19"/>
      <c r="R1631" s="18"/>
      <c r="S1631" s="18"/>
      <c r="T1631" s="18"/>
      <c r="U1631" s="20"/>
      <c r="V1631" s="21"/>
      <c r="W1631" s="16"/>
      <c r="X1631" s="16"/>
      <c r="Y1631" s="16"/>
    </row>
    <row r="1632" customFormat="false" ht="15.75" hidden="false" customHeight="false" outlineLevel="0" collapsed="false">
      <c r="A1632" s="9"/>
      <c r="B1632" s="10"/>
      <c r="C1632" s="10"/>
      <c r="D1632" s="10"/>
      <c r="E1632" s="10"/>
      <c r="F1632" s="10"/>
      <c r="G1632" s="10"/>
      <c r="H1632" s="10"/>
      <c r="I1632" s="22" t="n">
        <v>3</v>
      </c>
      <c r="J1632" s="22"/>
      <c r="K1632" s="23"/>
      <c r="L1632" s="23"/>
      <c r="M1632" s="22"/>
      <c r="N1632" s="22"/>
      <c r="O1632" s="22"/>
      <c r="P1632" s="23"/>
      <c r="Q1632" s="23"/>
      <c r="R1632" s="22"/>
      <c r="S1632" s="22"/>
      <c r="T1632" s="22"/>
      <c r="U1632" s="24"/>
      <c r="V1632" s="15"/>
      <c r="W1632" s="16"/>
      <c r="X1632" s="16"/>
      <c r="Y1632" s="16"/>
    </row>
    <row r="1633" customFormat="false" ht="15.75" hidden="false" customHeight="false" outlineLevel="0" collapsed="false">
      <c r="A1633" s="9"/>
      <c r="B1633" s="10"/>
      <c r="C1633" s="10"/>
      <c r="D1633" s="10"/>
      <c r="E1633" s="10"/>
      <c r="F1633" s="10"/>
      <c r="G1633" s="10"/>
      <c r="H1633" s="10"/>
      <c r="I1633" s="25" t="n">
        <v>4</v>
      </c>
      <c r="J1633" s="25"/>
      <c r="K1633" s="26"/>
      <c r="L1633" s="26"/>
      <c r="M1633" s="25"/>
      <c r="N1633" s="25"/>
      <c r="O1633" s="25"/>
      <c r="P1633" s="26"/>
      <c r="Q1633" s="26"/>
      <c r="R1633" s="25"/>
      <c r="S1633" s="25"/>
      <c r="T1633" s="25"/>
      <c r="U1633" s="27"/>
      <c r="V1633" s="21"/>
      <c r="W1633" s="16"/>
      <c r="X1633" s="16"/>
      <c r="Y1633" s="16"/>
    </row>
    <row r="1634" customFormat="false" ht="15.75" hidden="false" customHeight="false" outlineLevel="0" collapsed="false">
      <c r="A1634" s="9"/>
      <c r="B1634" s="10"/>
      <c r="C1634" s="11"/>
      <c r="D1634" s="10"/>
      <c r="E1634" s="10"/>
      <c r="F1634" s="10"/>
      <c r="G1634" s="10"/>
      <c r="H1634" s="10"/>
      <c r="I1634" s="12" t="n">
        <v>1</v>
      </c>
      <c r="J1634" s="12"/>
      <c r="K1634" s="13"/>
      <c r="L1634" s="13"/>
      <c r="M1634" s="12"/>
      <c r="N1634" s="12"/>
      <c r="O1634" s="12"/>
      <c r="P1634" s="13"/>
      <c r="Q1634" s="13"/>
      <c r="R1634" s="12"/>
      <c r="S1634" s="12"/>
      <c r="T1634" s="12"/>
      <c r="U1634" s="14"/>
      <c r="V1634" s="15"/>
      <c r="W1634" s="16" t="n">
        <f aca="false">A1634</f>
        <v>0</v>
      </c>
      <c r="X1634" s="17" t="e">
        <f aca="false">ifs(C1634="","",X1634="",NOW(),TRUE(),X1634)</f>
        <v>#VALUE!</v>
      </c>
      <c r="Y1634" s="17" t="e">
        <f aca="false">ifs(COUNTA(K1634:U1637)&lt;44,"",Y1634="",NOW(),TRUE(),Y1634)</f>
        <v>#VALUE!</v>
      </c>
    </row>
    <row r="1635" customFormat="false" ht="15.75" hidden="false" customHeight="false" outlineLevel="0" collapsed="false">
      <c r="A1635" s="9"/>
      <c r="B1635" s="10"/>
      <c r="C1635" s="10"/>
      <c r="D1635" s="10"/>
      <c r="E1635" s="10"/>
      <c r="F1635" s="10"/>
      <c r="G1635" s="10"/>
      <c r="H1635" s="10"/>
      <c r="I1635" s="18" t="n">
        <v>2</v>
      </c>
      <c r="J1635" s="18"/>
      <c r="K1635" s="19"/>
      <c r="L1635" s="19"/>
      <c r="M1635" s="18"/>
      <c r="N1635" s="18"/>
      <c r="O1635" s="18"/>
      <c r="P1635" s="19"/>
      <c r="Q1635" s="19"/>
      <c r="R1635" s="18"/>
      <c r="S1635" s="18"/>
      <c r="T1635" s="18"/>
      <c r="U1635" s="20"/>
      <c r="V1635" s="21"/>
      <c r="W1635" s="16"/>
      <c r="X1635" s="16"/>
      <c r="Y1635" s="16"/>
    </row>
    <row r="1636" customFormat="false" ht="15.75" hidden="false" customHeight="false" outlineLevel="0" collapsed="false">
      <c r="A1636" s="9"/>
      <c r="B1636" s="10"/>
      <c r="C1636" s="10"/>
      <c r="D1636" s="10"/>
      <c r="E1636" s="10"/>
      <c r="F1636" s="10"/>
      <c r="G1636" s="10"/>
      <c r="H1636" s="10"/>
      <c r="I1636" s="22" t="n">
        <v>3</v>
      </c>
      <c r="J1636" s="22"/>
      <c r="K1636" s="23"/>
      <c r="L1636" s="23"/>
      <c r="M1636" s="22"/>
      <c r="N1636" s="22"/>
      <c r="O1636" s="22"/>
      <c r="P1636" s="23"/>
      <c r="Q1636" s="23"/>
      <c r="R1636" s="22"/>
      <c r="S1636" s="22"/>
      <c r="T1636" s="22"/>
      <c r="U1636" s="24"/>
      <c r="V1636" s="15"/>
      <c r="W1636" s="16"/>
      <c r="X1636" s="16"/>
      <c r="Y1636" s="16"/>
    </row>
    <row r="1637" customFormat="false" ht="15.75" hidden="false" customHeight="false" outlineLevel="0" collapsed="false">
      <c r="A1637" s="9"/>
      <c r="B1637" s="10"/>
      <c r="C1637" s="10"/>
      <c r="D1637" s="10"/>
      <c r="E1637" s="10"/>
      <c r="F1637" s="10"/>
      <c r="G1637" s="10"/>
      <c r="H1637" s="10"/>
      <c r="I1637" s="25" t="n">
        <v>4</v>
      </c>
      <c r="J1637" s="25"/>
      <c r="K1637" s="26"/>
      <c r="L1637" s="26"/>
      <c r="M1637" s="25"/>
      <c r="N1637" s="25"/>
      <c r="O1637" s="25"/>
      <c r="P1637" s="26"/>
      <c r="Q1637" s="26"/>
      <c r="R1637" s="25"/>
      <c r="S1637" s="25"/>
      <c r="T1637" s="25"/>
      <c r="U1637" s="27"/>
      <c r="V1637" s="21"/>
      <c r="W1637" s="16"/>
      <c r="X1637" s="16"/>
      <c r="Y1637" s="16"/>
    </row>
    <row r="1638" customFormat="false" ht="15.75" hidden="false" customHeight="false" outlineLevel="0" collapsed="false">
      <c r="A1638" s="9"/>
      <c r="B1638" s="10"/>
      <c r="C1638" s="11"/>
      <c r="D1638" s="10"/>
      <c r="E1638" s="10"/>
      <c r="F1638" s="10"/>
      <c r="G1638" s="10"/>
      <c r="H1638" s="10"/>
      <c r="I1638" s="12" t="n">
        <v>1</v>
      </c>
      <c r="J1638" s="12"/>
      <c r="K1638" s="13"/>
      <c r="L1638" s="13"/>
      <c r="M1638" s="12"/>
      <c r="N1638" s="12"/>
      <c r="O1638" s="12"/>
      <c r="P1638" s="13"/>
      <c r="Q1638" s="13"/>
      <c r="R1638" s="12"/>
      <c r="S1638" s="12"/>
      <c r="T1638" s="12"/>
      <c r="U1638" s="14"/>
      <c r="V1638" s="15"/>
      <c r="W1638" s="16" t="n">
        <f aca="false">A1638</f>
        <v>0</v>
      </c>
      <c r="X1638" s="17" t="e">
        <f aca="false">ifs(C1638="","",X1638="",NOW(),TRUE(),X1638)</f>
        <v>#VALUE!</v>
      </c>
      <c r="Y1638" s="17" t="e">
        <f aca="false">ifs(COUNTA(K1638:U1641)&lt;44,"",Y1638="",NOW(),TRUE(),Y1638)</f>
        <v>#VALUE!</v>
      </c>
    </row>
    <row r="1639" customFormat="false" ht="15.75" hidden="false" customHeight="false" outlineLevel="0" collapsed="false">
      <c r="A1639" s="9"/>
      <c r="B1639" s="10"/>
      <c r="C1639" s="10"/>
      <c r="D1639" s="10"/>
      <c r="E1639" s="10"/>
      <c r="F1639" s="10"/>
      <c r="G1639" s="10"/>
      <c r="H1639" s="10"/>
      <c r="I1639" s="18" t="n">
        <v>2</v>
      </c>
      <c r="J1639" s="18"/>
      <c r="K1639" s="19"/>
      <c r="L1639" s="19"/>
      <c r="M1639" s="18"/>
      <c r="N1639" s="18"/>
      <c r="O1639" s="18"/>
      <c r="P1639" s="19"/>
      <c r="Q1639" s="19"/>
      <c r="R1639" s="18"/>
      <c r="S1639" s="18"/>
      <c r="T1639" s="18"/>
      <c r="U1639" s="20"/>
      <c r="V1639" s="21"/>
      <c r="W1639" s="16"/>
      <c r="X1639" s="16"/>
      <c r="Y1639" s="16"/>
    </row>
    <row r="1640" customFormat="false" ht="15.75" hidden="false" customHeight="false" outlineLevel="0" collapsed="false">
      <c r="A1640" s="9"/>
      <c r="B1640" s="10"/>
      <c r="C1640" s="10"/>
      <c r="D1640" s="10"/>
      <c r="E1640" s="10"/>
      <c r="F1640" s="10"/>
      <c r="G1640" s="10"/>
      <c r="H1640" s="10"/>
      <c r="I1640" s="22" t="n">
        <v>3</v>
      </c>
      <c r="J1640" s="22"/>
      <c r="K1640" s="23"/>
      <c r="L1640" s="23"/>
      <c r="M1640" s="22"/>
      <c r="N1640" s="22"/>
      <c r="O1640" s="22"/>
      <c r="P1640" s="23"/>
      <c r="Q1640" s="23"/>
      <c r="R1640" s="22"/>
      <c r="S1640" s="22"/>
      <c r="T1640" s="22"/>
      <c r="U1640" s="24"/>
      <c r="V1640" s="15"/>
      <c r="W1640" s="16"/>
      <c r="X1640" s="16"/>
      <c r="Y1640" s="16"/>
    </row>
    <row r="1641" customFormat="false" ht="15.75" hidden="false" customHeight="false" outlineLevel="0" collapsed="false">
      <c r="A1641" s="9"/>
      <c r="B1641" s="10"/>
      <c r="C1641" s="10"/>
      <c r="D1641" s="10"/>
      <c r="E1641" s="10"/>
      <c r="F1641" s="10"/>
      <c r="G1641" s="10"/>
      <c r="H1641" s="10"/>
      <c r="I1641" s="25" t="n">
        <v>4</v>
      </c>
      <c r="J1641" s="25"/>
      <c r="K1641" s="26"/>
      <c r="L1641" s="26"/>
      <c r="M1641" s="25"/>
      <c r="N1641" s="25"/>
      <c r="O1641" s="25"/>
      <c r="P1641" s="26"/>
      <c r="Q1641" s="26"/>
      <c r="R1641" s="25"/>
      <c r="S1641" s="25"/>
      <c r="T1641" s="25"/>
      <c r="U1641" s="27"/>
      <c r="V1641" s="21"/>
      <c r="W1641" s="16"/>
      <c r="X1641" s="16"/>
      <c r="Y1641" s="16"/>
    </row>
    <row r="1642" customFormat="false" ht="15.75" hidden="false" customHeight="false" outlineLevel="0" collapsed="false">
      <c r="A1642" s="9"/>
      <c r="B1642" s="10"/>
      <c r="C1642" s="11"/>
      <c r="D1642" s="10"/>
      <c r="E1642" s="10"/>
      <c r="F1642" s="10"/>
      <c r="G1642" s="10"/>
      <c r="H1642" s="10"/>
      <c r="I1642" s="12" t="n">
        <v>1</v>
      </c>
      <c r="J1642" s="12"/>
      <c r="K1642" s="13"/>
      <c r="L1642" s="13"/>
      <c r="M1642" s="12"/>
      <c r="N1642" s="12"/>
      <c r="O1642" s="12"/>
      <c r="P1642" s="13"/>
      <c r="Q1642" s="13"/>
      <c r="R1642" s="12"/>
      <c r="S1642" s="12"/>
      <c r="T1642" s="12"/>
      <c r="U1642" s="14"/>
      <c r="V1642" s="15"/>
      <c r="W1642" s="16" t="n">
        <f aca="false">A1642</f>
        <v>0</v>
      </c>
      <c r="X1642" s="17" t="e">
        <f aca="false">ifs(C1642="","",X1642="",NOW(),TRUE(),X1642)</f>
        <v>#VALUE!</v>
      </c>
      <c r="Y1642" s="17" t="e">
        <f aca="false">ifs(COUNTA(K1642:U1645)&lt;44,"",Y1642="",NOW(),TRUE(),Y1642)</f>
        <v>#VALUE!</v>
      </c>
    </row>
    <row r="1643" customFormat="false" ht="15.75" hidden="false" customHeight="false" outlineLevel="0" collapsed="false">
      <c r="A1643" s="9"/>
      <c r="B1643" s="10"/>
      <c r="C1643" s="10"/>
      <c r="D1643" s="10"/>
      <c r="E1643" s="10"/>
      <c r="F1643" s="10"/>
      <c r="G1643" s="10"/>
      <c r="H1643" s="10"/>
      <c r="I1643" s="18" t="n">
        <v>2</v>
      </c>
      <c r="J1643" s="18"/>
      <c r="K1643" s="19"/>
      <c r="L1643" s="19"/>
      <c r="M1643" s="18"/>
      <c r="N1643" s="18"/>
      <c r="O1643" s="18"/>
      <c r="P1643" s="19"/>
      <c r="Q1643" s="19"/>
      <c r="R1643" s="18"/>
      <c r="S1643" s="18"/>
      <c r="T1643" s="18"/>
      <c r="U1643" s="20"/>
      <c r="V1643" s="21"/>
      <c r="W1643" s="16"/>
      <c r="X1643" s="16"/>
      <c r="Y1643" s="16"/>
    </row>
    <row r="1644" customFormat="false" ht="15.75" hidden="false" customHeight="false" outlineLevel="0" collapsed="false">
      <c r="A1644" s="9"/>
      <c r="B1644" s="10"/>
      <c r="C1644" s="10"/>
      <c r="D1644" s="10"/>
      <c r="E1644" s="10"/>
      <c r="F1644" s="10"/>
      <c r="G1644" s="10"/>
      <c r="H1644" s="10"/>
      <c r="I1644" s="22" t="n">
        <v>3</v>
      </c>
      <c r="J1644" s="22"/>
      <c r="K1644" s="23"/>
      <c r="L1644" s="23"/>
      <c r="M1644" s="22"/>
      <c r="N1644" s="22"/>
      <c r="O1644" s="22"/>
      <c r="P1644" s="23"/>
      <c r="Q1644" s="23"/>
      <c r="R1644" s="22"/>
      <c r="S1644" s="22"/>
      <c r="T1644" s="22"/>
      <c r="U1644" s="24"/>
      <c r="V1644" s="15"/>
      <c r="W1644" s="16"/>
      <c r="X1644" s="16"/>
      <c r="Y1644" s="16"/>
    </row>
    <row r="1645" customFormat="false" ht="15.75" hidden="false" customHeight="false" outlineLevel="0" collapsed="false">
      <c r="A1645" s="9"/>
      <c r="B1645" s="10"/>
      <c r="C1645" s="10"/>
      <c r="D1645" s="10"/>
      <c r="E1645" s="10"/>
      <c r="F1645" s="10"/>
      <c r="G1645" s="10"/>
      <c r="H1645" s="10"/>
      <c r="I1645" s="25" t="n">
        <v>4</v>
      </c>
      <c r="J1645" s="25"/>
      <c r="K1645" s="26"/>
      <c r="L1645" s="26"/>
      <c r="M1645" s="25"/>
      <c r="N1645" s="25"/>
      <c r="O1645" s="25"/>
      <c r="P1645" s="26"/>
      <c r="Q1645" s="26"/>
      <c r="R1645" s="25"/>
      <c r="S1645" s="25"/>
      <c r="T1645" s="25"/>
      <c r="U1645" s="27"/>
      <c r="V1645" s="21"/>
      <c r="W1645" s="16"/>
      <c r="X1645" s="16"/>
      <c r="Y1645" s="16"/>
    </row>
    <row r="1646" customFormat="false" ht="15.75" hidden="false" customHeight="false" outlineLevel="0" collapsed="false">
      <c r="A1646" s="9"/>
      <c r="B1646" s="10"/>
      <c r="C1646" s="11"/>
      <c r="D1646" s="10"/>
      <c r="E1646" s="10"/>
      <c r="F1646" s="10"/>
      <c r="G1646" s="10"/>
      <c r="H1646" s="10"/>
      <c r="I1646" s="12" t="n">
        <v>1</v>
      </c>
      <c r="J1646" s="12"/>
      <c r="K1646" s="13"/>
      <c r="L1646" s="13"/>
      <c r="M1646" s="12"/>
      <c r="N1646" s="12"/>
      <c r="O1646" s="12"/>
      <c r="P1646" s="13"/>
      <c r="Q1646" s="13"/>
      <c r="R1646" s="12"/>
      <c r="S1646" s="12"/>
      <c r="T1646" s="12"/>
      <c r="U1646" s="14"/>
      <c r="V1646" s="15"/>
      <c r="W1646" s="16" t="n">
        <f aca="false">A1646</f>
        <v>0</v>
      </c>
      <c r="X1646" s="17" t="e">
        <f aca="false">ifs(C1646="","",X1646="",NOW(),TRUE(),X1646)</f>
        <v>#VALUE!</v>
      </c>
      <c r="Y1646" s="17" t="e">
        <f aca="false">ifs(COUNTA(K1646:U1649)&lt;44,"",Y1646="",NOW(),TRUE(),Y1646)</f>
        <v>#VALUE!</v>
      </c>
    </row>
    <row r="1647" customFormat="false" ht="15.75" hidden="false" customHeight="false" outlineLevel="0" collapsed="false">
      <c r="A1647" s="9"/>
      <c r="B1647" s="10"/>
      <c r="C1647" s="10"/>
      <c r="D1647" s="10"/>
      <c r="E1647" s="10"/>
      <c r="F1647" s="10"/>
      <c r="G1647" s="10"/>
      <c r="H1647" s="10"/>
      <c r="I1647" s="18" t="n">
        <v>2</v>
      </c>
      <c r="J1647" s="18"/>
      <c r="K1647" s="19"/>
      <c r="L1647" s="19"/>
      <c r="M1647" s="18"/>
      <c r="N1647" s="18"/>
      <c r="O1647" s="18"/>
      <c r="P1647" s="19"/>
      <c r="Q1647" s="19"/>
      <c r="R1647" s="18"/>
      <c r="S1647" s="18"/>
      <c r="T1647" s="18"/>
      <c r="U1647" s="20"/>
      <c r="V1647" s="21"/>
      <c r="W1647" s="16"/>
      <c r="X1647" s="16"/>
      <c r="Y1647" s="16"/>
    </row>
    <row r="1648" customFormat="false" ht="15.75" hidden="false" customHeight="false" outlineLevel="0" collapsed="false">
      <c r="A1648" s="9"/>
      <c r="B1648" s="10"/>
      <c r="C1648" s="10"/>
      <c r="D1648" s="10"/>
      <c r="E1648" s="10"/>
      <c r="F1648" s="10"/>
      <c r="G1648" s="10"/>
      <c r="H1648" s="10"/>
      <c r="I1648" s="22" t="n">
        <v>3</v>
      </c>
      <c r="J1648" s="22"/>
      <c r="K1648" s="23"/>
      <c r="L1648" s="23"/>
      <c r="M1648" s="22"/>
      <c r="N1648" s="22"/>
      <c r="O1648" s="22"/>
      <c r="P1648" s="23"/>
      <c r="Q1648" s="23"/>
      <c r="R1648" s="22"/>
      <c r="S1648" s="22"/>
      <c r="T1648" s="22"/>
      <c r="U1648" s="24"/>
      <c r="V1648" s="15"/>
      <c r="W1648" s="16"/>
      <c r="X1648" s="16"/>
      <c r="Y1648" s="16"/>
    </row>
    <row r="1649" customFormat="false" ht="15.75" hidden="false" customHeight="false" outlineLevel="0" collapsed="false">
      <c r="A1649" s="9"/>
      <c r="B1649" s="10"/>
      <c r="C1649" s="10"/>
      <c r="D1649" s="10"/>
      <c r="E1649" s="10"/>
      <c r="F1649" s="10"/>
      <c r="G1649" s="10"/>
      <c r="H1649" s="10"/>
      <c r="I1649" s="25" t="n">
        <v>4</v>
      </c>
      <c r="J1649" s="25"/>
      <c r="K1649" s="26"/>
      <c r="L1649" s="26"/>
      <c r="M1649" s="25"/>
      <c r="N1649" s="25"/>
      <c r="O1649" s="25"/>
      <c r="P1649" s="26"/>
      <c r="Q1649" s="26"/>
      <c r="R1649" s="25"/>
      <c r="S1649" s="25"/>
      <c r="T1649" s="25"/>
      <c r="U1649" s="27"/>
      <c r="V1649" s="21"/>
      <c r="W1649" s="16"/>
      <c r="X1649" s="16"/>
      <c r="Y1649" s="16"/>
    </row>
    <row r="1650" customFormat="false" ht="15.75" hidden="false" customHeight="false" outlineLevel="0" collapsed="false">
      <c r="A1650" s="9"/>
      <c r="B1650" s="10"/>
      <c r="C1650" s="11"/>
      <c r="D1650" s="10"/>
      <c r="E1650" s="10"/>
      <c r="F1650" s="10"/>
      <c r="G1650" s="10"/>
      <c r="H1650" s="10"/>
      <c r="I1650" s="12" t="n">
        <v>1</v>
      </c>
      <c r="J1650" s="12"/>
      <c r="K1650" s="13"/>
      <c r="L1650" s="13"/>
      <c r="M1650" s="12"/>
      <c r="N1650" s="12"/>
      <c r="O1650" s="12"/>
      <c r="P1650" s="13"/>
      <c r="Q1650" s="13"/>
      <c r="R1650" s="12"/>
      <c r="S1650" s="12"/>
      <c r="T1650" s="12"/>
      <c r="U1650" s="14"/>
      <c r="V1650" s="15"/>
      <c r="W1650" s="16" t="n">
        <f aca="false">A1650</f>
        <v>0</v>
      </c>
      <c r="X1650" s="17" t="e">
        <f aca="false">ifs(C1650="","",X1650="",NOW(),TRUE(),X1650)</f>
        <v>#VALUE!</v>
      </c>
      <c r="Y1650" s="17" t="e">
        <f aca="false">ifs(COUNTA(K1650:U1653)&lt;44,"",Y1650="",NOW(),TRUE(),Y1650)</f>
        <v>#VALUE!</v>
      </c>
    </row>
    <row r="1651" customFormat="false" ht="15.75" hidden="false" customHeight="false" outlineLevel="0" collapsed="false">
      <c r="A1651" s="9"/>
      <c r="B1651" s="10"/>
      <c r="C1651" s="10"/>
      <c r="D1651" s="10"/>
      <c r="E1651" s="10"/>
      <c r="F1651" s="10"/>
      <c r="G1651" s="10"/>
      <c r="H1651" s="10"/>
      <c r="I1651" s="18" t="n">
        <v>2</v>
      </c>
      <c r="J1651" s="18"/>
      <c r="K1651" s="19"/>
      <c r="L1651" s="19"/>
      <c r="M1651" s="18"/>
      <c r="N1651" s="18"/>
      <c r="O1651" s="18"/>
      <c r="P1651" s="19"/>
      <c r="Q1651" s="19"/>
      <c r="R1651" s="18"/>
      <c r="S1651" s="18"/>
      <c r="T1651" s="18"/>
      <c r="U1651" s="20"/>
      <c r="V1651" s="21"/>
      <c r="W1651" s="16"/>
      <c r="X1651" s="16"/>
      <c r="Y1651" s="16"/>
    </row>
    <row r="1652" customFormat="false" ht="15.75" hidden="false" customHeight="false" outlineLevel="0" collapsed="false">
      <c r="A1652" s="9"/>
      <c r="B1652" s="10"/>
      <c r="C1652" s="10"/>
      <c r="D1652" s="10"/>
      <c r="E1652" s="10"/>
      <c r="F1652" s="10"/>
      <c r="G1652" s="10"/>
      <c r="H1652" s="10"/>
      <c r="I1652" s="22" t="n">
        <v>3</v>
      </c>
      <c r="J1652" s="22"/>
      <c r="K1652" s="23"/>
      <c r="L1652" s="23"/>
      <c r="M1652" s="22"/>
      <c r="N1652" s="22"/>
      <c r="O1652" s="22"/>
      <c r="P1652" s="23"/>
      <c r="Q1652" s="23"/>
      <c r="R1652" s="22"/>
      <c r="S1652" s="22"/>
      <c r="T1652" s="22"/>
      <c r="U1652" s="24"/>
      <c r="V1652" s="15"/>
      <c r="W1652" s="16"/>
      <c r="X1652" s="16"/>
      <c r="Y1652" s="16"/>
    </row>
    <row r="1653" customFormat="false" ht="15.75" hidden="false" customHeight="false" outlineLevel="0" collapsed="false">
      <c r="A1653" s="9"/>
      <c r="B1653" s="10"/>
      <c r="C1653" s="10"/>
      <c r="D1653" s="10"/>
      <c r="E1653" s="10"/>
      <c r="F1653" s="10"/>
      <c r="G1653" s="10"/>
      <c r="H1653" s="10"/>
      <c r="I1653" s="25" t="n">
        <v>4</v>
      </c>
      <c r="J1653" s="25"/>
      <c r="K1653" s="26"/>
      <c r="L1653" s="26"/>
      <c r="M1653" s="25"/>
      <c r="N1653" s="25"/>
      <c r="O1653" s="25"/>
      <c r="P1653" s="26"/>
      <c r="Q1653" s="26"/>
      <c r="R1653" s="25"/>
      <c r="S1653" s="25"/>
      <c r="T1653" s="25"/>
      <c r="U1653" s="27"/>
      <c r="V1653" s="21"/>
      <c r="W1653" s="16"/>
      <c r="X1653" s="16"/>
      <c r="Y1653" s="16"/>
    </row>
    <row r="1654" customFormat="false" ht="15.75" hidden="false" customHeight="false" outlineLevel="0" collapsed="false">
      <c r="A1654" s="9"/>
      <c r="B1654" s="10"/>
      <c r="C1654" s="11"/>
      <c r="D1654" s="10"/>
      <c r="E1654" s="10"/>
      <c r="F1654" s="10"/>
      <c r="G1654" s="10"/>
      <c r="H1654" s="10"/>
      <c r="I1654" s="12" t="n">
        <v>1</v>
      </c>
      <c r="J1654" s="12"/>
      <c r="K1654" s="13"/>
      <c r="L1654" s="13"/>
      <c r="M1654" s="12"/>
      <c r="N1654" s="12"/>
      <c r="O1654" s="12"/>
      <c r="P1654" s="13"/>
      <c r="Q1654" s="13"/>
      <c r="R1654" s="12"/>
      <c r="S1654" s="12"/>
      <c r="T1654" s="12"/>
      <c r="U1654" s="14"/>
      <c r="V1654" s="15"/>
      <c r="W1654" s="16" t="n">
        <f aca="false">A1654</f>
        <v>0</v>
      </c>
      <c r="X1654" s="17" t="e">
        <f aca="false">ifs(C1654="","",X1654="",NOW(),TRUE(),X1654)</f>
        <v>#VALUE!</v>
      </c>
      <c r="Y1654" s="17" t="e">
        <f aca="false">ifs(COUNTA(K1654:U1657)&lt;44,"",Y1654="",NOW(),TRUE(),Y1654)</f>
        <v>#VALUE!</v>
      </c>
    </row>
    <row r="1655" customFormat="false" ht="15.75" hidden="false" customHeight="false" outlineLevel="0" collapsed="false">
      <c r="A1655" s="9"/>
      <c r="B1655" s="10"/>
      <c r="C1655" s="10"/>
      <c r="D1655" s="10"/>
      <c r="E1655" s="10"/>
      <c r="F1655" s="10"/>
      <c r="G1655" s="10"/>
      <c r="H1655" s="10"/>
      <c r="I1655" s="18" t="n">
        <v>2</v>
      </c>
      <c r="J1655" s="18"/>
      <c r="K1655" s="19"/>
      <c r="L1655" s="19"/>
      <c r="M1655" s="18"/>
      <c r="N1655" s="18"/>
      <c r="O1655" s="18"/>
      <c r="P1655" s="19"/>
      <c r="Q1655" s="19"/>
      <c r="R1655" s="18"/>
      <c r="S1655" s="18"/>
      <c r="T1655" s="18"/>
      <c r="U1655" s="20"/>
      <c r="V1655" s="21"/>
      <c r="W1655" s="16"/>
      <c r="X1655" s="16"/>
      <c r="Y1655" s="16"/>
    </row>
    <row r="1656" customFormat="false" ht="15.75" hidden="false" customHeight="false" outlineLevel="0" collapsed="false">
      <c r="A1656" s="9"/>
      <c r="B1656" s="10"/>
      <c r="C1656" s="10"/>
      <c r="D1656" s="10"/>
      <c r="E1656" s="10"/>
      <c r="F1656" s="10"/>
      <c r="G1656" s="10"/>
      <c r="H1656" s="10"/>
      <c r="I1656" s="22" t="n">
        <v>3</v>
      </c>
      <c r="J1656" s="22"/>
      <c r="K1656" s="23"/>
      <c r="L1656" s="23"/>
      <c r="M1656" s="22"/>
      <c r="N1656" s="22"/>
      <c r="O1656" s="22"/>
      <c r="P1656" s="23"/>
      <c r="Q1656" s="23"/>
      <c r="R1656" s="22"/>
      <c r="S1656" s="22"/>
      <c r="T1656" s="22"/>
      <c r="U1656" s="24"/>
      <c r="V1656" s="15"/>
      <c r="W1656" s="16"/>
      <c r="X1656" s="16"/>
      <c r="Y1656" s="16"/>
    </row>
    <row r="1657" customFormat="false" ht="15.75" hidden="false" customHeight="false" outlineLevel="0" collapsed="false">
      <c r="A1657" s="9"/>
      <c r="B1657" s="10"/>
      <c r="C1657" s="10"/>
      <c r="D1657" s="10"/>
      <c r="E1657" s="10"/>
      <c r="F1657" s="10"/>
      <c r="G1657" s="10"/>
      <c r="H1657" s="10"/>
      <c r="I1657" s="25" t="n">
        <v>4</v>
      </c>
      <c r="J1657" s="25"/>
      <c r="K1657" s="26"/>
      <c r="L1657" s="26"/>
      <c r="M1657" s="25"/>
      <c r="N1657" s="25"/>
      <c r="O1657" s="25"/>
      <c r="P1657" s="26"/>
      <c r="Q1657" s="26"/>
      <c r="R1657" s="25"/>
      <c r="S1657" s="25"/>
      <c r="T1657" s="25"/>
      <c r="U1657" s="27"/>
      <c r="V1657" s="21"/>
      <c r="W1657" s="16"/>
      <c r="X1657" s="16"/>
      <c r="Y1657" s="16"/>
    </row>
    <row r="1658" customFormat="false" ht="15.75" hidden="false" customHeight="false" outlineLevel="0" collapsed="false">
      <c r="A1658" s="9"/>
      <c r="B1658" s="10"/>
      <c r="C1658" s="11"/>
      <c r="D1658" s="10"/>
      <c r="E1658" s="10"/>
      <c r="F1658" s="10"/>
      <c r="G1658" s="10"/>
      <c r="H1658" s="10"/>
      <c r="I1658" s="12" t="n">
        <v>1</v>
      </c>
      <c r="J1658" s="12"/>
      <c r="K1658" s="13"/>
      <c r="L1658" s="13"/>
      <c r="M1658" s="12"/>
      <c r="N1658" s="12"/>
      <c r="O1658" s="12"/>
      <c r="P1658" s="13"/>
      <c r="Q1658" s="13"/>
      <c r="R1658" s="12"/>
      <c r="S1658" s="12"/>
      <c r="T1658" s="12"/>
      <c r="U1658" s="14"/>
      <c r="V1658" s="15"/>
      <c r="W1658" s="16" t="n">
        <f aca="false">A1658</f>
        <v>0</v>
      </c>
      <c r="X1658" s="17" t="e">
        <f aca="false">ifs(C1658="","",X1658="",NOW(),TRUE(),X1658)</f>
        <v>#VALUE!</v>
      </c>
      <c r="Y1658" s="17" t="e">
        <f aca="false">ifs(COUNTA(K1658:U1661)&lt;44,"",Y1658="",NOW(),TRUE(),Y1658)</f>
        <v>#VALUE!</v>
      </c>
    </row>
    <row r="1659" customFormat="false" ht="15.75" hidden="false" customHeight="false" outlineLevel="0" collapsed="false">
      <c r="A1659" s="9"/>
      <c r="B1659" s="10"/>
      <c r="C1659" s="10"/>
      <c r="D1659" s="10"/>
      <c r="E1659" s="10"/>
      <c r="F1659" s="10"/>
      <c r="G1659" s="10"/>
      <c r="H1659" s="10"/>
      <c r="I1659" s="18" t="n">
        <v>2</v>
      </c>
      <c r="J1659" s="18"/>
      <c r="K1659" s="19"/>
      <c r="L1659" s="19"/>
      <c r="M1659" s="18"/>
      <c r="N1659" s="18"/>
      <c r="O1659" s="18"/>
      <c r="P1659" s="19"/>
      <c r="Q1659" s="19"/>
      <c r="R1659" s="18"/>
      <c r="S1659" s="18"/>
      <c r="T1659" s="18"/>
      <c r="U1659" s="20"/>
      <c r="V1659" s="21"/>
      <c r="W1659" s="16"/>
      <c r="X1659" s="16"/>
      <c r="Y1659" s="16"/>
    </row>
    <row r="1660" customFormat="false" ht="15.75" hidden="false" customHeight="false" outlineLevel="0" collapsed="false">
      <c r="A1660" s="9"/>
      <c r="B1660" s="10"/>
      <c r="C1660" s="10"/>
      <c r="D1660" s="10"/>
      <c r="E1660" s="10"/>
      <c r="F1660" s="10"/>
      <c r="G1660" s="10"/>
      <c r="H1660" s="10"/>
      <c r="I1660" s="22" t="n">
        <v>3</v>
      </c>
      <c r="J1660" s="22"/>
      <c r="K1660" s="23"/>
      <c r="L1660" s="23"/>
      <c r="M1660" s="22"/>
      <c r="N1660" s="22"/>
      <c r="O1660" s="22"/>
      <c r="P1660" s="23"/>
      <c r="Q1660" s="23"/>
      <c r="R1660" s="22"/>
      <c r="S1660" s="22"/>
      <c r="T1660" s="22"/>
      <c r="U1660" s="24"/>
      <c r="V1660" s="15"/>
      <c r="W1660" s="16"/>
      <c r="X1660" s="16"/>
      <c r="Y1660" s="16"/>
    </row>
    <row r="1661" customFormat="false" ht="15.75" hidden="false" customHeight="false" outlineLevel="0" collapsed="false">
      <c r="A1661" s="9"/>
      <c r="B1661" s="10"/>
      <c r="C1661" s="10"/>
      <c r="D1661" s="10"/>
      <c r="E1661" s="10"/>
      <c r="F1661" s="10"/>
      <c r="G1661" s="10"/>
      <c r="H1661" s="10"/>
      <c r="I1661" s="25" t="n">
        <v>4</v>
      </c>
      <c r="J1661" s="25"/>
      <c r="K1661" s="26"/>
      <c r="L1661" s="26"/>
      <c r="M1661" s="25"/>
      <c r="N1661" s="25"/>
      <c r="O1661" s="25"/>
      <c r="P1661" s="26"/>
      <c r="Q1661" s="26"/>
      <c r="R1661" s="25"/>
      <c r="S1661" s="25"/>
      <c r="T1661" s="25"/>
      <c r="U1661" s="27"/>
      <c r="V1661" s="21"/>
      <c r="W1661" s="16"/>
      <c r="X1661" s="16"/>
      <c r="Y1661" s="16"/>
    </row>
    <row r="1662" customFormat="false" ht="15.75" hidden="false" customHeight="false" outlineLevel="0" collapsed="false">
      <c r="A1662" s="9"/>
      <c r="B1662" s="10"/>
      <c r="C1662" s="11"/>
      <c r="D1662" s="10"/>
      <c r="E1662" s="10"/>
      <c r="F1662" s="10"/>
      <c r="G1662" s="10"/>
      <c r="H1662" s="10"/>
      <c r="I1662" s="12" t="n">
        <v>1</v>
      </c>
      <c r="J1662" s="12"/>
      <c r="K1662" s="13"/>
      <c r="L1662" s="13"/>
      <c r="M1662" s="12"/>
      <c r="N1662" s="12"/>
      <c r="O1662" s="12"/>
      <c r="P1662" s="13"/>
      <c r="Q1662" s="13"/>
      <c r="R1662" s="12"/>
      <c r="S1662" s="12"/>
      <c r="T1662" s="12"/>
      <c r="U1662" s="14"/>
      <c r="V1662" s="15"/>
      <c r="W1662" s="16" t="n">
        <f aca="false">A1662</f>
        <v>0</v>
      </c>
      <c r="X1662" s="17" t="e">
        <f aca="false">ifs(C1662="","",X1662="",NOW(),TRUE(),X1662)</f>
        <v>#VALUE!</v>
      </c>
      <c r="Y1662" s="17" t="e">
        <f aca="false">ifs(COUNTA(K1662:U1665)&lt;44,"",Y1662="",NOW(),TRUE(),Y1662)</f>
        <v>#VALUE!</v>
      </c>
    </row>
    <row r="1663" customFormat="false" ht="15.75" hidden="false" customHeight="false" outlineLevel="0" collapsed="false">
      <c r="A1663" s="9"/>
      <c r="B1663" s="10"/>
      <c r="C1663" s="10"/>
      <c r="D1663" s="10"/>
      <c r="E1663" s="10"/>
      <c r="F1663" s="10"/>
      <c r="G1663" s="10"/>
      <c r="H1663" s="10"/>
      <c r="I1663" s="18" t="n">
        <v>2</v>
      </c>
      <c r="J1663" s="18"/>
      <c r="K1663" s="19"/>
      <c r="L1663" s="19"/>
      <c r="M1663" s="18"/>
      <c r="N1663" s="18"/>
      <c r="O1663" s="18"/>
      <c r="P1663" s="19"/>
      <c r="Q1663" s="19"/>
      <c r="R1663" s="18"/>
      <c r="S1663" s="18"/>
      <c r="T1663" s="18"/>
      <c r="U1663" s="20"/>
      <c r="V1663" s="21"/>
      <c r="W1663" s="16"/>
      <c r="X1663" s="16"/>
      <c r="Y1663" s="16"/>
    </row>
    <row r="1664" customFormat="false" ht="15.75" hidden="false" customHeight="false" outlineLevel="0" collapsed="false">
      <c r="A1664" s="9"/>
      <c r="B1664" s="10"/>
      <c r="C1664" s="10"/>
      <c r="D1664" s="10"/>
      <c r="E1664" s="10"/>
      <c r="F1664" s="10"/>
      <c r="G1664" s="10"/>
      <c r="H1664" s="10"/>
      <c r="I1664" s="22" t="n">
        <v>3</v>
      </c>
      <c r="J1664" s="22"/>
      <c r="K1664" s="23"/>
      <c r="L1664" s="23"/>
      <c r="M1664" s="22"/>
      <c r="N1664" s="22"/>
      <c r="O1664" s="22"/>
      <c r="P1664" s="23"/>
      <c r="Q1664" s="23"/>
      <c r="R1664" s="22"/>
      <c r="S1664" s="22"/>
      <c r="T1664" s="22"/>
      <c r="U1664" s="24"/>
      <c r="V1664" s="15"/>
      <c r="W1664" s="16"/>
      <c r="X1664" s="16"/>
      <c r="Y1664" s="16"/>
    </row>
    <row r="1665" customFormat="false" ht="15.75" hidden="false" customHeight="false" outlineLevel="0" collapsed="false">
      <c r="A1665" s="9"/>
      <c r="B1665" s="10"/>
      <c r="C1665" s="10"/>
      <c r="D1665" s="10"/>
      <c r="E1665" s="10"/>
      <c r="F1665" s="10"/>
      <c r="G1665" s="10"/>
      <c r="H1665" s="10"/>
      <c r="I1665" s="25" t="n">
        <v>4</v>
      </c>
      <c r="J1665" s="25"/>
      <c r="K1665" s="26"/>
      <c r="L1665" s="26"/>
      <c r="M1665" s="25"/>
      <c r="N1665" s="25"/>
      <c r="O1665" s="25"/>
      <c r="P1665" s="26"/>
      <c r="Q1665" s="26"/>
      <c r="R1665" s="25"/>
      <c r="S1665" s="25"/>
      <c r="T1665" s="25"/>
      <c r="U1665" s="27"/>
      <c r="V1665" s="21"/>
      <c r="W1665" s="16"/>
      <c r="X1665" s="16"/>
      <c r="Y1665" s="16"/>
    </row>
    <row r="1666" customFormat="false" ht="15.75" hidden="false" customHeight="false" outlineLevel="0" collapsed="false">
      <c r="A1666" s="9"/>
      <c r="B1666" s="10"/>
      <c r="C1666" s="11"/>
      <c r="D1666" s="10"/>
      <c r="E1666" s="10"/>
      <c r="F1666" s="10"/>
      <c r="G1666" s="10"/>
      <c r="H1666" s="10"/>
      <c r="I1666" s="12" t="n">
        <v>1</v>
      </c>
      <c r="J1666" s="12"/>
      <c r="K1666" s="13"/>
      <c r="L1666" s="13"/>
      <c r="M1666" s="12"/>
      <c r="N1666" s="12"/>
      <c r="O1666" s="12"/>
      <c r="P1666" s="13"/>
      <c r="Q1666" s="13"/>
      <c r="R1666" s="12"/>
      <c r="S1666" s="12"/>
      <c r="T1666" s="12"/>
      <c r="U1666" s="14"/>
      <c r="V1666" s="15"/>
      <c r="W1666" s="16" t="n">
        <f aca="false">A1666</f>
        <v>0</v>
      </c>
      <c r="X1666" s="17" t="e">
        <f aca="false">ifs(C1666="","",X1666="",NOW(),TRUE(),X1666)</f>
        <v>#VALUE!</v>
      </c>
      <c r="Y1666" s="17" t="e">
        <f aca="false">ifs(COUNTA(K1666:U1669)&lt;44,"",Y1666="",NOW(),TRUE(),Y1666)</f>
        <v>#VALUE!</v>
      </c>
    </row>
    <row r="1667" customFormat="false" ht="15.75" hidden="false" customHeight="false" outlineLevel="0" collapsed="false">
      <c r="A1667" s="9"/>
      <c r="B1667" s="10"/>
      <c r="C1667" s="10"/>
      <c r="D1667" s="10"/>
      <c r="E1667" s="10"/>
      <c r="F1667" s="10"/>
      <c r="G1667" s="10"/>
      <c r="H1667" s="10"/>
      <c r="I1667" s="18" t="n">
        <v>2</v>
      </c>
      <c r="J1667" s="18"/>
      <c r="K1667" s="19"/>
      <c r="L1667" s="19"/>
      <c r="M1667" s="18"/>
      <c r="N1667" s="18"/>
      <c r="O1667" s="18"/>
      <c r="P1667" s="19"/>
      <c r="Q1667" s="19"/>
      <c r="R1667" s="18"/>
      <c r="S1667" s="18"/>
      <c r="T1667" s="18"/>
      <c r="U1667" s="20"/>
      <c r="V1667" s="21"/>
      <c r="W1667" s="16"/>
      <c r="X1667" s="16"/>
      <c r="Y1667" s="16"/>
    </row>
    <row r="1668" customFormat="false" ht="15.75" hidden="false" customHeight="false" outlineLevel="0" collapsed="false">
      <c r="A1668" s="9"/>
      <c r="B1668" s="10"/>
      <c r="C1668" s="10"/>
      <c r="D1668" s="10"/>
      <c r="E1668" s="10"/>
      <c r="F1668" s="10"/>
      <c r="G1668" s="10"/>
      <c r="H1668" s="10"/>
      <c r="I1668" s="22" t="n">
        <v>3</v>
      </c>
      <c r="J1668" s="22"/>
      <c r="K1668" s="23"/>
      <c r="L1668" s="23"/>
      <c r="M1668" s="22"/>
      <c r="N1668" s="22"/>
      <c r="O1668" s="22"/>
      <c r="P1668" s="23"/>
      <c r="Q1668" s="23"/>
      <c r="R1668" s="22"/>
      <c r="S1668" s="22"/>
      <c r="T1668" s="22"/>
      <c r="U1668" s="24"/>
      <c r="V1668" s="15"/>
      <c r="W1668" s="16"/>
      <c r="X1668" s="16"/>
      <c r="Y1668" s="16"/>
    </row>
    <row r="1669" customFormat="false" ht="15.75" hidden="false" customHeight="false" outlineLevel="0" collapsed="false">
      <c r="A1669" s="9"/>
      <c r="B1669" s="10"/>
      <c r="C1669" s="10"/>
      <c r="D1669" s="10"/>
      <c r="E1669" s="10"/>
      <c r="F1669" s="10"/>
      <c r="G1669" s="10"/>
      <c r="H1669" s="10"/>
      <c r="I1669" s="25" t="n">
        <v>4</v>
      </c>
      <c r="J1669" s="25"/>
      <c r="K1669" s="26"/>
      <c r="L1669" s="26"/>
      <c r="M1669" s="25"/>
      <c r="N1669" s="25"/>
      <c r="O1669" s="25"/>
      <c r="P1669" s="26"/>
      <c r="Q1669" s="26"/>
      <c r="R1669" s="25"/>
      <c r="S1669" s="25"/>
      <c r="T1669" s="25"/>
      <c r="U1669" s="27"/>
      <c r="V1669" s="21"/>
      <c r="W1669" s="16"/>
      <c r="X1669" s="16"/>
      <c r="Y1669" s="16"/>
    </row>
    <row r="1670" customFormat="false" ht="15.75" hidden="false" customHeight="false" outlineLevel="0" collapsed="false">
      <c r="A1670" s="9"/>
      <c r="B1670" s="10"/>
      <c r="C1670" s="11"/>
      <c r="D1670" s="10"/>
      <c r="E1670" s="10"/>
      <c r="F1670" s="10"/>
      <c r="G1670" s="10"/>
      <c r="H1670" s="10"/>
      <c r="I1670" s="12" t="n">
        <v>1</v>
      </c>
      <c r="J1670" s="12"/>
      <c r="K1670" s="13"/>
      <c r="L1670" s="13"/>
      <c r="M1670" s="12"/>
      <c r="N1670" s="12"/>
      <c r="O1670" s="12"/>
      <c r="P1670" s="13"/>
      <c r="Q1670" s="13"/>
      <c r="R1670" s="12"/>
      <c r="S1670" s="12"/>
      <c r="T1670" s="12"/>
      <c r="U1670" s="14"/>
      <c r="V1670" s="15"/>
      <c r="W1670" s="16" t="n">
        <f aca="false">A1670</f>
        <v>0</v>
      </c>
      <c r="X1670" s="17" t="e">
        <f aca="false">ifs(C1670="","",X1670="",NOW(),TRUE(),X1670)</f>
        <v>#VALUE!</v>
      </c>
      <c r="Y1670" s="17" t="e">
        <f aca="false">ifs(COUNTA(K1670:U1673)&lt;44,"",Y1670="",NOW(),TRUE(),Y1670)</f>
        <v>#VALUE!</v>
      </c>
    </row>
    <row r="1671" customFormat="false" ht="15.75" hidden="false" customHeight="false" outlineLevel="0" collapsed="false">
      <c r="A1671" s="9"/>
      <c r="B1671" s="10"/>
      <c r="C1671" s="10"/>
      <c r="D1671" s="10"/>
      <c r="E1671" s="10"/>
      <c r="F1671" s="10"/>
      <c r="G1671" s="10"/>
      <c r="H1671" s="10"/>
      <c r="I1671" s="18" t="n">
        <v>2</v>
      </c>
      <c r="J1671" s="18"/>
      <c r="K1671" s="19"/>
      <c r="L1671" s="19"/>
      <c r="M1671" s="18"/>
      <c r="N1671" s="18"/>
      <c r="O1671" s="18"/>
      <c r="P1671" s="19"/>
      <c r="Q1671" s="19"/>
      <c r="R1671" s="18"/>
      <c r="S1671" s="18"/>
      <c r="T1671" s="18"/>
      <c r="U1671" s="20"/>
      <c r="V1671" s="21"/>
      <c r="W1671" s="16"/>
      <c r="X1671" s="16"/>
      <c r="Y1671" s="16"/>
    </row>
    <row r="1672" customFormat="false" ht="15.75" hidden="false" customHeight="false" outlineLevel="0" collapsed="false">
      <c r="A1672" s="9"/>
      <c r="B1672" s="10"/>
      <c r="C1672" s="10"/>
      <c r="D1672" s="10"/>
      <c r="E1672" s="10"/>
      <c r="F1672" s="10"/>
      <c r="G1672" s="10"/>
      <c r="H1672" s="10"/>
      <c r="I1672" s="22" t="n">
        <v>3</v>
      </c>
      <c r="J1672" s="22"/>
      <c r="K1672" s="23"/>
      <c r="L1672" s="23"/>
      <c r="M1672" s="22"/>
      <c r="N1672" s="22"/>
      <c r="O1672" s="22"/>
      <c r="P1672" s="23"/>
      <c r="Q1672" s="23"/>
      <c r="R1672" s="22"/>
      <c r="S1672" s="22"/>
      <c r="T1672" s="22"/>
      <c r="U1672" s="24"/>
      <c r="V1672" s="15"/>
      <c r="W1672" s="16"/>
      <c r="X1672" s="16"/>
      <c r="Y1672" s="16"/>
    </row>
    <row r="1673" customFormat="false" ht="15.75" hidden="false" customHeight="false" outlineLevel="0" collapsed="false">
      <c r="A1673" s="9"/>
      <c r="B1673" s="10"/>
      <c r="C1673" s="10"/>
      <c r="D1673" s="10"/>
      <c r="E1673" s="10"/>
      <c r="F1673" s="10"/>
      <c r="G1673" s="10"/>
      <c r="H1673" s="10"/>
      <c r="I1673" s="25" t="n">
        <v>4</v>
      </c>
      <c r="J1673" s="25"/>
      <c r="K1673" s="26"/>
      <c r="L1673" s="26"/>
      <c r="M1673" s="25"/>
      <c r="N1673" s="25"/>
      <c r="O1673" s="25"/>
      <c r="P1673" s="26"/>
      <c r="Q1673" s="26"/>
      <c r="R1673" s="25"/>
      <c r="S1673" s="25"/>
      <c r="T1673" s="25"/>
      <c r="U1673" s="27"/>
      <c r="V1673" s="21"/>
      <c r="W1673" s="16"/>
      <c r="X1673" s="16"/>
      <c r="Y1673" s="16"/>
    </row>
    <row r="1674" customFormat="false" ht="15.75" hidden="false" customHeight="false" outlineLevel="0" collapsed="false">
      <c r="A1674" s="9"/>
      <c r="B1674" s="10"/>
      <c r="C1674" s="11"/>
      <c r="D1674" s="10"/>
      <c r="E1674" s="10"/>
      <c r="F1674" s="10"/>
      <c r="G1674" s="10"/>
      <c r="H1674" s="10"/>
      <c r="I1674" s="12" t="n">
        <v>1</v>
      </c>
      <c r="J1674" s="12"/>
      <c r="K1674" s="13"/>
      <c r="L1674" s="13"/>
      <c r="M1674" s="12"/>
      <c r="N1674" s="12"/>
      <c r="O1674" s="12"/>
      <c r="P1674" s="13"/>
      <c r="Q1674" s="13"/>
      <c r="R1674" s="12"/>
      <c r="S1674" s="12"/>
      <c r="T1674" s="12"/>
      <c r="U1674" s="14"/>
      <c r="V1674" s="15"/>
      <c r="W1674" s="16" t="n">
        <f aca="false">A1674</f>
        <v>0</v>
      </c>
      <c r="X1674" s="17" t="e">
        <f aca="false">ifs(C1674="","",X1674="",NOW(),TRUE(),X1674)</f>
        <v>#VALUE!</v>
      </c>
      <c r="Y1674" s="17" t="e">
        <f aca="false">ifs(COUNTA(K1674:U1677)&lt;44,"",Y1674="",NOW(),TRUE(),Y1674)</f>
        <v>#VALUE!</v>
      </c>
    </row>
    <row r="1675" customFormat="false" ht="15.75" hidden="false" customHeight="false" outlineLevel="0" collapsed="false">
      <c r="A1675" s="9"/>
      <c r="B1675" s="10"/>
      <c r="C1675" s="10"/>
      <c r="D1675" s="10"/>
      <c r="E1675" s="10"/>
      <c r="F1675" s="10"/>
      <c r="G1675" s="10"/>
      <c r="H1675" s="10"/>
      <c r="I1675" s="18" t="n">
        <v>2</v>
      </c>
      <c r="J1675" s="18"/>
      <c r="K1675" s="19"/>
      <c r="L1675" s="19"/>
      <c r="M1675" s="18"/>
      <c r="N1675" s="18"/>
      <c r="O1675" s="18"/>
      <c r="P1675" s="19"/>
      <c r="Q1675" s="19"/>
      <c r="R1675" s="18"/>
      <c r="S1675" s="18"/>
      <c r="T1675" s="18"/>
      <c r="U1675" s="20"/>
      <c r="V1675" s="21"/>
      <c r="W1675" s="16"/>
      <c r="X1675" s="16"/>
      <c r="Y1675" s="16"/>
    </row>
    <row r="1676" customFormat="false" ht="15.75" hidden="false" customHeight="false" outlineLevel="0" collapsed="false">
      <c r="A1676" s="9"/>
      <c r="B1676" s="10"/>
      <c r="C1676" s="10"/>
      <c r="D1676" s="10"/>
      <c r="E1676" s="10"/>
      <c r="F1676" s="10"/>
      <c r="G1676" s="10"/>
      <c r="H1676" s="10"/>
      <c r="I1676" s="22" t="n">
        <v>3</v>
      </c>
      <c r="J1676" s="22"/>
      <c r="K1676" s="23"/>
      <c r="L1676" s="23"/>
      <c r="M1676" s="22"/>
      <c r="N1676" s="22"/>
      <c r="O1676" s="22"/>
      <c r="P1676" s="23"/>
      <c r="Q1676" s="23"/>
      <c r="R1676" s="22"/>
      <c r="S1676" s="22"/>
      <c r="T1676" s="22"/>
      <c r="U1676" s="24"/>
      <c r="V1676" s="15"/>
      <c r="W1676" s="16"/>
      <c r="X1676" s="16"/>
      <c r="Y1676" s="16"/>
    </row>
    <row r="1677" customFormat="false" ht="15.75" hidden="false" customHeight="false" outlineLevel="0" collapsed="false">
      <c r="A1677" s="9"/>
      <c r="B1677" s="10"/>
      <c r="C1677" s="10"/>
      <c r="D1677" s="10"/>
      <c r="E1677" s="10"/>
      <c r="F1677" s="10"/>
      <c r="G1677" s="10"/>
      <c r="H1677" s="10"/>
      <c r="I1677" s="25" t="n">
        <v>4</v>
      </c>
      <c r="J1677" s="25"/>
      <c r="K1677" s="26"/>
      <c r="L1677" s="26"/>
      <c r="M1677" s="25"/>
      <c r="N1677" s="25"/>
      <c r="O1677" s="25"/>
      <c r="P1677" s="26"/>
      <c r="Q1677" s="26"/>
      <c r="R1677" s="25"/>
      <c r="S1677" s="25"/>
      <c r="T1677" s="25"/>
      <c r="U1677" s="27"/>
      <c r="V1677" s="21"/>
      <c r="W1677" s="16"/>
      <c r="X1677" s="16"/>
      <c r="Y1677" s="16"/>
    </row>
    <row r="1678" customFormat="false" ht="15.75" hidden="false" customHeight="false" outlineLevel="0" collapsed="false">
      <c r="A1678" s="9"/>
      <c r="B1678" s="10"/>
      <c r="C1678" s="11"/>
      <c r="D1678" s="10"/>
      <c r="E1678" s="10"/>
      <c r="F1678" s="10"/>
      <c r="G1678" s="10"/>
      <c r="H1678" s="10"/>
      <c r="I1678" s="12" t="n">
        <v>1</v>
      </c>
      <c r="J1678" s="12"/>
      <c r="K1678" s="13"/>
      <c r="L1678" s="13"/>
      <c r="M1678" s="12"/>
      <c r="N1678" s="12"/>
      <c r="O1678" s="12"/>
      <c r="P1678" s="13"/>
      <c r="Q1678" s="13"/>
      <c r="R1678" s="12"/>
      <c r="S1678" s="12"/>
      <c r="T1678" s="12"/>
      <c r="U1678" s="14"/>
      <c r="V1678" s="15"/>
      <c r="W1678" s="16" t="n">
        <f aca="false">A1678</f>
        <v>0</v>
      </c>
      <c r="X1678" s="17" t="e">
        <f aca="false">ifs(C1678="","",X1678="",NOW(),TRUE(),X1678)</f>
        <v>#VALUE!</v>
      </c>
      <c r="Y1678" s="17" t="e">
        <f aca="false">ifs(COUNTA(K1678:U1681)&lt;44,"",Y1678="",NOW(),TRUE(),Y1678)</f>
        <v>#VALUE!</v>
      </c>
    </row>
    <row r="1679" customFormat="false" ht="15.75" hidden="false" customHeight="false" outlineLevel="0" collapsed="false">
      <c r="A1679" s="9"/>
      <c r="B1679" s="10"/>
      <c r="C1679" s="10"/>
      <c r="D1679" s="10"/>
      <c r="E1679" s="10"/>
      <c r="F1679" s="10"/>
      <c r="G1679" s="10"/>
      <c r="H1679" s="10"/>
      <c r="I1679" s="18" t="n">
        <v>2</v>
      </c>
      <c r="J1679" s="18"/>
      <c r="K1679" s="19"/>
      <c r="L1679" s="19"/>
      <c r="M1679" s="18"/>
      <c r="N1679" s="18"/>
      <c r="O1679" s="18"/>
      <c r="P1679" s="19"/>
      <c r="Q1679" s="19"/>
      <c r="R1679" s="18"/>
      <c r="S1679" s="18"/>
      <c r="T1679" s="18"/>
      <c r="U1679" s="20"/>
      <c r="V1679" s="21"/>
      <c r="W1679" s="16"/>
      <c r="X1679" s="16"/>
      <c r="Y1679" s="16"/>
    </row>
    <row r="1680" customFormat="false" ht="15.75" hidden="false" customHeight="false" outlineLevel="0" collapsed="false">
      <c r="A1680" s="9"/>
      <c r="B1680" s="10"/>
      <c r="C1680" s="10"/>
      <c r="D1680" s="10"/>
      <c r="E1680" s="10"/>
      <c r="F1680" s="10"/>
      <c r="G1680" s="10"/>
      <c r="H1680" s="10"/>
      <c r="I1680" s="22" t="n">
        <v>3</v>
      </c>
      <c r="J1680" s="22"/>
      <c r="K1680" s="23"/>
      <c r="L1680" s="23"/>
      <c r="M1680" s="22"/>
      <c r="N1680" s="22"/>
      <c r="O1680" s="22"/>
      <c r="P1680" s="23"/>
      <c r="Q1680" s="23"/>
      <c r="R1680" s="22"/>
      <c r="S1680" s="22"/>
      <c r="T1680" s="22"/>
      <c r="U1680" s="24"/>
      <c r="V1680" s="15"/>
      <c r="W1680" s="16"/>
      <c r="X1680" s="16"/>
      <c r="Y1680" s="16"/>
    </row>
    <row r="1681" customFormat="false" ht="15.75" hidden="false" customHeight="false" outlineLevel="0" collapsed="false">
      <c r="A1681" s="9"/>
      <c r="B1681" s="10"/>
      <c r="C1681" s="10"/>
      <c r="D1681" s="10"/>
      <c r="E1681" s="10"/>
      <c r="F1681" s="10"/>
      <c r="G1681" s="10"/>
      <c r="H1681" s="10"/>
      <c r="I1681" s="25" t="n">
        <v>4</v>
      </c>
      <c r="J1681" s="25"/>
      <c r="K1681" s="26"/>
      <c r="L1681" s="26"/>
      <c r="M1681" s="25"/>
      <c r="N1681" s="25"/>
      <c r="O1681" s="25"/>
      <c r="P1681" s="26"/>
      <c r="Q1681" s="26"/>
      <c r="R1681" s="25"/>
      <c r="S1681" s="25"/>
      <c r="T1681" s="25"/>
      <c r="U1681" s="27"/>
      <c r="V1681" s="21"/>
      <c r="W1681" s="16"/>
      <c r="X1681" s="16"/>
      <c r="Y1681" s="16"/>
    </row>
    <row r="1682" customFormat="false" ht="15.75" hidden="false" customHeight="false" outlineLevel="0" collapsed="false">
      <c r="A1682" s="9"/>
      <c r="B1682" s="10"/>
      <c r="C1682" s="11"/>
      <c r="D1682" s="10"/>
      <c r="E1682" s="10"/>
      <c r="F1682" s="10"/>
      <c r="G1682" s="10"/>
      <c r="H1682" s="10"/>
      <c r="I1682" s="12" t="n">
        <v>1</v>
      </c>
      <c r="J1682" s="12"/>
      <c r="K1682" s="13"/>
      <c r="L1682" s="13"/>
      <c r="M1682" s="12"/>
      <c r="N1682" s="12"/>
      <c r="O1682" s="12"/>
      <c r="P1682" s="13"/>
      <c r="Q1682" s="13"/>
      <c r="R1682" s="12"/>
      <c r="S1682" s="12"/>
      <c r="T1682" s="12"/>
      <c r="U1682" s="14"/>
      <c r="V1682" s="15"/>
      <c r="W1682" s="16" t="n">
        <f aca="false">A1682</f>
        <v>0</v>
      </c>
      <c r="X1682" s="17" t="e">
        <f aca="false">ifs(C1682="","",X1682="",NOW(),TRUE(),X1682)</f>
        <v>#VALUE!</v>
      </c>
      <c r="Y1682" s="17" t="e">
        <f aca="false">ifs(COUNTA(K1682:U1685)&lt;44,"",Y1682="",NOW(),TRUE(),Y1682)</f>
        <v>#VALUE!</v>
      </c>
    </row>
    <row r="1683" customFormat="false" ht="15.75" hidden="false" customHeight="false" outlineLevel="0" collapsed="false">
      <c r="A1683" s="9"/>
      <c r="B1683" s="10"/>
      <c r="C1683" s="10"/>
      <c r="D1683" s="10"/>
      <c r="E1683" s="10"/>
      <c r="F1683" s="10"/>
      <c r="G1683" s="10"/>
      <c r="H1683" s="10"/>
      <c r="I1683" s="18" t="n">
        <v>2</v>
      </c>
      <c r="J1683" s="18"/>
      <c r="K1683" s="19"/>
      <c r="L1683" s="19"/>
      <c r="M1683" s="18"/>
      <c r="N1683" s="18"/>
      <c r="O1683" s="18"/>
      <c r="P1683" s="19"/>
      <c r="Q1683" s="19"/>
      <c r="R1683" s="18"/>
      <c r="S1683" s="18"/>
      <c r="T1683" s="18"/>
      <c r="U1683" s="20"/>
      <c r="V1683" s="21"/>
      <c r="W1683" s="16"/>
      <c r="X1683" s="16"/>
      <c r="Y1683" s="16"/>
    </row>
    <row r="1684" customFormat="false" ht="15.75" hidden="false" customHeight="false" outlineLevel="0" collapsed="false">
      <c r="A1684" s="9"/>
      <c r="B1684" s="10"/>
      <c r="C1684" s="10"/>
      <c r="D1684" s="10"/>
      <c r="E1684" s="10"/>
      <c r="F1684" s="10"/>
      <c r="G1684" s="10"/>
      <c r="H1684" s="10"/>
      <c r="I1684" s="22" t="n">
        <v>3</v>
      </c>
      <c r="J1684" s="22"/>
      <c r="K1684" s="23"/>
      <c r="L1684" s="23"/>
      <c r="M1684" s="22"/>
      <c r="N1684" s="22"/>
      <c r="O1684" s="22"/>
      <c r="P1684" s="23"/>
      <c r="Q1684" s="23"/>
      <c r="R1684" s="22"/>
      <c r="S1684" s="22"/>
      <c r="T1684" s="22"/>
      <c r="U1684" s="24"/>
      <c r="V1684" s="15"/>
      <c r="W1684" s="16"/>
      <c r="X1684" s="16"/>
      <c r="Y1684" s="16"/>
    </row>
    <row r="1685" customFormat="false" ht="15.75" hidden="false" customHeight="false" outlineLevel="0" collapsed="false">
      <c r="A1685" s="9"/>
      <c r="B1685" s="10"/>
      <c r="C1685" s="10"/>
      <c r="D1685" s="10"/>
      <c r="E1685" s="10"/>
      <c r="F1685" s="10"/>
      <c r="G1685" s="10"/>
      <c r="H1685" s="10"/>
      <c r="I1685" s="25" t="n">
        <v>4</v>
      </c>
      <c r="J1685" s="25"/>
      <c r="K1685" s="26"/>
      <c r="L1685" s="26"/>
      <c r="M1685" s="25"/>
      <c r="N1685" s="25"/>
      <c r="O1685" s="25"/>
      <c r="P1685" s="26"/>
      <c r="Q1685" s="26"/>
      <c r="R1685" s="25"/>
      <c r="S1685" s="25"/>
      <c r="T1685" s="25"/>
      <c r="U1685" s="27"/>
      <c r="V1685" s="21"/>
      <c r="W1685" s="16"/>
      <c r="X1685" s="16"/>
      <c r="Y1685" s="16"/>
    </row>
    <row r="1686" customFormat="false" ht="15.75" hidden="false" customHeight="false" outlineLevel="0" collapsed="false">
      <c r="A1686" s="9"/>
      <c r="B1686" s="10"/>
      <c r="C1686" s="11"/>
      <c r="D1686" s="10"/>
      <c r="E1686" s="10"/>
      <c r="F1686" s="10"/>
      <c r="G1686" s="10"/>
      <c r="H1686" s="10"/>
      <c r="I1686" s="12" t="n">
        <v>1</v>
      </c>
      <c r="J1686" s="12"/>
      <c r="K1686" s="13"/>
      <c r="L1686" s="13"/>
      <c r="M1686" s="12"/>
      <c r="N1686" s="12"/>
      <c r="O1686" s="12"/>
      <c r="P1686" s="13"/>
      <c r="Q1686" s="13"/>
      <c r="R1686" s="12"/>
      <c r="S1686" s="12"/>
      <c r="T1686" s="12"/>
      <c r="U1686" s="14"/>
      <c r="V1686" s="15"/>
      <c r="W1686" s="16" t="n">
        <f aca="false">A1686</f>
        <v>0</v>
      </c>
      <c r="X1686" s="17" t="e">
        <f aca="false">ifs(C1686="","",X1686="",NOW(),TRUE(),X1686)</f>
        <v>#VALUE!</v>
      </c>
      <c r="Y1686" s="17" t="e">
        <f aca="false">ifs(COUNTA(K1686:U1689)&lt;44,"",Y1686="",NOW(),TRUE(),Y1686)</f>
        <v>#VALUE!</v>
      </c>
    </row>
    <row r="1687" customFormat="false" ht="15.75" hidden="false" customHeight="false" outlineLevel="0" collapsed="false">
      <c r="A1687" s="9"/>
      <c r="B1687" s="10"/>
      <c r="C1687" s="10"/>
      <c r="D1687" s="10"/>
      <c r="E1687" s="10"/>
      <c r="F1687" s="10"/>
      <c r="G1687" s="10"/>
      <c r="H1687" s="10"/>
      <c r="I1687" s="18" t="n">
        <v>2</v>
      </c>
      <c r="J1687" s="18"/>
      <c r="K1687" s="19"/>
      <c r="L1687" s="19"/>
      <c r="M1687" s="18"/>
      <c r="N1687" s="18"/>
      <c r="O1687" s="18"/>
      <c r="P1687" s="19"/>
      <c r="Q1687" s="19"/>
      <c r="R1687" s="18"/>
      <c r="S1687" s="18"/>
      <c r="T1687" s="18"/>
      <c r="U1687" s="20"/>
      <c r="V1687" s="21"/>
      <c r="W1687" s="16"/>
      <c r="X1687" s="16"/>
      <c r="Y1687" s="16"/>
    </row>
    <row r="1688" customFormat="false" ht="15.75" hidden="false" customHeight="false" outlineLevel="0" collapsed="false">
      <c r="A1688" s="9"/>
      <c r="B1688" s="10"/>
      <c r="C1688" s="10"/>
      <c r="D1688" s="10"/>
      <c r="E1688" s="10"/>
      <c r="F1688" s="10"/>
      <c r="G1688" s="10"/>
      <c r="H1688" s="10"/>
      <c r="I1688" s="22" t="n">
        <v>3</v>
      </c>
      <c r="J1688" s="22"/>
      <c r="K1688" s="23"/>
      <c r="L1688" s="23"/>
      <c r="M1688" s="22"/>
      <c r="N1688" s="22"/>
      <c r="O1688" s="22"/>
      <c r="P1688" s="23"/>
      <c r="Q1688" s="23"/>
      <c r="R1688" s="22"/>
      <c r="S1688" s="22"/>
      <c r="T1688" s="22"/>
      <c r="U1688" s="24"/>
      <c r="V1688" s="15"/>
      <c r="W1688" s="16"/>
      <c r="X1688" s="16"/>
      <c r="Y1688" s="16"/>
    </row>
    <row r="1689" customFormat="false" ht="15.75" hidden="false" customHeight="false" outlineLevel="0" collapsed="false">
      <c r="A1689" s="9"/>
      <c r="B1689" s="10"/>
      <c r="C1689" s="10"/>
      <c r="D1689" s="10"/>
      <c r="E1689" s="10"/>
      <c r="F1689" s="10"/>
      <c r="G1689" s="10"/>
      <c r="H1689" s="10"/>
      <c r="I1689" s="25" t="n">
        <v>4</v>
      </c>
      <c r="J1689" s="25"/>
      <c r="K1689" s="26"/>
      <c r="L1689" s="26"/>
      <c r="M1689" s="25"/>
      <c r="N1689" s="25"/>
      <c r="O1689" s="25"/>
      <c r="P1689" s="26"/>
      <c r="Q1689" s="26"/>
      <c r="R1689" s="25"/>
      <c r="S1689" s="25"/>
      <c r="T1689" s="25"/>
      <c r="U1689" s="27"/>
      <c r="V1689" s="21"/>
      <c r="W1689" s="16"/>
      <c r="X1689" s="16"/>
      <c r="Y1689" s="16"/>
    </row>
    <row r="1690" customFormat="false" ht="15.75" hidden="false" customHeight="false" outlineLevel="0" collapsed="false">
      <c r="A1690" s="9"/>
      <c r="B1690" s="10"/>
      <c r="C1690" s="11"/>
      <c r="D1690" s="10"/>
      <c r="E1690" s="10"/>
      <c r="F1690" s="10"/>
      <c r="G1690" s="10"/>
      <c r="H1690" s="10"/>
      <c r="I1690" s="12" t="n">
        <v>1</v>
      </c>
      <c r="J1690" s="12"/>
      <c r="K1690" s="13"/>
      <c r="L1690" s="13"/>
      <c r="M1690" s="12"/>
      <c r="N1690" s="12"/>
      <c r="O1690" s="12"/>
      <c r="P1690" s="13"/>
      <c r="Q1690" s="13"/>
      <c r="R1690" s="12"/>
      <c r="S1690" s="12"/>
      <c r="T1690" s="12"/>
      <c r="U1690" s="14"/>
      <c r="V1690" s="15"/>
      <c r="W1690" s="16" t="n">
        <f aca="false">A1690</f>
        <v>0</v>
      </c>
      <c r="X1690" s="17" t="e">
        <f aca="false">ifs(C1690="","",X1690="",NOW(),TRUE(),X1690)</f>
        <v>#VALUE!</v>
      </c>
      <c r="Y1690" s="17" t="e">
        <f aca="false">ifs(COUNTA(K1690:U1693)&lt;44,"",Y1690="",NOW(),TRUE(),Y1690)</f>
        <v>#VALUE!</v>
      </c>
    </row>
    <row r="1691" customFormat="false" ht="15.75" hidden="false" customHeight="false" outlineLevel="0" collapsed="false">
      <c r="A1691" s="9"/>
      <c r="B1691" s="10"/>
      <c r="C1691" s="10"/>
      <c r="D1691" s="10"/>
      <c r="E1691" s="10"/>
      <c r="F1691" s="10"/>
      <c r="G1691" s="10"/>
      <c r="H1691" s="10"/>
      <c r="I1691" s="18" t="n">
        <v>2</v>
      </c>
      <c r="J1691" s="18"/>
      <c r="K1691" s="19"/>
      <c r="L1691" s="19"/>
      <c r="M1691" s="18"/>
      <c r="N1691" s="18"/>
      <c r="O1691" s="18"/>
      <c r="P1691" s="19"/>
      <c r="Q1691" s="19"/>
      <c r="R1691" s="18"/>
      <c r="S1691" s="18"/>
      <c r="T1691" s="18"/>
      <c r="U1691" s="20"/>
      <c r="V1691" s="21"/>
      <c r="W1691" s="16"/>
      <c r="X1691" s="16"/>
      <c r="Y1691" s="16"/>
    </row>
    <row r="1692" customFormat="false" ht="15.75" hidden="false" customHeight="false" outlineLevel="0" collapsed="false">
      <c r="A1692" s="9"/>
      <c r="B1692" s="10"/>
      <c r="C1692" s="10"/>
      <c r="D1692" s="10"/>
      <c r="E1692" s="10"/>
      <c r="F1692" s="10"/>
      <c r="G1692" s="10"/>
      <c r="H1692" s="10"/>
      <c r="I1692" s="22" t="n">
        <v>3</v>
      </c>
      <c r="J1692" s="22"/>
      <c r="K1692" s="23"/>
      <c r="L1692" s="23"/>
      <c r="M1692" s="22"/>
      <c r="N1692" s="22"/>
      <c r="O1692" s="22"/>
      <c r="P1692" s="23"/>
      <c r="Q1692" s="23"/>
      <c r="R1692" s="22"/>
      <c r="S1692" s="22"/>
      <c r="T1692" s="22"/>
      <c r="U1692" s="24"/>
      <c r="V1692" s="15"/>
      <c r="W1692" s="16"/>
      <c r="X1692" s="16"/>
      <c r="Y1692" s="16"/>
    </row>
    <row r="1693" customFormat="false" ht="15.75" hidden="false" customHeight="false" outlineLevel="0" collapsed="false">
      <c r="A1693" s="9"/>
      <c r="B1693" s="10"/>
      <c r="C1693" s="10"/>
      <c r="D1693" s="10"/>
      <c r="E1693" s="10"/>
      <c r="F1693" s="10"/>
      <c r="G1693" s="10"/>
      <c r="H1693" s="10"/>
      <c r="I1693" s="25" t="n">
        <v>4</v>
      </c>
      <c r="J1693" s="25"/>
      <c r="K1693" s="26"/>
      <c r="L1693" s="26"/>
      <c r="M1693" s="25"/>
      <c r="N1693" s="25"/>
      <c r="O1693" s="25"/>
      <c r="P1693" s="26"/>
      <c r="Q1693" s="26"/>
      <c r="R1693" s="25"/>
      <c r="S1693" s="25"/>
      <c r="T1693" s="25"/>
      <c r="U1693" s="27"/>
      <c r="V1693" s="21"/>
      <c r="W1693" s="16"/>
      <c r="X1693" s="16"/>
      <c r="Y1693" s="16"/>
    </row>
    <row r="1694" customFormat="false" ht="15.75" hidden="false" customHeight="false" outlineLevel="0" collapsed="false">
      <c r="A1694" s="9"/>
      <c r="B1694" s="10"/>
      <c r="C1694" s="11"/>
      <c r="D1694" s="10"/>
      <c r="E1694" s="10"/>
      <c r="F1694" s="10"/>
      <c r="G1694" s="10"/>
      <c r="H1694" s="10"/>
      <c r="I1694" s="12" t="n">
        <v>1</v>
      </c>
      <c r="J1694" s="12"/>
      <c r="K1694" s="13"/>
      <c r="L1694" s="13"/>
      <c r="M1694" s="12"/>
      <c r="N1694" s="12"/>
      <c r="O1694" s="12"/>
      <c r="P1694" s="13"/>
      <c r="Q1694" s="13"/>
      <c r="R1694" s="12"/>
      <c r="S1694" s="12"/>
      <c r="T1694" s="12"/>
      <c r="U1694" s="14"/>
      <c r="V1694" s="15"/>
      <c r="W1694" s="16" t="n">
        <f aca="false">A1694</f>
        <v>0</v>
      </c>
      <c r="X1694" s="17" t="e">
        <f aca="false">ifs(C1694="","",X1694="",NOW(),TRUE(),X1694)</f>
        <v>#VALUE!</v>
      </c>
      <c r="Y1694" s="17" t="e">
        <f aca="false">ifs(COUNTA(K1694:U1697)&lt;44,"",Y1694="",NOW(),TRUE(),Y1694)</f>
        <v>#VALUE!</v>
      </c>
    </row>
    <row r="1695" customFormat="false" ht="15.75" hidden="false" customHeight="false" outlineLevel="0" collapsed="false">
      <c r="A1695" s="9"/>
      <c r="B1695" s="10"/>
      <c r="C1695" s="10"/>
      <c r="D1695" s="10"/>
      <c r="E1695" s="10"/>
      <c r="F1695" s="10"/>
      <c r="G1695" s="10"/>
      <c r="H1695" s="10"/>
      <c r="I1695" s="18" t="n">
        <v>2</v>
      </c>
      <c r="J1695" s="18"/>
      <c r="K1695" s="19"/>
      <c r="L1695" s="19"/>
      <c r="M1695" s="18"/>
      <c r="N1695" s="18"/>
      <c r="O1695" s="18"/>
      <c r="P1695" s="19"/>
      <c r="Q1695" s="19"/>
      <c r="R1695" s="18"/>
      <c r="S1695" s="18"/>
      <c r="T1695" s="18"/>
      <c r="U1695" s="20"/>
      <c r="V1695" s="21"/>
      <c r="W1695" s="16"/>
      <c r="X1695" s="16"/>
      <c r="Y1695" s="16"/>
    </row>
    <row r="1696" customFormat="false" ht="15.75" hidden="false" customHeight="false" outlineLevel="0" collapsed="false">
      <c r="A1696" s="9"/>
      <c r="B1696" s="10"/>
      <c r="C1696" s="10"/>
      <c r="D1696" s="10"/>
      <c r="E1696" s="10"/>
      <c r="F1696" s="10"/>
      <c r="G1696" s="10"/>
      <c r="H1696" s="10"/>
      <c r="I1696" s="22" t="n">
        <v>3</v>
      </c>
      <c r="J1696" s="22"/>
      <c r="K1696" s="23"/>
      <c r="L1696" s="23"/>
      <c r="M1696" s="22"/>
      <c r="N1696" s="22"/>
      <c r="O1696" s="22"/>
      <c r="P1696" s="23"/>
      <c r="Q1696" s="23"/>
      <c r="R1696" s="22"/>
      <c r="S1696" s="22"/>
      <c r="T1696" s="22"/>
      <c r="U1696" s="24"/>
      <c r="V1696" s="15"/>
      <c r="W1696" s="16"/>
      <c r="X1696" s="16"/>
      <c r="Y1696" s="16"/>
    </row>
    <row r="1697" customFormat="false" ht="15.75" hidden="false" customHeight="false" outlineLevel="0" collapsed="false">
      <c r="A1697" s="9"/>
      <c r="B1697" s="10"/>
      <c r="C1697" s="10"/>
      <c r="D1697" s="10"/>
      <c r="E1697" s="10"/>
      <c r="F1697" s="10"/>
      <c r="G1697" s="10"/>
      <c r="H1697" s="10"/>
      <c r="I1697" s="25" t="n">
        <v>4</v>
      </c>
      <c r="J1697" s="25"/>
      <c r="K1697" s="26"/>
      <c r="L1697" s="26"/>
      <c r="M1697" s="25"/>
      <c r="N1697" s="25"/>
      <c r="O1697" s="25"/>
      <c r="P1697" s="26"/>
      <c r="Q1697" s="26"/>
      <c r="R1697" s="25"/>
      <c r="S1697" s="25"/>
      <c r="T1697" s="25"/>
      <c r="U1697" s="27"/>
      <c r="V1697" s="21"/>
      <c r="W1697" s="16"/>
      <c r="X1697" s="16"/>
      <c r="Y1697" s="16"/>
    </row>
    <row r="1698" customFormat="false" ht="15.75" hidden="false" customHeight="false" outlineLevel="0" collapsed="false">
      <c r="A1698" s="9"/>
      <c r="B1698" s="10"/>
      <c r="C1698" s="11"/>
      <c r="D1698" s="10"/>
      <c r="E1698" s="10"/>
      <c r="F1698" s="10"/>
      <c r="G1698" s="10"/>
      <c r="H1698" s="10"/>
      <c r="I1698" s="12" t="n">
        <v>1</v>
      </c>
      <c r="J1698" s="12"/>
      <c r="K1698" s="13"/>
      <c r="L1698" s="13"/>
      <c r="M1698" s="12"/>
      <c r="N1698" s="12"/>
      <c r="O1698" s="12"/>
      <c r="P1698" s="13"/>
      <c r="Q1698" s="13"/>
      <c r="R1698" s="12"/>
      <c r="S1698" s="12"/>
      <c r="T1698" s="12"/>
      <c r="U1698" s="14"/>
      <c r="V1698" s="15"/>
      <c r="W1698" s="16" t="n">
        <f aca="false">A1698</f>
        <v>0</v>
      </c>
      <c r="X1698" s="17" t="e">
        <f aca="false">ifs(C1698="","",X1698="",NOW(),TRUE(),X1698)</f>
        <v>#VALUE!</v>
      </c>
      <c r="Y1698" s="17" t="e">
        <f aca="false">ifs(COUNTA(K1698:U1701)&lt;44,"",Y1698="",NOW(),TRUE(),Y1698)</f>
        <v>#VALUE!</v>
      </c>
    </row>
    <row r="1699" customFormat="false" ht="15.75" hidden="false" customHeight="false" outlineLevel="0" collapsed="false">
      <c r="A1699" s="9"/>
      <c r="B1699" s="10"/>
      <c r="C1699" s="10"/>
      <c r="D1699" s="10"/>
      <c r="E1699" s="10"/>
      <c r="F1699" s="10"/>
      <c r="G1699" s="10"/>
      <c r="H1699" s="10"/>
      <c r="I1699" s="18" t="n">
        <v>2</v>
      </c>
      <c r="J1699" s="18"/>
      <c r="K1699" s="19"/>
      <c r="L1699" s="19"/>
      <c r="M1699" s="18"/>
      <c r="N1699" s="18"/>
      <c r="O1699" s="18"/>
      <c r="P1699" s="19"/>
      <c r="Q1699" s="19"/>
      <c r="R1699" s="18"/>
      <c r="S1699" s="18"/>
      <c r="T1699" s="18"/>
      <c r="U1699" s="20"/>
      <c r="V1699" s="21"/>
      <c r="W1699" s="16"/>
      <c r="X1699" s="16"/>
      <c r="Y1699" s="16"/>
    </row>
    <row r="1700" customFormat="false" ht="15.75" hidden="false" customHeight="false" outlineLevel="0" collapsed="false">
      <c r="A1700" s="9"/>
      <c r="B1700" s="10"/>
      <c r="C1700" s="10"/>
      <c r="D1700" s="10"/>
      <c r="E1700" s="10"/>
      <c r="F1700" s="10"/>
      <c r="G1700" s="10"/>
      <c r="H1700" s="10"/>
      <c r="I1700" s="22" t="n">
        <v>3</v>
      </c>
      <c r="J1700" s="22"/>
      <c r="K1700" s="23"/>
      <c r="L1700" s="23"/>
      <c r="M1700" s="22"/>
      <c r="N1700" s="22"/>
      <c r="O1700" s="22"/>
      <c r="P1700" s="23"/>
      <c r="Q1700" s="23"/>
      <c r="R1700" s="22"/>
      <c r="S1700" s="22"/>
      <c r="T1700" s="22"/>
      <c r="U1700" s="24"/>
      <c r="V1700" s="15"/>
      <c r="W1700" s="16"/>
      <c r="X1700" s="16"/>
      <c r="Y1700" s="16"/>
    </row>
    <row r="1701" customFormat="false" ht="15.75" hidden="false" customHeight="false" outlineLevel="0" collapsed="false">
      <c r="A1701" s="9"/>
      <c r="B1701" s="10"/>
      <c r="C1701" s="10"/>
      <c r="D1701" s="10"/>
      <c r="E1701" s="10"/>
      <c r="F1701" s="10"/>
      <c r="G1701" s="10"/>
      <c r="H1701" s="10"/>
      <c r="I1701" s="25" t="n">
        <v>4</v>
      </c>
      <c r="J1701" s="25"/>
      <c r="K1701" s="26"/>
      <c r="L1701" s="26"/>
      <c r="M1701" s="25"/>
      <c r="N1701" s="25"/>
      <c r="O1701" s="25"/>
      <c r="P1701" s="26"/>
      <c r="Q1701" s="26"/>
      <c r="R1701" s="25"/>
      <c r="S1701" s="25"/>
      <c r="T1701" s="25"/>
      <c r="U1701" s="27"/>
      <c r="V1701" s="21"/>
      <c r="W1701" s="16"/>
      <c r="X1701" s="16"/>
      <c r="Y1701" s="16"/>
    </row>
    <row r="1702" customFormat="false" ht="15.75" hidden="false" customHeight="false" outlineLevel="0" collapsed="false">
      <c r="A1702" s="9"/>
      <c r="B1702" s="10"/>
      <c r="C1702" s="11"/>
      <c r="D1702" s="10"/>
      <c r="E1702" s="10"/>
      <c r="F1702" s="10"/>
      <c r="G1702" s="10"/>
      <c r="H1702" s="10"/>
      <c r="I1702" s="12" t="n">
        <v>1</v>
      </c>
      <c r="J1702" s="12"/>
      <c r="K1702" s="13"/>
      <c r="L1702" s="13"/>
      <c r="M1702" s="12"/>
      <c r="N1702" s="12"/>
      <c r="O1702" s="12"/>
      <c r="P1702" s="13"/>
      <c r="Q1702" s="13"/>
      <c r="R1702" s="12"/>
      <c r="S1702" s="12"/>
      <c r="T1702" s="12"/>
      <c r="U1702" s="14"/>
      <c r="V1702" s="15"/>
      <c r="W1702" s="16" t="n">
        <f aca="false">A1702</f>
        <v>0</v>
      </c>
      <c r="X1702" s="17" t="e">
        <f aca="false">ifs(C1702="","",X1702="",NOW(),TRUE(),X1702)</f>
        <v>#VALUE!</v>
      </c>
      <c r="Y1702" s="17" t="e">
        <f aca="false">ifs(COUNTA(K1702:U1705)&lt;44,"",Y1702="",NOW(),TRUE(),Y1702)</f>
        <v>#VALUE!</v>
      </c>
    </row>
    <row r="1703" customFormat="false" ht="15.75" hidden="false" customHeight="false" outlineLevel="0" collapsed="false">
      <c r="A1703" s="9"/>
      <c r="B1703" s="10"/>
      <c r="C1703" s="10"/>
      <c r="D1703" s="10"/>
      <c r="E1703" s="10"/>
      <c r="F1703" s="10"/>
      <c r="G1703" s="10"/>
      <c r="H1703" s="10"/>
      <c r="I1703" s="18" t="n">
        <v>2</v>
      </c>
      <c r="J1703" s="18"/>
      <c r="K1703" s="19"/>
      <c r="L1703" s="19"/>
      <c r="M1703" s="18"/>
      <c r="N1703" s="18"/>
      <c r="O1703" s="18"/>
      <c r="P1703" s="19"/>
      <c r="Q1703" s="19"/>
      <c r="R1703" s="18"/>
      <c r="S1703" s="18"/>
      <c r="T1703" s="18"/>
      <c r="U1703" s="20"/>
      <c r="V1703" s="21"/>
      <c r="W1703" s="16"/>
      <c r="X1703" s="16"/>
      <c r="Y1703" s="16"/>
    </row>
    <row r="1704" customFormat="false" ht="15.75" hidden="false" customHeight="false" outlineLevel="0" collapsed="false">
      <c r="A1704" s="9"/>
      <c r="B1704" s="10"/>
      <c r="C1704" s="10"/>
      <c r="D1704" s="10"/>
      <c r="E1704" s="10"/>
      <c r="F1704" s="10"/>
      <c r="G1704" s="10"/>
      <c r="H1704" s="10"/>
      <c r="I1704" s="22" t="n">
        <v>3</v>
      </c>
      <c r="J1704" s="22"/>
      <c r="K1704" s="23"/>
      <c r="L1704" s="23"/>
      <c r="M1704" s="22"/>
      <c r="N1704" s="22"/>
      <c r="O1704" s="22"/>
      <c r="P1704" s="23"/>
      <c r="Q1704" s="23"/>
      <c r="R1704" s="22"/>
      <c r="S1704" s="22"/>
      <c r="T1704" s="22"/>
      <c r="U1704" s="24"/>
      <c r="V1704" s="15"/>
      <c r="W1704" s="16"/>
      <c r="X1704" s="16"/>
      <c r="Y1704" s="16"/>
    </row>
    <row r="1705" customFormat="false" ht="15.75" hidden="false" customHeight="false" outlineLevel="0" collapsed="false">
      <c r="A1705" s="9"/>
      <c r="B1705" s="10"/>
      <c r="C1705" s="10"/>
      <c r="D1705" s="10"/>
      <c r="E1705" s="10"/>
      <c r="F1705" s="10"/>
      <c r="G1705" s="10"/>
      <c r="H1705" s="10"/>
      <c r="I1705" s="25" t="n">
        <v>4</v>
      </c>
      <c r="J1705" s="25"/>
      <c r="K1705" s="26"/>
      <c r="L1705" s="26"/>
      <c r="M1705" s="25"/>
      <c r="N1705" s="25"/>
      <c r="O1705" s="25"/>
      <c r="P1705" s="26"/>
      <c r="Q1705" s="26"/>
      <c r="R1705" s="25"/>
      <c r="S1705" s="25"/>
      <c r="T1705" s="25"/>
      <c r="U1705" s="27"/>
      <c r="V1705" s="21"/>
      <c r="W1705" s="16"/>
      <c r="X1705" s="16"/>
      <c r="Y1705" s="16"/>
    </row>
    <row r="1706" customFormat="false" ht="15.75" hidden="false" customHeight="false" outlineLevel="0" collapsed="false">
      <c r="A1706" s="9"/>
      <c r="B1706" s="10"/>
      <c r="C1706" s="11"/>
      <c r="D1706" s="10"/>
      <c r="E1706" s="10"/>
      <c r="F1706" s="10"/>
      <c r="G1706" s="10"/>
      <c r="H1706" s="10"/>
      <c r="I1706" s="12" t="n">
        <v>1</v>
      </c>
      <c r="J1706" s="12"/>
      <c r="K1706" s="13"/>
      <c r="L1706" s="13"/>
      <c r="M1706" s="12"/>
      <c r="N1706" s="12"/>
      <c r="O1706" s="12"/>
      <c r="P1706" s="13"/>
      <c r="Q1706" s="13"/>
      <c r="R1706" s="12"/>
      <c r="S1706" s="12"/>
      <c r="T1706" s="12"/>
      <c r="U1706" s="14"/>
      <c r="V1706" s="15"/>
      <c r="W1706" s="16" t="n">
        <f aca="false">A1706</f>
        <v>0</v>
      </c>
      <c r="X1706" s="17" t="e">
        <f aca="false">ifs(C1706="","",X1706="",NOW(),TRUE(),X1706)</f>
        <v>#VALUE!</v>
      </c>
      <c r="Y1706" s="17" t="e">
        <f aca="false">ifs(COUNTA(K1706:U1709)&lt;44,"",Y1706="",NOW(),TRUE(),Y1706)</f>
        <v>#VALUE!</v>
      </c>
    </row>
    <row r="1707" customFormat="false" ht="15.75" hidden="false" customHeight="false" outlineLevel="0" collapsed="false">
      <c r="A1707" s="9"/>
      <c r="B1707" s="10"/>
      <c r="C1707" s="10"/>
      <c r="D1707" s="10"/>
      <c r="E1707" s="10"/>
      <c r="F1707" s="10"/>
      <c r="G1707" s="10"/>
      <c r="H1707" s="10"/>
      <c r="I1707" s="18" t="n">
        <v>2</v>
      </c>
      <c r="J1707" s="18"/>
      <c r="K1707" s="19"/>
      <c r="L1707" s="19"/>
      <c r="M1707" s="18"/>
      <c r="N1707" s="18"/>
      <c r="O1707" s="18"/>
      <c r="P1707" s="19"/>
      <c r="Q1707" s="19"/>
      <c r="R1707" s="18"/>
      <c r="S1707" s="18"/>
      <c r="T1707" s="18"/>
      <c r="U1707" s="20"/>
      <c r="V1707" s="21"/>
      <c r="W1707" s="16"/>
      <c r="X1707" s="16"/>
      <c r="Y1707" s="16"/>
    </row>
    <row r="1708" customFormat="false" ht="15.75" hidden="false" customHeight="false" outlineLevel="0" collapsed="false">
      <c r="A1708" s="9"/>
      <c r="B1708" s="10"/>
      <c r="C1708" s="10"/>
      <c r="D1708" s="10"/>
      <c r="E1708" s="10"/>
      <c r="F1708" s="10"/>
      <c r="G1708" s="10"/>
      <c r="H1708" s="10"/>
      <c r="I1708" s="22" t="n">
        <v>3</v>
      </c>
      <c r="J1708" s="22"/>
      <c r="K1708" s="23"/>
      <c r="L1708" s="23"/>
      <c r="M1708" s="22"/>
      <c r="N1708" s="22"/>
      <c r="O1708" s="22"/>
      <c r="P1708" s="23"/>
      <c r="Q1708" s="23"/>
      <c r="R1708" s="22"/>
      <c r="S1708" s="22"/>
      <c r="T1708" s="22"/>
      <c r="U1708" s="24"/>
      <c r="V1708" s="15"/>
      <c r="W1708" s="16"/>
      <c r="X1708" s="16"/>
      <c r="Y1708" s="16"/>
    </row>
    <row r="1709" customFormat="false" ht="15.75" hidden="false" customHeight="false" outlineLevel="0" collapsed="false">
      <c r="A1709" s="9"/>
      <c r="B1709" s="10"/>
      <c r="C1709" s="10"/>
      <c r="D1709" s="10"/>
      <c r="E1709" s="10"/>
      <c r="F1709" s="10"/>
      <c r="G1709" s="10"/>
      <c r="H1709" s="10"/>
      <c r="I1709" s="25" t="n">
        <v>4</v>
      </c>
      <c r="J1709" s="25"/>
      <c r="K1709" s="26"/>
      <c r="L1709" s="26"/>
      <c r="M1709" s="25"/>
      <c r="N1709" s="25"/>
      <c r="O1709" s="25"/>
      <c r="P1709" s="26"/>
      <c r="Q1709" s="26"/>
      <c r="R1709" s="25"/>
      <c r="S1709" s="25"/>
      <c r="T1709" s="25"/>
      <c r="U1709" s="27"/>
      <c r="V1709" s="21"/>
      <c r="W1709" s="16"/>
      <c r="X1709" s="16"/>
      <c r="Y1709" s="16"/>
    </row>
    <row r="1710" customFormat="false" ht="15.75" hidden="false" customHeight="false" outlineLevel="0" collapsed="false">
      <c r="A1710" s="9"/>
      <c r="B1710" s="10"/>
      <c r="C1710" s="11"/>
      <c r="D1710" s="10"/>
      <c r="E1710" s="10"/>
      <c r="F1710" s="10"/>
      <c r="G1710" s="10"/>
      <c r="H1710" s="10"/>
      <c r="I1710" s="12" t="n">
        <v>1</v>
      </c>
      <c r="J1710" s="12"/>
      <c r="K1710" s="13"/>
      <c r="L1710" s="13"/>
      <c r="M1710" s="12"/>
      <c r="N1710" s="12"/>
      <c r="O1710" s="12"/>
      <c r="P1710" s="13"/>
      <c r="Q1710" s="13"/>
      <c r="R1710" s="12"/>
      <c r="S1710" s="12"/>
      <c r="T1710" s="12"/>
      <c r="U1710" s="14"/>
      <c r="V1710" s="15"/>
      <c r="W1710" s="16" t="n">
        <f aca="false">A1710</f>
        <v>0</v>
      </c>
      <c r="X1710" s="17" t="e">
        <f aca="false">ifs(C1710="","",X1710="",NOW(),TRUE(),X1710)</f>
        <v>#VALUE!</v>
      </c>
      <c r="Y1710" s="17" t="e">
        <f aca="false">ifs(COUNTA(K1710:U1713)&lt;44,"",Y1710="",NOW(),TRUE(),Y1710)</f>
        <v>#VALUE!</v>
      </c>
    </row>
    <row r="1711" customFormat="false" ht="15.75" hidden="false" customHeight="false" outlineLevel="0" collapsed="false">
      <c r="A1711" s="9"/>
      <c r="B1711" s="10"/>
      <c r="C1711" s="10"/>
      <c r="D1711" s="10"/>
      <c r="E1711" s="10"/>
      <c r="F1711" s="10"/>
      <c r="G1711" s="10"/>
      <c r="H1711" s="10"/>
      <c r="I1711" s="18" t="n">
        <v>2</v>
      </c>
      <c r="J1711" s="18"/>
      <c r="K1711" s="19"/>
      <c r="L1711" s="19"/>
      <c r="M1711" s="18"/>
      <c r="N1711" s="18"/>
      <c r="O1711" s="18"/>
      <c r="P1711" s="19"/>
      <c r="Q1711" s="19"/>
      <c r="R1711" s="18"/>
      <c r="S1711" s="18"/>
      <c r="T1711" s="18"/>
      <c r="U1711" s="20"/>
      <c r="V1711" s="21"/>
      <c r="W1711" s="16"/>
      <c r="X1711" s="16"/>
      <c r="Y1711" s="16"/>
    </row>
    <row r="1712" customFormat="false" ht="15.75" hidden="false" customHeight="false" outlineLevel="0" collapsed="false">
      <c r="A1712" s="9"/>
      <c r="B1712" s="10"/>
      <c r="C1712" s="10"/>
      <c r="D1712" s="10"/>
      <c r="E1712" s="10"/>
      <c r="F1712" s="10"/>
      <c r="G1712" s="10"/>
      <c r="H1712" s="10"/>
      <c r="I1712" s="22" t="n">
        <v>3</v>
      </c>
      <c r="J1712" s="22"/>
      <c r="K1712" s="23"/>
      <c r="L1712" s="23"/>
      <c r="M1712" s="22"/>
      <c r="N1712" s="22"/>
      <c r="O1712" s="22"/>
      <c r="P1712" s="23"/>
      <c r="Q1712" s="23"/>
      <c r="R1712" s="22"/>
      <c r="S1712" s="22"/>
      <c r="T1712" s="22"/>
      <c r="U1712" s="24"/>
      <c r="V1712" s="15"/>
      <c r="W1712" s="16"/>
      <c r="X1712" s="16"/>
      <c r="Y1712" s="16"/>
    </row>
    <row r="1713" customFormat="false" ht="15.75" hidden="false" customHeight="false" outlineLevel="0" collapsed="false">
      <c r="A1713" s="9"/>
      <c r="B1713" s="10"/>
      <c r="C1713" s="10"/>
      <c r="D1713" s="10"/>
      <c r="E1713" s="10"/>
      <c r="F1713" s="10"/>
      <c r="G1713" s="10"/>
      <c r="H1713" s="10"/>
      <c r="I1713" s="25" t="n">
        <v>4</v>
      </c>
      <c r="J1713" s="25"/>
      <c r="K1713" s="26"/>
      <c r="L1713" s="26"/>
      <c r="M1713" s="25"/>
      <c r="N1713" s="25"/>
      <c r="O1713" s="25"/>
      <c r="P1713" s="26"/>
      <c r="Q1713" s="26"/>
      <c r="R1713" s="25"/>
      <c r="S1713" s="25"/>
      <c r="T1713" s="25"/>
      <c r="U1713" s="27"/>
      <c r="V1713" s="21"/>
      <c r="W1713" s="16"/>
      <c r="X1713" s="16"/>
      <c r="Y1713" s="16"/>
    </row>
    <row r="1714" customFormat="false" ht="15.75" hidden="false" customHeight="false" outlineLevel="0" collapsed="false">
      <c r="A1714" s="9"/>
      <c r="B1714" s="10"/>
      <c r="C1714" s="11"/>
      <c r="D1714" s="10"/>
      <c r="E1714" s="10"/>
      <c r="F1714" s="10"/>
      <c r="G1714" s="10"/>
      <c r="H1714" s="10"/>
      <c r="I1714" s="12" t="n">
        <v>1</v>
      </c>
      <c r="J1714" s="12"/>
      <c r="K1714" s="13"/>
      <c r="L1714" s="13"/>
      <c r="M1714" s="12"/>
      <c r="N1714" s="12"/>
      <c r="O1714" s="12"/>
      <c r="P1714" s="13"/>
      <c r="Q1714" s="13"/>
      <c r="R1714" s="12"/>
      <c r="S1714" s="12"/>
      <c r="T1714" s="12"/>
      <c r="U1714" s="14"/>
      <c r="V1714" s="15"/>
      <c r="W1714" s="16" t="n">
        <f aca="false">A1714</f>
        <v>0</v>
      </c>
      <c r="X1714" s="17" t="e">
        <f aca="false">ifs(C1714="","",X1714="",NOW(),TRUE(),X1714)</f>
        <v>#VALUE!</v>
      </c>
      <c r="Y1714" s="17" t="e">
        <f aca="false">ifs(COUNTA(K1714:U1717)&lt;44,"",Y1714="",NOW(),TRUE(),Y1714)</f>
        <v>#VALUE!</v>
      </c>
    </row>
    <row r="1715" customFormat="false" ht="15.75" hidden="false" customHeight="false" outlineLevel="0" collapsed="false">
      <c r="A1715" s="9"/>
      <c r="B1715" s="10"/>
      <c r="C1715" s="10"/>
      <c r="D1715" s="10"/>
      <c r="E1715" s="10"/>
      <c r="F1715" s="10"/>
      <c r="G1715" s="10"/>
      <c r="H1715" s="10"/>
      <c r="I1715" s="18" t="n">
        <v>2</v>
      </c>
      <c r="J1715" s="18"/>
      <c r="K1715" s="19"/>
      <c r="L1715" s="19"/>
      <c r="M1715" s="18"/>
      <c r="N1715" s="18"/>
      <c r="O1715" s="18"/>
      <c r="P1715" s="19"/>
      <c r="Q1715" s="19"/>
      <c r="R1715" s="18"/>
      <c r="S1715" s="18"/>
      <c r="T1715" s="18"/>
      <c r="U1715" s="20"/>
      <c r="V1715" s="21"/>
      <c r="W1715" s="16"/>
      <c r="X1715" s="16"/>
      <c r="Y1715" s="16"/>
    </row>
    <row r="1716" customFormat="false" ht="15.75" hidden="false" customHeight="false" outlineLevel="0" collapsed="false">
      <c r="A1716" s="9"/>
      <c r="B1716" s="10"/>
      <c r="C1716" s="10"/>
      <c r="D1716" s="10"/>
      <c r="E1716" s="10"/>
      <c r="F1716" s="10"/>
      <c r="G1716" s="10"/>
      <c r="H1716" s="10"/>
      <c r="I1716" s="22" t="n">
        <v>3</v>
      </c>
      <c r="J1716" s="22"/>
      <c r="K1716" s="23"/>
      <c r="L1716" s="23"/>
      <c r="M1716" s="22"/>
      <c r="N1716" s="22"/>
      <c r="O1716" s="22"/>
      <c r="P1716" s="23"/>
      <c r="Q1716" s="23"/>
      <c r="R1716" s="22"/>
      <c r="S1716" s="22"/>
      <c r="T1716" s="22"/>
      <c r="U1716" s="24"/>
      <c r="V1716" s="15"/>
      <c r="W1716" s="16"/>
      <c r="X1716" s="16"/>
      <c r="Y1716" s="16"/>
    </row>
    <row r="1717" customFormat="false" ht="15.75" hidden="false" customHeight="false" outlineLevel="0" collapsed="false">
      <c r="A1717" s="9"/>
      <c r="B1717" s="10"/>
      <c r="C1717" s="10"/>
      <c r="D1717" s="10"/>
      <c r="E1717" s="10"/>
      <c r="F1717" s="10"/>
      <c r="G1717" s="10"/>
      <c r="H1717" s="10"/>
      <c r="I1717" s="25" t="n">
        <v>4</v>
      </c>
      <c r="J1717" s="25"/>
      <c r="K1717" s="26"/>
      <c r="L1717" s="26"/>
      <c r="M1717" s="25"/>
      <c r="N1717" s="25"/>
      <c r="O1717" s="25"/>
      <c r="P1717" s="26"/>
      <c r="Q1717" s="26"/>
      <c r="R1717" s="25"/>
      <c r="S1717" s="25"/>
      <c r="T1717" s="25"/>
      <c r="U1717" s="27"/>
      <c r="V1717" s="21"/>
      <c r="W1717" s="16"/>
      <c r="X1717" s="16"/>
      <c r="Y1717" s="16"/>
    </row>
    <row r="1718" customFormat="false" ht="15.75" hidden="false" customHeight="false" outlineLevel="0" collapsed="false">
      <c r="A1718" s="9"/>
      <c r="B1718" s="10"/>
      <c r="C1718" s="11"/>
      <c r="D1718" s="10"/>
      <c r="E1718" s="10"/>
      <c r="F1718" s="10"/>
      <c r="G1718" s="10"/>
      <c r="H1718" s="10"/>
      <c r="I1718" s="12" t="n">
        <v>1</v>
      </c>
      <c r="J1718" s="12"/>
      <c r="K1718" s="13"/>
      <c r="L1718" s="13"/>
      <c r="M1718" s="12"/>
      <c r="N1718" s="12"/>
      <c r="O1718" s="12"/>
      <c r="P1718" s="13"/>
      <c r="Q1718" s="13"/>
      <c r="R1718" s="12"/>
      <c r="S1718" s="12"/>
      <c r="T1718" s="12"/>
      <c r="U1718" s="14"/>
      <c r="V1718" s="15"/>
      <c r="W1718" s="16" t="n">
        <f aca="false">A1718</f>
        <v>0</v>
      </c>
      <c r="X1718" s="17" t="e">
        <f aca="false">ifs(C1718="","",X1718="",NOW(),TRUE(),X1718)</f>
        <v>#VALUE!</v>
      </c>
      <c r="Y1718" s="17" t="e">
        <f aca="false">ifs(COUNTA(K1718:U1721)&lt;44,"",Y1718="",NOW(),TRUE(),Y1718)</f>
        <v>#VALUE!</v>
      </c>
    </row>
    <row r="1719" customFormat="false" ht="15.75" hidden="false" customHeight="false" outlineLevel="0" collapsed="false">
      <c r="A1719" s="9"/>
      <c r="B1719" s="10"/>
      <c r="C1719" s="10"/>
      <c r="D1719" s="10"/>
      <c r="E1719" s="10"/>
      <c r="F1719" s="10"/>
      <c r="G1719" s="10"/>
      <c r="H1719" s="10"/>
      <c r="I1719" s="18" t="n">
        <v>2</v>
      </c>
      <c r="J1719" s="18"/>
      <c r="K1719" s="19"/>
      <c r="L1719" s="19"/>
      <c r="M1719" s="18"/>
      <c r="N1719" s="18"/>
      <c r="O1719" s="18"/>
      <c r="P1719" s="19"/>
      <c r="Q1719" s="19"/>
      <c r="R1719" s="18"/>
      <c r="S1719" s="18"/>
      <c r="T1719" s="18"/>
      <c r="U1719" s="20"/>
      <c r="V1719" s="21"/>
      <c r="W1719" s="16"/>
      <c r="X1719" s="16"/>
      <c r="Y1719" s="16"/>
    </row>
    <row r="1720" customFormat="false" ht="15.75" hidden="false" customHeight="false" outlineLevel="0" collapsed="false">
      <c r="A1720" s="9"/>
      <c r="B1720" s="10"/>
      <c r="C1720" s="10"/>
      <c r="D1720" s="10"/>
      <c r="E1720" s="10"/>
      <c r="F1720" s="10"/>
      <c r="G1720" s="10"/>
      <c r="H1720" s="10"/>
      <c r="I1720" s="22" t="n">
        <v>3</v>
      </c>
      <c r="J1720" s="22"/>
      <c r="K1720" s="23"/>
      <c r="L1720" s="23"/>
      <c r="M1720" s="22"/>
      <c r="N1720" s="22"/>
      <c r="O1720" s="22"/>
      <c r="P1720" s="23"/>
      <c r="Q1720" s="23"/>
      <c r="R1720" s="22"/>
      <c r="S1720" s="22"/>
      <c r="T1720" s="22"/>
      <c r="U1720" s="24"/>
      <c r="V1720" s="15"/>
      <c r="W1720" s="16"/>
      <c r="X1720" s="16"/>
      <c r="Y1720" s="16"/>
    </row>
    <row r="1721" customFormat="false" ht="15.75" hidden="false" customHeight="false" outlineLevel="0" collapsed="false">
      <c r="A1721" s="9"/>
      <c r="B1721" s="10"/>
      <c r="C1721" s="10"/>
      <c r="D1721" s="10"/>
      <c r="E1721" s="10"/>
      <c r="F1721" s="10"/>
      <c r="G1721" s="10"/>
      <c r="H1721" s="10"/>
      <c r="I1721" s="25" t="n">
        <v>4</v>
      </c>
      <c r="J1721" s="25"/>
      <c r="K1721" s="26"/>
      <c r="L1721" s="26"/>
      <c r="M1721" s="25"/>
      <c r="N1721" s="25"/>
      <c r="O1721" s="25"/>
      <c r="P1721" s="26"/>
      <c r="Q1721" s="26"/>
      <c r="R1721" s="25"/>
      <c r="S1721" s="25"/>
      <c r="T1721" s="25"/>
      <c r="U1721" s="27"/>
      <c r="V1721" s="21"/>
      <c r="W1721" s="16"/>
      <c r="X1721" s="16"/>
      <c r="Y1721" s="16"/>
    </row>
    <row r="1722" customFormat="false" ht="15.75" hidden="false" customHeight="false" outlineLevel="0" collapsed="false">
      <c r="A1722" s="9"/>
      <c r="B1722" s="10"/>
      <c r="C1722" s="11"/>
      <c r="D1722" s="10"/>
      <c r="E1722" s="10"/>
      <c r="F1722" s="10"/>
      <c r="G1722" s="10"/>
      <c r="H1722" s="10"/>
      <c r="I1722" s="12" t="n">
        <v>1</v>
      </c>
      <c r="J1722" s="12"/>
      <c r="K1722" s="13"/>
      <c r="L1722" s="13"/>
      <c r="M1722" s="12"/>
      <c r="N1722" s="12"/>
      <c r="O1722" s="12"/>
      <c r="P1722" s="13"/>
      <c r="Q1722" s="13"/>
      <c r="R1722" s="12"/>
      <c r="S1722" s="12"/>
      <c r="T1722" s="12"/>
      <c r="U1722" s="14"/>
      <c r="V1722" s="15"/>
      <c r="W1722" s="16" t="n">
        <f aca="false">A1722</f>
        <v>0</v>
      </c>
      <c r="X1722" s="17" t="e">
        <f aca="false">ifs(C1722="","",X1722="",NOW(),TRUE(),X1722)</f>
        <v>#VALUE!</v>
      </c>
      <c r="Y1722" s="17" t="e">
        <f aca="false">ifs(COUNTA(K1722:U1725)&lt;44,"",Y1722="",NOW(),TRUE(),Y1722)</f>
        <v>#VALUE!</v>
      </c>
    </row>
    <row r="1723" customFormat="false" ht="15.75" hidden="false" customHeight="false" outlineLevel="0" collapsed="false">
      <c r="A1723" s="9"/>
      <c r="B1723" s="10"/>
      <c r="C1723" s="10"/>
      <c r="D1723" s="10"/>
      <c r="E1723" s="10"/>
      <c r="F1723" s="10"/>
      <c r="G1723" s="10"/>
      <c r="H1723" s="10"/>
      <c r="I1723" s="18" t="n">
        <v>2</v>
      </c>
      <c r="J1723" s="18"/>
      <c r="K1723" s="19"/>
      <c r="L1723" s="19"/>
      <c r="M1723" s="18"/>
      <c r="N1723" s="18"/>
      <c r="O1723" s="18"/>
      <c r="P1723" s="19"/>
      <c r="Q1723" s="19"/>
      <c r="R1723" s="18"/>
      <c r="S1723" s="18"/>
      <c r="T1723" s="18"/>
      <c r="U1723" s="20"/>
      <c r="V1723" s="21"/>
      <c r="W1723" s="16"/>
      <c r="X1723" s="16"/>
      <c r="Y1723" s="16"/>
    </row>
    <row r="1724" customFormat="false" ht="15.75" hidden="false" customHeight="false" outlineLevel="0" collapsed="false">
      <c r="A1724" s="9"/>
      <c r="B1724" s="10"/>
      <c r="C1724" s="10"/>
      <c r="D1724" s="10"/>
      <c r="E1724" s="10"/>
      <c r="F1724" s="10"/>
      <c r="G1724" s="10"/>
      <c r="H1724" s="10"/>
      <c r="I1724" s="22" t="n">
        <v>3</v>
      </c>
      <c r="J1724" s="22"/>
      <c r="K1724" s="23"/>
      <c r="L1724" s="23"/>
      <c r="M1724" s="22"/>
      <c r="N1724" s="22"/>
      <c r="O1724" s="22"/>
      <c r="P1724" s="23"/>
      <c r="Q1724" s="23"/>
      <c r="R1724" s="22"/>
      <c r="S1724" s="22"/>
      <c r="T1724" s="22"/>
      <c r="U1724" s="24"/>
      <c r="V1724" s="15"/>
      <c r="W1724" s="16"/>
      <c r="X1724" s="16"/>
      <c r="Y1724" s="16"/>
    </row>
    <row r="1725" customFormat="false" ht="15.75" hidden="false" customHeight="false" outlineLevel="0" collapsed="false">
      <c r="A1725" s="9"/>
      <c r="B1725" s="10"/>
      <c r="C1725" s="10"/>
      <c r="D1725" s="10"/>
      <c r="E1725" s="10"/>
      <c r="F1725" s="10"/>
      <c r="G1725" s="10"/>
      <c r="H1725" s="10"/>
      <c r="I1725" s="25" t="n">
        <v>4</v>
      </c>
      <c r="J1725" s="25"/>
      <c r="K1725" s="26"/>
      <c r="L1725" s="26"/>
      <c r="M1725" s="25"/>
      <c r="N1725" s="25"/>
      <c r="O1725" s="25"/>
      <c r="P1725" s="26"/>
      <c r="Q1725" s="26"/>
      <c r="R1725" s="25"/>
      <c r="S1725" s="25"/>
      <c r="T1725" s="25"/>
      <c r="U1725" s="27"/>
      <c r="V1725" s="21"/>
      <c r="W1725" s="16"/>
      <c r="X1725" s="16"/>
      <c r="Y1725" s="16"/>
    </row>
    <row r="1726" customFormat="false" ht="15.75" hidden="false" customHeight="false" outlineLevel="0" collapsed="false">
      <c r="A1726" s="9"/>
      <c r="B1726" s="10"/>
      <c r="C1726" s="11"/>
      <c r="D1726" s="10"/>
      <c r="E1726" s="10"/>
      <c r="F1726" s="10"/>
      <c r="G1726" s="10"/>
      <c r="H1726" s="10"/>
      <c r="I1726" s="12" t="n">
        <v>1</v>
      </c>
      <c r="J1726" s="12"/>
      <c r="K1726" s="13"/>
      <c r="L1726" s="13"/>
      <c r="M1726" s="12"/>
      <c r="N1726" s="12"/>
      <c r="O1726" s="12"/>
      <c r="P1726" s="13"/>
      <c r="Q1726" s="13"/>
      <c r="R1726" s="12"/>
      <c r="S1726" s="12"/>
      <c r="T1726" s="12"/>
      <c r="U1726" s="14"/>
      <c r="V1726" s="15"/>
      <c r="W1726" s="16" t="n">
        <f aca="false">A1726</f>
        <v>0</v>
      </c>
      <c r="X1726" s="17" t="e">
        <f aca="false">ifs(C1726="","",X1726="",NOW(),TRUE(),X1726)</f>
        <v>#VALUE!</v>
      </c>
      <c r="Y1726" s="17" t="e">
        <f aca="false">ifs(COUNTA(K1726:U1729)&lt;44,"",Y1726="",NOW(),TRUE(),Y1726)</f>
        <v>#VALUE!</v>
      </c>
    </row>
    <row r="1727" customFormat="false" ht="15.75" hidden="false" customHeight="false" outlineLevel="0" collapsed="false">
      <c r="A1727" s="9"/>
      <c r="B1727" s="10"/>
      <c r="C1727" s="10"/>
      <c r="D1727" s="10"/>
      <c r="E1727" s="10"/>
      <c r="F1727" s="10"/>
      <c r="G1727" s="10"/>
      <c r="H1727" s="10"/>
      <c r="I1727" s="18" t="n">
        <v>2</v>
      </c>
      <c r="J1727" s="18"/>
      <c r="K1727" s="19"/>
      <c r="L1727" s="19"/>
      <c r="M1727" s="18"/>
      <c r="N1727" s="18"/>
      <c r="O1727" s="18"/>
      <c r="P1727" s="19"/>
      <c r="Q1727" s="19"/>
      <c r="R1727" s="18"/>
      <c r="S1727" s="18"/>
      <c r="T1727" s="18"/>
      <c r="U1727" s="20"/>
      <c r="V1727" s="21"/>
      <c r="W1727" s="16"/>
      <c r="X1727" s="16"/>
      <c r="Y1727" s="16"/>
    </row>
    <row r="1728" customFormat="false" ht="15.75" hidden="false" customHeight="false" outlineLevel="0" collapsed="false">
      <c r="A1728" s="9"/>
      <c r="B1728" s="10"/>
      <c r="C1728" s="10"/>
      <c r="D1728" s="10"/>
      <c r="E1728" s="10"/>
      <c r="F1728" s="10"/>
      <c r="G1728" s="10"/>
      <c r="H1728" s="10"/>
      <c r="I1728" s="22" t="n">
        <v>3</v>
      </c>
      <c r="J1728" s="22"/>
      <c r="K1728" s="23"/>
      <c r="L1728" s="23"/>
      <c r="M1728" s="22"/>
      <c r="N1728" s="22"/>
      <c r="O1728" s="22"/>
      <c r="P1728" s="23"/>
      <c r="Q1728" s="23"/>
      <c r="R1728" s="22"/>
      <c r="S1728" s="22"/>
      <c r="T1728" s="22"/>
      <c r="U1728" s="24"/>
      <c r="V1728" s="15"/>
      <c r="W1728" s="16"/>
      <c r="X1728" s="16"/>
      <c r="Y1728" s="16"/>
    </row>
    <row r="1729" customFormat="false" ht="15.75" hidden="false" customHeight="false" outlineLevel="0" collapsed="false">
      <c r="A1729" s="9"/>
      <c r="B1729" s="10"/>
      <c r="C1729" s="10"/>
      <c r="D1729" s="10"/>
      <c r="E1729" s="10"/>
      <c r="F1729" s="10"/>
      <c r="G1729" s="10"/>
      <c r="H1729" s="10"/>
      <c r="I1729" s="25" t="n">
        <v>4</v>
      </c>
      <c r="J1729" s="25"/>
      <c r="K1729" s="26"/>
      <c r="L1729" s="26"/>
      <c r="M1729" s="25"/>
      <c r="N1729" s="25"/>
      <c r="O1729" s="25"/>
      <c r="P1729" s="26"/>
      <c r="Q1729" s="26"/>
      <c r="R1729" s="25"/>
      <c r="S1729" s="25"/>
      <c r="T1729" s="25"/>
      <c r="U1729" s="27"/>
      <c r="V1729" s="21"/>
      <c r="W1729" s="16"/>
      <c r="X1729" s="16"/>
      <c r="Y1729" s="16"/>
    </row>
    <row r="1730" customFormat="false" ht="15.75" hidden="false" customHeight="false" outlineLevel="0" collapsed="false">
      <c r="A1730" s="9"/>
      <c r="B1730" s="10"/>
      <c r="C1730" s="11"/>
      <c r="D1730" s="10"/>
      <c r="E1730" s="10"/>
      <c r="F1730" s="10"/>
      <c r="G1730" s="10"/>
      <c r="H1730" s="10"/>
      <c r="I1730" s="12" t="n">
        <v>1</v>
      </c>
      <c r="J1730" s="12"/>
      <c r="K1730" s="13"/>
      <c r="L1730" s="13"/>
      <c r="M1730" s="12"/>
      <c r="N1730" s="12"/>
      <c r="O1730" s="12"/>
      <c r="P1730" s="13"/>
      <c r="Q1730" s="13"/>
      <c r="R1730" s="12"/>
      <c r="S1730" s="12"/>
      <c r="T1730" s="12"/>
      <c r="U1730" s="14"/>
      <c r="V1730" s="15"/>
      <c r="W1730" s="16" t="n">
        <f aca="false">A1730</f>
        <v>0</v>
      </c>
      <c r="X1730" s="17" t="e">
        <f aca="false">ifs(C1730="","",X1730="",NOW(),TRUE(),X1730)</f>
        <v>#VALUE!</v>
      </c>
      <c r="Y1730" s="17" t="e">
        <f aca="false">ifs(COUNTA(K1730:U1733)&lt;44,"",Y1730="",NOW(),TRUE(),Y1730)</f>
        <v>#VALUE!</v>
      </c>
    </row>
    <row r="1731" customFormat="false" ht="15.75" hidden="false" customHeight="false" outlineLevel="0" collapsed="false">
      <c r="A1731" s="9"/>
      <c r="B1731" s="10"/>
      <c r="C1731" s="10"/>
      <c r="D1731" s="10"/>
      <c r="E1731" s="10"/>
      <c r="F1731" s="10"/>
      <c r="G1731" s="10"/>
      <c r="H1731" s="10"/>
      <c r="I1731" s="18" t="n">
        <v>2</v>
      </c>
      <c r="J1731" s="18"/>
      <c r="K1731" s="19"/>
      <c r="L1731" s="19"/>
      <c r="M1731" s="18"/>
      <c r="N1731" s="18"/>
      <c r="O1731" s="18"/>
      <c r="P1731" s="19"/>
      <c r="Q1731" s="19"/>
      <c r="R1731" s="18"/>
      <c r="S1731" s="18"/>
      <c r="T1731" s="18"/>
      <c r="U1731" s="20"/>
      <c r="V1731" s="21"/>
      <c r="W1731" s="16"/>
      <c r="X1731" s="16"/>
      <c r="Y1731" s="16"/>
    </row>
    <row r="1732" customFormat="false" ht="15.75" hidden="false" customHeight="false" outlineLevel="0" collapsed="false">
      <c r="A1732" s="9"/>
      <c r="B1732" s="10"/>
      <c r="C1732" s="10"/>
      <c r="D1732" s="10"/>
      <c r="E1732" s="10"/>
      <c r="F1732" s="10"/>
      <c r="G1732" s="10"/>
      <c r="H1732" s="10"/>
      <c r="I1732" s="22" t="n">
        <v>3</v>
      </c>
      <c r="J1732" s="22"/>
      <c r="K1732" s="23"/>
      <c r="L1732" s="23"/>
      <c r="M1732" s="22"/>
      <c r="N1732" s="22"/>
      <c r="O1732" s="22"/>
      <c r="P1732" s="23"/>
      <c r="Q1732" s="23"/>
      <c r="R1732" s="22"/>
      <c r="S1732" s="22"/>
      <c r="T1732" s="22"/>
      <c r="U1732" s="24"/>
      <c r="V1732" s="15"/>
      <c r="W1732" s="16"/>
      <c r="X1732" s="16"/>
      <c r="Y1732" s="16"/>
    </row>
    <row r="1733" customFormat="false" ht="15.75" hidden="false" customHeight="false" outlineLevel="0" collapsed="false">
      <c r="A1733" s="9"/>
      <c r="B1733" s="10"/>
      <c r="C1733" s="10"/>
      <c r="D1733" s="10"/>
      <c r="E1733" s="10"/>
      <c r="F1733" s="10"/>
      <c r="G1733" s="10"/>
      <c r="H1733" s="10"/>
      <c r="I1733" s="25" t="n">
        <v>4</v>
      </c>
      <c r="J1733" s="25"/>
      <c r="K1733" s="26"/>
      <c r="L1733" s="26"/>
      <c r="M1733" s="25"/>
      <c r="N1733" s="25"/>
      <c r="O1733" s="25"/>
      <c r="P1733" s="26"/>
      <c r="Q1733" s="26"/>
      <c r="R1733" s="25"/>
      <c r="S1733" s="25"/>
      <c r="T1733" s="25"/>
      <c r="U1733" s="27"/>
      <c r="V1733" s="21"/>
      <c r="W1733" s="16"/>
      <c r="X1733" s="16"/>
      <c r="Y1733" s="16"/>
    </row>
    <row r="1734" customFormat="false" ht="15.75" hidden="false" customHeight="false" outlineLevel="0" collapsed="false">
      <c r="A1734" s="9"/>
      <c r="B1734" s="10"/>
      <c r="C1734" s="11"/>
      <c r="D1734" s="10"/>
      <c r="E1734" s="10"/>
      <c r="F1734" s="10"/>
      <c r="G1734" s="10"/>
      <c r="H1734" s="10"/>
      <c r="I1734" s="12" t="n">
        <v>1</v>
      </c>
      <c r="J1734" s="12"/>
      <c r="K1734" s="13"/>
      <c r="L1734" s="13"/>
      <c r="M1734" s="12"/>
      <c r="N1734" s="12"/>
      <c r="O1734" s="12"/>
      <c r="P1734" s="13"/>
      <c r="Q1734" s="13"/>
      <c r="R1734" s="12"/>
      <c r="S1734" s="12"/>
      <c r="T1734" s="12"/>
      <c r="U1734" s="14"/>
      <c r="V1734" s="15"/>
      <c r="W1734" s="16" t="n">
        <f aca="false">A1734</f>
        <v>0</v>
      </c>
      <c r="X1734" s="17" t="e">
        <f aca="false">ifs(C1734="","",X1734="",NOW(),TRUE(),X1734)</f>
        <v>#VALUE!</v>
      </c>
      <c r="Y1734" s="17" t="e">
        <f aca="false">ifs(COUNTA(K1734:U1737)&lt;44,"",Y1734="",NOW(),TRUE(),Y1734)</f>
        <v>#VALUE!</v>
      </c>
    </row>
    <row r="1735" customFormat="false" ht="15.75" hidden="false" customHeight="false" outlineLevel="0" collapsed="false">
      <c r="A1735" s="9"/>
      <c r="B1735" s="10"/>
      <c r="C1735" s="10"/>
      <c r="D1735" s="10"/>
      <c r="E1735" s="10"/>
      <c r="F1735" s="10"/>
      <c r="G1735" s="10"/>
      <c r="H1735" s="10"/>
      <c r="I1735" s="18" t="n">
        <v>2</v>
      </c>
      <c r="J1735" s="18"/>
      <c r="K1735" s="19"/>
      <c r="L1735" s="19"/>
      <c r="M1735" s="18"/>
      <c r="N1735" s="18"/>
      <c r="O1735" s="18"/>
      <c r="P1735" s="19"/>
      <c r="Q1735" s="19"/>
      <c r="R1735" s="18"/>
      <c r="S1735" s="18"/>
      <c r="T1735" s="18"/>
      <c r="U1735" s="20"/>
      <c r="V1735" s="21"/>
      <c r="W1735" s="16"/>
      <c r="X1735" s="16"/>
      <c r="Y1735" s="16"/>
    </row>
    <row r="1736" customFormat="false" ht="15.75" hidden="false" customHeight="false" outlineLevel="0" collapsed="false">
      <c r="A1736" s="9"/>
      <c r="B1736" s="10"/>
      <c r="C1736" s="10"/>
      <c r="D1736" s="10"/>
      <c r="E1736" s="10"/>
      <c r="F1736" s="10"/>
      <c r="G1736" s="10"/>
      <c r="H1736" s="10"/>
      <c r="I1736" s="22" t="n">
        <v>3</v>
      </c>
      <c r="J1736" s="22"/>
      <c r="K1736" s="23"/>
      <c r="L1736" s="23"/>
      <c r="M1736" s="22"/>
      <c r="N1736" s="22"/>
      <c r="O1736" s="22"/>
      <c r="P1736" s="23"/>
      <c r="Q1736" s="23"/>
      <c r="R1736" s="22"/>
      <c r="S1736" s="22"/>
      <c r="T1736" s="22"/>
      <c r="U1736" s="24"/>
      <c r="V1736" s="15"/>
      <c r="W1736" s="16"/>
      <c r="X1736" s="16"/>
      <c r="Y1736" s="16"/>
    </row>
    <row r="1737" customFormat="false" ht="15.75" hidden="false" customHeight="false" outlineLevel="0" collapsed="false">
      <c r="A1737" s="9"/>
      <c r="B1737" s="10"/>
      <c r="C1737" s="10"/>
      <c r="D1737" s="10"/>
      <c r="E1737" s="10"/>
      <c r="F1737" s="10"/>
      <c r="G1737" s="10"/>
      <c r="H1737" s="10"/>
      <c r="I1737" s="25" t="n">
        <v>4</v>
      </c>
      <c r="J1737" s="25"/>
      <c r="K1737" s="26"/>
      <c r="L1737" s="26"/>
      <c r="M1737" s="25"/>
      <c r="N1737" s="25"/>
      <c r="O1737" s="25"/>
      <c r="P1737" s="26"/>
      <c r="Q1737" s="26"/>
      <c r="R1737" s="25"/>
      <c r="S1737" s="25"/>
      <c r="T1737" s="25"/>
      <c r="U1737" s="27"/>
      <c r="V1737" s="21"/>
      <c r="W1737" s="16"/>
      <c r="X1737" s="16"/>
      <c r="Y1737" s="16"/>
    </row>
    <row r="1738" customFormat="false" ht="15.75" hidden="false" customHeight="false" outlineLevel="0" collapsed="false">
      <c r="A1738" s="9"/>
      <c r="B1738" s="10"/>
      <c r="C1738" s="11"/>
      <c r="D1738" s="10"/>
      <c r="E1738" s="10"/>
      <c r="F1738" s="10"/>
      <c r="G1738" s="10"/>
      <c r="H1738" s="10"/>
      <c r="I1738" s="12" t="n">
        <v>1</v>
      </c>
      <c r="J1738" s="12"/>
      <c r="K1738" s="13"/>
      <c r="L1738" s="13"/>
      <c r="M1738" s="12"/>
      <c r="N1738" s="12"/>
      <c r="O1738" s="12"/>
      <c r="P1738" s="13"/>
      <c r="Q1738" s="13"/>
      <c r="R1738" s="12"/>
      <c r="S1738" s="12"/>
      <c r="T1738" s="12"/>
      <c r="U1738" s="14"/>
      <c r="V1738" s="15"/>
      <c r="W1738" s="16" t="n">
        <f aca="false">A1738</f>
        <v>0</v>
      </c>
      <c r="X1738" s="17" t="e">
        <f aca="false">ifs(C1738="","",X1738="",NOW(),TRUE(),X1738)</f>
        <v>#VALUE!</v>
      </c>
      <c r="Y1738" s="17" t="e">
        <f aca="false">ifs(COUNTA(K1738:U1741)&lt;44,"",Y1738="",NOW(),TRUE(),Y1738)</f>
        <v>#VALUE!</v>
      </c>
    </row>
    <row r="1739" customFormat="false" ht="15.75" hidden="false" customHeight="false" outlineLevel="0" collapsed="false">
      <c r="A1739" s="9"/>
      <c r="B1739" s="10"/>
      <c r="C1739" s="10"/>
      <c r="D1739" s="10"/>
      <c r="E1739" s="10"/>
      <c r="F1739" s="10"/>
      <c r="G1739" s="10"/>
      <c r="H1739" s="10"/>
      <c r="I1739" s="18" t="n">
        <v>2</v>
      </c>
      <c r="J1739" s="18"/>
      <c r="K1739" s="19"/>
      <c r="L1739" s="19"/>
      <c r="M1739" s="18"/>
      <c r="N1739" s="18"/>
      <c r="O1739" s="18"/>
      <c r="P1739" s="19"/>
      <c r="Q1739" s="19"/>
      <c r="R1739" s="18"/>
      <c r="S1739" s="18"/>
      <c r="T1739" s="18"/>
      <c r="U1739" s="20"/>
      <c r="V1739" s="21"/>
      <c r="W1739" s="16"/>
      <c r="X1739" s="16"/>
      <c r="Y1739" s="16"/>
    </row>
    <row r="1740" customFormat="false" ht="15.75" hidden="false" customHeight="false" outlineLevel="0" collapsed="false">
      <c r="A1740" s="9"/>
      <c r="B1740" s="10"/>
      <c r="C1740" s="10"/>
      <c r="D1740" s="10"/>
      <c r="E1740" s="10"/>
      <c r="F1740" s="10"/>
      <c r="G1740" s="10"/>
      <c r="H1740" s="10"/>
      <c r="I1740" s="22" t="n">
        <v>3</v>
      </c>
      <c r="J1740" s="22"/>
      <c r="K1740" s="23"/>
      <c r="L1740" s="23"/>
      <c r="M1740" s="22"/>
      <c r="N1740" s="22"/>
      <c r="O1740" s="22"/>
      <c r="P1740" s="23"/>
      <c r="Q1740" s="23"/>
      <c r="R1740" s="22"/>
      <c r="S1740" s="22"/>
      <c r="T1740" s="22"/>
      <c r="U1740" s="24"/>
      <c r="V1740" s="15"/>
      <c r="W1740" s="16"/>
      <c r="X1740" s="16"/>
      <c r="Y1740" s="16"/>
    </row>
    <row r="1741" customFormat="false" ht="15.75" hidden="false" customHeight="false" outlineLevel="0" collapsed="false">
      <c r="A1741" s="9"/>
      <c r="B1741" s="10"/>
      <c r="C1741" s="10"/>
      <c r="D1741" s="10"/>
      <c r="E1741" s="10"/>
      <c r="F1741" s="10"/>
      <c r="G1741" s="10"/>
      <c r="H1741" s="10"/>
      <c r="I1741" s="25" t="n">
        <v>4</v>
      </c>
      <c r="J1741" s="25"/>
      <c r="K1741" s="26"/>
      <c r="L1741" s="26"/>
      <c r="M1741" s="25"/>
      <c r="N1741" s="25"/>
      <c r="O1741" s="25"/>
      <c r="P1741" s="26"/>
      <c r="Q1741" s="26"/>
      <c r="R1741" s="25"/>
      <c r="S1741" s="25"/>
      <c r="T1741" s="25"/>
      <c r="U1741" s="27"/>
      <c r="V1741" s="21"/>
      <c r="W1741" s="16"/>
      <c r="X1741" s="16"/>
      <c r="Y1741" s="16"/>
    </row>
    <row r="1742" customFormat="false" ht="15.75" hidden="false" customHeight="false" outlineLevel="0" collapsed="false">
      <c r="A1742" s="9"/>
      <c r="B1742" s="10"/>
      <c r="C1742" s="11"/>
      <c r="D1742" s="10"/>
      <c r="E1742" s="10"/>
      <c r="F1742" s="10"/>
      <c r="G1742" s="10"/>
      <c r="H1742" s="10"/>
      <c r="I1742" s="12" t="n">
        <v>1</v>
      </c>
      <c r="J1742" s="12"/>
      <c r="K1742" s="13"/>
      <c r="L1742" s="13"/>
      <c r="M1742" s="12"/>
      <c r="N1742" s="12"/>
      <c r="O1742" s="12"/>
      <c r="P1742" s="13"/>
      <c r="Q1742" s="13"/>
      <c r="R1742" s="12"/>
      <c r="S1742" s="12"/>
      <c r="T1742" s="12"/>
      <c r="U1742" s="14"/>
      <c r="V1742" s="15"/>
      <c r="W1742" s="16" t="n">
        <f aca="false">A1742</f>
        <v>0</v>
      </c>
      <c r="X1742" s="17" t="e">
        <f aca="false">ifs(C1742="","",X1742="",NOW(),TRUE(),X1742)</f>
        <v>#VALUE!</v>
      </c>
      <c r="Y1742" s="17" t="e">
        <f aca="false">ifs(COUNTA(K1742:U1745)&lt;44,"",Y1742="",NOW(),TRUE(),Y1742)</f>
        <v>#VALUE!</v>
      </c>
    </row>
    <row r="1743" customFormat="false" ht="15.75" hidden="false" customHeight="false" outlineLevel="0" collapsed="false">
      <c r="A1743" s="9"/>
      <c r="B1743" s="10"/>
      <c r="C1743" s="10"/>
      <c r="D1743" s="10"/>
      <c r="E1743" s="10"/>
      <c r="F1743" s="10"/>
      <c r="G1743" s="10"/>
      <c r="H1743" s="10"/>
      <c r="I1743" s="18" t="n">
        <v>2</v>
      </c>
      <c r="J1743" s="18"/>
      <c r="K1743" s="19"/>
      <c r="L1743" s="19"/>
      <c r="M1743" s="18"/>
      <c r="N1743" s="18"/>
      <c r="O1743" s="18"/>
      <c r="P1743" s="19"/>
      <c r="Q1743" s="19"/>
      <c r="R1743" s="18"/>
      <c r="S1743" s="18"/>
      <c r="T1743" s="18"/>
      <c r="U1743" s="20"/>
      <c r="V1743" s="21"/>
      <c r="W1743" s="16"/>
      <c r="X1743" s="16"/>
      <c r="Y1743" s="16"/>
    </row>
    <row r="1744" customFormat="false" ht="15.75" hidden="false" customHeight="false" outlineLevel="0" collapsed="false">
      <c r="A1744" s="9"/>
      <c r="B1744" s="10"/>
      <c r="C1744" s="10"/>
      <c r="D1744" s="10"/>
      <c r="E1744" s="10"/>
      <c r="F1744" s="10"/>
      <c r="G1744" s="10"/>
      <c r="H1744" s="10"/>
      <c r="I1744" s="22" t="n">
        <v>3</v>
      </c>
      <c r="J1744" s="22"/>
      <c r="K1744" s="23"/>
      <c r="L1744" s="23"/>
      <c r="M1744" s="22"/>
      <c r="N1744" s="22"/>
      <c r="O1744" s="22"/>
      <c r="P1744" s="23"/>
      <c r="Q1744" s="23"/>
      <c r="R1744" s="22"/>
      <c r="S1744" s="22"/>
      <c r="T1744" s="22"/>
      <c r="U1744" s="24"/>
      <c r="V1744" s="15"/>
      <c r="W1744" s="16"/>
      <c r="X1744" s="16"/>
      <c r="Y1744" s="16"/>
    </row>
    <row r="1745" customFormat="false" ht="15.75" hidden="false" customHeight="false" outlineLevel="0" collapsed="false">
      <c r="A1745" s="9"/>
      <c r="B1745" s="10"/>
      <c r="C1745" s="10"/>
      <c r="D1745" s="10"/>
      <c r="E1745" s="10"/>
      <c r="F1745" s="10"/>
      <c r="G1745" s="10"/>
      <c r="H1745" s="10"/>
      <c r="I1745" s="25" t="n">
        <v>4</v>
      </c>
      <c r="J1745" s="25"/>
      <c r="K1745" s="26"/>
      <c r="L1745" s="26"/>
      <c r="M1745" s="25"/>
      <c r="N1745" s="25"/>
      <c r="O1745" s="25"/>
      <c r="P1745" s="26"/>
      <c r="Q1745" s="26"/>
      <c r="R1745" s="25"/>
      <c r="S1745" s="25"/>
      <c r="T1745" s="25"/>
      <c r="U1745" s="27"/>
      <c r="V1745" s="21"/>
      <c r="W1745" s="16"/>
      <c r="X1745" s="16"/>
      <c r="Y1745" s="16"/>
    </row>
    <row r="1746" customFormat="false" ht="15.75" hidden="false" customHeight="false" outlineLevel="0" collapsed="false">
      <c r="A1746" s="9"/>
      <c r="B1746" s="10"/>
      <c r="C1746" s="11"/>
      <c r="D1746" s="10"/>
      <c r="E1746" s="10"/>
      <c r="F1746" s="10"/>
      <c r="G1746" s="10"/>
      <c r="H1746" s="10"/>
      <c r="I1746" s="12" t="n">
        <v>1</v>
      </c>
      <c r="J1746" s="12"/>
      <c r="K1746" s="13"/>
      <c r="L1746" s="13"/>
      <c r="M1746" s="12"/>
      <c r="N1746" s="12"/>
      <c r="O1746" s="12"/>
      <c r="P1746" s="13"/>
      <c r="Q1746" s="13"/>
      <c r="R1746" s="12"/>
      <c r="S1746" s="12"/>
      <c r="T1746" s="12"/>
      <c r="U1746" s="14"/>
      <c r="V1746" s="15"/>
      <c r="W1746" s="16" t="n">
        <f aca="false">A1746</f>
        <v>0</v>
      </c>
      <c r="X1746" s="17" t="e">
        <f aca="false">ifs(C1746="","",X1746="",NOW(),TRUE(),X1746)</f>
        <v>#VALUE!</v>
      </c>
      <c r="Y1746" s="17" t="e">
        <f aca="false">ifs(COUNTA(K1746:U1749)&lt;44,"",Y1746="",NOW(),TRUE(),Y1746)</f>
        <v>#VALUE!</v>
      </c>
    </row>
    <row r="1747" customFormat="false" ht="15.75" hidden="false" customHeight="false" outlineLevel="0" collapsed="false">
      <c r="A1747" s="9"/>
      <c r="B1747" s="10"/>
      <c r="C1747" s="10"/>
      <c r="D1747" s="10"/>
      <c r="E1747" s="10"/>
      <c r="F1747" s="10"/>
      <c r="G1747" s="10"/>
      <c r="H1747" s="10"/>
      <c r="I1747" s="18" t="n">
        <v>2</v>
      </c>
      <c r="J1747" s="18"/>
      <c r="K1747" s="19"/>
      <c r="L1747" s="19"/>
      <c r="M1747" s="18"/>
      <c r="N1747" s="18"/>
      <c r="O1747" s="18"/>
      <c r="P1747" s="19"/>
      <c r="Q1747" s="19"/>
      <c r="R1747" s="18"/>
      <c r="S1747" s="18"/>
      <c r="T1747" s="18"/>
      <c r="U1747" s="20"/>
      <c r="V1747" s="21"/>
      <c r="W1747" s="16"/>
      <c r="X1747" s="16"/>
      <c r="Y1747" s="16"/>
    </row>
    <row r="1748" customFormat="false" ht="15.75" hidden="false" customHeight="false" outlineLevel="0" collapsed="false">
      <c r="A1748" s="9"/>
      <c r="B1748" s="10"/>
      <c r="C1748" s="10"/>
      <c r="D1748" s="10"/>
      <c r="E1748" s="10"/>
      <c r="F1748" s="10"/>
      <c r="G1748" s="10"/>
      <c r="H1748" s="10"/>
      <c r="I1748" s="22" t="n">
        <v>3</v>
      </c>
      <c r="J1748" s="22"/>
      <c r="K1748" s="23"/>
      <c r="L1748" s="23"/>
      <c r="M1748" s="22"/>
      <c r="N1748" s="22"/>
      <c r="O1748" s="22"/>
      <c r="P1748" s="23"/>
      <c r="Q1748" s="23"/>
      <c r="R1748" s="22"/>
      <c r="S1748" s="22"/>
      <c r="T1748" s="22"/>
      <c r="U1748" s="24"/>
      <c r="V1748" s="15"/>
      <c r="W1748" s="16"/>
      <c r="X1748" s="16"/>
      <c r="Y1748" s="16"/>
    </row>
    <row r="1749" customFormat="false" ht="15.75" hidden="false" customHeight="false" outlineLevel="0" collapsed="false">
      <c r="A1749" s="9"/>
      <c r="B1749" s="10"/>
      <c r="C1749" s="10"/>
      <c r="D1749" s="10"/>
      <c r="E1749" s="10"/>
      <c r="F1749" s="10"/>
      <c r="G1749" s="10"/>
      <c r="H1749" s="10"/>
      <c r="I1749" s="25" t="n">
        <v>4</v>
      </c>
      <c r="J1749" s="25"/>
      <c r="K1749" s="26"/>
      <c r="L1749" s="26"/>
      <c r="M1749" s="25"/>
      <c r="N1749" s="25"/>
      <c r="O1749" s="25"/>
      <c r="P1749" s="26"/>
      <c r="Q1749" s="26"/>
      <c r="R1749" s="25"/>
      <c r="S1749" s="25"/>
      <c r="T1749" s="25"/>
      <c r="U1749" s="27"/>
      <c r="V1749" s="21"/>
      <c r="W1749" s="16"/>
      <c r="X1749" s="16"/>
      <c r="Y1749" s="16"/>
    </row>
    <row r="1750" customFormat="false" ht="15.75" hidden="false" customHeight="false" outlineLevel="0" collapsed="false">
      <c r="A1750" s="9"/>
      <c r="B1750" s="10"/>
      <c r="C1750" s="11"/>
      <c r="D1750" s="10"/>
      <c r="E1750" s="10"/>
      <c r="F1750" s="10"/>
      <c r="G1750" s="10"/>
      <c r="H1750" s="10"/>
      <c r="I1750" s="12" t="n">
        <v>1</v>
      </c>
      <c r="J1750" s="12"/>
      <c r="K1750" s="13"/>
      <c r="L1750" s="13"/>
      <c r="M1750" s="12"/>
      <c r="N1750" s="12"/>
      <c r="O1750" s="12"/>
      <c r="P1750" s="13"/>
      <c r="Q1750" s="13"/>
      <c r="R1750" s="12"/>
      <c r="S1750" s="12"/>
      <c r="T1750" s="12"/>
      <c r="U1750" s="14"/>
      <c r="V1750" s="15"/>
      <c r="W1750" s="16" t="n">
        <f aca="false">A1750</f>
        <v>0</v>
      </c>
      <c r="X1750" s="17" t="e">
        <f aca="false">ifs(C1750="","",X1750="",NOW(),TRUE(),X1750)</f>
        <v>#VALUE!</v>
      </c>
      <c r="Y1750" s="17" t="e">
        <f aca="false">ifs(COUNTA(K1750:U1753)&lt;44,"",Y1750="",NOW(),TRUE(),Y1750)</f>
        <v>#VALUE!</v>
      </c>
    </row>
    <row r="1751" customFormat="false" ht="15.75" hidden="false" customHeight="false" outlineLevel="0" collapsed="false">
      <c r="A1751" s="9"/>
      <c r="B1751" s="10"/>
      <c r="C1751" s="10"/>
      <c r="D1751" s="10"/>
      <c r="E1751" s="10"/>
      <c r="F1751" s="10"/>
      <c r="G1751" s="10"/>
      <c r="H1751" s="10"/>
      <c r="I1751" s="18" t="n">
        <v>2</v>
      </c>
      <c r="J1751" s="18"/>
      <c r="K1751" s="19"/>
      <c r="L1751" s="19"/>
      <c r="M1751" s="18"/>
      <c r="N1751" s="18"/>
      <c r="O1751" s="18"/>
      <c r="P1751" s="19"/>
      <c r="Q1751" s="19"/>
      <c r="R1751" s="18"/>
      <c r="S1751" s="18"/>
      <c r="T1751" s="18"/>
      <c r="U1751" s="20"/>
      <c r="V1751" s="21"/>
      <c r="W1751" s="16"/>
      <c r="X1751" s="16"/>
      <c r="Y1751" s="16"/>
    </row>
    <row r="1752" customFormat="false" ht="15.75" hidden="false" customHeight="false" outlineLevel="0" collapsed="false">
      <c r="A1752" s="9"/>
      <c r="B1752" s="10"/>
      <c r="C1752" s="10"/>
      <c r="D1752" s="10"/>
      <c r="E1752" s="10"/>
      <c r="F1752" s="10"/>
      <c r="G1752" s="10"/>
      <c r="H1752" s="10"/>
      <c r="I1752" s="22" t="n">
        <v>3</v>
      </c>
      <c r="J1752" s="22"/>
      <c r="K1752" s="23"/>
      <c r="L1752" s="23"/>
      <c r="M1752" s="22"/>
      <c r="N1752" s="22"/>
      <c r="O1752" s="22"/>
      <c r="P1752" s="23"/>
      <c r="Q1752" s="23"/>
      <c r="R1752" s="22"/>
      <c r="S1752" s="22"/>
      <c r="T1752" s="22"/>
      <c r="U1752" s="24"/>
      <c r="V1752" s="15"/>
      <c r="W1752" s="16"/>
      <c r="X1752" s="16"/>
      <c r="Y1752" s="16"/>
    </row>
    <row r="1753" customFormat="false" ht="15.75" hidden="false" customHeight="false" outlineLevel="0" collapsed="false">
      <c r="A1753" s="9"/>
      <c r="B1753" s="10"/>
      <c r="C1753" s="10"/>
      <c r="D1753" s="10"/>
      <c r="E1753" s="10"/>
      <c r="F1753" s="10"/>
      <c r="G1753" s="10"/>
      <c r="H1753" s="10"/>
      <c r="I1753" s="25" t="n">
        <v>4</v>
      </c>
      <c r="J1753" s="25"/>
      <c r="K1753" s="26"/>
      <c r="L1753" s="26"/>
      <c r="M1753" s="25"/>
      <c r="N1753" s="25"/>
      <c r="O1753" s="25"/>
      <c r="P1753" s="26"/>
      <c r="Q1753" s="26"/>
      <c r="R1753" s="25"/>
      <c r="S1753" s="25"/>
      <c r="T1753" s="25"/>
      <c r="U1753" s="27"/>
      <c r="V1753" s="21"/>
      <c r="W1753" s="16"/>
      <c r="X1753" s="16"/>
      <c r="Y1753" s="16"/>
    </row>
    <row r="1754" customFormat="false" ht="15.75" hidden="false" customHeight="false" outlineLevel="0" collapsed="false">
      <c r="A1754" s="9"/>
      <c r="B1754" s="10"/>
      <c r="C1754" s="11"/>
      <c r="D1754" s="10"/>
      <c r="E1754" s="10"/>
      <c r="F1754" s="10"/>
      <c r="G1754" s="10"/>
      <c r="H1754" s="10"/>
      <c r="I1754" s="12" t="n">
        <v>1</v>
      </c>
      <c r="J1754" s="12"/>
      <c r="K1754" s="13"/>
      <c r="L1754" s="13"/>
      <c r="M1754" s="12"/>
      <c r="N1754" s="12"/>
      <c r="O1754" s="12"/>
      <c r="P1754" s="13"/>
      <c r="Q1754" s="13"/>
      <c r="R1754" s="12"/>
      <c r="S1754" s="12"/>
      <c r="T1754" s="12"/>
      <c r="U1754" s="14"/>
      <c r="V1754" s="15"/>
      <c r="W1754" s="16" t="n">
        <f aca="false">A1754</f>
        <v>0</v>
      </c>
      <c r="X1754" s="17" t="e">
        <f aca="false">ifs(C1754="","",X1754="",NOW(),TRUE(),X1754)</f>
        <v>#VALUE!</v>
      </c>
      <c r="Y1754" s="17" t="e">
        <f aca="false">ifs(COUNTA(K1754:U1757)&lt;44,"",Y1754="",NOW(),TRUE(),Y1754)</f>
        <v>#VALUE!</v>
      </c>
    </row>
    <row r="1755" customFormat="false" ht="15.75" hidden="false" customHeight="false" outlineLevel="0" collapsed="false">
      <c r="A1755" s="9"/>
      <c r="B1755" s="10"/>
      <c r="C1755" s="10"/>
      <c r="D1755" s="10"/>
      <c r="E1755" s="10"/>
      <c r="F1755" s="10"/>
      <c r="G1755" s="10"/>
      <c r="H1755" s="10"/>
      <c r="I1755" s="18" t="n">
        <v>2</v>
      </c>
      <c r="J1755" s="18"/>
      <c r="K1755" s="19"/>
      <c r="L1755" s="19"/>
      <c r="M1755" s="18"/>
      <c r="N1755" s="18"/>
      <c r="O1755" s="18"/>
      <c r="P1755" s="19"/>
      <c r="Q1755" s="19"/>
      <c r="R1755" s="18"/>
      <c r="S1755" s="18"/>
      <c r="T1755" s="18"/>
      <c r="U1755" s="20"/>
      <c r="V1755" s="21"/>
      <c r="W1755" s="16"/>
      <c r="X1755" s="16"/>
      <c r="Y1755" s="16"/>
    </row>
    <row r="1756" customFormat="false" ht="15.75" hidden="false" customHeight="false" outlineLevel="0" collapsed="false">
      <c r="A1756" s="9"/>
      <c r="B1756" s="10"/>
      <c r="C1756" s="10"/>
      <c r="D1756" s="10"/>
      <c r="E1756" s="10"/>
      <c r="F1756" s="10"/>
      <c r="G1756" s="10"/>
      <c r="H1756" s="10"/>
      <c r="I1756" s="22" t="n">
        <v>3</v>
      </c>
      <c r="J1756" s="22"/>
      <c r="K1756" s="23"/>
      <c r="L1756" s="23"/>
      <c r="M1756" s="22"/>
      <c r="N1756" s="22"/>
      <c r="O1756" s="22"/>
      <c r="P1756" s="23"/>
      <c r="Q1756" s="23"/>
      <c r="R1756" s="22"/>
      <c r="S1756" s="22"/>
      <c r="T1756" s="22"/>
      <c r="U1756" s="24"/>
      <c r="V1756" s="15"/>
      <c r="W1756" s="16"/>
      <c r="X1756" s="16"/>
      <c r="Y1756" s="16"/>
    </row>
    <row r="1757" customFormat="false" ht="15.75" hidden="false" customHeight="false" outlineLevel="0" collapsed="false">
      <c r="A1757" s="9"/>
      <c r="B1757" s="10"/>
      <c r="C1757" s="10"/>
      <c r="D1757" s="10"/>
      <c r="E1757" s="10"/>
      <c r="F1757" s="10"/>
      <c r="G1757" s="10"/>
      <c r="H1757" s="10"/>
      <c r="I1757" s="25" t="n">
        <v>4</v>
      </c>
      <c r="J1757" s="25"/>
      <c r="K1757" s="26"/>
      <c r="L1757" s="26"/>
      <c r="M1757" s="25"/>
      <c r="N1757" s="25"/>
      <c r="O1757" s="25"/>
      <c r="P1757" s="26"/>
      <c r="Q1757" s="26"/>
      <c r="R1757" s="25"/>
      <c r="S1757" s="25"/>
      <c r="T1757" s="25"/>
      <c r="U1757" s="27"/>
      <c r="V1757" s="21"/>
      <c r="W1757" s="16"/>
      <c r="X1757" s="16"/>
      <c r="Y1757" s="16"/>
    </row>
    <row r="1758" customFormat="false" ht="15.75" hidden="false" customHeight="false" outlineLevel="0" collapsed="false">
      <c r="A1758" s="9"/>
      <c r="B1758" s="10"/>
      <c r="C1758" s="11"/>
      <c r="D1758" s="10"/>
      <c r="E1758" s="10"/>
      <c r="F1758" s="10"/>
      <c r="G1758" s="10"/>
      <c r="H1758" s="10"/>
      <c r="I1758" s="12" t="n">
        <v>1</v>
      </c>
      <c r="J1758" s="12"/>
      <c r="K1758" s="13"/>
      <c r="L1758" s="13"/>
      <c r="M1758" s="12"/>
      <c r="N1758" s="12"/>
      <c r="O1758" s="12"/>
      <c r="P1758" s="13"/>
      <c r="Q1758" s="13"/>
      <c r="R1758" s="12"/>
      <c r="S1758" s="12"/>
      <c r="T1758" s="12"/>
      <c r="U1758" s="14"/>
      <c r="V1758" s="15"/>
      <c r="W1758" s="16" t="n">
        <f aca="false">A1758</f>
        <v>0</v>
      </c>
      <c r="X1758" s="17" t="e">
        <f aca="false">ifs(C1758="","",X1758="",NOW(),TRUE(),X1758)</f>
        <v>#VALUE!</v>
      </c>
      <c r="Y1758" s="17" t="e">
        <f aca="false">ifs(COUNTA(K1758:U1761)&lt;44,"",Y1758="",NOW(),TRUE(),Y1758)</f>
        <v>#VALUE!</v>
      </c>
    </row>
    <row r="1759" customFormat="false" ht="15.75" hidden="false" customHeight="false" outlineLevel="0" collapsed="false">
      <c r="A1759" s="9"/>
      <c r="B1759" s="10"/>
      <c r="C1759" s="10"/>
      <c r="D1759" s="10"/>
      <c r="E1759" s="10"/>
      <c r="F1759" s="10"/>
      <c r="G1759" s="10"/>
      <c r="H1759" s="10"/>
      <c r="I1759" s="18" t="n">
        <v>2</v>
      </c>
      <c r="J1759" s="18"/>
      <c r="K1759" s="19"/>
      <c r="L1759" s="19"/>
      <c r="M1759" s="18"/>
      <c r="N1759" s="18"/>
      <c r="O1759" s="18"/>
      <c r="P1759" s="19"/>
      <c r="Q1759" s="19"/>
      <c r="R1759" s="18"/>
      <c r="S1759" s="18"/>
      <c r="T1759" s="18"/>
      <c r="U1759" s="20"/>
      <c r="V1759" s="21"/>
      <c r="W1759" s="16"/>
      <c r="X1759" s="16"/>
      <c r="Y1759" s="16"/>
    </row>
    <row r="1760" customFormat="false" ht="15.75" hidden="false" customHeight="false" outlineLevel="0" collapsed="false">
      <c r="A1760" s="9"/>
      <c r="B1760" s="10"/>
      <c r="C1760" s="10"/>
      <c r="D1760" s="10"/>
      <c r="E1760" s="10"/>
      <c r="F1760" s="10"/>
      <c r="G1760" s="10"/>
      <c r="H1760" s="10"/>
      <c r="I1760" s="22" t="n">
        <v>3</v>
      </c>
      <c r="J1760" s="22"/>
      <c r="K1760" s="23"/>
      <c r="L1760" s="23"/>
      <c r="M1760" s="22"/>
      <c r="N1760" s="22"/>
      <c r="O1760" s="22"/>
      <c r="P1760" s="23"/>
      <c r="Q1760" s="23"/>
      <c r="R1760" s="22"/>
      <c r="S1760" s="22"/>
      <c r="T1760" s="22"/>
      <c r="U1760" s="24"/>
      <c r="V1760" s="15"/>
      <c r="W1760" s="16"/>
      <c r="X1760" s="16"/>
      <c r="Y1760" s="16"/>
    </row>
    <row r="1761" customFormat="false" ht="15.75" hidden="false" customHeight="false" outlineLevel="0" collapsed="false">
      <c r="A1761" s="9"/>
      <c r="B1761" s="10"/>
      <c r="C1761" s="10"/>
      <c r="D1761" s="10"/>
      <c r="E1761" s="10"/>
      <c r="F1761" s="10"/>
      <c r="G1761" s="10"/>
      <c r="H1761" s="10"/>
      <c r="I1761" s="25" t="n">
        <v>4</v>
      </c>
      <c r="J1761" s="25"/>
      <c r="K1761" s="26"/>
      <c r="L1761" s="26"/>
      <c r="M1761" s="25"/>
      <c r="N1761" s="25"/>
      <c r="O1761" s="25"/>
      <c r="P1761" s="26"/>
      <c r="Q1761" s="26"/>
      <c r="R1761" s="25"/>
      <c r="S1761" s="25"/>
      <c r="T1761" s="25"/>
      <c r="U1761" s="27"/>
      <c r="V1761" s="21"/>
      <c r="W1761" s="16"/>
      <c r="X1761" s="16"/>
      <c r="Y1761" s="16"/>
    </row>
    <row r="1762" customFormat="false" ht="15.75" hidden="false" customHeight="false" outlineLevel="0" collapsed="false">
      <c r="A1762" s="9"/>
      <c r="B1762" s="10"/>
      <c r="C1762" s="11"/>
      <c r="D1762" s="10"/>
      <c r="E1762" s="10"/>
      <c r="F1762" s="10"/>
      <c r="G1762" s="10"/>
      <c r="H1762" s="10"/>
      <c r="I1762" s="12" t="n">
        <v>1</v>
      </c>
      <c r="J1762" s="12"/>
      <c r="K1762" s="13"/>
      <c r="L1762" s="13"/>
      <c r="M1762" s="12"/>
      <c r="N1762" s="12"/>
      <c r="O1762" s="12"/>
      <c r="P1762" s="13"/>
      <c r="Q1762" s="13"/>
      <c r="R1762" s="12"/>
      <c r="S1762" s="12"/>
      <c r="T1762" s="12"/>
      <c r="U1762" s="14"/>
      <c r="V1762" s="15"/>
      <c r="W1762" s="16" t="n">
        <f aca="false">A1762</f>
        <v>0</v>
      </c>
      <c r="X1762" s="17" t="e">
        <f aca="false">ifs(C1762="","",X1762="",NOW(),TRUE(),X1762)</f>
        <v>#VALUE!</v>
      </c>
      <c r="Y1762" s="17" t="e">
        <f aca="false">ifs(COUNTA(K1762:U1765)&lt;44,"",Y1762="",NOW(),TRUE(),Y1762)</f>
        <v>#VALUE!</v>
      </c>
    </row>
    <row r="1763" customFormat="false" ht="15.75" hidden="false" customHeight="false" outlineLevel="0" collapsed="false">
      <c r="A1763" s="9"/>
      <c r="B1763" s="10"/>
      <c r="C1763" s="10"/>
      <c r="D1763" s="10"/>
      <c r="E1763" s="10"/>
      <c r="F1763" s="10"/>
      <c r="G1763" s="10"/>
      <c r="H1763" s="10"/>
      <c r="I1763" s="18" t="n">
        <v>2</v>
      </c>
      <c r="J1763" s="18"/>
      <c r="K1763" s="19"/>
      <c r="L1763" s="19"/>
      <c r="M1763" s="18"/>
      <c r="N1763" s="18"/>
      <c r="O1763" s="18"/>
      <c r="P1763" s="19"/>
      <c r="Q1763" s="19"/>
      <c r="R1763" s="18"/>
      <c r="S1763" s="18"/>
      <c r="T1763" s="18"/>
      <c r="U1763" s="20"/>
      <c r="V1763" s="21"/>
      <c r="W1763" s="16"/>
      <c r="X1763" s="16"/>
      <c r="Y1763" s="16"/>
    </row>
    <row r="1764" customFormat="false" ht="15.75" hidden="false" customHeight="false" outlineLevel="0" collapsed="false">
      <c r="A1764" s="9"/>
      <c r="B1764" s="10"/>
      <c r="C1764" s="10"/>
      <c r="D1764" s="10"/>
      <c r="E1764" s="10"/>
      <c r="F1764" s="10"/>
      <c r="G1764" s="10"/>
      <c r="H1764" s="10"/>
      <c r="I1764" s="22" t="n">
        <v>3</v>
      </c>
      <c r="J1764" s="22"/>
      <c r="K1764" s="23"/>
      <c r="L1764" s="23"/>
      <c r="M1764" s="22"/>
      <c r="N1764" s="22"/>
      <c r="O1764" s="22"/>
      <c r="P1764" s="23"/>
      <c r="Q1764" s="23"/>
      <c r="R1764" s="22"/>
      <c r="S1764" s="22"/>
      <c r="T1764" s="22"/>
      <c r="U1764" s="24"/>
      <c r="V1764" s="15"/>
      <c r="W1764" s="16"/>
      <c r="X1764" s="16"/>
      <c r="Y1764" s="16"/>
    </row>
    <row r="1765" customFormat="false" ht="15.75" hidden="false" customHeight="false" outlineLevel="0" collapsed="false">
      <c r="A1765" s="9"/>
      <c r="B1765" s="10"/>
      <c r="C1765" s="10"/>
      <c r="D1765" s="10"/>
      <c r="E1765" s="10"/>
      <c r="F1765" s="10"/>
      <c r="G1765" s="10"/>
      <c r="H1765" s="10"/>
      <c r="I1765" s="25" t="n">
        <v>4</v>
      </c>
      <c r="J1765" s="25"/>
      <c r="K1765" s="26"/>
      <c r="L1765" s="26"/>
      <c r="M1765" s="25"/>
      <c r="N1765" s="25"/>
      <c r="O1765" s="25"/>
      <c r="P1765" s="26"/>
      <c r="Q1765" s="26"/>
      <c r="R1765" s="25"/>
      <c r="S1765" s="25"/>
      <c r="T1765" s="25"/>
      <c r="U1765" s="27"/>
      <c r="V1765" s="21"/>
      <c r="W1765" s="16"/>
      <c r="X1765" s="16"/>
      <c r="Y1765" s="16"/>
    </row>
    <row r="1766" customFormat="false" ht="15.75" hidden="false" customHeight="false" outlineLevel="0" collapsed="false">
      <c r="A1766" s="9"/>
      <c r="B1766" s="10"/>
      <c r="C1766" s="11"/>
      <c r="D1766" s="10"/>
      <c r="E1766" s="10"/>
      <c r="F1766" s="10"/>
      <c r="G1766" s="10"/>
      <c r="H1766" s="10"/>
      <c r="I1766" s="12" t="n">
        <v>1</v>
      </c>
      <c r="J1766" s="12"/>
      <c r="K1766" s="13"/>
      <c r="L1766" s="13"/>
      <c r="M1766" s="12"/>
      <c r="N1766" s="12"/>
      <c r="O1766" s="12"/>
      <c r="P1766" s="13"/>
      <c r="Q1766" s="13"/>
      <c r="R1766" s="12"/>
      <c r="S1766" s="12"/>
      <c r="T1766" s="12"/>
      <c r="U1766" s="14"/>
      <c r="V1766" s="15"/>
      <c r="W1766" s="16" t="n">
        <f aca="false">A1766</f>
        <v>0</v>
      </c>
      <c r="X1766" s="17" t="e">
        <f aca="false">ifs(C1766="","",X1766="",NOW(),TRUE(),X1766)</f>
        <v>#VALUE!</v>
      </c>
      <c r="Y1766" s="17" t="e">
        <f aca="false">ifs(COUNTA(K1766:U1769)&lt;44,"",Y1766="",NOW(),TRUE(),Y1766)</f>
        <v>#VALUE!</v>
      </c>
    </row>
    <row r="1767" customFormat="false" ht="15.75" hidden="false" customHeight="false" outlineLevel="0" collapsed="false">
      <c r="A1767" s="9"/>
      <c r="B1767" s="10"/>
      <c r="C1767" s="10"/>
      <c r="D1767" s="10"/>
      <c r="E1767" s="10"/>
      <c r="F1767" s="10"/>
      <c r="G1767" s="10"/>
      <c r="H1767" s="10"/>
      <c r="I1767" s="18" t="n">
        <v>2</v>
      </c>
      <c r="J1767" s="18"/>
      <c r="K1767" s="19"/>
      <c r="L1767" s="19"/>
      <c r="M1767" s="18"/>
      <c r="N1767" s="18"/>
      <c r="O1767" s="18"/>
      <c r="P1767" s="19"/>
      <c r="Q1767" s="19"/>
      <c r="R1767" s="18"/>
      <c r="S1767" s="18"/>
      <c r="T1767" s="18"/>
      <c r="U1767" s="20"/>
      <c r="V1767" s="21"/>
      <c r="W1767" s="16"/>
      <c r="X1767" s="16"/>
      <c r="Y1767" s="16"/>
    </row>
    <row r="1768" customFormat="false" ht="15.75" hidden="false" customHeight="false" outlineLevel="0" collapsed="false">
      <c r="A1768" s="9"/>
      <c r="B1768" s="10"/>
      <c r="C1768" s="10"/>
      <c r="D1768" s="10"/>
      <c r="E1768" s="10"/>
      <c r="F1768" s="10"/>
      <c r="G1768" s="10"/>
      <c r="H1768" s="10"/>
      <c r="I1768" s="22" t="n">
        <v>3</v>
      </c>
      <c r="J1768" s="22"/>
      <c r="K1768" s="23"/>
      <c r="L1768" s="23"/>
      <c r="M1768" s="22"/>
      <c r="N1768" s="22"/>
      <c r="O1768" s="22"/>
      <c r="P1768" s="23"/>
      <c r="Q1768" s="23"/>
      <c r="R1768" s="22"/>
      <c r="S1768" s="22"/>
      <c r="T1768" s="22"/>
      <c r="U1768" s="24"/>
      <c r="V1768" s="15"/>
      <c r="W1768" s="16"/>
      <c r="X1768" s="16"/>
      <c r="Y1768" s="16"/>
    </row>
    <row r="1769" customFormat="false" ht="15.75" hidden="false" customHeight="false" outlineLevel="0" collapsed="false">
      <c r="A1769" s="9"/>
      <c r="B1769" s="10"/>
      <c r="C1769" s="10"/>
      <c r="D1769" s="10"/>
      <c r="E1769" s="10"/>
      <c r="F1769" s="10"/>
      <c r="G1769" s="10"/>
      <c r="H1769" s="10"/>
      <c r="I1769" s="25" t="n">
        <v>4</v>
      </c>
      <c r="J1769" s="25"/>
      <c r="K1769" s="26"/>
      <c r="L1769" s="26"/>
      <c r="M1769" s="25"/>
      <c r="N1769" s="25"/>
      <c r="O1769" s="25"/>
      <c r="P1769" s="26"/>
      <c r="Q1769" s="26"/>
      <c r="R1769" s="25"/>
      <c r="S1769" s="25"/>
      <c r="T1769" s="25"/>
      <c r="U1769" s="27"/>
      <c r="V1769" s="21"/>
      <c r="W1769" s="16"/>
      <c r="X1769" s="16"/>
      <c r="Y1769" s="16"/>
    </row>
    <row r="1770" customFormat="false" ht="15.75" hidden="false" customHeight="false" outlineLevel="0" collapsed="false">
      <c r="A1770" s="9"/>
      <c r="B1770" s="10"/>
      <c r="C1770" s="11"/>
      <c r="D1770" s="10"/>
      <c r="E1770" s="10"/>
      <c r="F1770" s="10"/>
      <c r="G1770" s="10"/>
      <c r="H1770" s="10"/>
      <c r="I1770" s="12" t="n">
        <v>1</v>
      </c>
      <c r="J1770" s="12"/>
      <c r="K1770" s="13"/>
      <c r="L1770" s="13"/>
      <c r="M1770" s="12"/>
      <c r="N1770" s="12"/>
      <c r="O1770" s="12"/>
      <c r="P1770" s="13"/>
      <c r="Q1770" s="13"/>
      <c r="R1770" s="12"/>
      <c r="S1770" s="12"/>
      <c r="T1770" s="12"/>
      <c r="U1770" s="14"/>
      <c r="V1770" s="15"/>
      <c r="W1770" s="16" t="n">
        <f aca="false">A1770</f>
        <v>0</v>
      </c>
      <c r="X1770" s="17" t="e">
        <f aca="false">ifs(C1770="","",X1770="",NOW(),TRUE(),X1770)</f>
        <v>#VALUE!</v>
      </c>
      <c r="Y1770" s="17" t="e">
        <f aca="false">ifs(COUNTA(K1770:U1773)&lt;44,"",Y1770="",NOW(),TRUE(),Y1770)</f>
        <v>#VALUE!</v>
      </c>
    </row>
    <row r="1771" customFormat="false" ht="15.75" hidden="false" customHeight="false" outlineLevel="0" collapsed="false">
      <c r="A1771" s="9"/>
      <c r="B1771" s="10"/>
      <c r="C1771" s="10"/>
      <c r="D1771" s="10"/>
      <c r="E1771" s="10"/>
      <c r="F1771" s="10"/>
      <c r="G1771" s="10"/>
      <c r="H1771" s="10"/>
      <c r="I1771" s="18" t="n">
        <v>2</v>
      </c>
      <c r="J1771" s="18"/>
      <c r="K1771" s="19"/>
      <c r="L1771" s="19"/>
      <c r="M1771" s="18"/>
      <c r="N1771" s="18"/>
      <c r="O1771" s="18"/>
      <c r="P1771" s="19"/>
      <c r="Q1771" s="19"/>
      <c r="R1771" s="18"/>
      <c r="S1771" s="18"/>
      <c r="T1771" s="18"/>
      <c r="U1771" s="20"/>
      <c r="V1771" s="21"/>
      <c r="W1771" s="16"/>
      <c r="X1771" s="16"/>
      <c r="Y1771" s="16"/>
    </row>
    <row r="1772" customFormat="false" ht="15.75" hidden="false" customHeight="false" outlineLevel="0" collapsed="false">
      <c r="A1772" s="9"/>
      <c r="B1772" s="10"/>
      <c r="C1772" s="10"/>
      <c r="D1772" s="10"/>
      <c r="E1772" s="10"/>
      <c r="F1772" s="10"/>
      <c r="G1772" s="10"/>
      <c r="H1772" s="10"/>
      <c r="I1772" s="22" t="n">
        <v>3</v>
      </c>
      <c r="J1772" s="22"/>
      <c r="K1772" s="23"/>
      <c r="L1772" s="23"/>
      <c r="M1772" s="22"/>
      <c r="N1772" s="22"/>
      <c r="O1772" s="22"/>
      <c r="P1772" s="23"/>
      <c r="Q1772" s="23"/>
      <c r="R1772" s="22"/>
      <c r="S1772" s="22"/>
      <c r="T1772" s="22"/>
      <c r="U1772" s="24"/>
      <c r="V1772" s="15"/>
      <c r="W1772" s="16"/>
      <c r="X1772" s="16"/>
      <c r="Y1772" s="16"/>
    </row>
    <row r="1773" customFormat="false" ht="15.75" hidden="false" customHeight="false" outlineLevel="0" collapsed="false">
      <c r="A1773" s="9"/>
      <c r="B1773" s="10"/>
      <c r="C1773" s="10"/>
      <c r="D1773" s="10"/>
      <c r="E1773" s="10"/>
      <c r="F1773" s="10"/>
      <c r="G1773" s="10"/>
      <c r="H1773" s="10"/>
      <c r="I1773" s="25" t="n">
        <v>4</v>
      </c>
      <c r="J1773" s="25"/>
      <c r="K1773" s="26"/>
      <c r="L1773" s="26"/>
      <c r="M1773" s="25"/>
      <c r="N1773" s="25"/>
      <c r="O1773" s="25"/>
      <c r="P1773" s="26"/>
      <c r="Q1773" s="26"/>
      <c r="R1773" s="25"/>
      <c r="S1773" s="25"/>
      <c r="T1773" s="25"/>
      <c r="U1773" s="27"/>
      <c r="V1773" s="21"/>
      <c r="W1773" s="16"/>
      <c r="X1773" s="16"/>
      <c r="Y1773" s="16"/>
    </row>
    <row r="1774" customFormat="false" ht="15.75" hidden="false" customHeight="false" outlineLevel="0" collapsed="false">
      <c r="A1774" s="9"/>
      <c r="B1774" s="10"/>
      <c r="C1774" s="11"/>
      <c r="D1774" s="10"/>
      <c r="E1774" s="10"/>
      <c r="F1774" s="10"/>
      <c r="G1774" s="10"/>
      <c r="H1774" s="10"/>
      <c r="I1774" s="12" t="n">
        <v>1</v>
      </c>
      <c r="J1774" s="12"/>
      <c r="K1774" s="13"/>
      <c r="L1774" s="13"/>
      <c r="M1774" s="12"/>
      <c r="N1774" s="12"/>
      <c r="O1774" s="12"/>
      <c r="P1774" s="13"/>
      <c r="Q1774" s="13"/>
      <c r="R1774" s="12"/>
      <c r="S1774" s="12"/>
      <c r="T1774" s="12"/>
      <c r="U1774" s="14"/>
      <c r="V1774" s="15"/>
      <c r="W1774" s="16" t="n">
        <f aca="false">A1774</f>
        <v>0</v>
      </c>
      <c r="X1774" s="17" t="e">
        <f aca="false">ifs(C1774="","",X1774="",NOW(),TRUE(),X1774)</f>
        <v>#VALUE!</v>
      </c>
      <c r="Y1774" s="17" t="e">
        <f aca="false">ifs(COUNTA(K1774:U1777)&lt;44,"",Y1774="",NOW(),TRUE(),Y1774)</f>
        <v>#VALUE!</v>
      </c>
    </row>
    <row r="1775" customFormat="false" ht="15.75" hidden="false" customHeight="false" outlineLevel="0" collapsed="false">
      <c r="A1775" s="9"/>
      <c r="B1775" s="10"/>
      <c r="C1775" s="10"/>
      <c r="D1775" s="10"/>
      <c r="E1775" s="10"/>
      <c r="F1775" s="10"/>
      <c r="G1775" s="10"/>
      <c r="H1775" s="10"/>
      <c r="I1775" s="18" t="n">
        <v>2</v>
      </c>
      <c r="J1775" s="18"/>
      <c r="K1775" s="19"/>
      <c r="L1775" s="19"/>
      <c r="M1775" s="18"/>
      <c r="N1775" s="18"/>
      <c r="O1775" s="18"/>
      <c r="P1775" s="19"/>
      <c r="Q1775" s="19"/>
      <c r="R1775" s="18"/>
      <c r="S1775" s="18"/>
      <c r="T1775" s="18"/>
      <c r="U1775" s="20"/>
      <c r="V1775" s="21"/>
      <c r="W1775" s="16"/>
      <c r="X1775" s="16"/>
      <c r="Y1775" s="16"/>
    </row>
    <row r="1776" customFormat="false" ht="15.75" hidden="false" customHeight="false" outlineLevel="0" collapsed="false">
      <c r="A1776" s="9"/>
      <c r="B1776" s="10"/>
      <c r="C1776" s="10"/>
      <c r="D1776" s="10"/>
      <c r="E1776" s="10"/>
      <c r="F1776" s="10"/>
      <c r="G1776" s="10"/>
      <c r="H1776" s="10"/>
      <c r="I1776" s="22" t="n">
        <v>3</v>
      </c>
      <c r="J1776" s="22"/>
      <c r="K1776" s="23"/>
      <c r="L1776" s="23"/>
      <c r="M1776" s="22"/>
      <c r="N1776" s="22"/>
      <c r="O1776" s="22"/>
      <c r="P1776" s="23"/>
      <c r="Q1776" s="23"/>
      <c r="R1776" s="22"/>
      <c r="S1776" s="22"/>
      <c r="T1776" s="22"/>
      <c r="U1776" s="24"/>
      <c r="V1776" s="15"/>
      <c r="W1776" s="16"/>
      <c r="X1776" s="16"/>
      <c r="Y1776" s="16"/>
    </row>
    <row r="1777" customFormat="false" ht="15.75" hidden="false" customHeight="false" outlineLevel="0" collapsed="false">
      <c r="A1777" s="9"/>
      <c r="B1777" s="10"/>
      <c r="C1777" s="10"/>
      <c r="D1777" s="10"/>
      <c r="E1777" s="10"/>
      <c r="F1777" s="10"/>
      <c r="G1777" s="10"/>
      <c r="H1777" s="10"/>
      <c r="I1777" s="25" t="n">
        <v>4</v>
      </c>
      <c r="J1777" s="25"/>
      <c r="K1777" s="26"/>
      <c r="L1777" s="26"/>
      <c r="M1777" s="25"/>
      <c r="N1777" s="25"/>
      <c r="O1777" s="25"/>
      <c r="P1777" s="26"/>
      <c r="Q1777" s="26"/>
      <c r="R1777" s="25"/>
      <c r="S1777" s="25"/>
      <c r="T1777" s="25"/>
      <c r="U1777" s="27"/>
      <c r="V1777" s="21"/>
      <c r="W1777" s="16"/>
      <c r="X1777" s="16"/>
      <c r="Y1777" s="16"/>
    </row>
    <row r="1778" customFormat="false" ht="15.75" hidden="false" customHeight="false" outlineLevel="0" collapsed="false">
      <c r="A1778" s="9"/>
      <c r="B1778" s="10"/>
      <c r="C1778" s="11"/>
      <c r="D1778" s="10"/>
      <c r="E1778" s="10"/>
      <c r="F1778" s="10"/>
      <c r="G1778" s="10"/>
      <c r="H1778" s="10"/>
      <c r="I1778" s="12" t="n">
        <v>1</v>
      </c>
      <c r="J1778" s="12"/>
      <c r="K1778" s="13"/>
      <c r="L1778" s="13"/>
      <c r="M1778" s="12"/>
      <c r="N1778" s="12"/>
      <c r="O1778" s="12"/>
      <c r="P1778" s="13"/>
      <c r="Q1778" s="13"/>
      <c r="R1778" s="12"/>
      <c r="S1778" s="12"/>
      <c r="T1778" s="12"/>
      <c r="U1778" s="14"/>
      <c r="V1778" s="15"/>
      <c r="W1778" s="16" t="n">
        <f aca="false">A1778</f>
        <v>0</v>
      </c>
      <c r="X1778" s="17" t="e">
        <f aca="false">ifs(C1778="","",X1778="",NOW(),TRUE(),X1778)</f>
        <v>#VALUE!</v>
      </c>
      <c r="Y1778" s="17" t="e">
        <f aca="false">ifs(COUNTA(K1778:U1781)&lt;44,"",Y1778="",NOW(),TRUE(),Y1778)</f>
        <v>#VALUE!</v>
      </c>
    </row>
    <row r="1779" customFormat="false" ht="15.75" hidden="false" customHeight="false" outlineLevel="0" collapsed="false">
      <c r="A1779" s="9"/>
      <c r="B1779" s="10"/>
      <c r="C1779" s="10"/>
      <c r="D1779" s="10"/>
      <c r="E1779" s="10"/>
      <c r="F1779" s="10"/>
      <c r="G1779" s="10"/>
      <c r="H1779" s="10"/>
      <c r="I1779" s="18" t="n">
        <v>2</v>
      </c>
      <c r="J1779" s="18"/>
      <c r="K1779" s="19"/>
      <c r="L1779" s="19"/>
      <c r="M1779" s="18"/>
      <c r="N1779" s="18"/>
      <c r="O1779" s="18"/>
      <c r="P1779" s="19"/>
      <c r="Q1779" s="19"/>
      <c r="R1779" s="18"/>
      <c r="S1779" s="18"/>
      <c r="T1779" s="18"/>
      <c r="U1779" s="20"/>
      <c r="V1779" s="21"/>
      <c r="W1779" s="16"/>
      <c r="X1779" s="16"/>
      <c r="Y1779" s="16"/>
    </row>
    <row r="1780" customFormat="false" ht="15.75" hidden="false" customHeight="false" outlineLevel="0" collapsed="false">
      <c r="A1780" s="9"/>
      <c r="B1780" s="10"/>
      <c r="C1780" s="10"/>
      <c r="D1780" s="10"/>
      <c r="E1780" s="10"/>
      <c r="F1780" s="10"/>
      <c r="G1780" s="10"/>
      <c r="H1780" s="10"/>
      <c r="I1780" s="22" t="n">
        <v>3</v>
      </c>
      <c r="J1780" s="22"/>
      <c r="K1780" s="23"/>
      <c r="L1780" s="23"/>
      <c r="M1780" s="22"/>
      <c r="N1780" s="22"/>
      <c r="O1780" s="22"/>
      <c r="P1780" s="23"/>
      <c r="Q1780" s="23"/>
      <c r="R1780" s="22"/>
      <c r="S1780" s="22"/>
      <c r="T1780" s="22"/>
      <c r="U1780" s="24"/>
      <c r="V1780" s="15"/>
      <c r="W1780" s="16"/>
      <c r="X1780" s="16"/>
      <c r="Y1780" s="16"/>
    </row>
    <row r="1781" customFormat="false" ht="15.75" hidden="false" customHeight="false" outlineLevel="0" collapsed="false">
      <c r="A1781" s="9"/>
      <c r="B1781" s="10"/>
      <c r="C1781" s="10"/>
      <c r="D1781" s="10"/>
      <c r="E1781" s="10"/>
      <c r="F1781" s="10"/>
      <c r="G1781" s="10"/>
      <c r="H1781" s="10"/>
      <c r="I1781" s="25" t="n">
        <v>4</v>
      </c>
      <c r="J1781" s="25"/>
      <c r="K1781" s="26"/>
      <c r="L1781" s="26"/>
      <c r="M1781" s="25"/>
      <c r="N1781" s="25"/>
      <c r="O1781" s="25"/>
      <c r="P1781" s="26"/>
      <c r="Q1781" s="26"/>
      <c r="R1781" s="25"/>
      <c r="S1781" s="25"/>
      <c r="T1781" s="25"/>
      <c r="U1781" s="27"/>
      <c r="V1781" s="21"/>
      <c r="W1781" s="16"/>
      <c r="X1781" s="16"/>
      <c r="Y1781" s="16"/>
    </row>
    <row r="1782" customFormat="false" ht="15.75" hidden="false" customHeight="false" outlineLevel="0" collapsed="false">
      <c r="A1782" s="9"/>
      <c r="B1782" s="10"/>
      <c r="C1782" s="11"/>
      <c r="D1782" s="10"/>
      <c r="E1782" s="10"/>
      <c r="F1782" s="10"/>
      <c r="G1782" s="10"/>
      <c r="H1782" s="10"/>
      <c r="I1782" s="12" t="n">
        <v>1</v>
      </c>
      <c r="J1782" s="12"/>
      <c r="K1782" s="13"/>
      <c r="L1782" s="13"/>
      <c r="M1782" s="12"/>
      <c r="N1782" s="12"/>
      <c r="O1782" s="12"/>
      <c r="P1782" s="13"/>
      <c r="Q1782" s="13"/>
      <c r="R1782" s="12"/>
      <c r="S1782" s="12"/>
      <c r="T1782" s="12"/>
      <c r="U1782" s="14"/>
      <c r="V1782" s="15"/>
      <c r="W1782" s="16" t="n">
        <f aca="false">A1782</f>
        <v>0</v>
      </c>
      <c r="X1782" s="17" t="e">
        <f aca="false">ifs(C1782="","",X1782="",NOW(),TRUE(),X1782)</f>
        <v>#VALUE!</v>
      </c>
      <c r="Y1782" s="17" t="e">
        <f aca="false">ifs(COUNTA(K1782:U1785)&lt;44,"",Y1782="",NOW(),TRUE(),Y1782)</f>
        <v>#VALUE!</v>
      </c>
    </row>
    <row r="1783" customFormat="false" ht="15.75" hidden="false" customHeight="false" outlineLevel="0" collapsed="false">
      <c r="A1783" s="9"/>
      <c r="B1783" s="10"/>
      <c r="C1783" s="10"/>
      <c r="D1783" s="10"/>
      <c r="E1783" s="10"/>
      <c r="F1783" s="10"/>
      <c r="G1783" s="10"/>
      <c r="H1783" s="10"/>
      <c r="I1783" s="18" t="n">
        <v>2</v>
      </c>
      <c r="J1783" s="18"/>
      <c r="K1783" s="19"/>
      <c r="L1783" s="19"/>
      <c r="M1783" s="18"/>
      <c r="N1783" s="18"/>
      <c r="O1783" s="18"/>
      <c r="P1783" s="19"/>
      <c r="Q1783" s="19"/>
      <c r="R1783" s="18"/>
      <c r="S1783" s="18"/>
      <c r="T1783" s="18"/>
      <c r="U1783" s="20"/>
      <c r="V1783" s="21"/>
      <c r="W1783" s="16"/>
      <c r="X1783" s="16"/>
      <c r="Y1783" s="16"/>
    </row>
    <row r="1784" customFormat="false" ht="15.75" hidden="false" customHeight="false" outlineLevel="0" collapsed="false">
      <c r="A1784" s="9"/>
      <c r="B1784" s="10"/>
      <c r="C1784" s="10"/>
      <c r="D1784" s="10"/>
      <c r="E1784" s="10"/>
      <c r="F1784" s="10"/>
      <c r="G1784" s="10"/>
      <c r="H1784" s="10"/>
      <c r="I1784" s="22" t="n">
        <v>3</v>
      </c>
      <c r="J1784" s="22"/>
      <c r="K1784" s="23"/>
      <c r="L1784" s="23"/>
      <c r="M1784" s="22"/>
      <c r="N1784" s="22"/>
      <c r="O1784" s="22"/>
      <c r="P1784" s="23"/>
      <c r="Q1784" s="23"/>
      <c r="R1784" s="22"/>
      <c r="S1784" s="22"/>
      <c r="T1784" s="22"/>
      <c r="U1784" s="24"/>
      <c r="V1784" s="15"/>
      <c r="W1784" s="16"/>
      <c r="X1784" s="16"/>
      <c r="Y1784" s="16"/>
    </row>
    <row r="1785" customFormat="false" ht="15.75" hidden="false" customHeight="false" outlineLevel="0" collapsed="false">
      <c r="A1785" s="9"/>
      <c r="B1785" s="10"/>
      <c r="C1785" s="10"/>
      <c r="D1785" s="10"/>
      <c r="E1785" s="10"/>
      <c r="F1785" s="10"/>
      <c r="G1785" s="10"/>
      <c r="H1785" s="10"/>
      <c r="I1785" s="25" t="n">
        <v>4</v>
      </c>
      <c r="J1785" s="25"/>
      <c r="K1785" s="26"/>
      <c r="L1785" s="26"/>
      <c r="M1785" s="25"/>
      <c r="N1785" s="25"/>
      <c r="O1785" s="25"/>
      <c r="P1785" s="26"/>
      <c r="Q1785" s="26"/>
      <c r="R1785" s="25"/>
      <c r="S1785" s="25"/>
      <c r="T1785" s="25"/>
      <c r="U1785" s="27"/>
      <c r="V1785" s="21"/>
      <c r="W1785" s="16"/>
      <c r="X1785" s="16"/>
      <c r="Y1785" s="16"/>
    </row>
    <row r="1786" customFormat="false" ht="15.75" hidden="false" customHeight="false" outlineLevel="0" collapsed="false">
      <c r="A1786" s="9"/>
      <c r="B1786" s="10"/>
      <c r="C1786" s="11"/>
      <c r="D1786" s="10"/>
      <c r="E1786" s="10"/>
      <c r="F1786" s="10"/>
      <c r="G1786" s="10"/>
      <c r="H1786" s="10"/>
      <c r="I1786" s="12" t="n">
        <v>1</v>
      </c>
      <c r="J1786" s="12"/>
      <c r="K1786" s="13"/>
      <c r="L1786" s="13"/>
      <c r="M1786" s="12"/>
      <c r="N1786" s="12"/>
      <c r="O1786" s="12"/>
      <c r="P1786" s="13"/>
      <c r="Q1786" s="13"/>
      <c r="R1786" s="12"/>
      <c r="S1786" s="12"/>
      <c r="T1786" s="12"/>
      <c r="U1786" s="14"/>
      <c r="V1786" s="15"/>
      <c r="W1786" s="16" t="n">
        <f aca="false">A1786</f>
        <v>0</v>
      </c>
      <c r="X1786" s="17" t="e">
        <f aca="false">ifs(C1786="","",X1786="",NOW(),TRUE(),X1786)</f>
        <v>#VALUE!</v>
      </c>
      <c r="Y1786" s="17" t="e">
        <f aca="false">ifs(COUNTA(K1786:U1789)&lt;44,"",Y1786="",NOW(),TRUE(),Y1786)</f>
        <v>#VALUE!</v>
      </c>
    </row>
    <row r="1787" customFormat="false" ht="15.75" hidden="false" customHeight="false" outlineLevel="0" collapsed="false">
      <c r="A1787" s="9"/>
      <c r="B1787" s="10"/>
      <c r="C1787" s="10"/>
      <c r="D1787" s="10"/>
      <c r="E1787" s="10"/>
      <c r="F1787" s="10"/>
      <c r="G1787" s="10"/>
      <c r="H1787" s="10"/>
      <c r="I1787" s="18" t="n">
        <v>2</v>
      </c>
      <c r="J1787" s="18"/>
      <c r="K1787" s="19"/>
      <c r="L1787" s="19"/>
      <c r="M1787" s="18"/>
      <c r="N1787" s="18"/>
      <c r="O1787" s="18"/>
      <c r="P1787" s="19"/>
      <c r="Q1787" s="19"/>
      <c r="R1787" s="18"/>
      <c r="S1787" s="18"/>
      <c r="T1787" s="18"/>
      <c r="U1787" s="20"/>
      <c r="V1787" s="21"/>
      <c r="W1787" s="16"/>
      <c r="X1787" s="16"/>
      <c r="Y1787" s="16"/>
    </row>
    <row r="1788" customFormat="false" ht="15.75" hidden="false" customHeight="false" outlineLevel="0" collapsed="false">
      <c r="A1788" s="9"/>
      <c r="B1788" s="10"/>
      <c r="C1788" s="10"/>
      <c r="D1788" s="10"/>
      <c r="E1788" s="10"/>
      <c r="F1788" s="10"/>
      <c r="G1788" s="10"/>
      <c r="H1788" s="10"/>
      <c r="I1788" s="22" t="n">
        <v>3</v>
      </c>
      <c r="J1788" s="22"/>
      <c r="K1788" s="23"/>
      <c r="L1788" s="23"/>
      <c r="M1788" s="22"/>
      <c r="N1788" s="22"/>
      <c r="O1788" s="22"/>
      <c r="P1788" s="23"/>
      <c r="Q1788" s="23"/>
      <c r="R1788" s="22"/>
      <c r="S1788" s="22"/>
      <c r="T1788" s="22"/>
      <c r="U1788" s="24"/>
      <c r="V1788" s="15"/>
      <c r="W1788" s="16"/>
      <c r="X1788" s="16"/>
      <c r="Y1788" s="16"/>
    </row>
    <row r="1789" customFormat="false" ht="15.75" hidden="false" customHeight="false" outlineLevel="0" collapsed="false">
      <c r="A1789" s="9"/>
      <c r="B1789" s="10"/>
      <c r="C1789" s="10"/>
      <c r="D1789" s="10"/>
      <c r="E1789" s="10"/>
      <c r="F1789" s="10"/>
      <c r="G1789" s="10"/>
      <c r="H1789" s="10"/>
      <c r="I1789" s="25" t="n">
        <v>4</v>
      </c>
      <c r="J1789" s="25"/>
      <c r="K1789" s="26"/>
      <c r="L1789" s="26"/>
      <c r="M1789" s="25"/>
      <c r="N1789" s="25"/>
      <c r="O1789" s="25"/>
      <c r="P1789" s="26"/>
      <c r="Q1789" s="26"/>
      <c r="R1789" s="25"/>
      <c r="S1789" s="25"/>
      <c r="T1789" s="25"/>
      <c r="U1789" s="27"/>
      <c r="V1789" s="21"/>
      <c r="W1789" s="16"/>
      <c r="X1789" s="16"/>
      <c r="Y1789" s="16"/>
    </row>
    <row r="1790" customFormat="false" ht="15.75" hidden="false" customHeight="false" outlineLevel="0" collapsed="false">
      <c r="A1790" s="9"/>
      <c r="B1790" s="10"/>
      <c r="C1790" s="11"/>
      <c r="D1790" s="10"/>
      <c r="E1790" s="10"/>
      <c r="F1790" s="10"/>
      <c r="G1790" s="10"/>
      <c r="H1790" s="10"/>
      <c r="I1790" s="12" t="n">
        <v>1</v>
      </c>
      <c r="J1790" s="12"/>
      <c r="K1790" s="13"/>
      <c r="L1790" s="13"/>
      <c r="M1790" s="12"/>
      <c r="N1790" s="12"/>
      <c r="O1790" s="12"/>
      <c r="P1790" s="13"/>
      <c r="Q1790" s="13"/>
      <c r="R1790" s="12"/>
      <c r="S1790" s="12"/>
      <c r="T1790" s="12"/>
      <c r="U1790" s="14"/>
      <c r="V1790" s="15"/>
      <c r="W1790" s="16" t="n">
        <f aca="false">A1790</f>
        <v>0</v>
      </c>
      <c r="X1790" s="17" t="e">
        <f aca="false">ifs(C1790="","",X1790="",NOW(),TRUE(),X1790)</f>
        <v>#VALUE!</v>
      </c>
      <c r="Y1790" s="17" t="e">
        <f aca="false">ifs(COUNTA(K1790:U1793)&lt;44,"",Y1790="",NOW(),TRUE(),Y1790)</f>
        <v>#VALUE!</v>
      </c>
    </row>
    <row r="1791" customFormat="false" ht="15.75" hidden="false" customHeight="false" outlineLevel="0" collapsed="false">
      <c r="A1791" s="9"/>
      <c r="B1791" s="10"/>
      <c r="C1791" s="10"/>
      <c r="D1791" s="10"/>
      <c r="E1791" s="10"/>
      <c r="F1791" s="10"/>
      <c r="G1791" s="10"/>
      <c r="H1791" s="10"/>
      <c r="I1791" s="18" t="n">
        <v>2</v>
      </c>
      <c r="J1791" s="18"/>
      <c r="K1791" s="19"/>
      <c r="L1791" s="19"/>
      <c r="M1791" s="18"/>
      <c r="N1791" s="18"/>
      <c r="O1791" s="18"/>
      <c r="P1791" s="19"/>
      <c r="Q1791" s="19"/>
      <c r="R1791" s="18"/>
      <c r="S1791" s="18"/>
      <c r="T1791" s="18"/>
      <c r="U1791" s="20"/>
      <c r="V1791" s="21"/>
      <c r="W1791" s="16"/>
      <c r="X1791" s="16"/>
      <c r="Y1791" s="16"/>
    </row>
    <row r="1792" customFormat="false" ht="15.75" hidden="false" customHeight="false" outlineLevel="0" collapsed="false">
      <c r="A1792" s="9"/>
      <c r="B1792" s="10"/>
      <c r="C1792" s="10"/>
      <c r="D1792" s="10"/>
      <c r="E1792" s="10"/>
      <c r="F1792" s="10"/>
      <c r="G1792" s="10"/>
      <c r="H1792" s="10"/>
      <c r="I1792" s="22" t="n">
        <v>3</v>
      </c>
      <c r="J1792" s="22"/>
      <c r="K1792" s="23"/>
      <c r="L1792" s="23"/>
      <c r="M1792" s="22"/>
      <c r="N1792" s="22"/>
      <c r="O1792" s="22"/>
      <c r="P1792" s="23"/>
      <c r="Q1792" s="23"/>
      <c r="R1792" s="22"/>
      <c r="S1792" s="22"/>
      <c r="T1792" s="22"/>
      <c r="U1792" s="24"/>
      <c r="V1792" s="15"/>
      <c r="W1792" s="16"/>
      <c r="X1792" s="16"/>
      <c r="Y1792" s="16"/>
    </row>
    <row r="1793" customFormat="false" ht="15.75" hidden="false" customHeight="false" outlineLevel="0" collapsed="false">
      <c r="A1793" s="9"/>
      <c r="B1793" s="10"/>
      <c r="C1793" s="10"/>
      <c r="D1793" s="10"/>
      <c r="E1793" s="10"/>
      <c r="F1793" s="10"/>
      <c r="G1793" s="10"/>
      <c r="H1793" s="10"/>
      <c r="I1793" s="25" t="n">
        <v>4</v>
      </c>
      <c r="J1793" s="25"/>
      <c r="K1793" s="26"/>
      <c r="L1793" s="26"/>
      <c r="M1793" s="25"/>
      <c r="N1793" s="25"/>
      <c r="O1793" s="25"/>
      <c r="P1793" s="26"/>
      <c r="Q1793" s="26"/>
      <c r="R1793" s="25"/>
      <c r="S1793" s="25"/>
      <c r="T1793" s="25"/>
      <c r="U1793" s="27"/>
      <c r="V1793" s="21"/>
      <c r="W1793" s="16"/>
      <c r="X1793" s="16"/>
      <c r="Y1793" s="16"/>
    </row>
    <row r="1794" customFormat="false" ht="15.75" hidden="false" customHeight="false" outlineLevel="0" collapsed="false">
      <c r="A1794" s="9"/>
      <c r="B1794" s="10"/>
      <c r="C1794" s="11"/>
      <c r="D1794" s="10"/>
      <c r="E1794" s="10"/>
      <c r="F1794" s="10"/>
      <c r="G1794" s="10"/>
      <c r="H1794" s="10"/>
      <c r="I1794" s="12" t="n">
        <v>1</v>
      </c>
      <c r="J1794" s="12"/>
      <c r="K1794" s="13"/>
      <c r="L1794" s="13"/>
      <c r="M1794" s="12"/>
      <c r="N1794" s="12"/>
      <c r="O1794" s="12"/>
      <c r="P1794" s="13"/>
      <c r="Q1794" s="13"/>
      <c r="R1794" s="12"/>
      <c r="S1794" s="12"/>
      <c r="T1794" s="12"/>
      <c r="U1794" s="14"/>
      <c r="V1794" s="15"/>
      <c r="W1794" s="16" t="n">
        <f aca="false">A1794</f>
        <v>0</v>
      </c>
      <c r="X1794" s="17" t="e">
        <f aca="false">ifs(C1794="","",X1794="",NOW(),TRUE(),X1794)</f>
        <v>#VALUE!</v>
      </c>
      <c r="Y1794" s="17" t="e">
        <f aca="false">ifs(COUNTA(K1794:U1797)&lt;44,"",Y1794="",NOW(),TRUE(),Y1794)</f>
        <v>#VALUE!</v>
      </c>
    </row>
    <row r="1795" customFormat="false" ht="15.75" hidden="false" customHeight="false" outlineLevel="0" collapsed="false">
      <c r="A1795" s="9"/>
      <c r="B1795" s="10"/>
      <c r="C1795" s="10"/>
      <c r="D1795" s="10"/>
      <c r="E1795" s="10"/>
      <c r="F1795" s="10"/>
      <c r="G1795" s="10"/>
      <c r="H1795" s="10"/>
      <c r="I1795" s="18" t="n">
        <v>2</v>
      </c>
      <c r="J1795" s="18"/>
      <c r="K1795" s="19"/>
      <c r="L1795" s="19"/>
      <c r="M1795" s="18"/>
      <c r="N1795" s="18"/>
      <c r="O1795" s="18"/>
      <c r="P1795" s="19"/>
      <c r="Q1795" s="19"/>
      <c r="R1795" s="18"/>
      <c r="S1795" s="18"/>
      <c r="T1795" s="18"/>
      <c r="U1795" s="20"/>
      <c r="V1795" s="21"/>
      <c r="W1795" s="16"/>
      <c r="X1795" s="16"/>
      <c r="Y1795" s="16"/>
    </row>
    <row r="1796" customFormat="false" ht="15.75" hidden="false" customHeight="false" outlineLevel="0" collapsed="false">
      <c r="A1796" s="9"/>
      <c r="B1796" s="10"/>
      <c r="C1796" s="10"/>
      <c r="D1796" s="10"/>
      <c r="E1796" s="10"/>
      <c r="F1796" s="10"/>
      <c r="G1796" s="10"/>
      <c r="H1796" s="10"/>
      <c r="I1796" s="22" t="n">
        <v>3</v>
      </c>
      <c r="J1796" s="22"/>
      <c r="K1796" s="23"/>
      <c r="L1796" s="23"/>
      <c r="M1796" s="22"/>
      <c r="N1796" s="22"/>
      <c r="O1796" s="22"/>
      <c r="P1796" s="23"/>
      <c r="Q1796" s="23"/>
      <c r="R1796" s="22"/>
      <c r="S1796" s="22"/>
      <c r="T1796" s="22"/>
      <c r="U1796" s="24"/>
      <c r="V1796" s="15"/>
      <c r="W1796" s="16"/>
      <c r="X1796" s="16"/>
      <c r="Y1796" s="16"/>
    </row>
    <row r="1797" customFormat="false" ht="15.75" hidden="false" customHeight="false" outlineLevel="0" collapsed="false">
      <c r="A1797" s="9"/>
      <c r="B1797" s="10"/>
      <c r="C1797" s="10"/>
      <c r="D1797" s="10"/>
      <c r="E1797" s="10"/>
      <c r="F1797" s="10"/>
      <c r="G1797" s="10"/>
      <c r="H1797" s="10"/>
      <c r="I1797" s="25" t="n">
        <v>4</v>
      </c>
      <c r="J1797" s="25"/>
      <c r="K1797" s="26"/>
      <c r="L1797" s="26"/>
      <c r="M1797" s="25"/>
      <c r="N1797" s="25"/>
      <c r="O1797" s="25"/>
      <c r="P1797" s="26"/>
      <c r="Q1797" s="26"/>
      <c r="R1797" s="25"/>
      <c r="S1797" s="25"/>
      <c r="T1797" s="25"/>
      <c r="U1797" s="27"/>
      <c r="V1797" s="21"/>
      <c r="W1797" s="16"/>
      <c r="X1797" s="16"/>
      <c r="Y1797" s="16"/>
    </row>
    <row r="1798" customFormat="false" ht="15.75" hidden="false" customHeight="false" outlineLevel="0" collapsed="false">
      <c r="A1798" s="9"/>
      <c r="B1798" s="10"/>
      <c r="C1798" s="11"/>
      <c r="D1798" s="10"/>
      <c r="E1798" s="10"/>
      <c r="F1798" s="10"/>
      <c r="G1798" s="10"/>
      <c r="H1798" s="10"/>
      <c r="I1798" s="12" t="n">
        <v>1</v>
      </c>
      <c r="J1798" s="12"/>
      <c r="K1798" s="13"/>
      <c r="L1798" s="13"/>
      <c r="M1798" s="12"/>
      <c r="N1798" s="12"/>
      <c r="O1798" s="12"/>
      <c r="P1798" s="13"/>
      <c r="Q1798" s="13"/>
      <c r="R1798" s="12"/>
      <c r="S1798" s="12"/>
      <c r="T1798" s="12"/>
      <c r="U1798" s="14"/>
      <c r="V1798" s="15"/>
      <c r="W1798" s="16" t="n">
        <f aca="false">A1798</f>
        <v>0</v>
      </c>
      <c r="X1798" s="17" t="e">
        <f aca="false">ifs(C1798="","",X1798="",NOW(),TRUE(),X1798)</f>
        <v>#VALUE!</v>
      </c>
      <c r="Y1798" s="17" t="e">
        <f aca="false">ifs(COUNTA(K1798:U1801)&lt;44,"",Y1798="",NOW(),TRUE(),Y1798)</f>
        <v>#VALUE!</v>
      </c>
    </row>
    <row r="1799" customFormat="false" ht="15.75" hidden="false" customHeight="false" outlineLevel="0" collapsed="false">
      <c r="A1799" s="9"/>
      <c r="B1799" s="10"/>
      <c r="C1799" s="10"/>
      <c r="D1799" s="10"/>
      <c r="E1799" s="10"/>
      <c r="F1799" s="10"/>
      <c r="G1799" s="10"/>
      <c r="H1799" s="10"/>
      <c r="I1799" s="18" t="n">
        <v>2</v>
      </c>
      <c r="J1799" s="18"/>
      <c r="K1799" s="19"/>
      <c r="L1799" s="19"/>
      <c r="M1799" s="18"/>
      <c r="N1799" s="18"/>
      <c r="O1799" s="18"/>
      <c r="P1799" s="19"/>
      <c r="Q1799" s="19"/>
      <c r="R1799" s="18"/>
      <c r="S1799" s="18"/>
      <c r="T1799" s="18"/>
      <c r="U1799" s="20"/>
      <c r="V1799" s="21"/>
      <c r="W1799" s="16"/>
      <c r="X1799" s="16"/>
      <c r="Y1799" s="16"/>
    </row>
    <row r="1800" customFormat="false" ht="15.75" hidden="false" customHeight="false" outlineLevel="0" collapsed="false">
      <c r="A1800" s="9"/>
      <c r="B1800" s="10"/>
      <c r="C1800" s="10"/>
      <c r="D1800" s="10"/>
      <c r="E1800" s="10"/>
      <c r="F1800" s="10"/>
      <c r="G1800" s="10"/>
      <c r="H1800" s="10"/>
      <c r="I1800" s="22" t="n">
        <v>3</v>
      </c>
      <c r="J1800" s="22"/>
      <c r="K1800" s="23"/>
      <c r="L1800" s="23"/>
      <c r="M1800" s="22"/>
      <c r="N1800" s="22"/>
      <c r="O1800" s="22"/>
      <c r="P1800" s="23"/>
      <c r="Q1800" s="23"/>
      <c r="R1800" s="22"/>
      <c r="S1800" s="22"/>
      <c r="T1800" s="22"/>
      <c r="U1800" s="24"/>
      <c r="V1800" s="15"/>
      <c r="W1800" s="16"/>
      <c r="X1800" s="16"/>
      <c r="Y1800" s="16"/>
    </row>
    <row r="1801" customFormat="false" ht="15.75" hidden="false" customHeight="false" outlineLevel="0" collapsed="false">
      <c r="A1801" s="9"/>
      <c r="B1801" s="10"/>
      <c r="C1801" s="10"/>
      <c r="D1801" s="10"/>
      <c r="E1801" s="10"/>
      <c r="F1801" s="10"/>
      <c r="G1801" s="10"/>
      <c r="H1801" s="10"/>
      <c r="I1801" s="25" t="n">
        <v>4</v>
      </c>
      <c r="J1801" s="25"/>
      <c r="K1801" s="26"/>
      <c r="L1801" s="26"/>
      <c r="M1801" s="25"/>
      <c r="N1801" s="25"/>
      <c r="O1801" s="25"/>
      <c r="P1801" s="26"/>
      <c r="Q1801" s="26"/>
      <c r="R1801" s="25"/>
      <c r="S1801" s="25"/>
      <c r="T1801" s="25"/>
      <c r="U1801" s="27"/>
      <c r="V1801" s="21"/>
      <c r="W1801" s="16"/>
      <c r="X1801" s="16"/>
      <c r="Y1801" s="16"/>
    </row>
    <row r="1802" customFormat="false" ht="15.75" hidden="false" customHeight="false" outlineLevel="0" collapsed="false">
      <c r="A1802" s="9"/>
      <c r="B1802" s="10"/>
      <c r="C1802" s="11"/>
      <c r="D1802" s="10"/>
      <c r="E1802" s="10"/>
      <c r="F1802" s="10"/>
      <c r="G1802" s="10"/>
      <c r="H1802" s="10"/>
      <c r="I1802" s="12" t="n">
        <v>1</v>
      </c>
      <c r="J1802" s="12"/>
      <c r="K1802" s="13"/>
      <c r="L1802" s="13"/>
      <c r="M1802" s="12"/>
      <c r="N1802" s="12"/>
      <c r="O1802" s="12"/>
      <c r="P1802" s="13"/>
      <c r="Q1802" s="13"/>
      <c r="R1802" s="12"/>
      <c r="S1802" s="12"/>
      <c r="T1802" s="12"/>
      <c r="U1802" s="14"/>
      <c r="V1802" s="15"/>
      <c r="W1802" s="16" t="n">
        <f aca="false">A1802</f>
        <v>0</v>
      </c>
      <c r="X1802" s="17" t="e">
        <f aca="false">ifs(C1802="","",X1802="",NOW(),TRUE(),X1802)</f>
        <v>#VALUE!</v>
      </c>
      <c r="Y1802" s="17" t="e">
        <f aca="false">ifs(COUNTA(K1802:U1805)&lt;44,"",Y1802="",NOW(),TRUE(),Y1802)</f>
        <v>#VALUE!</v>
      </c>
    </row>
    <row r="1803" customFormat="false" ht="15.75" hidden="false" customHeight="false" outlineLevel="0" collapsed="false">
      <c r="A1803" s="9"/>
      <c r="B1803" s="10"/>
      <c r="C1803" s="10"/>
      <c r="D1803" s="10"/>
      <c r="E1803" s="10"/>
      <c r="F1803" s="10"/>
      <c r="G1803" s="10"/>
      <c r="H1803" s="10"/>
      <c r="I1803" s="18" t="n">
        <v>2</v>
      </c>
      <c r="J1803" s="18"/>
      <c r="K1803" s="19"/>
      <c r="L1803" s="19"/>
      <c r="M1803" s="18"/>
      <c r="N1803" s="18"/>
      <c r="O1803" s="18"/>
      <c r="P1803" s="19"/>
      <c r="Q1803" s="19"/>
      <c r="R1803" s="18"/>
      <c r="S1803" s="18"/>
      <c r="T1803" s="18"/>
      <c r="U1803" s="20"/>
      <c r="V1803" s="21"/>
      <c r="W1803" s="16"/>
      <c r="X1803" s="16"/>
      <c r="Y1803" s="16"/>
    </row>
    <row r="1804" customFormat="false" ht="15.75" hidden="false" customHeight="false" outlineLevel="0" collapsed="false">
      <c r="A1804" s="9"/>
      <c r="B1804" s="10"/>
      <c r="C1804" s="10"/>
      <c r="D1804" s="10"/>
      <c r="E1804" s="10"/>
      <c r="F1804" s="10"/>
      <c r="G1804" s="10"/>
      <c r="H1804" s="10"/>
      <c r="I1804" s="22" t="n">
        <v>3</v>
      </c>
      <c r="J1804" s="22"/>
      <c r="K1804" s="23"/>
      <c r="L1804" s="23"/>
      <c r="M1804" s="22"/>
      <c r="N1804" s="22"/>
      <c r="O1804" s="22"/>
      <c r="P1804" s="23"/>
      <c r="Q1804" s="23"/>
      <c r="R1804" s="22"/>
      <c r="S1804" s="22"/>
      <c r="T1804" s="22"/>
      <c r="U1804" s="24"/>
      <c r="V1804" s="15"/>
      <c r="W1804" s="16"/>
      <c r="X1804" s="16"/>
      <c r="Y1804" s="16"/>
    </row>
    <row r="1805" customFormat="false" ht="15.75" hidden="false" customHeight="false" outlineLevel="0" collapsed="false">
      <c r="A1805" s="9"/>
      <c r="B1805" s="10"/>
      <c r="C1805" s="10"/>
      <c r="D1805" s="10"/>
      <c r="E1805" s="10"/>
      <c r="F1805" s="10"/>
      <c r="G1805" s="10"/>
      <c r="H1805" s="10"/>
      <c r="I1805" s="25" t="n">
        <v>4</v>
      </c>
      <c r="J1805" s="25"/>
      <c r="K1805" s="26"/>
      <c r="L1805" s="26"/>
      <c r="M1805" s="25"/>
      <c r="N1805" s="25"/>
      <c r="O1805" s="25"/>
      <c r="P1805" s="26"/>
      <c r="Q1805" s="26"/>
      <c r="R1805" s="25"/>
      <c r="S1805" s="25"/>
      <c r="T1805" s="25"/>
      <c r="U1805" s="27"/>
      <c r="V1805" s="21"/>
      <c r="W1805" s="16"/>
      <c r="X1805" s="16"/>
      <c r="Y1805" s="16"/>
    </row>
    <row r="1806" customFormat="false" ht="15.75" hidden="false" customHeight="false" outlineLevel="0" collapsed="false">
      <c r="A1806" s="9"/>
      <c r="B1806" s="10"/>
      <c r="C1806" s="11"/>
      <c r="D1806" s="10"/>
      <c r="E1806" s="10"/>
      <c r="F1806" s="10"/>
      <c r="G1806" s="10"/>
      <c r="H1806" s="10"/>
      <c r="I1806" s="12" t="n">
        <v>1</v>
      </c>
      <c r="J1806" s="12"/>
      <c r="K1806" s="13"/>
      <c r="L1806" s="13"/>
      <c r="M1806" s="12"/>
      <c r="N1806" s="12"/>
      <c r="O1806" s="12"/>
      <c r="P1806" s="13"/>
      <c r="Q1806" s="13"/>
      <c r="R1806" s="12"/>
      <c r="S1806" s="12"/>
      <c r="T1806" s="12"/>
      <c r="U1806" s="14"/>
      <c r="V1806" s="15"/>
      <c r="W1806" s="16" t="n">
        <f aca="false">A1806</f>
        <v>0</v>
      </c>
      <c r="X1806" s="17" t="e">
        <f aca="false">ifs(C1806="","",X1806="",NOW(),TRUE(),X1806)</f>
        <v>#VALUE!</v>
      </c>
      <c r="Y1806" s="17" t="e">
        <f aca="false">ifs(COUNTA(K1806:U1809)&lt;44,"",Y1806="",NOW(),TRUE(),Y1806)</f>
        <v>#VALUE!</v>
      </c>
    </row>
    <row r="1807" customFormat="false" ht="15.75" hidden="false" customHeight="false" outlineLevel="0" collapsed="false">
      <c r="A1807" s="9"/>
      <c r="B1807" s="10"/>
      <c r="C1807" s="10"/>
      <c r="D1807" s="10"/>
      <c r="E1807" s="10"/>
      <c r="F1807" s="10"/>
      <c r="G1807" s="10"/>
      <c r="H1807" s="10"/>
      <c r="I1807" s="18" t="n">
        <v>2</v>
      </c>
      <c r="J1807" s="18"/>
      <c r="K1807" s="19"/>
      <c r="L1807" s="19"/>
      <c r="M1807" s="18"/>
      <c r="N1807" s="18"/>
      <c r="O1807" s="18"/>
      <c r="P1807" s="19"/>
      <c r="Q1807" s="19"/>
      <c r="R1807" s="18"/>
      <c r="S1807" s="18"/>
      <c r="T1807" s="18"/>
      <c r="U1807" s="20"/>
      <c r="V1807" s="21"/>
      <c r="W1807" s="16"/>
      <c r="X1807" s="16"/>
      <c r="Y1807" s="16"/>
    </row>
    <row r="1808" customFormat="false" ht="15.75" hidden="false" customHeight="false" outlineLevel="0" collapsed="false">
      <c r="A1808" s="9"/>
      <c r="B1808" s="10"/>
      <c r="C1808" s="10"/>
      <c r="D1808" s="10"/>
      <c r="E1808" s="10"/>
      <c r="F1808" s="10"/>
      <c r="G1808" s="10"/>
      <c r="H1808" s="10"/>
      <c r="I1808" s="22" t="n">
        <v>3</v>
      </c>
      <c r="J1808" s="22"/>
      <c r="K1808" s="23"/>
      <c r="L1808" s="23"/>
      <c r="M1808" s="22"/>
      <c r="N1808" s="22"/>
      <c r="O1808" s="22"/>
      <c r="P1808" s="23"/>
      <c r="Q1808" s="23"/>
      <c r="R1808" s="22"/>
      <c r="S1808" s="22"/>
      <c r="T1808" s="22"/>
      <c r="U1808" s="24"/>
      <c r="V1808" s="15"/>
      <c r="W1808" s="16"/>
      <c r="X1808" s="16"/>
      <c r="Y1808" s="16"/>
    </row>
    <row r="1809" customFormat="false" ht="15.75" hidden="false" customHeight="false" outlineLevel="0" collapsed="false">
      <c r="A1809" s="9"/>
      <c r="B1809" s="10"/>
      <c r="C1809" s="10"/>
      <c r="D1809" s="10"/>
      <c r="E1809" s="10"/>
      <c r="F1809" s="10"/>
      <c r="G1809" s="10"/>
      <c r="H1809" s="10"/>
      <c r="I1809" s="25" t="n">
        <v>4</v>
      </c>
      <c r="J1809" s="25"/>
      <c r="K1809" s="26"/>
      <c r="L1809" s="26"/>
      <c r="M1809" s="25"/>
      <c r="N1809" s="25"/>
      <c r="O1809" s="25"/>
      <c r="P1809" s="26"/>
      <c r="Q1809" s="26"/>
      <c r="R1809" s="25"/>
      <c r="S1809" s="25"/>
      <c r="T1809" s="25"/>
      <c r="U1809" s="27"/>
      <c r="V1809" s="21"/>
      <c r="W1809" s="16"/>
      <c r="X1809" s="16"/>
      <c r="Y1809" s="16"/>
    </row>
    <row r="1810" customFormat="false" ht="15.75" hidden="false" customHeight="false" outlineLevel="0" collapsed="false">
      <c r="A1810" s="9"/>
      <c r="B1810" s="10"/>
      <c r="C1810" s="11"/>
      <c r="D1810" s="10"/>
      <c r="E1810" s="10"/>
      <c r="F1810" s="10"/>
      <c r="G1810" s="10"/>
      <c r="H1810" s="10"/>
      <c r="I1810" s="12" t="n">
        <v>1</v>
      </c>
      <c r="J1810" s="12"/>
      <c r="K1810" s="13"/>
      <c r="L1810" s="13"/>
      <c r="M1810" s="12"/>
      <c r="N1810" s="12"/>
      <c r="O1810" s="12"/>
      <c r="P1810" s="13"/>
      <c r="Q1810" s="13"/>
      <c r="R1810" s="12"/>
      <c r="S1810" s="12"/>
      <c r="T1810" s="12"/>
      <c r="U1810" s="14"/>
      <c r="V1810" s="15"/>
      <c r="W1810" s="16" t="n">
        <f aca="false">A1810</f>
        <v>0</v>
      </c>
      <c r="X1810" s="17" t="e">
        <f aca="false">ifs(C1810="","",X1810="",NOW(),TRUE(),X1810)</f>
        <v>#VALUE!</v>
      </c>
      <c r="Y1810" s="17" t="e">
        <f aca="false">ifs(COUNTA(K1810:U1813)&lt;44,"",Y1810="",NOW(),TRUE(),Y1810)</f>
        <v>#VALUE!</v>
      </c>
    </row>
    <row r="1811" customFormat="false" ht="15.75" hidden="false" customHeight="false" outlineLevel="0" collapsed="false">
      <c r="A1811" s="9"/>
      <c r="B1811" s="10"/>
      <c r="C1811" s="10"/>
      <c r="D1811" s="10"/>
      <c r="E1811" s="10"/>
      <c r="F1811" s="10"/>
      <c r="G1811" s="10"/>
      <c r="H1811" s="10"/>
      <c r="I1811" s="18" t="n">
        <v>2</v>
      </c>
      <c r="J1811" s="18"/>
      <c r="K1811" s="19"/>
      <c r="L1811" s="19"/>
      <c r="M1811" s="18"/>
      <c r="N1811" s="18"/>
      <c r="O1811" s="18"/>
      <c r="P1811" s="19"/>
      <c r="Q1811" s="19"/>
      <c r="R1811" s="18"/>
      <c r="S1811" s="18"/>
      <c r="T1811" s="18"/>
      <c r="U1811" s="20"/>
      <c r="V1811" s="21"/>
      <c r="W1811" s="16"/>
      <c r="X1811" s="16"/>
      <c r="Y1811" s="16"/>
    </row>
    <row r="1812" customFormat="false" ht="15.75" hidden="false" customHeight="false" outlineLevel="0" collapsed="false">
      <c r="A1812" s="9"/>
      <c r="B1812" s="10"/>
      <c r="C1812" s="10"/>
      <c r="D1812" s="10"/>
      <c r="E1812" s="10"/>
      <c r="F1812" s="10"/>
      <c r="G1812" s="10"/>
      <c r="H1812" s="10"/>
      <c r="I1812" s="22" t="n">
        <v>3</v>
      </c>
      <c r="J1812" s="22"/>
      <c r="K1812" s="23"/>
      <c r="L1812" s="23"/>
      <c r="M1812" s="22"/>
      <c r="N1812" s="22"/>
      <c r="O1812" s="22"/>
      <c r="P1812" s="23"/>
      <c r="Q1812" s="23"/>
      <c r="R1812" s="22"/>
      <c r="S1812" s="22"/>
      <c r="T1812" s="22"/>
      <c r="U1812" s="24"/>
      <c r="V1812" s="15"/>
      <c r="W1812" s="16"/>
      <c r="X1812" s="16"/>
      <c r="Y1812" s="16"/>
    </row>
    <row r="1813" customFormat="false" ht="15.75" hidden="false" customHeight="false" outlineLevel="0" collapsed="false">
      <c r="A1813" s="9"/>
      <c r="B1813" s="10"/>
      <c r="C1813" s="10"/>
      <c r="D1813" s="10"/>
      <c r="E1813" s="10"/>
      <c r="F1813" s="10"/>
      <c r="G1813" s="10"/>
      <c r="H1813" s="10"/>
      <c r="I1813" s="25" t="n">
        <v>4</v>
      </c>
      <c r="J1813" s="25"/>
      <c r="K1813" s="26"/>
      <c r="L1813" s="26"/>
      <c r="M1813" s="25"/>
      <c r="N1813" s="25"/>
      <c r="O1813" s="25"/>
      <c r="P1813" s="26"/>
      <c r="Q1813" s="26"/>
      <c r="R1813" s="25"/>
      <c r="S1813" s="25"/>
      <c r="T1813" s="25"/>
      <c r="U1813" s="27"/>
      <c r="V1813" s="21"/>
      <c r="W1813" s="16"/>
      <c r="X1813" s="16"/>
      <c r="Y1813" s="16"/>
    </row>
    <row r="1814" customFormat="false" ht="15.75" hidden="false" customHeight="false" outlineLevel="0" collapsed="false">
      <c r="A1814" s="9"/>
      <c r="B1814" s="10"/>
      <c r="C1814" s="11"/>
      <c r="D1814" s="10"/>
      <c r="E1814" s="10"/>
      <c r="F1814" s="10"/>
      <c r="G1814" s="10"/>
      <c r="H1814" s="10"/>
      <c r="I1814" s="12" t="n">
        <v>1</v>
      </c>
      <c r="J1814" s="12"/>
      <c r="K1814" s="13"/>
      <c r="L1814" s="13"/>
      <c r="M1814" s="12"/>
      <c r="N1814" s="12"/>
      <c r="O1814" s="12"/>
      <c r="P1814" s="13"/>
      <c r="Q1814" s="13"/>
      <c r="R1814" s="12"/>
      <c r="S1814" s="12"/>
      <c r="T1814" s="12"/>
      <c r="U1814" s="14"/>
      <c r="V1814" s="15"/>
      <c r="W1814" s="16" t="n">
        <f aca="false">A1814</f>
        <v>0</v>
      </c>
      <c r="X1814" s="17" t="e">
        <f aca="false">ifs(C1814="","",X1814="",NOW(),TRUE(),X1814)</f>
        <v>#VALUE!</v>
      </c>
      <c r="Y1814" s="17" t="e">
        <f aca="false">ifs(COUNTA(K1814:U1817)&lt;44,"",Y1814="",NOW(),TRUE(),Y1814)</f>
        <v>#VALUE!</v>
      </c>
    </row>
    <row r="1815" customFormat="false" ht="15.75" hidden="false" customHeight="false" outlineLevel="0" collapsed="false">
      <c r="A1815" s="9"/>
      <c r="B1815" s="10"/>
      <c r="C1815" s="10"/>
      <c r="D1815" s="10"/>
      <c r="E1815" s="10"/>
      <c r="F1815" s="10"/>
      <c r="G1815" s="10"/>
      <c r="H1815" s="10"/>
      <c r="I1815" s="18" t="n">
        <v>2</v>
      </c>
      <c r="J1815" s="18"/>
      <c r="K1815" s="19"/>
      <c r="L1815" s="19"/>
      <c r="M1815" s="18"/>
      <c r="N1815" s="18"/>
      <c r="O1815" s="18"/>
      <c r="P1815" s="19"/>
      <c r="Q1815" s="19"/>
      <c r="R1815" s="18"/>
      <c r="S1815" s="18"/>
      <c r="T1815" s="18"/>
      <c r="U1815" s="20"/>
      <c r="V1815" s="21"/>
      <c r="W1815" s="16"/>
      <c r="X1815" s="16"/>
      <c r="Y1815" s="16"/>
    </row>
    <row r="1816" customFormat="false" ht="15.75" hidden="false" customHeight="false" outlineLevel="0" collapsed="false">
      <c r="A1816" s="9"/>
      <c r="B1816" s="10"/>
      <c r="C1816" s="10"/>
      <c r="D1816" s="10"/>
      <c r="E1816" s="10"/>
      <c r="F1816" s="10"/>
      <c r="G1816" s="10"/>
      <c r="H1816" s="10"/>
      <c r="I1816" s="22" t="n">
        <v>3</v>
      </c>
      <c r="J1816" s="22"/>
      <c r="K1816" s="23"/>
      <c r="L1816" s="23"/>
      <c r="M1816" s="22"/>
      <c r="N1816" s="22"/>
      <c r="O1816" s="22"/>
      <c r="P1816" s="23"/>
      <c r="Q1816" s="23"/>
      <c r="R1816" s="22"/>
      <c r="S1816" s="22"/>
      <c r="T1816" s="22"/>
      <c r="U1816" s="24"/>
      <c r="V1816" s="15"/>
      <c r="W1816" s="16"/>
      <c r="X1816" s="16"/>
      <c r="Y1816" s="16"/>
    </row>
    <row r="1817" customFormat="false" ht="15.75" hidden="false" customHeight="false" outlineLevel="0" collapsed="false">
      <c r="A1817" s="9"/>
      <c r="B1817" s="10"/>
      <c r="C1817" s="10"/>
      <c r="D1817" s="10"/>
      <c r="E1817" s="10"/>
      <c r="F1817" s="10"/>
      <c r="G1817" s="10"/>
      <c r="H1817" s="10"/>
      <c r="I1817" s="25" t="n">
        <v>4</v>
      </c>
      <c r="J1817" s="25"/>
      <c r="K1817" s="26"/>
      <c r="L1817" s="26"/>
      <c r="M1817" s="25"/>
      <c r="N1817" s="25"/>
      <c r="O1817" s="25"/>
      <c r="P1817" s="26"/>
      <c r="Q1817" s="26"/>
      <c r="R1817" s="25"/>
      <c r="S1817" s="25"/>
      <c r="T1817" s="25"/>
      <c r="U1817" s="27"/>
      <c r="V1817" s="21"/>
      <c r="W1817" s="16"/>
      <c r="X1817" s="16"/>
      <c r="Y1817" s="16"/>
    </row>
    <row r="1818" customFormat="false" ht="15.75" hidden="false" customHeight="false" outlineLevel="0" collapsed="false">
      <c r="A1818" s="9"/>
      <c r="B1818" s="10"/>
      <c r="C1818" s="11"/>
      <c r="D1818" s="10"/>
      <c r="E1818" s="10"/>
      <c r="F1818" s="10"/>
      <c r="G1818" s="10"/>
      <c r="H1818" s="10"/>
      <c r="I1818" s="12" t="n">
        <v>1</v>
      </c>
      <c r="J1818" s="12"/>
      <c r="K1818" s="13"/>
      <c r="L1818" s="13"/>
      <c r="M1818" s="12"/>
      <c r="N1818" s="12"/>
      <c r="O1818" s="12"/>
      <c r="P1818" s="13"/>
      <c r="Q1818" s="13"/>
      <c r="R1818" s="12"/>
      <c r="S1818" s="12"/>
      <c r="T1818" s="12"/>
      <c r="U1818" s="14"/>
      <c r="V1818" s="15"/>
      <c r="W1818" s="16" t="n">
        <f aca="false">A1818</f>
        <v>0</v>
      </c>
      <c r="X1818" s="17" t="e">
        <f aca="false">ifs(C1818="","",X1818="",NOW(),TRUE(),X1818)</f>
        <v>#VALUE!</v>
      </c>
      <c r="Y1818" s="17" t="e">
        <f aca="false">ifs(COUNTA(K1818:U1821)&lt;44,"",Y1818="",NOW(),TRUE(),Y1818)</f>
        <v>#VALUE!</v>
      </c>
    </row>
    <row r="1819" customFormat="false" ht="15.75" hidden="false" customHeight="false" outlineLevel="0" collapsed="false">
      <c r="A1819" s="9"/>
      <c r="B1819" s="10"/>
      <c r="C1819" s="10"/>
      <c r="D1819" s="10"/>
      <c r="E1819" s="10"/>
      <c r="F1819" s="10"/>
      <c r="G1819" s="10"/>
      <c r="H1819" s="10"/>
      <c r="I1819" s="18" t="n">
        <v>2</v>
      </c>
      <c r="J1819" s="18"/>
      <c r="K1819" s="19"/>
      <c r="L1819" s="19"/>
      <c r="M1819" s="18"/>
      <c r="N1819" s="18"/>
      <c r="O1819" s="18"/>
      <c r="P1819" s="19"/>
      <c r="Q1819" s="19"/>
      <c r="R1819" s="18"/>
      <c r="S1819" s="18"/>
      <c r="T1819" s="18"/>
      <c r="U1819" s="20"/>
      <c r="V1819" s="21"/>
      <c r="W1819" s="16"/>
      <c r="X1819" s="16"/>
      <c r="Y1819" s="16"/>
    </row>
    <row r="1820" customFormat="false" ht="15.75" hidden="false" customHeight="false" outlineLevel="0" collapsed="false">
      <c r="A1820" s="9"/>
      <c r="B1820" s="10"/>
      <c r="C1820" s="10"/>
      <c r="D1820" s="10"/>
      <c r="E1820" s="10"/>
      <c r="F1820" s="10"/>
      <c r="G1820" s="10"/>
      <c r="H1820" s="10"/>
      <c r="I1820" s="22" t="n">
        <v>3</v>
      </c>
      <c r="J1820" s="22"/>
      <c r="K1820" s="23"/>
      <c r="L1820" s="23"/>
      <c r="M1820" s="22"/>
      <c r="N1820" s="22"/>
      <c r="O1820" s="22"/>
      <c r="P1820" s="23"/>
      <c r="Q1820" s="23"/>
      <c r="R1820" s="22"/>
      <c r="S1820" s="22"/>
      <c r="T1820" s="22"/>
      <c r="U1820" s="24"/>
      <c r="V1820" s="15"/>
      <c r="W1820" s="16"/>
      <c r="X1820" s="16"/>
      <c r="Y1820" s="16"/>
    </row>
    <row r="1821" customFormat="false" ht="15.75" hidden="false" customHeight="false" outlineLevel="0" collapsed="false">
      <c r="A1821" s="9"/>
      <c r="B1821" s="10"/>
      <c r="C1821" s="10"/>
      <c r="D1821" s="10"/>
      <c r="E1821" s="10"/>
      <c r="F1821" s="10"/>
      <c r="G1821" s="10"/>
      <c r="H1821" s="10"/>
      <c r="I1821" s="25" t="n">
        <v>4</v>
      </c>
      <c r="J1821" s="25"/>
      <c r="K1821" s="26"/>
      <c r="L1821" s="26"/>
      <c r="M1821" s="25"/>
      <c r="N1821" s="25"/>
      <c r="O1821" s="25"/>
      <c r="P1821" s="26"/>
      <c r="Q1821" s="26"/>
      <c r="R1821" s="25"/>
      <c r="S1821" s="25"/>
      <c r="T1821" s="25"/>
      <c r="U1821" s="27"/>
      <c r="V1821" s="21"/>
      <c r="W1821" s="16"/>
      <c r="X1821" s="16"/>
      <c r="Y1821" s="16"/>
    </row>
    <row r="1822" customFormat="false" ht="15.75" hidden="false" customHeight="false" outlineLevel="0" collapsed="false">
      <c r="A1822" s="9"/>
      <c r="B1822" s="10"/>
      <c r="C1822" s="11"/>
      <c r="D1822" s="10"/>
      <c r="E1822" s="10"/>
      <c r="F1822" s="10"/>
      <c r="G1822" s="10"/>
      <c r="H1822" s="10"/>
      <c r="I1822" s="12" t="n">
        <v>1</v>
      </c>
      <c r="J1822" s="12"/>
      <c r="K1822" s="13"/>
      <c r="L1822" s="13"/>
      <c r="M1822" s="12"/>
      <c r="N1822" s="12"/>
      <c r="O1822" s="12"/>
      <c r="P1822" s="13"/>
      <c r="Q1822" s="13"/>
      <c r="R1822" s="12"/>
      <c r="S1822" s="12"/>
      <c r="T1822" s="12"/>
      <c r="U1822" s="14"/>
      <c r="V1822" s="15"/>
      <c r="W1822" s="16" t="n">
        <f aca="false">A1822</f>
        <v>0</v>
      </c>
      <c r="X1822" s="17" t="e">
        <f aca="false">ifs(C1822="","",X1822="",NOW(),TRUE(),X1822)</f>
        <v>#VALUE!</v>
      </c>
      <c r="Y1822" s="17" t="e">
        <f aca="false">ifs(COUNTA(K1822:U1825)&lt;44,"",Y1822="",NOW(),TRUE(),Y1822)</f>
        <v>#VALUE!</v>
      </c>
    </row>
    <row r="1823" customFormat="false" ht="15.75" hidden="false" customHeight="false" outlineLevel="0" collapsed="false">
      <c r="A1823" s="9"/>
      <c r="B1823" s="10"/>
      <c r="C1823" s="10"/>
      <c r="D1823" s="10"/>
      <c r="E1823" s="10"/>
      <c r="F1823" s="10"/>
      <c r="G1823" s="10"/>
      <c r="H1823" s="10"/>
      <c r="I1823" s="18" t="n">
        <v>2</v>
      </c>
      <c r="J1823" s="18"/>
      <c r="K1823" s="19"/>
      <c r="L1823" s="19"/>
      <c r="M1823" s="18"/>
      <c r="N1823" s="18"/>
      <c r="O1823" s="18"/>
      <c r="P1823" s="19"/>
      <c r="Q1823" s="19"/>
      <c r="R1823" s="18"/>
      <c r="S1823" s="18"/>
      <c r="T1823" s="18"/>
      <c r="U1823" s="20"/>
      <c r="V1823" s="21"/>
      <c r="W1823" s="16"/>
      <c r="X1823" s="16"/>
      <c r="Y1823" s="16"/>
    </row>
    <row r="1824" customFormat="false" ht="15.75" hidden="false" customHeight="false" outlineLevel="0" collapsed="false">
      <c r="A1824" s="9"/>
      <c r="B1824" s="10"/>
      <c r="C1824" s="10"/>
      <c r="D1824" s="10"/>
      <c r="E1824" s="10"/>
      <c r="F1824" s="10"/>
      <c r="G1824" s="10"/>
      <c r="H1824" s="10"/>
      <c r="I1824" s="22" t="n">
        <v>3</v>
      </c>
      <c r="J1824" s="22"/>
      <c r="K1824" s="23"/>
      <c r="L1824" s="23"/>
      <c r="M1824" s="22"/>
      <c r="N1824" s="22"/>
      <c r="O1824" s="22"/>
      <c r="P1824" s="23"/>
      <c r="Q1824" s="23"/>
      <c r="R1824" s="22"/>
      <c r="S1824" s="22"/>
      <c r="T1824" s="22"/>
      <c r="U1824" s="24"/>
      <c r="V1824" s="15"/>
      <c r="W1824" s="16"/>
      <c r="X1824" s="16"/>
      <c r="Y1824" s="16"/>
    </row>
    <row r="1825" customFormat="false" ht="15.75" hidden="false" customHeight="false" outlineLevel="0" collapsed="false">
      <c r="A1825" s="9"/>
      <c r="B1825" s="10"/>
      <c r="C1825" s="10"/>
      <c r="D1825" s="10"/>
      <c r="E1825" s="10"/>
      <c r="F1825" s="10"/>
      <c r="G1825" s="10"/>
      <c r="H1825" s="10"/>
      <c r="I1825" s="25" t="n">
        <v>4</v>
      </c>
      <c r="J1825" s="25"/>
      <c r="K1825" s="26"/>
      <c r="L1825" s="26"/>
      <c r="M1825" s="25"/>
      <c r="N1825" s="25"/>
      <c r="O1825" s="25"/>
      <c r="P1825" s="26"/>
      <c r="Q1825" s="26"/>
      <c r="R1825" s="25"/>
      <c r="S1825" s="25"/>
      <c r="T1825" s="25"/>
      <c r="U1825" s="27"/>
      <c r="V1825" s="21"/>
      <c r="W1825" s="16"/>
      <c r="X1825" s="16"/>
      <c r="Y1825" s="16"/>
    </row>
    <row r="1826" customFormat="false" ht="15.75" hidden="false" customHeight="false" outlineLevel="0" collapsed="false">
      <c r="A1826" s="9"/>
      <c r="B1826" s="10"/>
      <c r="C1826" s="11"/>
      <c r="D1826" s="10"/>
      <c r="E1826" s="10"/>
      <c r="F1826" s="10"/>
      <c r="G1826" s="10"/>
      <c r="H1826" s="10"/>
      <c r="I1826" s="12" t="n">
        <v>1</v>
      </c>
      <c r="J1826" s="12"/>
      <c r="K1826" s="13"/>
      <c r="L1826" s="13"/>
      <c r="M1826" s="12"/>
      <c r="N1826" s="12"/>
      <c r="O1826" s="12"/>
      <c r="P1826" s="13"/>
      <c r="Q1826" s="13"/>
      <c r="R1826" s="12"/>
      <c r="S1826" s="12"/>
      <c r="T1826" s="12"/>
      <c r="U1826" s="14"/>
      <c r="V1826" s="15"/>
      <c r="W1826" s="16" t="n">
        <f aca="false">A1826</f>
        <v>0</v>
      </c>
      <c r="X1826" s="17" t="e">
        <f aca="false">ifs(C1826="","",X1826="",NOW(),TRUE(),X1826)</f>
        <v>#VALUE!</v>
      </c>
      <c r="Y1826" s="17" t="e">
        <f aca="false">ifs(COUNTA(K1826:U1829)&lt;44,"",Y1826="",NOW(),TRUE(),Y1826)</f>
        <v>#VALUE!</v>
      </c>
    </row>
    <row r="1827" customFormat="false" ht="15.75" hidden="false" customHeight="false" outlineLevel="0" collapsed="false">
      <c r="A1827" s="9"/>
      <c r="B1827" s="10"/>
      <c r="C1827" s="10"/>
      <c r="D1827" s="10"/>
      <c r="E1827" s="10"/>
      <c r="F1827" s="10"/>
      <c r="G1827" s="10"/>
      <c r="H1827" s="10"/>
      <c r="I1827" s="18" t="n">
        <v>2</v>
      </c>
      <c r="J1827" s="18"/>
      <c r="K1827" s="19"/>
      <c r="L1827" s="19"/>
      <c r="M1827" s="18"/>
      <c r="N1827" s="18"/>
      <c r="O1827" s="18"/>
      <c r="P1827" s="19"/>
      <c r="Q1827" s="19"/>
      <c r="R1827" s="18"/>
      <c r="S1827" s="18"/>
      <c r="T1827" s="18"/>
      <c r="U1827" s="20"/>
      <c r="V1827" s="21"/>
      <c r="W1827" s="16"/>
      <c r="X1827" s="16"/>
      <c r="Y1827" s="16"/>
    </row>
    <row r="1828" customFormat="false" ht="15.75" hidden="false" customHeight="false" outlineLevel="0" collapsed="false">
      <c r="A1828" s="9"/>
      <c r="B1828" s="10"/>
      <c r="C1828" s="10"/>
      <c r="D1828" s="10"/>
      <c r="E1828" s="10"/>
      <c r="F1828" s="10"/>
      <c r="G1828" s="10"/>
      <c r="H1828" s="10"/>
      <c r="I1828" s="22" t="n">
        <v>3</v>
      </c>
      <c r="J1828" s="22"/>
      <c r="K1828" s="23"/>
      <c r="L1828" s="23"/>
      <c r="M1828" s="22"/>
      <c r="N1828" s="22"/>
      <c r="O1828" s="22"/>
      <c r="P1828" s="23"/>
      <c r="Q1828" s="23"/>
      <c r="R1828" s="22"/>
      <c r="S1828" s="22"/>
      <c r="T1828" s="22"/>
      <c r="U1828" s="24"/>
      <c r="V1828" s="15"/>
      <c r="W1828" s="16"/>
      <c r="X1828" s="16"/>
      <c r="Y1828" s="16"/>
    </row>
    <row r="1829" customFormat="false" ht="15.75" hidden="false" customHeight="false" outlineLevel="0" collapsed="false">
      <c r="A1829" s="9"/>
      <c r="B1829" s="10"/>
      <c r="C1829" s="10"/>
      <c r="D1829" s="10"/>
      <c r="E1829" s="10"/>
      <c r="F1829" s="10"/>
      <c r="G1829" s="10"/>
      <c r="H1829" s="10"/>
      <c r="I1829" s="25" t="n">
        <v>4</v>
      </c>
      <c r="J1829" s="25"/>
      <c r="K1829" s="26"/>
      <c r="L1829" s="26"/>
      <c r="M1829" s="25"/>
      <c r="N1829" s="25"/>
      <c r="O1829" s="25"/>
      <c r="P1829" s="26"/>
      <c r="Q1829" s="26"/>
      <c r="R1829" s="25"/>
      <c r="S1829" s="25"/>
      <c r="T1829" s="25"/>
      <c r="U1829" s="27"/>
      <c r="V1829" s="21"/>
      <c r="W1829" s="16"/>
      <c r="X1829" s="16"/>
      <c r="Y1829" s="16"/>
    </row>
    <row r="1830" customFormat="false" ht="15.75" hidden="false" customHeight="false" outlineLevel="0" collapsed="false">
      <c r="A1830" s="9"/>
      <c r="B1830" s="10"/>
      <c r="C1830" s="11"/>
      <c r="D1830" s="10"/>
      <c r="E1830" s="10"/>
      <c r="F1830" s="10"/>
      <c r="G1830" s="10"/>
      <c r="H1830" s="10"/>
      <c r="I1830" s="12" t="n">
        <v>1</v>
      </c>
      <c r="J1830" s="12"/>
      <c r="K1830" s="13"/>
      <c r="L1830" s="13"/>
      <c r="M1830" s="12"/>
      <c r="N1830" s="12"/>
      <c r="O1830" s="12"/>
      <c r="P1830" s="13"/>
      <c r="Q1830" s="13"/>
      <c r="R1830" s="12"/>
      <c r="S1830" s="12"/>
      <c r="T1830" s="12"/>
      <c r="U1830" s="14"/>
      <c r="V1830" s="15"/>
      <c r="W1830" s="16" t="n">
        <f aca="false">A1830</f>
        <v>0</v>
      </c>
      <c r="X1830" s="17" t="e">
        <f aca="false">ifs(C1830="","",X1830="",NOW(),TRUE(),X1830)</f>
        <v>#VALUE!</v>
      </c>
      <c r="Y1830" s="17" t="e">
        <f aca="false">ifs(COUNTA(K1830:U1833)&lt;44,"",Y1830="",NOW(),TRUE(),Y1830)</f>
        <v>#VALUE!</v>
      </c>
    </row>
    <row r="1831" customFormat="false" ht="15.75" hidden="false" customHeight="false" outlineLevel="0" collapsed="false">
      <c r="A1831" s="9"/>
      <c r="B1831" s="10"/>
      <c r="C1831" s="10"/>
      <c r="D1831" s="10"/>
      <c r="E1831" s="10"/>
      <c r="F1831" s="10"/>
      <c r="G1831" s="10"/>
      <c r="H1831" s="10"/>
      <c r="I1831" s="18" t="n">
        <v>2</v>
      </c>
      <c r="J1831" s="18"/>
      <c r="K1831" s="19"/>
      <c r="L1831" s="19"/>
      <c r="M1831" s="18"/>
      <c r="N1831" s="18"/>
      <c r="O1831" s="18"/>
      <c r="P1831" s="19"/>
      <c r="Q1831" s="19"/>
      <c r="R1831" s="18"/>
      <c r="S1831" s="18"/>
      <c r="T1831" s="18"/>
      <c r="U1831" s="20"/>
      <c r="V1831" s="21"/>
      <c r="W1831" s="16"/>
      <c r="X1831" s="16"/>
      <c r="Y1831" s="16"/>
    </row>
    <row r="1832" customFormat="false" ht="15.75" hidden="false" customHeight="false" outlineLevel="0" collapsed="false">
      <c r="A1832" s="9"/>
      <c r="B1832" s="10"/>
      <c r="C1832" s="10"/>
      <c r="D1832" s="10"/>
      <c r="E1832" s="10"/>
      <c r="F1832" s="10"/>
      <c r="G1832" s="10"/>
      <c r="H1832" s="10"/>
      <c r="I1832" s="22" t="n">
        <v>3</v>
      </c>
      <c r="J1832" s="22"/>
      <c r="K1832" s="23"/>
      <c r="L1832" s="23"/>
      <c r="M1832" s="22"/>
      <c r="N1832" s="22"/>
      <c r="O1832" s="22"/>
      <c r="P1832" s="23"/>
      <c r="Q1832" s="23"/>
      <c r="R1832" s="22"/>
      <c r="S1832" s="22"/>
      <c r="T1832" s="22"/>
      <c r="U1832" s="24"/>
      <c r="V1832" s="15"/>
      <c r="W1832" s="16"/>
      <c r="X1832" s="16"/>
      <c r="Y1832" s="16"/>
    </row>
    <row r="1833" customFormat="false" ht="15.75" hidden="false" customHeight="false" outlineLevel="0" collapsed="false">
      <c r="A1833" s="9"/>
      <c r="B1833" s="10"/>
      <c r="C1833" s="10"/>
      <c r="D1833" s="10"/>
      <c r="E1833" s="10"/>
      <c r="F1833" s="10"/>
      <c r="G1833" s="10"/>
      <c r="H1833" s="10"/>
      <c r="I1833" s="25" t="n">
        <v>4</v>
      </c>
      <c r="J1833" s="25"/>
      <c r="K1833" s="26"/>
      <c r="L1833" s="26"/>
      <c r="M1833" s="25"/>
      <c r="N1833" s="25"/>
      <c r="O1833" s="25"/>
      <c r="P1833" s="26"/>
      <c r="Q1833" s="26"/>
      <c r="R1833" s="25"/>
      <c r="S1833" s="25"/>
      <c r="T1833" s="25"/>
      <c r="U1833" s="27"/>
      <c r="V1833" s="21"/>
      <c r="W1833" s="16"/>
      <c r="X1833" s="16"/>
      <c r="Y1833" s="16"/>
    </row>
    <row r="1834" customFormat="false" ht="15.75" hidden="false" customHeight="false" outlineLevel="0" collapsed="false">
      <c r="A1834" s="9"/>
      <c r="B1834" s="10"/>
      <c r="C1834" s="11"/>
      <c r="D1834" s="10"/>
      <c r="E1834" s="10"/>
      <c r="F1834" s="10"/>
      <c r="G1834" s="10"/>
      <c r="H1834" s="10"/>
      <c r="I1834" s="12" t="n">
        <v>1</v>
      </c>
      <c r="J1834" s="12"/>
      <c r="K1834" s="13"/>
      <c r="L1834" s="13"/>
      <c r="M1834" s="12"/>
      <c r="N1834" s="12"/>
      <c r="O1834" s="12"/>
      <c r="P1834" s="13"/>
      <c r="Q1834" s="13"/>
      <c r="R1834" s="12"/>
      <c r="S1834" s="12"/>
      <c r="T1834" s="12"/>
      <c r="U1834" s="14"/>
      <c r="V1834" s="15"/>
      <c r="W1834" s="16" t="n">
        <f aca="false">A1834</f>
        <v>0</v>
      </c>
      <c r="X1834" s="17" t="e">
        <f aca="false">ifs(C1834="","",X1834="",NOW(),TRUE(),X1834)</f>
        <v>#VALUE!</v>
      </c>
      <c r="Y1834" s="17" t="e">
        <f aca="false">ifs(COUNTA(K1834:U1837)&lt;44,"",Y1834="",NOW(),TRUE(),Y1834)</f>
        <v>#VALUE!</v>
      </c>
    </row>
    <row r="1835" customFormat="false" ht="15.75" hidden="false" customHeight="false" outlineLevel="0" collapsed="false">
      <c r="A1835" s="9"/>
      <c r="B1835" s="10"/>
      <c r="C1835" s="10"/>
      <c r="D1835" s="10"/>
      <c r="E1835" s="10"/>
      <c r="F1835" s="10"/>
      <c r="G1835" s="10"/>
      <c r="H1835" s="10"/>
      <c r="I1835" s="18" t="n">
        <v>2</v>
      </c>
      <c r="J1835" s="18"/>
      <c r="K1835" s="19"/>
      <c r="L1835" s="19"/>
      <c r="M1835" s="18"/>
      <c r="N1835" s="18"/>
      <c r="O1835" s="18"/>
      <c r="P1835" s="19"/>
      <c r="Q1835" s="19"/>
      <c r="R1835" s="18"/>
      <c r="S1835" s="18"/>
      <c r="T1835" s="18"/>
      <c r="U1835" s="20"/>
      <c r="V1835" s="21"/>
      <c r="W1835" s="16"/>
      <c r="X1835" s="16"/>
      <c r="Y1835" s="16"/>
    </row>
    <row r="1836" customFormat="false" ht="15.75" hidden="false" customHeight="false" outlineLevel="0" collapsed="false">
      <c r="A1836" s="9"/>
      <c r="B1836" s="10"/>
      <c r="C1836" s="10"/>
      <c r="D1836" s="10"/>
      <c r="E1836" s="10"/>
      <c r="F1836" s="10"/>
      <c r="G1836" s="10"/>
      <c r="H1836" s="10"/>
      <c r="I1836" s="22" t="n">
        <v>3</v>
      </c>
      <c r="J1836" s="22"/>
      <c r="K1836" s="23"/>
      <c r="L1836" s="23"/>
      <c r="M1836" s="22"/>
      <c r="N1836" s="22"/>
      <c r="O1836" s="22"/>
      <c r="P1836" s="23"/>
      <c r="Q1836" s="23"/>
      <c r="R1836" s="22"/>
      <c r="S1836" s="22"/>
      <c r="T1836" s="22"/>
      <c r="U1836" s="24"/>
      <c r="V1836" s="15"/>
      <c r="W1836" s="16"/>
      <c r="X1836" s="16"/>
      <c r="Y1836" s="16"/>
    </row>
    <row r="1837" customFormat="false" ht="15.75" hidden="false" customHeight="false" outlineLevel="0" collapsed="false">
      <c r="A1837" s="9"/>
      <c r="B1837" s="10"/>
      <c r="C1837" s="10"/>
      <c r="D1837" s="10"/>
      <c r="E1837" s="10"/>
      <c r="F1837" s="10"/>
      <c r="G1837" s="10"/>
      <c r="H1837" s="10"/>
      <c r="I1837" s="25" t="n">
        <v>4</v>
      </c>
      <c r="J1837" s="25"/>
      <c r="K1837" s="26"/>
      <c r="L1837" s="26"/>
      <c r="M1837" s="25"/>
      <c r="N1837" s="25"/>
      <c r="O1837" s="25"/>
      <c r="P1837" s="26"/>
      <c r="Q1837" s="26"/>
      <c r="R1837" s="25"/>
      <c r="S1837" s="25"/>
      <c r="T1837" s="25"/>
      <c r="U1837" s="27"/>
      <c r="V1837" s="21"/>
      <c r="W1837" s="16"/>
      <c r="X1837" s="16"/>
      <c r="Y1837" s="16"/>
    </row>
    <row r="1838" customFormat="false" ht="15.75" hidden="false" customHeight="false" outlineLevel="0" collapsed="false">
      <c r="A1838" s="9"/>
      <c r="B1838" s="10"/>
      <c r="C1838" s="11"/>
      <c r="D1838" s="10"/>
      <c r="E1838" s="10"/>
      <c r="F1838" s="10"/>
      <c r="G1838" s="10"/>
      <c r="H1838" s="10"/>
      <c r="I1838" s="12" t="n">
        <v>1</v>
      </c>
      <c r="J1838" s="12"/>
      <c r="K1838" s="13"/>
      <c r="L1838" s="13"/>
      <c r="M1838" s="12"/>
      <c r="N1838" s="12"/>
      <c r="O1838" s="12"/>
      <c r="P1838" s="13"/>
      <c r="Q1838" s="13"/>
      <c r="R1838" s="12"/>
      <c r="S1838" s="12"/>
      <c r="T1838" s="12"/>
      <c r="U1838" s="14"/>
      <c r="V1838" s="15"/>
      <c r="W1838" s="16" t="n">
        <f aca="false">A1838</f>
        <v>0</v>
      </c>
      <c r="X1838" s="17" t="e">
        <f aca="false">ifs(C1838="","",X1838="",NOW(),TRUE(),X1838)</f>
        <v>#VALUE!</v>
      </c>
      <c r="Y1838" s="17" t="e">
        <f aca="false">ifs(COUNTA(K1838:U1841)&lt;44,"",Y1838="",NOW(),TRUE(),Y1838)</f>
        <v>#VALUE!</v>
      </c>
    </row>
    <row r="1839" customFormat="false" ht="15.75" hidden="false" customHeight="false" outlineLevel="0" collapsed="false">
      <c r="A1839" s="9"/>
      <c r="B1839" s="10"/>
      <c r="C1839" s="10"/>
      <c r="D1839" s="10"/>
      <c r="E1839" s="10"/>
      <c r="F1839" s="10"/>
      <c r="G1839" s="10"/>
      <c r="H1839" s="10"/>
      <c r="I1839" s="18" t="n">
        <v>2</v>
      </c>
      <c r="J1839" s="18"/>
      <c r="K1839" s="19"/>
      <c r="L1839" s="19"/>
      <c r="M1839" s="18"/>
      <c r="N1839" s="18"/>
      <c r="O1839" s="18"/>
      <c r="P1839" s="19"/>
      <c r="Q1839" s="19"/>
      <c r="R1839" s="18"/>
      <c r="S1839" s="18"/>
      <c r="T1839" s="18"/>
      <c r="U1839" s="20"/>
      <c r="V1839" s="21"/>
      <c r="W1839" s="16"/>
      <c r="X1839" s="16"/>
      <c r="Y1839" s="16"/>
    </row>
    <row r="1840" customFormat="false" ht="15.75" hidden="false" customHeight="false" outlineLevel="0" collapsed="false">
      <c r="A1840" s="9"/>
      <c r="B1840" s="10"/>
      <c r="C1840" s="10"/>
      <c r="D1840" s="10"/>
      <c r="E1840" s="10"/>
      <c r="F1840" s="10"/>
      <c r="G1840" s="10"/>
      <c r="H1840" s="10"/>
      <c r="I1840" s="22" t="n">
        <v>3</v>
      </c>
      <c r="J1840" s="22"/>
      <c r="K1840" s="23"/>
      <c r="L1840" s="23"/>
      <c r="M1840" s="22"/>
      <c r="N1840" s="22"/>
      <c r="O1840" s="22"/>
      <c r="P1840" s="23"/>
      <c r="Q1840" s="23"/>
      <c r="R1840" s="22"/>
      <c r="S1840" s="22"/>
      <c r="T1840" s="22"/>
      <c r="U1840" s="24"/>
      <c r="V1840" s="15"/>
      <c r="W1840" s="16"/>
      <c r="X1840" s="16"/>
      <c r="Y1840" s="16"/>
    </row>
    <row r="1841" customFormat="false" ht="15.75" hidden="false" customHeight="false" outlineLevel="0" collapsed="false">
      <c r="A1841" s="9"/>
      <c r="B1841" s="10"/>
      <c r="C1841" s="10"/>
      <c r="D1841" s="10"/>
      <c r="E1841" s="10"/>
      <c r="F1841" s="10"/>
      <c r="G1841" s="10"/>
      <c r="H1841" s="10"/>
      <c r="I1841" s="25" t="n">
        <v>4</v>
      </c>
      <c r="J1841" s="25"/>
      <c r="K1841" s="26"/>
      <c r="L1841" s="26"/>
      <c r="M1841" s="25"/>
      <c r="N1841" s="25"/>
      <c r="O1841" s="25"/>
      <c r="P1841" s="26"/>
      <c r="Q1841" s="26"/>
      <c r="R1841" s="25"/>
      <c r="S1841" s="25"/>
      <c r="T1841" s="25"/>
      <c r="U1841" s="27"/>
      <c r="V1841" s="21"/>
      <c r="W1841" s="16"/>
      <c r="X1841" s="16"/>
      <c r="Y1841" s="16"/>
    </row>
    <row r="1842" customFormat="false" ht="15.75" hidden="false" customHeight="false" outlineLevel="0" collapsed="false">
      <c r="A1842" s="9"/>
      <c r="B1842" s="10"/>
      <c r="C1842" s="11"/>
      <c r="D1842" s="10"/>
      <c r="E1842" s="10"/>
      <c r="F1842" s="10"/>
      <c r="G1842" s="10"/>
      <c r="H1842" s="10"/>
      <c r="I1842" s="12" t="n">
        <v>1</v>
      </c>
      <c r="J1842" s="12"/>
      <c r="K1842" s="13"/>
      <c r="L1842" s="13"/>
      <c r="M1842" s="12"/>
      <c r="N1842" s="12"/>
      <c r="O1842" s="12"/>
      <c r="P1842" s="13"/>
      <c r="Q1842" s="13"/>
      <c r="R1842" s="12"/>
      <c r="S1842" s="12"/>
      <c r="T1842" s="12"/>
      <c r="U1842" s="14"/>
      <c r="V1842" s="15"/>
      <c r="W1842" s="16" t="n">
        <f aca="false">A1842</f>
        <v>0</v>
      </c>
      <c r="X1842" s="17" t="e">
        <f aca="false">ifs(C1842="","",X1842="",NOW(),TRUE(),X1842)</f>
        <v>#VALUE!</v>
      </c>
      <c r="Y1842" s="17" t="e">
        <f aca="false">ifs(COUNTA(K1842:U1845)&lt;44,"",Y1842="",NOW(),TRUE(),Y1842)</f>
        <v>#VALUE!</v>
      </c>
    </row>
    <row r="1843" customFormat="false" ht="15.75" hidden="false" customHeight="false" outlineLevel="0" collapsed="false">
      <c r="A1843" s="9"/>
      <c r="B1843" s="10"/>
      <c r="C1843" s="10"/>
      <c r="D1843" s="10"/>
      <c r="E1843" s="10"/>
      <c r="F1843" s="10"/>
      <c r="G1843" s="10"/>
      <c r="H1843" s="10"/>
      <c r="I1843" s="18" t="n">
        <v>2</v>
      </c>
      <c r="J1843" s="18"/>
      <c r="K1843" s="19"/>
      <c r="L1843" s="19"/>
      <c r="M1843" s="18"/>
      <c r="N1843" s="18"/>
      <c r="O1843" s="18"/>
      <c r="P1843" s="19"/>
      <c r="Q1843" s="19"/>
      <c r="R1843" s="18"/>
      <c r="S1843" s="18"/>
      <c r="T1843" s="18"/>
      <c r="U1843" s="20"/>
      <c r="V1843" s="21"/>
      <c r="W1843" s="16"/>
      <c r="X1843" s="16"/>
      <c r="Y1843" s="16"/>
    </row>
    <row r="1844" customFormat="false" ht="15.75" hidden="false" customHeight="false" outlineLevel="0" collapsed="false">
      <c r="A1844" s="9"/>
      <c r="B1844" s="10"/>
      <c r="C1844" s="10"/>
      <c r="D1844" s="10"/>
      <c r="E1844" s="10"/>
      <c r="F1844" s="10"/>
      <c r="G1844" s="10"/>
      <c r="H1844" s="10"/>
      <c r="I1844" s="22" t="n">
        <v>3</v>
      </c>
      <c r="J1844" s="22"/>
      <c r="K1844" s="23"/>
      <c r="L1844" s="23"/>
      <c r="M1844" s="22"/>
      <c r="N1844" s="22"/>
      <c r="O1844" s="22"/>
      <c r="P1844" s="23"/>
      <c r="Q1844" s="23"/>
      <c r="R1844" s="22"/>
      <c r="S1844" s="22"/>
      <c r="T1844" s="22"/>
      <c r="U1844" s="24"/>
      <c r="V1844" s="15"/>
      <c r="W1844" s="16"/>
      <c r="X1844" s="16"/>
      <c r="Y1844" s="16"/>
    </row>
    <row r="1845" customFormat="false" ht="15.75" hidden="false" customHeight="false" outlineLevel="0" collapsed="false">
      <c r="A1845" s="9"/>
      <c r="B1845" s="10"/>
      <c r="C1845" s="10"/>
      <c r="D1845" s="10"/>
      <c r="E1845" s="10"/>
      <c r="F1845" s="10"/>
      <c r="G1845" s="10"/>
      <c r="H1845" s="10"/>
      <c r="I1845" s="25" t="n">
        <v>4</v>
      </c>
      <c r="J1845" s="25"/>
      <c r="K1845" s="26"/>
      <c r="L1845" s="26"/>
      <c r="M1845" s="25"/>
      <c r="N1845" s="25"/>
      <c r="O1845" s="25"/>
      <c r="P1845" s="26"/>
      <c r="Q1845" s="26"/>
      <c r="R1845" s="25"/>
      <c r="S1845" s="25"/>
      <c r="T1845" s="25"/>
      <c r="U1845" s="27"/>
      <c r="V1845" s="21"/>
      <c r="W1845" s="16"/>
      <c r="X1845" s="16"/>
      <c r="Y1845" s="16"/>
    </row>
    <row r="1846" customFormat="false" ht="15.75" hidden="false" customHeight="false" outlineLevel="0" collapsed="false">
      <c r="A1846" s="9"/>
      <c r="B1846" s="10"/>
      <c r="C1846" s="11"/>
      <c r="D1846" s="10"/>
      <c r="E1846" s="10"/>
      <c r="F1846" s="10"/>
      <c r="G1846" s="10"/>
      <c r="H1846" s="10"/>
      <c r="I1846" s="12" t="n">
        <v>1</v>
      </c>
      <c r="J1846" s="12"/>
      <c r="K1846" s="13"/>
      <c r="L1846" s="13"/>
      <c r="M1846" s="12"/>
      <c r="N1846" s="12"/>
      <c r="O1846" s="12"/>
      <c r="P1846" s="13"/>
      <c r="Q1846" s="13"/>
      <c r="R1846" s="12"/>
      <c r="S1846" s="12"/>
      <c r="T1846" s="12"/>
      <c r="U1846" s="14"/>
      <c r="V1846" s="15"/>
      <c r="W1846" s="16" t="n">
        <f aca="false">A1846</f>
        <v>0</v>
      </c>
      <c r="X1846" s="17" t="e">
        <f aca="false">ifs(C1846="","",X1846="",NOW(),TRUE(),X1846)</f>
        <v>#VALUE!</v>
      </c>
      <c r="Y1846" s="17" t="e">
        <f aca="false">ifs(COUNTA(K1846:U1849)&lt;44,"",Y1846="",NOW(),TRUE(),Y1846)</f>
        <v>#VALUE!</v>
      </c>
    </row>
    <row r="1847" customFormat="false" ht="15.75" hidden="false" customHeight="false" outlineLevel="0" collapsed="false">
      <c r="A1847" s="9"/>
      <c r="B1847" s="10"/>
      <c r="C1847" s="10"/>
      <c r="D1847" s="10"/>
      <c r="E1847" s="10"/>
      <c r="F1847" s="10"/>
      <c r="G1847" s="10"/>
      <c r="H1847" s="10"/>
      <c r="I1847" s="18" t="n">
        <v>2</v>
      </c>
      <c r="J1847" s="18"/>
      <c r="K1847" s="19"/>
      <c r="L1847" s="19"/>
      <c r="M1847" s="18"/>
      <c r="N1847" s="18"/>
      <c r="O1847" s="18"/>
      <c r="P1847" s="19"/>
      <c r="Q1847" s="19"/>
      <c r="R1847" s="18"/>
      <c r="S1847" s="18"/>
      <c r="T1847" s="18"/>
      <c r="U1847" s="20"/>
      <c r="V1847" s="21"/>
      <c r="W1847" s="16"/>
      <c r="X1847" s="16"/>
      <c r="Y1847" s="16"/>
    </row>
    <row r="1848" customFormat="false" ht="15.75" hidden="false" customHeight="false" outlineLevel="0" collapsed="false">
      <c r="A1848" s="9"/>
      <c r="B1848" s="10"/>
      <c r="C1848" s="10"/>
      <c r="D1848" s="10"/>
      <c r="E1848" s="10"/>
      <c r="F1848" s="10"/>
      <c r="G1848" s="10"/>
      <c r="H1848" s="10"/>
      <c r="I1848" s="22" t="n">
        <v>3</v>
      </c>
      <c r="J1848" s="22"/>
      <c r="K1848" s="23"/>
      <c r="L1848" s="23"/>
      <c r="M1848" s="22"/>
      <c r="N1848" s="22"/>
      <c r="O1848" s="22"/>
      <c r="P1848" s="23"/>
      <c r="Q1848" s="23"/>
      <c r="R1848" s="22"/>
      <c r="S1848" s="22"/>
      <c r="T1848" s="22"/>
      <c r="U1848" s="24"/>
      <c r="V1848" s="15"/>
      <c r="W1848" s="16"/>
      <c r="X1848" s="16"/>
      <c r="Y1848" s="16"/>
    </row>
    <row r="1849" customFormat="false" ht="15.75" hidden="false" customHeight="false" outlineLevel="0" collapsed="false">
      <c r="A1849" s="9"/>
      <c r="B1849" s="10"/>
      <c r="C1849" s="10"/>
      <c r="D1849" s="10"/>
      <c r="E1849" s="10"/>
      <c r="F1849" s="10"/>
      <c r="G1849" s="10"/>
      <c r="H1849" s="10"/>
      <c r="I1849" s="25" t="n">
        <v>4</v>
      </c>
      <c r="J1849" s="25"/>
      <c r="K1849" s="26"/>
      <c r="L1849" s="26"/>
      <c r="M1849" s="25"/>
      <c r="N1849" s="25"/>
      <c r="O1849" s="25"/>
      <c r="P1849" s="26"/>
      <c r="Q1849" s="26"/>
      <c r="R1849" s="25"/>
      <c r="S1849" s="25"/>
      <c r="T1849" s="25"/>
      <c r="U1849" s="27"/>
      <c r="V1849" s="21"/>
      <c r="W1849" s="16"/>
      <c r="X1849" s="16"/>
      <c r="Y1849" s="16"/>
    </row>
    <row r="1850" customFormat="false" ht="15.75" hidden="false" customHeight="false" outlineLevel="0" collapsed="false">
      <c r="A1850" s="9"/>
      <c r="B1850" s="10"/>
      <c r="C1850" s="11"/>
      <c r="D1850" s="10"/>
      <c r="E1850" s="10"/>
      <c r="F1850" s="10"/>
      <c r="G1850" s="10"/>
      <c r="H1850" s="10"/>
      <c r="I1850" s="12" t="n">
        <v>1</v>
      </c>
      <c r="J1850" s="12"/>
      <c r="K1850" s="13"/>
      <c r="L1850" s="13"/>
      <c r="M1850" s="12"/>
      <c r="N1850" s="12"/>
      <c r="O1850" s="12"/>
      <c r="P1850" s="13"/>
      <c r="Q1850" s="13"/>
      <c r="R1850" s="12"/>
      <c r="S1850" s="12"/>
      <c r="T1850" s="12"/>
      <c r="U1850" s="14"/>
      <c r="V1850" s="15"/>
      <c r="W1850" s="16" t="n">
        <f aca="false">A1850</f>
        <v>0</v>
      </c>
      <c r="X1850" s="17" t="e">
        <f aca="false">ifs(C1850="","",X1850="",NOW(),TRUE(),X1850)</f>
        <v>#VALUE!</v>
      </c>
      <c r="Y1850" s="17" t="e">
        <f aca="false">ifs(COUNTA(K1850:U1853)&lt;44,"",Y1850="",NOW(),TRUE(),Y1850)</f>
        <v>#VALUE!</v>
      </c>
    </row>
    <row r="1851" customFormat="false" ht="15.75" hidden="false" customHeight="false" outlineLevel="0" collapsed="false">
      <c r="A1851" s="9"/>
      <c r="B1851" s="10"/>
      <c r="C1851" s="10"/>
      <c r="D1851" s="10"/>
      <c r="E1851" s="10"/>
      <c r="F1851" s="10"/>
      <c r="G1851" s="10"/>
      <c r="H1851" s="10"/>
      <c r="I1851" s="18" t="n">
        <v>2</v>
      </c>
      <c r="J1851" s="18"/>
      <c r="K1851" s="19"/>
      <c r="L1851" s="19"/>
      <c r="M1851" s="18"/>
      <c r="N1851" s="18"/>
      <c r="O1851" s="18"/>
      <c r="P1851" s="19"/>
      <c r="Q1851" s="19"/>
      <c r="R1851" s="18"/>
      <c r="S1851" s="18"/>
      <c r="T1851" s="18"/>
      <c r="U1851" s="20"/>
      <c r="V1851" s="21"/>
      <c r="W1851" s="16"/>
      <c r="X1851" s="16"/>
      <c r="Y1851" s="16"/>
    </row>
    <row r="1852" customFormat="false" ht="15.75" hidden="false" customHeight="false" outlineLevel="0" collapsed="false">
      <c r="A1852" s="9"/>
      <c r="B1852" s="10"/>
      <c r="C1852" s="10"/>
      <c r="D1852" s="10"/>
      <c r="E1852" s="10"/>
      <c r="F1852" s="10"/>
      <c r="G1852" s="10"/>
      <c r="H1852" s="10"/>
      <c r="I1852" s="22" t="n">
        <v>3</v>
      </c>
      <c r="J1852" s="22"/>
      <c r="K1852" s="23"/>
      <c r="L1852" s="23"/>
      <c r="M1852" s="22"/>
      <c r="N1852" s="22"/>
      <c r="O1852" s="22"/>
      <c r="P1852" s="23"/>
      <c r="Q1852" s="23"/>
      <c r="R1852" s="22"/>
      <c r="S1852" s="22"/>
      <c r="T1852" s="22"/>
      <c r="U1852" s="24"/>
      <c r="V1852" s="15"/>
      <c r="W1852" s="16"/>
      <c r="X1852" s="16"/>
      <c r="Y1852" s="16"/>
    </row>
    <row r="1853" customFormat="false" ht="15.75" hidden="false" customHeight="false" outlineLevel="0" collapsed="false">
      <c r="A1853" s="9"/>
      <c r="B1853" s="10"/>
      <c r="C1853" s="10"/>
      <c r="D1853" s="10"/>
      <c r="E1853" s="10"/>
      <c r="F1853" s="10"/>
      <c r="G1853" s="10"/>
      <c r="H1853" s="10"/>
      <c r="I1853" s="25" t="n">
        <v>4</v>
      </c>
      <c r="J1853" s="25"/>
      <c r="K1853" s="26"/>
      <c r="L1853" s="26"/>
      <c r="M1853" s="25"/>
      <c r="N1853" s="25"/>
      <c r="O1853" s="25"/>
      <c r="P1853" s="26"/>
      <c r="Q1853" s="26"/>
      <c r="R1853" s="25"/>
      <c r="S1853" s="25"/>
      <c r="T1853" s="25"/>
      <c r="U1853" s="27"/>
      <c r="V1853" s="21"/>
      <c r="W1853" s="16"/>
      <c r="X1853" s="16"/>
      <c r="Y1853" s="16"/>
    </row>
    <row r="1854" customFormat="false" ht="15.75" hidden="false" customHeight="false" outlineLevel="0" collapsed="false">
      <c r="A1854" s="9"/>
      <c r="B1854" s="10"/>
      <c r="C1854" s="11"/>
      <c r="D1854" s="10"/>
      <c r="E1854" s="10"/>
      <c r="F1854" s="10"/>
      <c r="G1854" s="10"/>
      <c r="H1854" s="10"/>
      <c r="I1854" s="12" t="n">
        <v>1</v>
      </c>
      <c r="J1854" s="12"/>
      <c r="K1854" s="13"/>
      <c r="L1854" s="13"/>
      <c r="M1854" s="12"/>
      <c r="N1854" s="12"/>
      <c r="O1854" s="12"/>
      <c r="P1854" s="13"/>
      <c r="Q1854" s="13"/>
      <c r="R1854" s="12"/>
      <c r="S1854" s="12"/>
      <c r="T1854" s="12"/>
      <c r="U1854" s="14"/>
      <c r="V1854" s="15"/>
      <c r="W1854" s="16" t="n">
        <f aca="false">A1854</f>
        <v>0</v>
      </c>
      <c r="X1854" s="17" t="e">
        <f aca="false">ifs(C1854="","",X1854="",NOW(),TRUE(),X1854)</f>
        <v>#VALUE!</v>
      </c>
      <c r="Y1854" s="17" t="e">
        <f aca="false">ifs(COUNTA(K1854:U1857)&lt;44,"",Y1854="",NOW(),TRUE(),Y1854)</f>
        <v>#VALUE!</v>
      </c>
    </row>
    <row r="1855" customFormat="false" ht="15.75" hidden="false" customHeight="false" outlineLevel="0" collapsed="false">
      <c r="A1855" s="9"/>
      <c r="B1855" s="10"/>
      <c r="C1855" s="10"/>
      <c r="D1855" s="10"/>
      <c r="E1855" s="10"/>
      <c r="F1855" s="10"/>
      <c r="G1855" s="10"/>
      <c r="H1855" s="10"/>
      <c r="I1855" s="18" t="n">
        <v>2</v>
      </c>
      <c r="J1855" s="18"/>
      <c r="K1855" s="19"/>
      <c r="L1855" s="19"/>
      <c r="M1855" s="18"/>
      <c r="N1855" s="18"/>
      <c r="O1855" s="18"/>
      <c r="P1855" s="19"/>
      <c r="Q1855" s="19"/>
      <c r="R1855" s="18"/>
      <c r="S1855" s="18"/>
      <c r="T1855" s="18"/>
      <c r="U1855" s="20"/>
      <c r="V1855" s="21"/>
      <c r="W1855" s="16"/>
      <c r="X1855" s="16"/>
      <c r="Y1855" s="16"/>
    </row>
    <row r="1856" customFormat="false" ht="15.75" hidden="false" customHeight="false" outlineLevel="0" collapsed="false">
      <c r="A1856" s="9"/>
      <c r="B1856" s="10"/>
      <c r="C1856" s="10"/>
      <c r="D1856" s="10"/>
      <c r="E1856" s="10"/>
      <c r="F1856" s="10"/>
      <c r="G1856" s="10"/>
      <c r="H1856" s="10"/>
      <c r="I1856" s="22" t="n">
        <v>3</v>
      </c>
      <c r="J1856" s="22"/>
      <c r="K1856" s="23"/>
      <c r="L1856" s="23"/>
      <c r="M1856" s="22"/>
      <c r="N1856" s="22"/>
      <c r="O1856" s="22"/>
      <c r="P1856" s="23"/>
      <c r="Q1856" s="23"/>
      <c r="R1856" s="22"/>
      <c r="S1856" s="22"/>
      <c r="T1856" s="22"/>
      <c r="U1856" s="24"/>
      <c r="V1856" s="15"/>
      <c r="W1856" s="16"/>
      <c r="X1856" s="16"/>
      <c r="Y1856" s="16"/>
    </row>
    <row r="1857" customFormat="false" ht="15.75" hidden="false" customHeight="false" outlineLevel="0" collapsed="false">
      <c r="A1857" s="9"/>
      <c r="B1857" s="10"/>
      <c r="C1857" s="10"/>
      <c r="D1857" s="10"/>
      <c r="E1857" s="10"/>
      <c r="F1857" s="10"/>
      <c r="G1857" s="10"/>
      <c r="H1857" s="10"/>
      <c r="I1857" s="25" t="n">
        <v>4</v>
      </c>
      <c r="J1857" s="25"/>
      <c r="K1857" s="26"/>
      <c r="L1857" s="26"/>
      <c r="M1857" s="25"/>
      <c r="N1857" s="25"/>
      <c r="O1857" s="25"/>
      <c r="P1857" s="26"/>
      <c r="Q1857" s="26"/>
      <c r="R1857" s="25"/>
      <c r="S1857" s="25"/>
      <c r="T1857" s="25"/>
      <c r="U1857" s="27"/>
      <c r="V1857" s="21"/>
      <c r="W1857" s="16"/>
      <c r="X1857" s="16"/>
      <c r="Y1857" s="16"/>
    </row>
    <row r="1858" customFormat="false" ht="15.75" hidden="false" customHeight="false" outlineLevel="0" collapsed="false">
      <c r="A1858" s="9"/>
      <c r="B1858" s="10"/>
      <c r="C1858" s="11"/>
      <c r="D1858" s="10"/>
      <c r="E1858" s="10"/>
      <c r="F1858" s="10"/>
      <c r="G1858" s="10"/>
      <c r="H1858" s="10"/>
      <c r="I1858" s="12" t="n">
        <v>1</v>
      </c>
      <c r="J1858" s="12"/>
      <c r="K1858" s="13"/>
      <c r="L1858" s="13"/>
      <c r="M1858" s="12"/>
      <c r="N1858" s="12"/>
      <c r="O1858" s="12"/>
      <c r="P1858" s="13"/>
      <c r="Q1858" s="13"/>
      <c r="R1858" s="12"/>
      <c r="S1858" s="12"/>
      <c r="T1858" s="12"/>
      <c r="U1858" s="14"/>
      <c r="V1858" s="15"/>
      <c r="W1858" s="16" t="n">
        <f aca="false">A1858</f>
        <v>0</v>
      </c>
      <c r="X1858" s="17" t="e">
        <f aca="false">ifs(C1858="","",X1858="",NOW(),TRUE(),X1858)</f>
        <v>#VALUE!</v>
      </c>
      <c r="Y1858" s="17" t="e">
        <f aca="false">ifs(COUNTA(K1858:U1861)&lt;44,"",Y1858="",NOW(),TRUE(),Y1858)</f>
        <v>#VALUE!</v>
      </c>
    </row>
    <row r="1859" customFormat="false" ht="15.75" hidden="false" customHeight="false" outlineLevel="0" collapsed="false">
      <c r="A1859" s="9"/>
      <c r="B1859" s="10"/>
      <c r="C1859" s="10"/>
      <c r="D1859" s="10"/>
      <c r="E1859" s="10"/>
      <c r="F1859" s="10"/>
      <c r="G1859" s="10"/>
      <c r="H1859" s="10"/>
      <c r="I1859" s="18" t="n">
        <v>2</v>
      </c>
      <c r="J1859" s="18"/>
      <c r="K1859" s="19"/>
      <c r="L1859" s="19"/>
      <c r="M1859" s="18"/>
      <c r="N1859" s="18"/>
      <c r="O1859" s="18"/>
      <c r="P1859" s="19"/>
      <c r="Q1859" s="19"/>
      <c r="R1859" s="18"/>
      <c r="S1859" s="18"/>
      <c r="T1859" s="18"/>
      <c r="U1859" s="20"/>
      <c r="V1859" s="21"/>
      <c r="W1859" s="16"/>
      <c r="X1859" s="16"/>
      <c r="Y1859" s="16"/>
    </row>
    <row r="1860" customFormat="false" ht="15.75" hidden="false" customHeight="false" outlineLevel="0" collapsed="false">
      <c r="A1860" s="9"/>
      <c r="B1860" s="10"/>
      <c r="C1860" s="10"/>
      <c r="D1860" s="10"/>
      <c r="E1860" s="10"/>
      <c r="F1860" s="10"/>
      <c r="G1860" s="10"/>
      <c r="H1860" s="10"/>
      <c r="I1860" s="22" t="n">
        <v>3</v>
      </c>
      <c r="J1860" s="22"/>
      <c r="K1860" s="23"/>
      <c r="L1860" s="23"/>
      <c r="M1860" s="22"/>
      <c r="N1860" s="22"/>
      <c r="O1860" s="22"/>
      <c r="P1860" s="23"/>
      <c r="Q1860" s="23"/>
      <c r="R1860" s="22"/>
      <c r="S1860" s="22"/>
      <c r="T1860" s="22"/>
      <c r="U1860" s="24"/>
      <c r="V1860" s="15"/>
      <c r="W1860" s="16"/>
      <c r="X1860" s="16"/>
      <c r="Y1860" s="16"/>
    </row>
    <row r="1861" customFormat="false" ht="15.75" hidden="false" customHeight="false" outlineLevel="0" collapsed="false">
      <c r="A1861" s="9"/>
      <c r="B1861" s="10"/>
      <c r="C1861" s="10"/>
      <c r="D1861" s="10"/>
      <c r="E1861" s="10"/>
      <c r="F1861" s="10"/>
      <c r="G1861" s="10"/>
      <c r="H1861" s="10"/>
      <c r="I1861" s="25" t="n">
        <v>4</v>
      </c>
      <c r="J1861" s="25"/>
      <c r="K1861" s="26"/>
      <c r="L1861" s="26"/>
      <c r="M1861" s="25"/>
      <c r="N1861" s="25"/>
      <c r="O1861" s="25"/>
      <c r="P1861" s="26"/>
      <c r="Q1861" s="26"/>
      <c r="R1861" s="25"/>
      <c r="S1861" s="25"/>
      <c r="T1861" s="25"/>
      <c r="U1861" s="27"/>
      <c r="V1861" s="21"/>
      <c r="W1861" s="16"/>
      <c r="X1861" s="16"/>
      <c r="Y1861" s="16"/>
    </row>
    <row r="1862" customFormat="false" ht="15.75" hidden="false" customHeight="false" outlineLevel="0" collapsed="false">
      <c r="A1862" s="9"/>
      <c r="B1862" s="10"/>
      <c r="C1862" s="11"/>
      <c r="D1862" s="10"/>
      <c r="E1862" s="10"/>
      <c r="F1862" s="10"/>
      <c r="G1862" s="10"/>
      <c r="H1862" s="10"/>
      <c r="I1862" s="12" t="n">
        <v>1</v>
      </c>
      <c r="J1862" s="12"/>
      <c r="K1862" s="13"/>
      <c r="L1862" s="13"/>
      <c r="M1862" s="12"/>
      <c r="N1862" s="12"/>
      <c r="O1862" s="12"/>
      <c r="P1862" s="13"/>
      <c r="Q1862" s="13"/>
      <c r="R1862" s="12"/>
      <c r="S1862" s="12"/>
      <c r="T1862" s="12"/>
      <c r="U1862" s="14"/>
      <c r="V1862" s="15"/>
      <c r="W1862" s="16" t="n">
        <f aca="false">A1862</f>
        <v>0</v>
      </c>
      <c r="X1862" s="17" t="e">
        <f aca="false">ifs(C1862="","",X1862="",NOW(),TRUE(),X1862)</f>
        <v>#VALUE!</v>
      </c>
      <c r="Y1862" s="17" t="e">
        <f aca="false">ifs(COUNTA(K1862:U1865)&lt;44,"",Y1862="",NOW(),TRUE(),Y1862)</f>
        <v>#VALUE!</v>
      </c>
    </row>
    <row r="1863" customFormat="false" ht="15.75" hidden="false" customHeight="false" outlineLevel="0" collapsed="false">
      <c r="A1863" s="9"/>
      <c r="B1863" s="10"/>
      <c r="C1863" s="10"/>
      <c r="D1863" s="10"/>
      <c r="E1863" s="10"/>
      <c r="F1863" s="10"/>
      <c r="G1863" s="10"/>
      <c r="H1863" s="10"/>
      <c r="I1863" s="18" t="n">
        <v>2</v>
      </c>
      <c r="J1863" s="18"/>
      <c r="K1863" s="19"/>
      <c r="L1863" s="19"/>
      <c r="M1863" s="18"/>
      <c r="N1863" s="18"/>
      <c r="O1863" s="18"/>
      <c r="P1863" s="19"/>
      <c r="Q1863" s="19"/>
      <c r="R1863" s="18"/>
      <c r="S1863" s="18"/>
      <c r="T1863" s="18"/>
      <c r="U1863" s="20"/>
      <c r="V1863" s="21"/>
      <c r="W1863" s="16"/>
      <c r="X1863" s="16"/>
      <c r="Y1863" s="16"/>
    </row>
    <row r="1864" customFormat="false" ht="15.75" hidden="false" customHeight="false" outlineLevel="0" collapsed="false">
      <c r="A1864" s="9"/>
      <c r="B1864" s="10"/>
      <c r="C1864" s="10"/>
      <c r="D1864" s="10"/>
      <c r="E1864" s="10"/>
      <c r="F1864" s="10"/>
      <c r="G1864" s="10"/>
      <c r="H1864" s="10"/>
      <c r="I1864" s="22" t="n">
        <v>3</v>
      </c>
      <c r="J1864" s="22"/>
      <c r="K1864" s="23"/>
      <c r="L1864" s="23"/>
      <c r="M1864" s="22"/>
      <c r="N1864" s="22"/>
      <c r="O1864" s="22"/>
      <c r="P1864" s="23"/>
      <c r="Q1864" s="23"/>
      <c r="R1864" s="22"/>
      <c r="S1864" s="22"/>
      <c r="T1864" s="22"/>
      <c r="U1864" s="24"/>
      <c r="V1864" s="15"/>
      <c r="W1864" s="16"/>
      <c r="X1864" s="16"/>
      <c r="Y1864" s="16"/>
    </row>
    <row r="1865" customFormat="false" ht="15.75" hidden="false" customHeight="false" outlineLevel="0" collapsed="false">
      <c r="A1865" s="9"/>
      <c r="B1865" s="10"/>
      <c r="C1865" s="10"/>
      <c r="D1865" s="10"/>
      <c r="E1865" s="10"/>
      <c r="F1865" s="10"/>
      <c r="G1865" s="10"/>
      <c r="H1865" s="10"/>
      <c r="I1865" s="25" t="n">
        <v>4</v>
      </c>
      <c r="J1865" s="25"/>
      <c r="K1865" s="26"/>
      <c r="L1865" s="26"/>
      <c r="M1865" s="25"/>
      <c r="N1865" s="25"/>
      <c r="O1865" s="25"/>
      <c r="P1865" s="26"/>
      <c r="Q1865" s="26"/>
      <c r="R1865" s="25"/>
      <c r="S1865" s="25"/>
      <c r="T1865" s="25"/>
      <c r="U1865" s="27"/>
      <c r="V1865" s="21"/>
      <c r="W1865" s="16"/>
      <c r="X1865" s="16"/>
      <c r="Y1865" s="16"/>
    </row>
    <row r="1866" customFormat="false" ht="15.75" hidden="false" customHeight="false" outlineLevel="0" collapsed="false">
      <c r="A1866" s="9"/>
      <c r="B1866" s="10"/>
      <c r="C1866" s="11"/>
      <c r="D1866" s="10"/>
      <c r="E1866" s="10"/>
      <c r="F1866" s="10"/>
      <c r="G1866" s="10"/>
      <c r="H1866" s="10"/>
      <c r="I1866" s="12" t="n">
        <v>1</v>
      </c>
      <c r="J1866" s="12"/>
      <c r="K1866" s="13"/>
      <c r="L1866" s="13"/>
      <c r="M1866" s="12"/>
      <c r="N1866" s="12"/>
      <c r="O1866" s="12"/>
      <c r="P1866" s="13"/>
      <c r="Q1866" s="13"/>
      <c r="R1866" s="12"/>
      <c r="S1866" s="12"/>
      <c r="T1866" s="12"/>
      <c r="U1866" s="14"/>
      <c r="V1866" s="15"/>
      <c r="W1866" s="16" t="n">
        <f aca="false">A1866</f>
        <v>0</v>
      </c>
      <c r="X1866" s="17" t="e">
        <f aca="false">ifs(C1866="","",X1866="",NOW(),TRUE(),X1866)</f>
        <v>#VALUE!</v>
      </c>
      <c r="Y1866" s="17" t="e">
        <f aca="false">ifs(COUNTA(K1866:U1869)&lt;44,"",Y1866="",NOW(),TRUE(),Y1866)</f>
        <v>#VALUE!</v>
      </c>
    </row>
    <row r="1867" customFormat="false" ht="15.75" hidden="false" customHeight="false" outlineLevel="0" collapsed="false">
      <c r="A1867" s="9"/>
      <c r="B1867" s="10"/>
      <c r="C1867" s="10"/>
      <c r="D1867" s="10"/>
      <c r="E1867" s="10"/>
      <c r="F1867" s="10"/>
      <c r="G1867" s="10"/>
      <c r="H1867" s="10"/>
      <c r="I1867" s="18" t="n">
        <v>2</v>
      </c>
      <c r="J1867" s="18"/>
      <c r="K1867" s="19"/>
      <c r="L1867" s="19"/>
      <c r="M1867" s="18"/>
      <c r="N1867" s="18"/>
      <c r="O1867" s="18"/>
      <c r="P1867" s="19"/>
      <c r="Q1867" s="19"/>
      <c r="R1867" s="18"/>
      <c r="S1867" s="18"/>
      <c r="T1867" s="18"/>
      <c r="U1867" s="20"/>
      <c r="V1867" s="21"/>
      <c r="W1867" s="16"/>
      <c r="X1867" s="16"/>
      <c r="Y1867" s="16"/>
    </row>
    <row r="1868" customFormat="false" ht="15.75" hidden="false" customHeight="false" outlineLevel="0" collapsed="false">
      <c r="A1868" s="9"/>
      <c r="B1868" s="10"/>
      <c r="C1868" s="10"/>
      <c r="D1868" s="10"/>
      <c r="E1868" s="10"/>
      <c r="F1868" s="10"/>
      <c r="G1868" s="10"/>
      <c r="H1868" s="10"/>
      <c r="I1868" s="22" t="n">
        <v>3</v>
      </c>
      <c r="J1868" s="22"/>
      <c r="K1868" s="23"/>
      <c r="L1868" s="23"/>
      <c r="M1868" s="22"/>
      <c r="N1868" s="22"/>
      <c r="O1868" s="22"/>
      <c r="P1868" s="23"/>
      <c r="Q1868" s="23"/>
      <c r="R1868" s="22"/>
      <c r="S1868" s="22"/>
      <c r="T1868" s="22"/>
      <c r="U1868" s="24"/>
      <c r="V1868" s="15"/>
      <c r="W1868" s="16"/>
      <c r="X1868" s="16"/>
      <c r="Y1868" s="16"/>
    </row>
    <row r="1869" customFormat="false" ht="15.75" hidden="false" customHeight="false" outlineLevel="0" collapsed="false">
      <c r="A1869" s="9"/>
      <c r="B1869" s="10"/>
      <c r="C1869" s="10"/>
      <c r="D1869" s="10"/>
      <c r="E1869" s="10"/>
      <c r="F1869" s="10"/>
      <c r="G1869" s="10"/>
      <c r="H1869" s="10"/>
      <c r="I1869" s="25" t="n">
        <v>4</v>
      </c>
      <c r="J1869" s="25"/>
      <c r="K1869" s="26"/>
      <c r="L1869" s="26"/>
      <c r="M1869" s="25"/>
      <c r="N1869" s="25"/>
      <c r="O1869" s="25"/>
      <c r="P1869" s="26"/>
      <c r="Q1869" s="26"/>
      <c r="R1869" s="25"/>
      <c r="S1869" s="25"/>
      <c r="T1869" s="25"/>
      <c r="U1869" s="27"/>
      <c r="V1869" s="21"/>
      <c r="W1869" s="16"/>
      <c r="X1869" s="16"/>
      <c r="Y1869" s="16"/>
    </row>
    <row r="1870" customFormat="false" ht="15.75" hidden="false" customHeight="false" outlineLevel="0" collapsed="false">
      <c r="A1870" s="9"/>
      <c r="B1870" s="10"/>
      <c r="C1870" s="11"/>
      <c r="D1870" s="10"/>
      <c r="E1870" s="10"/>
      <c r="F1870" s="10"/>
      <c r="G1870" s="10"/>
      <c r="H1870" s="10"/>
      <c r="I1870" s="12" t="n">
        <v>1</v>
      </c>
      <c r="J1870" s="12"/>
      <c r="K1870" s="13"/>
      <c r="L1870" s="13"/>
      <c r="M1870" s="12"/>
      <c r="N1870" s="12"/>
      <c r="O1870" s="12"/>
      <c r="P1870" s="13"/>
      <c r="Q1870" s="13"/>
      <c r="R1870" s="12"/>
      <c r="S1870" s="12"/>
      <c r="T1870" s="12"/>
      <c r="U1870" s="14"/>
      <c r="V1870" s="15"/>
      <c r="W1870" s="16" t="n">
        <f aca="false">A1870</f>
        <v>0</v>
      </c>
      <c r="X1870" s="17" t="e">
        <f aca="false">ifs(C1870="","",X1870="",NOW(),TRUE(),X1870)</f>
        <v>#VALUE!</v>
      </c>
      <c r="Y1870" s="17" t="e">
        <f aca="false">ifs(COUNTA(K1870:U1873)&lt;44,"",Y1870="",NOW(),TRUE(),Y1870)</f>
        <v>#VALUE!</v>
      </c>
    </row>
    <row r="1871" customFormat="false" ht="15.75" hidden="false" customHeight="false" outlineLevel="0" collapsed="false">
      <c r="A1871" s="9"/>
      <c r="B1871" s="10"/>
      <c r="C1871" s="10"/>
      <c r="D1871" s="10"/>
      <c r="E1871" s="10"/>
      <c r="F1871" s="10"/>
      <c r="G1871" s="10"/>
      <c r="H1871" s="10"/>
      <c r="I1871" s="18" t="n">
        <v>2</v>
      </c>
      <c r="J1871" s="18"/>
      <c r="K1871" s="19"/>
      <c r="L1871" s="19"/>
      <c r="M1871" s="18"/>
      <c r="N1871" s="18"/>
      <c r="O1871" s="18"/>
      <c r="P1871" s="19"/>
      <c r="Q1871" s="19"/>
      <c r="R1871" s="18"/>
      <c r="S1871" s="18"/>
      <c r="T1871" s="18"/>
      <c r="U1871" s="20"/>
      <c r="V1871" s="21"/>
      <c r="W1871" s="16"/>
      <c r="X1871" s="16"/>
      <c r="Y1871" s="16"/>
    </row>
    <row r="1872" customFormat="false" ht="15.75" hidden="false" customHeight="false" outlineLevel="0" collapsed="false">
      <c r="A1872" s="9"/>
      <c r="B1872" s="10"/>
      <c r="C1872" s="10"/>
      <c r="D1872" s="10"/>
      <c r="E1872" s="10"/>
      <c r="F1872" s="10"/>
      <c r="G1872" s="10"/>
      <c r="H1872" s="10"/>
      <c r="I1872" s="22" t="n">
        <v>3</v>
      </c>
      <c r="J1872" s="22"/>
      <c r="K1872" s="23"/>
      <c r="L1872" s="23"/>
      <c r="M1872" s="22"/>
      <c r="N1872" s="22"/>
      <c r="O1872" s="22"/>
      <c r="P1872" s="23"/>
      <c r="Q1872" s="23"/>
      <c r="R1872" s="22"/>
      <c r="S1872" s="22"/>
      <c r="T1872" s="22"/>
      <c r="U1872" s="24"/>
      <c r="V1872" s="15"/>
      <c r="W1872" s="16"/>
      <c r="X1872" s="16"/>
      <c r="Y1872" s="16"/>
    </row>
    <row r="1873" customFormat="false" ht="15.75" hidden="false" customHeight="false" outlineLevel="0" collapsed="false">
      <c r="A1873" s="9"/>
      <c r="B1873" s="10"/>
      <c r="C1873" s="10"/>
      <c r="D1873" s="10"/>
      <c r="E1873" s="10"/>
      <c r="F1873" s="10"/>
      <c r="G1873" s="10"/>
      <c r="H1873" s="10"/>
      <c r="I1873" s="25" t="n">
        <v>4</v>
      </c>
      <c r="J1873" s="25"/>
      <c r="K1873" s="26"/>
      <c r="L1873" s="26"/>
      <c r="M1873" s="25"/>
      <c r="N1873" s="25"/>
      <c r="O1873" s="25"/>
      <c r="P1873" s="26"/>
      <c r="Q1873" s="26"/>
      <c r="R1873" s="25"/>
      <c r="S1873" s="25"/>
      <c r="T1873" s="25"/>
      <c r="U1873" s="27"/>
      <c r="V1873" s="21"/>
      <c r="W1873" s="16"/>
      <c r="X1873" s="16"/>
      <c r="Y1873" s="16"/>
    </row>
    <row r="1874" customFormat="false" ht="15.75" hidden="false" customHeight="false" outlineLevel="0" collapsed="false">
      <c r="A1874" s="9"/>
      <c r="B1874" s="10"/>
      <c r="C1874" s="11"/>
      <c r="D1874" s="10"/>
      <c r="E1874" s="10"/>
      <c r="F1874" s="10"/>
      <c r="G1874" s="10"/>
      <c r="H1874" s="10"/>
      <c r="I1874" s="12" t="n">
        <v>1</v>
      </c>
      <c r="J1874" s="12"/>
      <c r="K1874" s="13"/>
      <c r="L1874" s="13"/>
      <c r="M1874" s="12"/>
      <c r="N1874" s="12"/>
      <c r="O1874" s="12"/>
      <c r="P1874" s="13"/>
      <c r="Q1874" s="13"/>
      <c r="R1874" s="12"/>
      <c r="S1874" s="12"/>
      <c r="T1874" s="12"/>
      <c r="U1874" s="14"/>
      <c r="V1874" s="15"/>
      <c r="W1874" s="16" t="n">
        <f aca="false">A1874</f>
        <v>0</v>
      </c>
      <c r="X1874" s="17" t="e">
        <f aca="false">ifs(C1874="","",X1874="",NOW(),TRUE(),X1874)</f>
        <v>#VALUE!</v>
      </c>
      <c r="Y1874" s="17" t="e">
        <f aca="false">ifs(COUNTA(K1874:U1877)&lt;44,"",Y1874="",NOW(),TRUE(),Y1874)</f>
        <v>#VALUE!</v>
      </c>
    </row>
    <row r="1875" customFormat="false" ht="15.75" hidden="false" customHeight="false" outlineLevel="0" collapsed="false">
      <c r="A1875" s="9"/>
      <c r="B1875" s="10"/>
      <c r="C1875" s="10"/>
      <c r="D1875" s="10"/>
      <c r="E1875" s="10"/>
      <c r="F1875" s="10"/>
      <c r="G1875" s="10"/>
      <c r="H1875" s="10"/>
      <c r="I1875" s="18" t="n">
        <v>2</v>
      </c>
      <c r="J1875" s="18"/>
      <c r="K1875" s="19"/>
      <c r="L1875" s="19"/>
      <c r="M1875" s="18"/>
      <c r="N1875" s="18"/>
      <c r="O1875" s="18"/>
      <c r="P1875" s="19"/>
      <c r="Q1875" s="19"/>
      <c r="R1875" s="18"/>
      <c r="S1875" s="18"/>
      <c r="T1875" s="18"/>
      <c r="U1875" s="20"/>
      <c r="V1875" s="21"/>
      <c r="W1875" s="16"/>
      <c r="X1875" s="16"/>
      <c r="Y1875" s="16"/>
    </row>
    <row r="1876" customFormat="false" ht="15.75" hidden="false" customHeight="false" outlineLevel="0" collapsed="false">
      <c r="A1876" s="9"/>
      <c r="B1876" s="10"/>
      <c r="C1876" s="10"/>
      <c r="D1876" s="10"/>
      <c r="E1876" s="10"/>
      <c r="F1876" s="10"/>
      <c r="G1876" s="10"/>
      <c r="H1876" s="10"/>
      <c r="I1876" s="22" t="n">
        <v>3</v>
      </c>
      <c r="J1876" s="22"/>
      <c r="K1876" s="23"/>
      <c r="L1876" s="23"/>
      <c r="M1876" s="22"/>
      <c r="N1876" s="22"/>
      <c r="O1876" s="22"/>
      <c r="P1876" s="23"/>
      <c r="Q1876" s="23"/>
      <c r="R1876" s="22"/>
      <c r="S1876" s="22"/>
      <c r="T1876" s="22"/>
      <c r="U1876" s="24"/>
      <c r="V1876" s="15"/>
      <c r="W1876" s="16"/>
      <c r="X1876" s="16"/>
      <c r="Y1876" s="16"/>
    </row>
    <row r="1877" customFormat="false" ht="15.75" hidden="false" customHeight="false" outlineLevel="0" collapsed="false">
      <c r="A1877" s="9"/>
      <c r="B1877" s="10"/>
      <c r="C1877" s="10"/>
      <c r="D1877" s="10"/>
      <c r="E1877" s="10"/>
      <c r="F1877" s="10"/>
      <c r="G1877" s="10"/>
      <c r="H1877" s="10"/>
      <c r="I1877" s="25" t="n">
        <v>4</v>
      </c>
      <c r="J1877" s="25"/>
      <c r="K1877" s="26"/>
      <c r="L1877" s="26"/>
      <c r="M1877" s="25"/>
      <c r="N1877" s="25"/>
      <c r="O1877" s="25"/>
      <c r="P1877" s="26"/>
      <c r="Q1877" s="26"/>
      <c r="R1877" s="25"/>
      <c r="S1877" s="25"/>
      <c r="T1877" s="25"/>
      <c r="U1877" s="27"/>
      <c r="V1877" s="21"/>
      <c r="W1877" s="16"/>
      <c r="X1877" s="16"/>
      <c r="Y1877" s="16"/>
    </row>
    <row r="1878" customFormat="false" ht="15.75" hidden="false" customHeight="false" outlineLevel="0" collapsed="false">
      <c r="A1878" s="9"/>
      <c r="B1878" s="10"/>
      <c r="C1878" s="11"/>
      <c r="D1878" s="10"/>
      <c r="E1878" s="10"/>
      <c r="F1878" s="10"/>
      <c r="G1878" s="10"/>
      <c r="H1878" s="10"/>
      <c r="I1878" s="12" t="n">
        <v>1</v>
      </c>
      <c r="J1878" s="12"/>
      <c r="K1878" s="13"/>
      <c r="L1878" s="13"/>
      <c r="M1878" s="12"/>
      <c r="N1878" s="12"/>
      <c r="O1878" s="12"/>
      <c r="P1878" s="13"/>
      <c r="Q1878" s="13"/>
      <c r="R1878" s="12"/>
      <c r="S1878" s="12"/>
      <c r="T1878" s="12"/>
      <c r="U1878" s="14"/>
      <c r="V1878" s="15"/>
      <c r="W1878" s="16" t="n">
        <f aca="false">A1878</f>
        <v>0</v>
      </c>
      <c r="X1878" s="17" t="e">
        <f aca="false">ifs(C1878="","",X1878="",NOW(),TRUE(),X1878)</f>
        <v>#VALUE!</v>
      </c>
      <c r="Y1878" s="17" t="e">
        <f aca="false">ifs(COUNTA(K1878:U1881)&lt;44,"",Y1878="",NOW(),TRUE(),Y1878)</f>
        <v>#VALUE!</v>
      </c>
    </row>
    <row r="1879" customFormat="false" ht="15.75" hidden="false" customHeight="false" outlineLevel="0" collapsed="false">
      <c r="A1879" s="9"/>
      <c r="B1879" s="10"/>
      <c r="C1879" s="10"/>
      <c r="D1879" s="10"/>
      <c r="E1879" s="10"/>
      <c r="F1879" s="10"/>
      <c r="G1879" s="10"/>
      <c r="H1879" s="10"/>
      <c r="I1879" s="18" t="n">
        <v>2</v>
      </c>
      <c r="J1879" s="18"/>
      <c r="K1879" s="19"/>
      <c r="L1879" s="19"/>
      <c r="M1879" s="18"/>
      <c r="N1879" s="18"/>
      <c r="O1879" s="18"/>
      <c r="P1879" s="19"/>
      <c r="Q1879" s="19"/>
      <c r="R1879" s="18"/>
      <c r="S1879" s="18"/>
      <c r="T1879" s="18"/>
      <c r="U1879" s="20"/>
      <c r="V1879" s="21"/>
      <c r="W1879" s="16"/>
      <c r="X1879" s="16"/>
      <c r="Y1879" s="16"/>
    </row>
    <row r="1880" customFormat="false" ht="15.75" hidden="false" customHeight="false" outlineLevel="0" collapsed="false">
      <c r="A1880" s="9"/>
      <c r="B1880" s="10"/>
      <c r="C1880" s="10"/>
      <c r="D1880" s="10"/>
      <c r="E1880" s="10"/>
      <c r="F1880" s="10"/>
      <c r="G1880" s="10"/>
      <c r="H1880" s="10"/>
      <c r="I1880" s="22" t="n">
        <v>3</v>
      </c>
      <c r="J1880" s="22"/>
      <c r="K1880" s="23"/>
      <c r="L1880" s="23"/>
      <c r="M1880" s="22"/>
      <c r="N1880" s="22"/>
      <c r="O1880" s="22"/>
      <c r="P1880" s="23"/>
      <c r="Q1880" s="23"/>
      <c r="R1880" s="22"/>
      <c r="S1880" s="22"/>
      <c r="T1880" s="22"/>
      <c r="U1880" s="24"/>
      <c r="V1880" s="15"/>
      <c r="W1880" s="16"/>
      <c r="X1880" s="16"/>
      <c r="Y1880" s="16"/>
    </row>
    <row r="1881" customFormat="false" ht="15.75" hidden="false" customHeight="false" outlineLevel="0" collapsed="false">
      <c r="A1881" s="9"/>
      <c r="B1881" s="10"/>
      <c r="C1881" s="10"/>
      <c r="D1881" s="10"/>
      <c r="E1881" s="10"/>
      <c r="F1881" s="10"/>
      <c r="G1881" s="10"/>
      <c r="H1881" s="10"/>
      <c r="I1881" s="25" t="n">
        <v>4</v>
      </c>
      <c r="J1881" s="25"/>
      <c r="K1881" s="26"/>
      <c r="L1881" s="26"/>
      <c r="M1881" s="25"/>
      <c r="N1881" s="25"/>
      <c r="O1881" s="25"/>
      <c r="P1881" s="26"/>
      <c r="Q1881" s="26"/>
      <c r="R1881" s="25"/>
      <c r="S1881" s="25"/>
      <c r="T1881" s="25"/>
      <c r="U1881" s="27"/>
      <c r="V1881" s="21"/>
      <c r="W1881" s="16"/>
      <c r="X1881" s="16"/>
      <c r="Y1881" s="16"/>
    </row>
    <row r="1882" customFormat="false" ht="15.75" hidden="false" customHeight="false" outlineLevel="0" collapsed="false">
      <c r="A1882" s="9"/>
      <c r="B1882" s="10"/>
      <c r="C1882" s="11"/>
      <c r="D1882" s="10"/>
      <c r="E1882" s="10"/>
      <c r="F1882" s="10"/>
      <c r="G1882" s="10"/>
      <c r="H1882" s="10"/>
      <c r="I1882" s="12" t="n">
        <v>1</v>
      </c>
      <c r="J1882" s="12"/>
      <c r="K1882" s="13"/>
      <c r="L1882" s="13"/>
      <c r="M1882" s="12"/>
      <c r="N1882" s="12"/>
      <c r="O1882" s="12"/>
      <c r="P1882" s="13"/>
      <c r="Q1882" s="13"/>
      <c r="R1882" s="12"/>
      <c r="S1882" s="12"/>
      <c r="T1882" s="12"/>
      <c r="U1882" s="14"/>
      <c r="V1882" s="15"/>
      <c r="W1882" s="16" t="n">
        <f aca="false">A1882</f>
        <v>0</v>
      </c>
      <c r="X1882" s="17" t="e">
        <f aca="false">ifs(C1882="","",X1882="",NOW(),TRUE(),X1882)</f>
        <v>#VALUE!</v>
      </c>
      <c r="Y1882" s="17" t="e">
        <f aca="false">ifs(COUNTA(K1882:U1885)&lt;44,"",Y1882="",NOW(),TRUE(),Y1882)</f>
        <v>#VALUE!</v>
      </c>
    </row>
    <row r="1883" customFormat="false" ht="15.75" hidden="false" customHeight="false" outlineLevel="0" collapsed="false">
      <c r="A1883" s="9"/>
      <c r="B1883" s="10"/>
      <c r="C1883" s="10"/>
      <c r="D1883" s="10"/>
      <c r="E1883" s="10"/>
      <c r="F1883" s="10"/>
      <c r="G1883" s="10"/>
      <c r="H1883" s="10"/>
      <c r="I1883" s="18" t="n">
        <v>2</v>
      </c>
      <c r="J1883" s="18"/>
      <c r="K1883" s="19"/>
      <c r="L1883" s="19"/>
      <c r="M1883" s="18"/>
      <c r="N1883" s="18"/>
      <c r="O1883" s="18"/>
      <c r="P1883" s="19"/>
      <c r="Q1883" s="19"/>
      <c r="R1883" s="18"/>
      <c r="S1883" s="18"/>
      <c r="T1883" s="18"/>
      <c r="U1883" s="20"/>
      <c r="V1883" s="21"/>
      <c r="W1883" s="16"/>
      <c r="X1883" s="16"/>
      <c r="Y1883" s="16"/>
    </row>
    <row r="1884" customFormat="false" ht="15.75" hidden="false" customHeight="false" outlineLevel="0" collapsed="false">
      <c r="A1884" s="9"/>
      <c r="B1884" s="10"/>
      <c r="C1884" s="10"/>
      <c r="D1884" s="10"/>
      <c r="E1884" s="10"/>
      <c r="F1884" s="10"/>
      <c r="G1884" s="10"/>
      <c r="H1884" s="10"/>
      <c r="I1884" s="22" t="n">
        <v>3</v>
      </c>
      <c r="J1884" s="22"/>
      <c r="K1884" s="23"/>
      <c r="L1884" s="23"/>
      <c r="M1884" s="22"/>
      <c r="N1884" s="22"/>
      <c r="O1884" s="22"/>
      <c r="P1884" s="23"/>
      <c r="Q1884" s="23"/>
      <c r="R1884" s="22"/>
      <c r="S1884" s="22"/>
      <c r="T1884" s="22"/>
      <c r="U1884" s="24"/>
      <c r="V1884" s="15"/>
      <c r="W1884" s="16"/>
      <c r="X1884" s="16"/>
      <c r="Y1884" s="16"/>
    </row>
    <row r="1885" customFormat="false" ht="15.75" hidden="false" customHeight="false" outlineLevel="0" collapsed="false">
      <c r="A1885" s="9"/>
      <c r="B1885" s="10"/>
      <c r="C1885" s="10"/>
      <c r="D1885" s="10"/>
      <c r="E1885" s="10"/>
      <c r="F1885" s="10"/>
      <c r="G1885" s="10"/>
      <c r="H1885" s="10"/>
      <c r="I1885" s="25" t="n">
        <v>4</v>
      </c>
      <c r="J1885" s="25"/>
      <c r="K1885" s="26"/>
      <c r="L1885" s="26"/>
      <c r="M1885" s="25"/>
      <c r="N1885" s="25"/>
      <c r="O1885" s="25"/>
      <c r="P1885" s="26"/>
      <c r="Q1885" s="26"/>
      <c r="R1885" s="25"/>
      <c r="S1885" s="25"/>
      <c r="T1885" s="25"/>
      <c r="U1885" s="27"/>
      <c r="V1885" s="21"/>
      <c r="W1885" s="16"/>
      <c r="X1885" s="16"/>
      <c r="Y1885" s="16"/>
    </row>
    <row r="1886" customFormat="false" ht="15.75" hidden="false" customHeight="false" outlineLevel="0" collapsed="false">
      <c r="A1886" s="9"/>
      <c r="B1886" s="10"/>
      <c r="C1886" s="11"/>
      <c r="D1886" s="10"/>
      <c r="E1886" s="10"/>
      <c r="F1886" s="10"/>
      <c r="G1886" s="10"/>
      <c r="H1886" s="10"/>
      <c r="I1886" s="12" t="n">
        <v>1</v>
      </c>
      <c r="J1886" s="12"/>
      <c r="K1886" s="13"/>
      <c r="L1886" s="13"/>
      <c r="M1886" s="12"/>
      <c r="N1886" s="12"/>
      <c r="O1886" s="12"/>
      <c r="P1886" s="13"/>
      <c r="Q1886" s="13"/>
      <c r="R1886" s="12"/>
      <c r="S1886" s="12"/>
      <c r="T1886" s="12"/>
      <c r="U1886" s="14"/>
      <c r="V1886" s="15"/>
      <c r="W1886" s="16" t="n">
        <f aca="false">A1886</f>
        <v>0</v>
      </c>
      <c r="X1886" s="17" t="e">
        <f aca="false">ifs(C1886="","",X1886="",NOW(),TRUE(),X1886)</f>
        <v>#VALUE!</v>
      </c>
      <c r="Y1886" s="17" t="e">
        <f aca="false">ifs(COUNTA(K1886:U1889)&lt;44,"",Y1886="",NOW(),TRUE(),Y1886)</f>
        <v>#VALUE!</v>
      </c>
    </row>
    <row r="1887" customFormat="false" ht="15.75" hidden="false" customHeight="false" outlineLevel="0" collapsed="false">
      <c r="A1887" s="9"/>
      <c r="B1887" s="10"/>
      <c r="C1887" s="10"/>
      <c r="D1887" s="10"/>
      <c r="E1887" s="10"/>
      <c r="F1887" s="10"/>
      <c r="G1887" s="10"/>
      <c r="H1887" s="10"/>
      <c r="I1887" s="18" t="n">
        <v>2</v>
      </c>
      <c r="J1887" s="18"/>
      <c r="K1887" s="19"/>
      <c r="L1887" s="19"/>
      <c r="M1887" s="18"/>
      <c r="N1887" s="18"/>
      <c r="O1887" s="18"/>
      <c r="P1887" s="19"/>
      <c r="Q1887" s="19"/>
      <c r="R1887" s="18"/>
      <c r="S1887" s="18"/>
      <c r="T1887" s="18"/>
      <c r="U1887" s="20"/>
      <c r="V1887" s="21"/>
      <c r="W1887" s="16"/>
      <c r="X1887" s="16"/>
      <c r="Y1887" s="16"/>
    </row>
    <row r="1888" customFormat="false" ht="15.75" hidden="false" customHeight="false" outlineLevel="0" collapsed="false">
      <c r="A1888" s="9"/>
      <c r="B1888" s="10"/>
      <c r="C1888" s="10"/>
      <c r="D1888" s="10"/>
      <c r="E1888" s="10"/>
      <c r="F1888" s="10"/>
      <c r="G1888" s="10"/>
      <c r="H1888" s="10"/>
      <c r="I1888" s="22" t="n">
        <v>3</v>
      </c>
      <c r="J1888" s="22"/>
      <c r="K1888" s="23"/>
      <c r="L1888" s="23"/>
      <c r="M1888" s="22"/>
      <c r="N1888" s="22"/>
      <c r="O1888" s="22"/>
      <c r="P1888" s="23"/>
      <c r="Q1888" s="23"/>
      <c r="R1888" s="22"/>
      <c r="S1888" s="22"/>
      <c r="T1888" s="22"/>
      <c r="U1888" s="24"/>
      <c r="V1888" s="15"/>
      <c r="W1888" s="16"/>
      <c r="X1888" s="16"/>
      <c r="Y1888" s="16"/>
    </row>
    <row r="1889" customFormat="false" ht="15.75" hidden="false" customHeight="false" outlineLevel="0" collapsed="false">
      <c r="A1889" s="9"/>
      <c r="B1889" s="10"/>
      <c r="C1889" s="10"/>
      <c r="D1889" s="10"/>
      <c r="E1889" s="10"/>
      <c r="F1889" s="10"/>
      <c r="G1889" s="10"/>
      <c r="H1889" s="10"/>
      <c r="I1889" s="25" t="n">
        <v>4</v>
      </c>
      <c r="J1889" s="25"/>
      <c r="K1889" s="26"/>
      <c r="L1889" s="26"/>
      <c r="M1889" s="25"/>
      <c r="N1889" s="25"/>
      <c r="O1889" s="25"/>
      <c r="P1889" s="26"/>
      <c r="Q1889" s="26"/>
      <c r="R1889" s="25"/>
      <c r="S1889" s="25"/>
      <c r="T1889" s="25"/>
      <c r="U1889" s="27"/>
      <c r="V1889" s="21"/>
      <c r="W1889" s="16"/>
      <c r="X1889" s="16"/>
      <c r="Y1889" s="16"/>
    </row>
    <row r="1890" customFormat="false" ht="15.75" hidden="false" customHeight="false" outlineLevel="0" collapsed="false">
      <c r="A1890" s="9"/>
      <c r="B1890" s="10"/>
      <c r="C1890" s="11"/>
      <c r="D1890" s="10"/>
      <c r="E1890" s="10"/>
      <c r="F1890" s="10"/>
      <c r="G1890" s="10"/>
      <c r="H1890" s="10"/>
      <c r="I1890" s="12" t="n">
        <v>1</v>
      </c>
      <c r="J1890" s="12"/>
      <c r="K1890" s="13"/>
      <c r="L1890" s="13"/>
      <c r="M1890" s="12"/>
      <c r="N1890" s="12"/>
      <c r="O1890" s="12"/>
      <c r="P1890" s="13"/>
      <c r="Q1890" s="13"/>
      <c r="R1890" s="12"/>
      <c r="S1890" s="12"/>
      <c r="T1890" s="12"/>
      <c r="U1890" s="14"/>
      <c r="V1890" s="15"/>
      <c r="W1890" s="16" t="n">
        <f aca="false">A1890</f>
        <v>0</v>
      </c>
      <c r="X1890" s="17" t="e">
        <f aca="false">ifs(C1890="","",X1890="",NOW(),TRUE(),X1890)</f>
        <v>#VALUE!</v>
      </c>
      <c r="Y1890" s="17" t="e">
        <f aca="false">ifs(COUNTA(K1890:U1893)&lt;44,"",Y1890="",NOW(),TRUE(),Y1890)</f>
        <v>#VALUE!</v>
      </c>
    </row>
    <row r="1891" customFormat="false" ht="15.75" hidden="false" customHeight="false" outlineLevel="0" collapsed="false">
      <c r="A1891" s="9"/>
      <c r="B1891" s="10"/>
      <c r="C1891" s="10"/>
      <c r="D1891" s="10"/>
      <c r="E1891" s="10"/>
      <c r="F1891" s="10"/>
      <c r="G1891" s="10"/>
      <c r="H1891" s="10"/>
      <c r="I1891" s="18" t="n">
        <v>2</v>
      </c>
      <c r="J1891" s="18"/>
      <c r="K1891" s="19"/>
      <c r="L1891" s="19"/>
      <c r="M1891" s="18"/>
      <c r="N1891" s="18"/>
      <c r="O1891" s="18"/>
      <c r="P1891" s="19"/>
      <c r="Q1891" s="19"/>
      <c r="R1891" s="18"/>
      <c r="S1891" s="18"/>
      <c r="T1891" s="18"/>
      <c r="U1891" s="20"/>
      <c r="V1891" s="21"/>
      <c r="W1891" s="16"/>
      <c r="X1891" s="16"/>
      <c r="Y1891" s="16"/>
    </row>
    <row r="1892" customFormat="false" ht="15.75" hidden="false" customHeight="false" outlineLevel="0" collapsed="false">
      <c r="A1892" s="9"/>
      <c r="B1892" s="10"/>
      <c r="C1892" s="10"/>
      <c r="D1892" s="10"/>
      <c r="E1892" s="10"/>
      <c r="F1892" s="10"/>
      <c r="G1892" s="10"/>
      <c r="H1892" s="10"/>
      <c r="I1892" s="22" t="n">
        <v>3</v>
      </c>
      <c r="J1892" s="22"/>
      <c r="K1892" s="23"/>
      <c r="L1892" s="23"/>
      <c r="M1892" s="22"/>
      <c r="N1892" s="22"/>
      <c r="O1892" s="22"/>
      <c r="P1892" s="23"/>
      <c r="Q1892" s="23"/>
      <c r="R1892" s="22"/>
      <c r="S1892" s="22"/>
      <c r="T1892" s="22"/>
      <c r="U1892" s="24"/>
      <c r="V1892" s="15"/>
      <c r="W1892" s="16"/>
      <c r="X1892" s="16"/>
      <c r="Y1892" s="16"/>
    </row>
    <row r="1893" customFormat="false" ht="15.75" hidden="false" customHeight="false" outlineLevel="0" collapsed="false">
      <c r="A1893" s="9"/>
      <c r="B1893" s="10"/>
      <c r="C1893" s="10"/>
      <c r="D1893" s="10"/>
      <c r="E1893" s="10"/>
      <c r="F1893" s="10"/>
      <c r="G1893" s="10"/>
      <c r="H1893" s="10"/>
      <c r="I1893" s="25" t="n">
        <v>4</v>
      </c>
      <c r="J1893" s="25"/>
      <c r="K1893" s="26"/>
      <c r="L1893" s="26"/>
      <c r="M1893" s="25"/>
      <c r="N1893" s="25"/>
      <c r="O1893" s="25"/>
      <c r="P1893" s="26"/>
      <c r="Q1893" s="26"/>
      <c r="R1893" s="25"/>
      <c r="S1893" s="25"/>
      <c r="T1893" s="25"/>
      <c r="U1893" s="27"/>
      <c r="V1893" s="21"/>
      <c r="W1893" s="16"/>
      <c r="X1893" s="16"/>
      <c r="Y1893" s="16"/>
    </row>
    <row r="1894" customFormat="false" ht="15.75" hidden="false" customHeight="false" outlineLevel="0" collapsed="false">
      <c r="A1894" s="9"/>
      <c r="B1894" s="10"/>
      <c r="C1894" s="11"/>
      <c r="D1894" s="10"/>
      <c r="E1894" s="10"/>
      <c r="F1894" s="10"/>
      <c r="G1894" s="10"/>
      <c r="H1894" s="10"/>
      <c r="I1894" s="12" t="n">
        <v>1</v>
      </c>
      <c r="J1894" s="12"/>
      <c r="K1894" s="13"/>
      <c r="L1894" s="13"/>
      <c r="M1894" s="12"/>
      <c r="N1894" s="12"/>
      <c r="O1894" s="12"/>
      <c r="P1894" s="13"/>
      <c r="Q1894" s="13"/>
      <c r="R1894" s="12"/>
      <c r="S1894" s="12"/>
      <c r="T1894" s="12"/>
      <c r="U1894" s="14"/>
      <c r="V1894" s="15"/>
      <c r="W1894" s="16" t="n">
        <f aca="false">A1894</f>
        <v>0</v>
      </c>
      <c r="X1894" s="17" t="e">
        <f aca="false">ifs(C1894="","",X1894="",NOW(),TRUE(),X1894)</f>
        <v>#VALUE!</v>
      </c>
      <c r="Y1894" s="17" t="e">
        <f aca="false">ifs(COUNTA(K1894:U1897)&lt;44,"",Y1894="",NOW(),TRUE(),Y1894)</f>
        <v>#VALUE!</v>
      </c>
    </row>
    <row r="1895" customFormat="false" ht="15.75" hidden="false" customHeight="false" outlineLevel="0" collapsed="false">
      <c r="A1895" s="9"/>
      <c r="B1895" s="10"/>
      <c r="C1895" s="10"/>
      <c r="D1895" s="10"/>
      <c r="E1895" s="10"/>
      <c r="F1895" s="10"/>
      <c r="G1895" s="10"/>
      <c r="H1895" s="10"/>
      <c r="I1895" s="18" t="n">
        <v>2</v>
      </c>
      <c r="J1895" s="18"/>
      <c r="K1895" s="19"/>
      <c r="L1895" s="19"/>
      <c r="M1895" s="18"/>
      <c r="N1895" s="18"/>
      <c r="O1895" s="18"/>
      <c r="P1895" s="19"/>
      <c r="Q1895" s="19"/>
      <c r="R1895" s="18"/>
      <c r="S1895" s="18"/>
      <c r="T1895" s="18"/>
      <c r="U1895" s="20"/>
      <c r="V1895" s="21"/>
      <c r="W1895" s="16"/>
      <c r="X1895" s="16"/>
      <c r="Y1895" s="16"/>
    </row>
    <row r="1896" customFormat="false" ht="15.75" hidden="false" customHeight="false" outlineLevel="0" collapsed="false">
      <c r="A1896" s="9"/>
      <c r="B1896" s="10"/>
      <c r="C1896" s="10"/>
      <c r="D1896" s="10"/>
      <c r="E1896" s="10"/>
      <c r="F1896" s="10"/>
      <c r="G1896" s="10"/>
      <c r="H1896" s="10"/>
      <c r="I1896" s="22" t="n">
        <v>3</v>
      </c>
      <c r="J1896" s="22"/>
      <c r="K1896" s="23"/>
      <c r="L1896" s="23"/>
      <c r="M1896" s="22"/>
      <c r="N1896" s="22"/>
      <c r="O1896" s="22"/>
      <c r="P1896" s="23"/>
      <c r="Q1896" s="23"/>
      <c r="R1896" s="22"/>
      <c r="S1896" s="22"/>
      <c r="T1896" s="22"/>
      <c r="U1896" s="24"/>
      <c r="V1896" s="15"/>
      <c r="W1896" s="16"/>
      <c r="X1896" s="16"/>
      <c r="Y1896" s="16"/>
    </row>
    <row r="1897" customFormat="false" ht="15.75" hidden="false" customHeight="false" outlineLevel="0" collapsed="false">
      <c r="A1897" s="9"/>
      <c r="B1897" s="10"/>
      <c r="C1897" s="10"/>
      <c r="D1897" s="10"/>
      <c r="E1897" s="10"/>
      <c r="F1897" s="10"/>
      <c r="G1897" s="10"/>
      <c r="H1897" s="10"/>
      <c r="I1897" s="25" t="n">
        <v>4</v>
      </c>
      <c r="J1897" s="25"/>
      <c r="K1897" s="26"/>
      <c r="L1897" s="26"/>
      <c r="M1897" s="25"/>
      <c r="N1897" s="25"/>
      <c r="O1897" s="25"/>
      <c r="P1897" s="26"/>
      <c r="Q1897" s="26"/>
      <c r="R1897" s="25"/>
      <c r="S1897" s="25"/>
      <c r="T1897" s="25"/>
      <c r="U1897" s="27"/>
      <c r="V1897" s="21"/>
      <c r="W1897" s="16"/>
      <c r="X1897" s="16"/>
      <c r="Y1897" s="16"/>
    </row>
    <row r="1898" customFormat="false" ht="15.75" hidden="false" customHeight="false" outlineLevel="0" collapsed="false">
      <c r="A1898" s="9"/>
      <c r="B1898" s="10"/>
      <c r="C1898" s="11"/>
      <c r="D1898" s="10"/>
      <c r="E1898" s="10"/>
      <c r="F1898" s="10"/>
      <c r="G1898" s="10"/>
      <c r="H1898" s="10"/>
      <c r="I1898" s="12" t="n">
        <v>1</v>
      </c>
      <c r="J1898" s="12"/>
      <c r="K1898" s="13"/>
      <c r="L1898" s="13"/>
      <c r="M1898" s="12"/>
      <c r="N1898" s="12"/>
      <c r="O1898" s="12"/>
      <c r="P1898" s="13"/>
      <c r="Q1898" s="13"/>
      <c r="R1898" s="12"/>
      <c r="S1898" s="12"/>
      <c r="T1898" s="12"/>
      <c r="U1898" s="14"/>
      <c r="V1898" s="15"/>
      <c r="W1898" s="16" t="n">
        <f aca="false">A1898</f>
        <v>0</v>
      </c>
      <c r="X1898" s="17" t="e">
        <f aca="false">ifs(C1898="","",X1898="",NOW(),TRUE(),X1898)</f>
        <v>#VALUE!</v>
      </c>
      <c r="Y1898" s="17" t="e">
        <f aca="false">ifs(COUNTA(K1898:U1901)&lt;44,"",Y1898="",NOW(),TRUE(),Y1898)</f>
        <v>#VALUE!</v>
      </c>
    </row>
    <row r="1899" customFormat="false" ht="15.75" hidden="false" customHeight="false" outlineLevel="0" collapsed="false">
      <c r="A1899" s="9"/>
      <c r="B1899" s="10"/>
      <c r="C1899" s="10"/>
      <c r="D1899" s="10"/>
      <c r="E1899" s="10"/>
      <c r="F1899" s="10"/>
      <c r="G1899" s="10"/>
      <c r="H1899" s="10"/>
      <c r="I1899" s="18" t="n">
        <v>2</v>
      </c>
      <c r="J1899" s="18"/>
      <c r="K1899" s="19"/>
      <c r="L1899" s="19"/>
      <c r="M1899" s="18"/>
      <c r="N1899" s="18"/>
      <c r="O1899" s="18"/>
      <c r="P1899" s="19"/>
      <c r="Q1899" s="19"/>
      <c r="R1899" s="18"/>
      <c r="S1899" s="18"/>
      <c r="T1899" s="18"/>
      <c r="U1899" s="20"/>
      <c r="V1899" s="21"/>
      <c r="W1899" s="16"/>
      <c r="X1899" s="16"/>
      <c r="Y1899" s="16"/>
    </row>
    <row r="1900" customFormat="false" ht="15.75" hidden="false" customHeight="false" outlineLevel="0" collapsed="false">
      <c r="A1900" s="9"/>
      <c r="B1900" s="10"/>
      <c r="C1900" s="10"/>
      <c r="D1900" s="10"/>
      <c r="E1900" s="10"/>
      <c r="F1900" s="10"/>
      <c r="G1900" s="10"/>
      <c r="H1900" s="10"/>
      <c r="I1900" s="22" t="n">
        <v>3</v>
      </c>
      <c r="J1900" s="22"/>
      <c r="K1900" s="23"/>
      <c r="L1900" s="23"/>
      <c r="M1900" s="22"/>
      <c r="N1900" s="22"/>
      <c r="O1900" s="22"/>
      <c r="P1900" s="23"/>
      <c r="Q1900" s="23"/>
      <c r="R1900" s="22"/>
      <c r="S1900" s="22"/>
      <c r="T1900" s="22"/>
      <c r="U1900" s="24"/>
      <c r="V1900" s="15"/>
      <c r="W1900" s="16"/>
      <c r="X1900" s="16"/>
      <c r="Y1900" s="16"/>
    </row>
    <row r="1901" customFormat="false" ht="15.75" hidden="false" customHeight="false" outlineLevel="0" collapsed="false">
      <c r="A1901" s="9"/>
      <c r="B1901" s="10"/>
      <c r="C1901" s="10"/>
      <c r="D1901" s="10"/>
      <c r="E1901" s="10"/>
      <c r="F1901" s="10"/>
      <c r="G1901" s="10"/>
      <c r="H1901" s="10"/>
      <c r="I1901" s="25" t="n">
        <v>4</v>
      </c>
      <c r="J1901" s="25"/>
      <c r="K1901" s="26"/>
      <c r="L1901" s="26"/>
      <c r="M1901" s="25"/>
      <c r="N1901" s="25"/>
      <c r="O1901" s="25"/>
      <c r="P1901" s="26"/>
      <c r="Q1901" s="26"/>
      <c r="R1901" s="25"/>
      <c r="S1901" s="25"/>
      <c r="T1901" s="25"/>
      <c r="U1901" s="27"/>
      <c r="V1901" s="21"/>
      <c r="W1901" s="16"/>
      <c r="X1901" s="16"/>
      <c r="Y1901" s="16"/>
    </row>
    <row r="1902" customFormat="false" ht="15.75" hidden="false" customHeight="false" outlineLevel="0" collapsed="false">
      <c r="A1902" s="9"/>
      <c r="B1902" s="10"/>
      <c r="C1902" s="11"/>
      <c r="D1902" s="10"/>
      <c r="E1902" s="10"/>
      <c r="F1902" s="10"/>
      <c r="G1902" s="10"/>
      <c r="H1902" s="10"/>
      <c r="I1902" s="12" t="n">
        <v>1</v>
      </c>
      <c r="J1902" s="12"/>
      <c r="K1902" s="13"/>
      <c r="L1902" s="13"/>
      <c r="M1902" s="12"/>
      <c r="N1902" s="12"/>
      <c r="O1902" s="12"/>
      <c r="P1902" s="13"/>
      <c r="Q1902" s="13"/>
      <c r="R1902" s="12"/>
      <c r="S1902" s="12"/>
      <c r="T1902" s="12"/>
      <c r="U1902" s="14"/>
      <c r="V1902" s="15"/>
      <c r="W1902" s="16" t="n">
        <f aca="false">A1902</f>
        <v>0</v>
      </c>
      <c r="X1902" s="17" t="e">
        <f aca="false">ifs(C1902="","",X1902="",NOW(),TRUE(),X1902)</f>
        <v>#VALUE!</v>
      </c>
      <c r="Y1902" s="17" t="e">
        <f aca="false">ifs(COUNTA(K1902:U1905)&lt;44,"",Y1902="",NOW(),TRUE(),Y1902)</f>
        <v>#VALUE!</v>
      </c>
    </row>
    <row r="1903" customFormat="false" ht="15.75" hidden="false" customHeight="false" outlineLevel="0" collapsed="false">
      <c r="A1903" s="9"/>
      <c r="B1903" s="10"/>
      <c r="C1903" s="10"/>
      <c r="D1903" s="10"/>
      <c r="E1903" s="10"/>
      <c r="F1903" s="10"/>
      <c r="G1903" s="10"/>
      <c r="H1903" s="10"/>
      <c r="I1903" s="18" t="n">
        <v>2</v>
      </c>
      <c r="J1903" s="18"/>
      <c r="K1903" s="19"/>
      <c r="L1903" s="19"/>
      <c r="M1903" s="18"/>
      <c r="N1903" s="18"/>
      <c r="O1903" s="18"/>
      <c r="P1903" s="19"/>
      <c r="Q1903" s="19"/>
      <c r="R1903" s="18"/>
      <c r="S1903" s="18"/>
      <c r="T1903" s="18"/>
      <c r="U1903" s="20"/>
      <c r="V1903" s="21"/>
      <c r="W1903" s="16"/>
      <c r="X1903" s="16"/>
      <c r="Y1903" s="16"/>
    </row>
    <row r="1904" customFormat="false" ht="15.75" hidden="false" customHeight="false" outlineLevel="0" collapsed="false">
      <c r="A1904" s="9"/>
      <c r="B1904" s="10"/>
      <c r="C1904" s="10"/>
      <c r="D1904" s="10"/>
      <c r="E1904" s="10"/>
      <c r="F1904" s="10"/>
      <c r="G1904" s="10"/>
      <c r="H1904" s="10"/>
      <c r="I1904" s="22" t="n">
        <v>3</v>
      </c>
      <c r="J1904" s="22"/>
      <c r="K1904" s="23"/>
      <c r="L1904" s="23"/>
      <c r="M1904" s="22"/>
      <c r="N1904" s="22"/>
      <c r="O1904" s="22"/>
      <c r="P1904" s="23"/>
      <c r="Q1904" s="23"/>
      <c r="R1904" s="22"/>
      <c r="S1904" s="22"/>
      <c r="T1904" s="22"/>
      <c r="U1904" s="24"/>
      <c r="V1904" s="15"/>
      <c r="W1904" s="16"/>
      <c r="X1904" s="16"/>
      <c r="Y1904" s="16"/>
    </row>
    <row r="1905" customFormat="false" ht="15.75" hidden="false" customHeight="false" outlineLevel="0" collapsed="false">
      <c r="A1905" s="9"/>
      <c r="B1905" s="10"/>
      <c r="C1905" s="10"/>
      <c r="D1905" s="10"/>
      <c r="E1905" s="10"/>
      <c r="F1905" s="10"/>
      <c r="G1905" s="10"/>
      <c r="H1905" s="10"/>
      <c r="I1905" s="25" t="n">
        <v>4</v>
      </c>
      <c r="J1905" s="25"/>
      <c r="K1905" s="26"/>
      <c r="L1905" s="26"/>
      <c r="M1905" s="25"/>
      <c r="N1905" s="25"/>
      <c r="O1905" s="25"/>
      <c r="P1905" s="26"/>
      <c r="Q1905" s="26"/>
      <c r="R1905" s="25"/>
      <c r="S1905" s="25"/>
      <c r="T1905" s="25"/>
      <c r="U1905" s="27"/>
      <c r="V1905" s="21"/>
      <c r="W1905" s="16"/>
      <c r="X1905" s="16"/>
      <c r="Y1905" s="16"/>
    </row>
    <row r="1906" customFormat="false" ht="15.75" hidden="false" customHeight="false" outlineLevel="0" collapsed="false">
      <c r="A1906" s="9"/>
      <c r="B1906" s="10"/>
      <c r="C1906" s="11"/>
      <c r="D1906" s="10"/>
      <c r="E1906" s="10"/>
      <c r="F1906" s="10"/>
      <c r="G1906" s="10"/>
      <c r="H1906" s="10"/>
      <c r="I1906" s="12" t="n">
        <v>1</v>
      </c>
      <c r="J1906" s="12"/>
      <c r="K1906" s="13"/>
      <c r="L1906" s="13"/>
      <c r="M1906" s="12"/>
      <c r="N1906" s="12"/>
      <c r="O1906" s="12"/>
      <c r="P1906" s="13"/>
      <c r="Q1906" s="13"/>
      <c r="R1906" s="12"/>
      <c r="S1906" s="12"/>
      <c r="T1906" s="12"/>
      <c r="U1906" s="14"/>
      <c r="V1906" s="15"/>
      <c r="W1906" s="16" t="n">
        <f aca="false">A1906</f>
        <v>0</v>
      </c>
      <c r="X1906" s="17" t="e">
        <f aca="false">ifs(C1906="","",X1906="",NOW(),TRUE(),X1906)</f>
        <v>#VALUE!</v>
      </c>
      <c r="Y1906" s="17" t="e">
        <f aca="false">ifs(COUNTA(K1906:U1909)&lt;44,"",Y1906="",NOW(),TRUE(),Y1906)</f>
        <v>#VALUE!</v>
      </c>
    </row>
    <row r="1907" customFormat="false" ht="15.75" hidden="false" customHeight="false" outlineLevel="0" collapsed="false">
      <c r="A1907" s="9"/>
      <c r="B1907" s="10"/>
      <c r="C1907" s="10"/>
      <c r="D1907" s="10"/>
      <c r="E1907" s="10"/>
      <c r="F1907" s="10"/>
      <c r="G1907" s="10"/>
      <c r="H1907" s="10"/>
      <c r="I1907" s="18" t="n">
        <v>2</v>
      </c>
      <c r="J1907" s="18"/>
      <c r="K1907" s="19"/>
      <c r="L1907" s="19"/>
      <c r="M1907" s="18"/>
      <c r="N1907" s="18"/>
      <c r="O1907" s="18"/>
      <c r="P1907" s="19"/>
      <c r="Q1907" s="19"/>
      <c r="R1907" s="18"/>
      <c r="S1907" s="18"/>
      <c r="T1907" s="18"/>
      <c r="U1907" s="20"/>
      <c r="V1907" s="21"/>
      <c r="W1907" s="16"/>
      <c r="X1907" s="16"/>
      <c r="Y1907" s="16"/>
    </row>
    <row r="1908" customFormat="false" ht="15.75" hidden="false" customHeight="false" outlineLevel="0" collapsed="false">
      <c r="A1908" s="9"/>
      <c r="B1908" s="10"/>
      <c r="C1908" s="10"/>
      <c r="D1908" s="10"/>
      <c r="E1908" s="10"/>
      <c r="F1908" s="10"/>
      <c r="G1908" s="10"/>
      <c r="H1908" s="10"/>
      <c r="I1908" s="22" t="n">
        <v>3</v>
      </c>
      <c r="J1908" s="22"/>
      <c r="K1908" s="23"/>
      <c r="L1908" s="23"/>
      <c r="M1908" s="22"/>
      <c r="N1908" s="22"/>
      <c r="O1908" s="22"/>
      <c r="P1908" s="23"/>
      <c r="Q1908" s="23"/>
      <c r="R1908" s="22"/>
      <c r="S1908" s="22"/>
      <c r="T1908" s="22"/>
      <c r="U1908" s="24"/>
      <c r="V1908" s="15"/>
      <c r="W1908" s="16"/>
      <c r="X1908" s="16"/>
      <c r="Y1908" s="16"/>
    </row>
    <row r="1909" customFormat="false" ht="15.75" hidden="false" customHeight="false" outlineLevel="0" collapsed="false">
      <c r="A1909" s="9"/>
      <c r="B1909" s="10"/>
      <c r="C1909" s="10"/>
      <c r="D1909" s="10"/>
      <c r="E1909" s="10"/>
      <c r="F1909" s="10"/>
      <c r="G1909" s="10"/>
      <c r="H1909" s="10"/>
      <c r="I1909" s="25" t="n">
        <v>4</v>
      </c>
      <c r="J1909" s="25"/>
      <c r="K1909" s="26"/>
      <c r="L1909" s="26"/>
      <c r="M1909" s="25"/>
      <c r="N1909" s="25"/>
      <c r="O1909" s="25"/>
      <c r="P1909" s="26"/>
      <c r="Q1909" s="26"/>
      <c r="R1909" s="25"/>
      <c r="S1909" s="25"/>
      <c r="T1909" s="25"/>
      <c r="U1909" s="27"/>
      <c r="V1909" s="21"/>
      <c r="W1909" s="16"/>
      <c r="X1909" s="16"/>
      <c r="Y1909" s="16"/>
    </row>
    <row r="1910" customFormat="false" ht="15.75" hidden="false" customHeight="false" outlineLevel="0" collapsed="false">
      <c r="A1910" s="9"/>
      <c r="B1910" s="10"/>
      <c r="C1910" s="11"/>
      <c r="D1910" s="10"/>
      <c r="E1910" s="10"/>
      <c r="F1910" s="10"/>
      <c r="G1910" s="10"/>
      <c r="H1910" s="10"/>
      <c r="I1910" s="12" t="n">
        <v>1</v>
      </c>
      <c r="J1910" s="12"/>
      <c r="K1910" s="13"/>
      <c r="L1910" s="13"/>
      <c r="M1910" s="12"/>
      <c r="N1910" s="12"/>
      <c r="O1910" s="12"/>
      <c r="P1910" s="13"/>
      <c r="Q1910" s="13"/>
      <c r="R1910" s="12"/>
      <c r="S1910" s="12"/>
      <c r="T1910" s="12"/>
      <c r="U1910" s="14"/>
      <c r="V1910" s="15"/>
      <c r="W1910" s="16" t="n">
        <f aca="false">A1910</f>
        <v>0</v>
      </c>
      <c r="X1910" s="17" t="e">
        <f aca="false">ifs(C1910="","",X1910="",NOW(),TRUE(),X1910)</f>
        <v>#VALUE!</v>
      </c>
      <c r="Y1910" s="17" t="e">
        <f aca="false">ifs(COUNTA(K1910:U1913)&lt;44,"",Y1910="",NOW(),TRUE(),Y1910)</f>
        <v>#VALUE!</v>
      </c>
    </row>
    <row r="1911" customFormat="false" ht="15.75" hidden="false" customHeight="false" outlineLevel="0" collapsed="false">
      <c r="A1911" s="9"/>
      <c r="B1911" s="10"/>
      <c r="C1911" s="10"/>
      <c r="D1911" s="10"/>
      <c r="E1911" s="10"/>
      <c r="F1911" s="10"/>
      <c r="G1911" s="10"/>
      <c r="H1911" s="10"/>
      <c r="I1911" s="18" t="n">
        <v>2</v>
      </c>
      <c r="J1911" s="18"/>
      <c r="K1911" s="19"/>
      <c r="L1911" s="19"/>
      <c r="M1911" s="18"/>
      <c r="N1911" s="18"/>
      <c r="O1911" s="18"/>
      <c r="P1911" s="19"/>
      <c r="Q1911" s="19"/>
      <c r="R1911" s="18"/>
      <c r="S1911" s="18"/>
      <c r="T1911" s="18"/>
      <c r="U1911" s="20"/>
      <c r="V1911" s="21"/>
      <c r="W1911" s="16"/>
      <c r="X1911" s="16"/>
      <c r="Y1911" s="16"/>
    </row>
    <row r="1912" customFormat="false" ht="15.75" hidden="false" customHeight="false" outlineLevel="0" collapsed="false">
      <c r="A1912" s="9"/>
      <c r="B1912" s="10"/>
      <c r="C1912" s="10"/>
      <c r="D1912" s="10"/>
      <c r="E1912" s="10"/>
      <c r="F1912" s="10"/>
      <c r="G1912" s="10"/>
      <c r="H1912" s="10"/>
      <c r="I1912" s="22" t="n">
        <v>3</v>
      </c>
      <c r="J1912" s="22"/>
      <c r="K1912" s="23"/>
      <c r="L1912" s="23"/>
      <c r="M1912" s="22"/>
      <c r="N1912" s="22"/>
      <c r="O1912" s="22"/>
      <c r="P1912" s="23"/>
      <c r="Q1912" s="23"/>
      <c r="R1912" s="22"/>
      <c r="S1912" s="22"/>
      <c r="T1912" s="22"/>
      <c r="U1912" s="24"/>
      <c r="V1912" s="15"/>
      <c r="W1912" s="16"/>
      <c r="X1912" s="16"/>
      <c r="Y1912" s="16"/>
    </row>
    <row r="1913" customFormat="false" ht="15.75" hidden="false" customHeight="false" outlineLevel="0" collapsed="false">
      <c r="A1913" s="9"/>
      <c r="B1913" s="10"/>
      <c r="C1913" s="10"/>
      <c r="D1913" s="10"/>
      <c r="E1913" s="10"/>
      <c r="F1913" s="10"/>
      <c r="G1913" s="10"/>
      <c r="H1913" s="10"/>
      <c r="I1913" s="25" t="n">
        <v>4</v>
      </c>
      <c r="J1913" s="25"/>
      <c r="K1913" s="26"/>
      <c r="L1913" s="26"/>
      <c r="M1913" s="25"/>
      <c r="N1913" s="25"/>
      <c r="O1913" s="25"/>
      <c r="P1913" s="26"/>
      <c r="Q1913" s="26"/>
      <c r="R1913" s="25"/>
      <c r="S1913" s="25"/>
      <c r="T1913" s="25"/>
      <c r="U1913" s="27"/>
      <c r="V1913" s="21"/>
      <c r="W1913" s="16"/>
      <c r="X1913" s="16"/>
      <c r="Y1913" s="16"/>
    </row>
    <row r="1914" customFormat="false" ht="15.75" hidden="false" customHeight="false" outlineLevel="0" collapsed="false">
      <c r="A1914" s="9"/>
      <c r="B1914" s="10"/>
      <c r="C1914" s="11"/>
      <c r="D1914" s="10"/>
      <c r="E1914" s="10"/>
      <c r="F1914" s="10"/>
      <c r="G1914" s="10"/>
      <c r="H1914" s="10"/>
      <c r="I1914" s="12" t="n">
        <v>1</v>
      </c>
      <c r="J1914" s="12"/>
      <c r="K1914" s="13"/>
      <c r="L1914" s="13"/>
      <c r="M1914" s="12"/>
      <c r="N1914" s="12"/>
      <c r="O1914" s="12"/>
      <c r="P1914" s="13"/>
      <c r="Q1914" s="13"/>
      <c r="R1914" s="12"/>
      <c r="S1914" s="12"/>
      <c r="T1914" s="12"/>
      <c r="U1914" s="14"/>
      <c r="V1914" s="15"/>
      <c r="W1914" s="16" t="n">
        <f aca="false">A1914</f>
        <v>0</v>
      </c>
      <c r="X1914" s="17" t="e">
        <f aca="false">ifs(C1914="","",X1914="",NOW(),TRUE(),X1914)</f>
        <v>#VALUE!</v>
      </c>
      <c r="Y1914" s="17" t="e">
        <f aca="false">ifs(COUNTA(K1914:U1917)&lt;44,"",Y1914="",NOW(),TRUE(),Y1914)</f>
        <v>#VALUE!</v>
      </c>
    </row>
    <row r="1915" customFormat="false" ht="15.75" hidden="false" customHeight="false" outlineLevel="0" collapsed="false">
      <c r="A1915" s="9"/>
      <c r="B1915" s="10"/>
      <c r="C1915" s="10"/>
      <c r="D1915" s="10"/>
      <c r="E1915" s="10"/>
      <c r="F1915" s="10"/>
      <c r="G1915" s="10"/>
      <c r="H1915" s="10"/>
      <c r="I1915" s="18" t="n">
        <v>2</v>
      </c>
      <c r="J1915" s="18"/>
      <c r="K1915" s="19"/>
      <c r="L1915" s="19"/>
      <c r="M1915" s="18"/>
      <c r="N1915" s="18"/>
      <c r="O1915" s="18"/>
      <c r="P1915" s="19"/>
      <c r="Q1915" s="19"/>
      <c r="R1915" s="18"/>
      <c r="S1915" s="18"/>
      <c r="T1915" s="18"/>
      <c r="U1915" s="20"/>
      <c r="V1915" s="21"/>
      <c r="W1915" s="16"/>
      <c r="X1915" s="16"/>
      <c r="Y1915" s="16"/>
    </row>
    <row r="1916" customFormat="false" ht="15.75" hidden="false" customHeight="false" outlineLevel="0" collapsed="false">
      <c r="A1916" s="9"/>
      <c r="B1916" s="10"/>
      <c r="C1916" s="10"/>
      <c r="D1916" s="10"/>
      <c r="E1916" s="10"/>
      <c r="F1916" s="10"/>
      <c r="G1916" s="10"/>
      <c r="H1916" s="10"/>
      <c r="I1916" s="22" t="n">
        <v>3</v>
      </c>
      <c r="J1916" s="22"/>
      <c r="K1916" s="23"/>
      <c r="L1916" s="23"/>
      <c r="M1916" s="22"/>
      <c r="N1916" s="22"/>
      <c r="O1916" s="22"/>
      <c r="P1916" s="23"/>
      <c r="Q1916" s="23"/>
      <c r="R1916" s="22"/>
      <c r="S1916" s="22"/>
      <c r="T1916" s="22"/>
      <c r="U1916" s="24"/>
      <c r="V1916" s="15"/>
      <c r="W1916" s="16"/>
      <c r="X1916" s="16"/>
      <c r="Y1916" s="16"/>
    </row>
    <row r="1917" customFormat="false" ht="15.75" hidden="false" customHeight="false" outlineLevel="0" collapsed="false">
      <c r="A1917" s="9"/>
      <c r="B1917" s="10"/>
      <c r="C1917" s="10"/>
      <c r="D1917" s="10"/>
      <c r="E1917" s="10"/>
      <c r="F1917" s="10"/>
      <c r="G1917" s="10"/>
      <c r="H1917" s="10"/>
      <c r="I1917" s="25" t="n">
        <v>4</v>
      </c>
      <c r="J1917" s="25"/>
      <c r="K1917" s="26"/>
      <c r="L1917" s="26"/>
      <c r="M1917" s="25"/>
      <c r="N1917" s="25"/>
      <c r="O1917" s="25"/>
      <c r="P1917" s="26"/>
      <c r="Q1917" s="26"/>
      <c r="R1917" s="25"/>
      <c r="S1917" s="25"/>
      <c r="T1917" s="25"/>
      <c r="U1917" s="27"/>
      <c r="V1917" s="21"/>
      <c r="W1917" s="16"/>
      <c r="X1917" s="16"/>
      <c r="Y1917" s="16"/>
    </row>
    <row r="1918" customFormat="false" ht="15.75" hidden="false" customHeight="false" outlineLevel="0" collapsed="false">
      <c r="A1918" s="9"/>
      <c r="B1918" s="10"/>
      <c r="C1918" s="11"/>
      <c r="D1918" s="10"/>
      <c r="E1918" s="10"/>
      <c r="F1918" s="10"/>
      <c r="G1918" s="10"/>
      <c r="H1918" s="10"/>
      <c r="I1918" s="12" t="n">
        <v>1</v>
      </c>
      <c r="J1918" s="12"/>
      <c r="K1918" s="13"/>
      <c r="L1918" s="13"/>
      <c r="M1918" s="12"/>
      <c r="N1918" s="12"/>
      <c r="O1918" s="12"/>
      <c r="P1918" s="13"/>
      <c r="Q1918" s="13"/>
      <c r="R1918" s="12"/>
      <c r="S1918" s="12"/>
      <c r="T1918" s="12"/>
      <c r="U1918" s="14"/>
      <c r="V1918" s="15"/>
      <c r="W1918" s="16" t="n">
        <f aca="false">A1918</f>
        <v>0</v>
      </c>
      <c r="X1918" s="17" t="e">
        <f aca="false">ifs(C1918="","",X1918="",NOW(),TRUE(),X1918)</f>
        <v>#VALUE!</v>
      </c>
      <c r="Y1918" s="17" t="e">
        <f aca="false">ifs(COUNTA(K1918:U1921)&lt;44,"",Y1918="",NOW(),TRUE(),Y1918)</f>
        <v>#VALUE!</v>
      </c>
    </row>
    <row r="1919" customFormat="false" ht="15.75" hidden="false" customHeight="false" outlineLevel="0" collapsed="false">
      <c r="A1919" s="9"/>
      <c r="B1919" s="10"/>
      <c r="C1919" s="10"/>
      <c r="D1919" s="10"/>
      <c r="E1919" s="10"/>
      <c r="F1919" s="10"/>
      <c r="G1919" s="10"/>
      <c r="H1919" s="10"/>
      <c r="I1919" s="18" t="n">
        <v>2</v>
      </c>
      <c r="J1919" s="18"/>
      <c r="K1919" s="19"/>
      <c r="L1919" s="19"/>
      <c r="M1919" s="18"/>
      <c r="N1919" s="18"/>
      <c r="O1919" s="18"/>
      <c r="P1919" s="19"/>
      <c r="Q1919" s="19"/>
      <c r="R1919" s="18"/>
      <c r="S1919" s="18"/>
      <c r="T1919" s="18"/>
      <c r="U1919" s="20"/>
      <c r="V1919" s="21"/>
      <c r="W1919" s="16"/>
      <c r="X1919" s="16"/>
      <c r="Y1919" s="16"/>
    </row>
    <row r="1920" customFormat="false" ht="15.75" hidden="false" customHeight="false" outlineLevel="0" collapsed="false">
      <c r="A1920" s="9"/>
      <c r="B1920" s="10"/>
      <c r="C1920" s="10"/>
      <c r="D1920" s="10"/>
      <c r="E1920" s="10"/>
      <c r="F1920" s="10"/>
      <c r="G1920" s="10"/>
      <c r="H1920" s="10"/>
      <c r="I1920" s="22" t="n">
        <v>3</v>
      </c>
      <c r="J1920" s="22"/>
      <c r="K1920" s="23"/>
      <c r="L1920" s="23"/>
      <c r="M1920" s="22"/>
      <c r="N1920" s="22"/>
      <c r="O1920" s="22"/>
      <c r="P1920" s="23"/>
      <c r="Q1920" s="23"/>
      <c r="R1920" s="22"/>
      <c r="S1920" s="22"/>
      <c r="T1920" s="22"/>
      <c r="U1920" s="24"/>
      <c r="V1920" s="15"/>
      <c r="W1920" s="16"/>
      <c r="X1920" s="16"/>
      <c r="Y1920" s="16"/>
    </row>
    <row r="1921" customFormat="false" ht="15.75" hidden="false" customHeight="false" outlineLevel="0" collapsed="false">
      <c r="A1921" s="9"/>
      <c r="B1921" s="10"/>
      <c r="C1921" s="10"/>
      <c r="D1921" s="10"/>
      <c r="E1921" s="10"/>
      <c r="F1921" s="10"/>
      <c r="G1921" s="10"/>
      <c r="H1921" s="10"/>
      <c r="I1921" s="25" t="n">
        <v>4</v>
      </c>
      <c r="J1921" s="25"/>
      <c r="K1921" s="26"/>
      <c r="L1921" s="26"/>
      <c r="M1921" s="25"/>
      <c r="N1921" s="25"/>
      <c r="O1921" s="25"/>
      <c r="P1921" s="26"/>
      <c r="Q1921" s="26"/>
      <c r="R1921" s="25"/>
      <c r="S1921" s="25"/>
      <c r="T1921" s="25"/>
      <c r="U1921" s="27"/>
      <c r="V1921" s="21"/>
      <c r="W1921" s="16"/>
      <c r="X1921" s="16"/>
      <c r="Y1921" s="16"/>
    </row>
    <row r="1922" customFormat="false" ht="15.75" hidden="false" customHeight="false" outlineLevel="0" collapsed="false">
      <c r="A1922" s="9"/>
      <c r="B1922" s="10"/>
      <c r="C1922" s="11"/>
      <c r="D1922" s="10"/>
      <c r="E1922" s="10"/>
      <c r="F1922" s="10"/>
      <c r="G1922" s="10"/>
      <c r="H1922" s="10"/>
      <c r="I1922" s="12" t="n">
        <v>1</v>
      </c>
      <c r="J1922" s="12"/>
      <c r="K1922" s="13"/>
      <c r="L1922" s="13"/>
      <c r="M1922" s="12"/>
      <c r="N1922" s="12"/>
      <c r="O1922" s="12"/>
      <c r="P1922" s="13"/>
      <c r="Q1922" s="13"/>
      <c r="R1922" s="12"/>
      <c r="S1922" s="12"/>
      <c r="T1922" s="12"/>
      <c r="U1922" s="14"/>
      <c r="V1922" s="15"/>
      <c r="W1922" s="16" t="n">
        <f aca="false">A1922</f>
        <v>0</v>
      </c>
      <c r="X1922" s="17" t="e">
        <f aca="false">ifs(C1922="","",X1922="",NOW(),TRUE(),X1922)</f>
        <v>#VALUE!</v>
      </c>
      <c r="Y1922" s="17" t="e">
        <f aca="false">ifs(COUNTA(K1922:U1925)&lt;44,"",Y1922="",NOW(),TRUE(),Y1922)</f>
        <v>#VALUE!</v>
      </c>
    </row>
    <row r="1923" customFormat="false" ht="15.75" hidden="false" customHeight="false" outlineLevel="0" collapsed="false">
      <c r="A1923" s="9"/>
      <c r="B1923" s="10"/>
      <c r="C1923" s="10"/>
      <c r="D1923" s="10"/>
      <c r="E1923" s="10"/>
      <c r="F1923" s="10"/>
      <c r="G1923" s="10"/>
      <c r="H1923" s="10"/>
      <c r="I1923" s="18" t="n">
        <v>2</v>
      </c>
      <c r="J1923" s="18"/>
      <c r="K1923" s="19"/>
      <c r="L1923" s="19"/>
      <c r="M1923" s="18"/>
      <c r="N1923" s="18"/>
      <c r="O1923" s="18"/>
      <c r="P1923" s="19"/>
      <c r="Q1923" s="19"/>
      <c r="R1923" s="18"/>
      <c r="S1923" s="18"/>
      <c r="T1923" s="18"/>
      <c r="U1923" s="20"/>
      <c r="V1923" s="21"/>
      <c r="W1923" s="16"/>
      <c r="X1923" s="16"/>
      <c r="Y1923" s="16"/>
    </row>
    <row r="1924" customFormat="false" ht="15.75" hidden="false" customHeight="false" outlineLevel="0" collapsed="false">
      <c r="A1924" s="9"/>
      <c r="B1924" s="10"/>
      <c r="C1924" s="10"/>
      <c r="D1924" s="10"/>
      <c r="E1924" s="10"/>
      <c r="F1924" s="10"/>
      <c r="G1924" s="10"/>
      <c r="H1924" s="10"/>
      <c r="I1924" s="22" t="n">
        <v>3</v>
      </c>
      <c r="J1924" s="22"/>
      <c r="K1924" s="23"/>
      <c r="L1924" s="23"/>
      <c r="M1924" s="22"/>
      <c r="N1924" s="22"/>
      <c r="O1924" s="22"/>
      <c r="P1924" s="23"/>
      <c r="Q1924" s="23"/>
      <c r="R1924" s="22"/>
      <c r="S1924" s="22"/>
      <c r="T1924" s="22"/>
      <c r="U1924" s="24"/>
      <c r="V1924" s="15"/>
      <c r="W1924" s="16"/>
      <c r="X1924" s="16"/>
      <c r="Y1924" s="16"/>
    </row>
    <row r="1925" customFormat="false" ht="15.75" hidden="false" customHeight="false" outlineLevel="0" collapsed="false">
      <c r="A1925" s="9"/>
      <c r="B1925" s="10"/>
      <c r="C1925" s="10"/>
      <c r="D1925" s="10"/>
      <c r="E1925" s="10"/>
      <c r="F1925" s="10"/>
      <c r="G1925" s="10"/>
      <c r="H1925" s="10"/>
      <c r="I1925" s="25" t="n">
        <v>4</v>
      </c>
      <c r="J1925" s="25"/>
      <c r="K1925" s="26"/>
      <c r="L1925" s="26"/>
      <c r="M1925" s="25"/>
      <c r="N1925" s="25"/>
      <c r="O1925" s="25"/>
      <c r="P1925" s="26"/>
      <c r="Q1925" s="26"/>
      <c r="R1925" s="25"/>
      <c r="S1925" s="25"/>
      <c r="T1925" s="25"/>
      <c r="U1925" s="27"/>
      <c r="V1925" s="21"/>
      <c r="W1925" s="16"/>
      <c r="X1925" s="16"/>
      <c r="Y1925" s="16"/>
    </row>
    <row r="1926" customFormat="false" ht="15.75" hidden="false" customHeight="false" outlineLevel="0" collapsed="false">
      <c r="A1926" s="9"/>
      <c r="B1926" s="10"/>
      <c r="C1926" s="11"/>
      <c r="D1926" s="10"/>
      <c r="E1926" s="10"/>
      <c r="F1926" s="10"/>
      <c r="G1926" s="10"/>
      <c r="H1926" s="10"/>
      <c r="I1926" s="12" t="n">
        <v>1</v>
      </c>
      <c r="J1926" s="12"/>
      <c r="K1926" s="13"/>
      <c r="L1926" s="13"/>
      <c r="M1926" s="12"/>
      <c r="N1926" s="12"/>
      <c r="O1926" s="12"/>
      <c r="P1926" s="13"/>
      <c r="Q1926" s="13"/>
      <c r="R1926" s="12"/>
      <c r="S1926" s="12"/>
      <c r="T1926" s="12"/>
      <c r="U1926" s="14"/>
      <c r="V1926" s="15"/>
      <c r="W1926" s="16" t="n">
        <f aca="false">A1926</f>
        <v>0</v>
      </c>
      <c r="X1926" s="17" t="e">
        <f aca="false">ifs(C1926="","",X1926="",NOW(),TRUE(),X1926)</f>
        <v>#VALUE!</v>
      </c>
      <c r="Y1926" s="17" t="e">
        <f aca="false">ifs(COUNTA(K1926:U1929)&lt;44,"",Y1926="",NOW(),TRUE(),Y1926)</f>
        <v>#VALUE!</v>
      </c>
    </row>
    <row r="1927" customFormat="false" ht="15.75" hidden="false" customHeight="false" outlineLevel="0" collapsed="false">
      <c r="A1927" s="9"/>
      <c r="B1927" s="10"/>
      <c r="C1927" s="10"/>
      <c r="D1927" s="10"/>
      <c r="E1927" s="10"/>
      <c r="F1927" s="10"/>
      <c r="G1927" s="10"/>
      <c r="H1927" s="10"/>
      <c r="I1927" s="18" t="n">
        <v>2</v>
      </c>
      <c r="J1927" s="18"/>
      <c r="K1927" s="19"/>
      <c r="L1927" s="19"/>
      <c r="M1927" s="18"/>
      <c r="N1927" s="18"/>
      <c r="O1927" s="18"/>
      <c r="P1927" s="19"/>
      <c r="Q1927" s="19"/>
      <c r="R1927" s="18"/>
      <c r="S1927" s="18"/>
      <c r="T1927" s="18"/>
      <c r="U1927" s="20"/>
      <c r="V1927" s="21"/>
      <c r="W1927" s="16"/>
      <c r="X1927" s="16"/>
      <c r="Y1927" s="16"/>
    </row>
    <row r="1928" customFormat="false" ht="15.75" hidden="false" customHeight="false" outlineLevel="0" collapsed="false">
      <c r="A1928" s="9"/>
      <c r="B1928" s="10"/>
      <c r="C1928" s="10"/>
      <c r="D1928" s="10"/>
      <c r="E1928" s="10"/>
      <c r="F1928" s="10"/>
      <c r="G1928" s="10"/>
      <c r="H1928" s="10"/>
      <c r="I1928" s="22" t="n">
        <v>3</v>
      </c>
      <c r="J1928" s="22"/>
      <c r="K1928" s="23"/>
      <c r="L1928" s="23"/>
      <c r="M1928" s="22"/>
      <c r="N1928" s="22"/>
      <c r="O1928" s="22"/>
      <c r="P1928" s="23"/>
      <c r="Q1928" s="23"/>
      <c r="R1928" s="22"/>
      <c r="S1928" s="22"/>
      <c r="T1928" s="22"/>
      <c r="U1928" s="24"/>
      <c r="V1928" s="15"/>
      <c r="W1928" s="16"/>
      <c r="X1928" s="16"/>
      <c r="Y1928" s="16"/>
    </row>
    <row r="1929" customFormat="false" ht="15.75" hidden="false" customHeight="false" outlineLevel="0" collapsed="false">
      <c r="A1929" s="9"/>
      <c r="B1929" s="10"/>
      <c r="C1929" s="10"/>
      <c r="D1929" s="10"/>
      <c r="E1929" s="10"/>
      <c r="F1929" s="10"/>
      <c r="G1929" s="10"/>
      <c r="H1929" s="10"/>
      <c r="I1929" s="25" t="n">
        <v>4</v>
      </c>
      <c r="J1929" s="25"/>
      <c r="K1929" s="26"/>
      <c r="L1929" s="26"/>
      <c r="M1929" s="25"/>
      <c r="N1929" s="25"/>
      <c r="O1929" s="25"/>
      <c r="P1929" s="26"/>
      <c r="Q1929" s="26"/>
      <c r="R1929" s="25"/>
      <c r="S1929" s="25"/>
      <c r="T1929" s="25"/>
      <c r="U1929" s="27"/>
      <c r="V1929" s="21"/>
      <c r="W1929" s="16"/>
      <c r="X1929" s="16"/>
      <c r="Y1929" s="16"/>
    </row>
    <row r="1930" customFormat="false" ht="15.75" hidden="false" customHeight="false" outlineLevel="0" collapsed="false">
      <c r="A1930" s="9"/>
      <c r="B1930" s="10"/>
      <c r="C1930" s="11"/>
      <c r="D1930" s="10"/>
      <c r="E1930" s="10"/>
      <c r="F1930" s="10"/>
      <c r="G1930" s="10"/>
      <c r="H1930" s="10"/>
      <c r="I1930" s="12" t="n">
        <v>1</v>
      </c>
      <c r="J1930" s="12"/>
      <c r="K1930" s="13"/>
      <c r="L1930" s="13"/>
      <c r="M1930" s="12"/>
      <c r="N1930" s="12"/>
      <c r="O1930" s="12"/>
      <c r="P1930" s="13"/>
      <c r="Q1930" s="13"/>
      <c r="R1930" s="12"/>
      <c r="S1930" s="12"/>
      <c r="T1930" s="12"/>
      <c r="U1930" s="14"/>
      <c r="V1930" s="15"/>
      <c r="W1930" s="16" t="n">
        <f aca="false">A1930</f>
        <v>0</v>
      </c>
      <c r="X1930" s="17" t="e">
        <f aca="false">ifs(C1930="","",X1930="",NOW(),TRUE(),X1930)</f>
        <v>#VALUE!</v>
      </c>
      <c r="Y1930" s="17" t="e">
        <f aca="false">ifs(COUNTA(K1930:U1933)&lt;44,"",Y1930="",NOW(),TRUE(),Y1930)</f>
        <v>#VALUE!</v>
      </c>
    </row>
    <row r="1931" customFormat="false" ht="15.75" hidden="false" customHeight="false" outlineLevel="0" collapsed="false">
      <c r="A1931" s="9"/>
      <c r="B1931" s="10"/>
      <c r="C1931" s="10"/>
      <c r="D1931" s="10"/>
      <c r="E1931" s="10"/>
      <c r="F1931" s="10"/>
      <c r="G1931" s="10"/>
      <c r="H1931" s="10"/>
      <c r="I1931" s="18" t="n">
        <v>2</v>
      </c>
      <c r="J1931" s="18"/>
      <c r="K1931" s="19"/>
      <c r="L1931" s="19"/>
      <c r="M1931" s="18"/>
      <c r="N1931" s="18"/>
      <c r="O1931" s="18"/>
      <c r="P1931" s="19"/>
      <c r="Q1931" s="19"/>
      <c r="R1931" s="18"/>
      <c r="S1931" s="18"/>
      <c r="T1931" s="18"/>
      <c r="U1931" s="20"/>
      <c r="V1931" s="21"/>
      <c r="W1931" s="16"/>
      <c r="X1931" s="16"/>
      <c r="Y1931" s="16"/>
    </row>
    <row r="1932" customFormat="false" ht="15.75" hidden="false" customHeight="false" outlineLevel="0" collapsed="false">
      <c r="A1932" s="9"/>
      <c r="B1932" s="10"/>
      <c r="C1932" s="10"/>
      <c r="D1932" s="10"/>
      <c r="E1932" s="10"/>
      <c r="F1932" s="10"/>
      <c r="G1932" s="10"/>
      <c r="H1932" s="10"/>
      <c r="I1932" s="22" t="n">
        <v>3</v>
      </c>
      <c r="J1932" s="22"/>
      <c r="K1932" s="23"/>
      <c r="L1932" s="23"/>
      <c r="M1932" s="22"/>
      <c r="N1932" s="22"/>
      <c r="O1932" s="22"/>
      <c r="P1932" s="23"/>
      <c r="Q1932" s="23"/>
      <c r="R1932" s="22"/>
      <c r="S1932" s="22"/>
      <c r="T1932" s="22"/>
      <c r="U1932" s="24"/>
      <c r="V1932" s="15"/>
      <c r="W1932" s="16"/>
      <c r="X1932" s="16"/>
      <c r="Y1932" s="16"/>
    </row>
    <row r="1933" customFormat="false" ht="15.75" hidden="false" customHeight="false" outlineLevel="0" collapsed="false">
      <c r="A1933" s="9"/>
      <c r="B1933" s="10"/>
      <c r="C1933" s="10"/>
      <c r="D1933" s="10"/>
      <c r="E1933" s="10"/>
      <c r="F1933" s="10"/>
      <c r="G1933" s="10"/>
      <c r="H1933" s="10"/>
      <c r="I1933" s="25" t="n">
        <v>4</v>
      </c>
      <c r="J1933" s="25"/>
      <c r="K1933" s="26"/>
      <c r="L1933" s="26"/>
      <c r="M1933" s="25"/>
      <c r="N1933" s="25"/>
      <c r="O1933" s="25"/>
      <c r="P1933" s="26"/>
      <c r="Q1933" s="26"/>
      <c r="R1933" s="25"/>
      <c r="S1933" s="25"/>
      <c r="T1933" s="25"/>
      <c r="U1933" s="27"/>
      <c r="V1933" s="21"/>
      <c r="W1933" s="16"/>
      <c r="X1933" s="16"/>
      <c r="Y1933" s="16"/>
    </row>
    <row r="1934" customFormat="false" ht="15.75" hidden="false" customHeight="false" outlineLevel="0" collapsed="false">
      <c r="A1934" s="9"/>
      <c r="B1934" s="10"/>
      <c r="C1934" s="11"/>
      <c r="D1934" s="10"/>
      <c r="E1934" s="10"/>
      <c r="F1934" s="10"/>
      <c r="G1934" s="10"/>
      <c r="H1934" s="10"/>
      <c r="I1934" s="12" t="n">
        <v>1</v>
      </c>
      <c r="J1934" s="12"/>
      <c r="K1934" s="13"/>
      <c r="L1934" s="13"/>
      <c r="M1934" s="12"/>
      <c r="N1934" s="12"/>
      <c r="O1934" s="12"/>
      <c r="P1934" s="13"/>
      <c r="Q1934" s="13"/>
      <c r="R1934" s="12"/>
      <c r="S1934" s="12"/>
      <c r="T1934" s="12"/>
      <c r="U1934" s="14"/>
      <c r="V1934" s="15"/>
      <c r="W1934" s="16" t="n">
        <f aca="false">A1934</f>
        <v>0</v>
      </c>
      <c r="X1934" s="17" t="e">
        <f aca="false">ifs(C1934="","",X1934="",NOW(),TRUE(),X1934)</f>
        <v>#VALUE!</v>
      </c>
      <c r="Y1934" s="17" t="e">
        <f aca="false">ifs(COUNTA(K1934:U1937)&lt;44,"",Y1934="",NOW(),TRUE(),Y1934)</f>
        <v>#VALUE!</v>
      </c>
    </row>
    <row r="1935" customFormat="false" ht="15.75" hidden="false" customHeight="false" outlineLevel="0" collapsed="false">
      <c r="A1935" s="9"/>
      <c r="B1935" s="10"/>
      <c r="C1935" s="10"/>
      <c r="D1935" s="10"/>
      <c r="E1935" s="10"/>
      <c r="F1935" s="10"/>
      <c r="G1935" s="10"/>
      <c r="H1935" s="10"/>
      <c r="I1935" s="18" t="n">
        <v>2</v>
      </c>
      <c r="J1935" s="18"/>
      <c r="K1935" s="19"/>
      <c r="L1935" s="19"/>
      <c r="M1935" s="18"/>
      <c r="N1935" s="18"/>
      <c r="O1935" s="18"/>
      <c r="P1935" s="19"/>
      <c r="Q1935" s="19"/>
      <c r="R1935" s="18"/>
      <c r="S1935" s="18"/>
      <c r="T1935" s="18"/>
      <c r="U1935" s="20"/>
      <c r="V1935" s="21"/>
      <c r="W1935" s="16"/>
      <c r="X1935" s="16"/>
      <c r="Y1935" s="16"/>
    </row>
    <row r="1936" customFormat="false" ht="15.75" hidden="false" customHeight="false" outlineLevel="0" collapsed="false">
      <c r="A1936" s="9"/>
      <c r="B1936" s="10"/>
      <c r="C1936" s="10"/>
      <c r="D1936" s="10"/>
      <c r="E1936" s="10"/>
      <c r="F1936" s="10"/>
      <c r="G1936" s="10"/>
      <c r="H1936" s="10"/>
      <c r="I1936" s="22" t="n">
        <v>3</v>
      </c>
      <c r="J1936" s="22"/>
      <c r="K1936" s="23"/>
      <c r="L1936" s="23"/>
      <c r="M1936" s="22"/>
      <c r="N1936" s="22"/>
      <c r="O1936" s="22"/>
      <c r="P1936" s="23"/>
      <c r="Q1936" s="23"/>
      <c r="R1936" s="22"/>
      <c r="S1936" s="22"/>
      <c r="T1936" s="22"/>
      <c r="U1936" s="24"/>
      <c r="V1936" s="15"/>
      <c r="W1936" s="16"/>
      <c r="X1936" s="16"/>
      <c r="Y1936" s="16"/>
    </row>
    <row r="1937" customFormat="false" ht="15.75" hidden="false" customHeight="false" outlineLevel="0" collapsed="false">
      <c r="A1937" s="9"/>
      <c r="B1937" s="10"/>
      <c r="C1937" s="10"/>
      <c r="D1937" s="10"/>
      <c r="E1937" s="10"/>
      <c r="F1937" s="10"/>
      <c r="G1937" s="10"/>
      <c r="H1937" s="10"/>
      <c r="I1937" s="25" t="n">
        <v>4</v>
      </c>
      <c r="J1937" s="25"/>
      <c r="K1937" s="26"/>
      <c r="L1937" s="26"/>
      <c r="M1937" s="25"/>
      <c r="N1937" s="25"/>
      <c r="O1937" s="25"/>
      <c r="P1937" s="26"/>
      <c r="Q1937" s="26"/>
      <c r="R1937" s="25"/>
      <c r="S1937" s="25"/>
      <c r="T1937" s="25"/>
      <c r="U1937" s="27"/>
      <c r="V1937" s="21"/>
      <c r="W1937" s="16"/>
      <c r="X1937" s="16"/>
      <c r="Y1937" s="16"/>
    </row>
    <row r="1938" customFormat="false" ht="15.75" hidden="false" customHeight="false" outlineLevel="0" collapsed="false">
      <c r="A1938" s="9"/>
      <c r="B1938" s="10"/>
      <c r="C1938" s="11"/>
      <c r="D1938" s="10"/>
      <c r="E1938" s="10"/>
      <c r="F1938" s="10"/>
      <c r="G1938" s="10"/>
      <c r="H1938" s="10"/>
      <c r="I1938" s="12" t="n">
        <v>1</v>
      </c>
      <c r="J1938" s="12"/>
      <c r="K1938" s="13"/>
      <c r="L1938" s="13"/>
      <c r="M1938" s="12"/>
      <c r="N1938" s="12"/>
      <c r="O1938" s="12"/>
      <c r="P1938" s="13"/>
      <c r="Q1938" s="13"/>
      <c r="R1938" s="12"/>
      <c r="S1938" s="12"/>
      <c r="T1938" s="12"/>
      <c r="U1938" s="14"/>
      <c r="V1938" s="15"/>
      <c r="W1938" s="16" t="n">
        <f aca="false">A1938</f>
        <v>0</v>
      </c>
      <c r="X1938" s="17" t="e">
        <f aca="false">ifs(C1938="","",X1938="",NOW(),TRUE(),X1938)</f>
        <v>#VALUE!</v>
      </c>
      <c r="Y1938" s="17" t="e">
        <f aca="false">ifs(COUNTA(K1938:U1941)&lt;44,"",Y1938="",NOW(),TRUE(),Y1938)</f>
        <v>#VALUE!</v>
      </c>
    </row>
    <row r="1939" customFormat="false" ht="15.75" hidden="false" customHeight="false" outlineLevel="0" collapsed="false">
      <c r="A1939" s="9"/>
      <c r="B1939" s="10"/>
      <c r="C1939" s="10"/>
      <c r="D1939" s="10"/>
      <c r="E1939" s="10"/>
      <c r="F1939" s="10"/>
      <c r="G1939" s="10"/>
      <c r="H1939" s="10"/>
      <c r="I1939" s="18" t="n">
        <v>2</v>
      </c>
      <c r="J1939" s="18"/>
      <c r="K1939" s="19"/>
      <c r="L1939" s="19"/>
      <c r="M1939" s="18"/>
      <c r="N1939" s="18"/>
      <c r="O1939" s="18"/>
      <c r="P1939" s="19"/>
      <c r="Q1939" s="19"/>
      <c r="R1939" s="18"/>
      <c r="S1939" s="18"/>
      <c r="T1939" s="18"/>
      <c r="U1939" s="20"/>
      <c r="V1939" s="21"/>
      <c r="W1939" s="16"/>
      <c r="X1939" s="16"/>
      <c r="Y1939" s="16"/>
    </row>
    <row r="1940" customFormat="false" ht="15.75" hidden="false" customHeight="false" outlineLevel="0" collapsed="false">
      <c r="A1940" s="9"/>
      <c r="B1940" s="10"/>
      <c r="C1940" s="10"/>
      <c r="D1940" s="10"/>
      <c r="E1940" s="10"/>
      <c r="F1940" s="10"/>
      <c r="G1940" s="10"/>
      <c r="H1940" s="10"/>
      <c r="I1940" s="22" t="n">
        <v>3</v>
      </c>
      <c r="J1940" s="22"/>
      <c r="K1940" s="23"/>
      <c r="L1940" s="23"/>
      <c r="M1940" s="22"/>
      <c r="N1940" s="22"/>
      <c r="O1940" s="22"/>
      <c r="P1940" s="23"/>
      <c r="Q1940" s="23"/>
      <c r="R1940" s="22"/>
      <c r="S1940" s="22"/>
      <c r="T1940" s="22"/>
      <c r="U1940" s="24"/>
      <c r="V1940" s="15"/>
      <c r="W1940" s="16"/>
      <c r="X1940" s="16"/>
      <c r="Y1940" s="16"/>
    </row>
    <row r="1941" customFormat="false" ht="15.75" hidden="false" customHeight="false" outlineLevel="0" collapsed="false">
      <c r="A1941" s="9"/>
      <c r="B1941" s="10"/>
      <c r="C1941" s="10"/>
      <c r="D1941" s="10"/>
      <c r="E1941" s="10"/>
      <c r="F1941" s="10"/>
      <c r="G1941" s="10"/>
      <c r="H1941" s="10"/>
      <c r="I1941" s="25" t="n">
        <v>4</v>
      </c>
      <c r="J1941" s="25"/>
      <c r="K1941" s="26"/>
      <c r="L1941" s="26"/>
      <c r="M1941" s="25"/>
      <c r="N1941" s="25"/>
      <c r="O1941" s="25"/>
      <c r="P1941" s="26"/>
      <c r="Q1941" s="26"/>
      <c r="R1941" s="25"/>
      <c r="S1941" s="25"/>
      <c r="T1941" s="25"/>
      <c r="U1941" s="27"/>
      <c r="V1941" s="21"/>
      <c r="W1941" s="16"/>
      <c r="X1941" s="16"/>
      <c r="Y1941" s="16"/>
    </row>
    <row r="1942" customFormat="false" ht="15.75" hidden="false" customHeight="false" outlineLevel="0" collapsed="false">
      <c r="A1942" s="9"/>
      <c r="B1942" s="10"/>
      <c r="C1942" s="11"/>
      <c r="D1942" s="10"/>
      <c r="E1942" s="10"/>
      <c r="F1942" s="10"/>
      <c r="G1942" s="10"/>
      <c r="H1942" s="10"/>
      <c r="I1942" s="12" t="n">
        <v>1</v>
      </c>
      <c r="J1942" s="12"/>
      <c r="K1942" s="13"/>
      <c r="L1942" s="13"/>
      <c r="M1942" s="12"/>
      <c r="N1942" s="12"/>
      <c r="O1942" s="12"/>
      <c r="P1942" s="13"/>
      <c r="Q1942" s="13"/>
      <c r="R1942" s="12"/>
      <c r="S1942" s="12"/>
      <c r="T1942" s="12"/>
      <c r="U1942" s="14"/>
      <c r="V1942" s="15"/>
      <c r="W1942" s="16" t="n">
        <f aca="false">A1942</f>
        <v>0</v>
      </c>
      <c r="X1942" s="17" t="e">
        <f aca="false">ifs(C1942="","",X1942="",NOW(),TRUE(),X1942)</f>
        <v>#VALUE!</v>
      </c>
      <c r="Y1942" s="17" t="e">
        <f aca="false">ifs(COUNTA(K1942:U1945)&lt;44,"",Y1942="",NOW(),TRUE(),Y1942)</f>
        <v>#VALUE!</v>
      </c>
    </row>
    <row r="1943" customFormat="false" ht="15.75" hidden="false" customHeight="false" outlineLevel="0" collapsed="false">
      <c r="A1943" s="9"/>
      <c r="B1943" s="10"/>
      <c r="C1943" s="10"/>
      <c r="D1943" s="10"/>
      <c r="E1943" s="10"/>
      <c r="F1943" s="10"/>
      <c r="G1943" s="10"/>
      <c r="H1943" s="10"/>
      <c r="I1943" s="18" t="n">
        <v>2</v>
      </c>
      <c r="J1943" s="18"/>
      <c r="K1943" s="19"/>
      <c r="L1943" s="19"/>
      <c r="M1943" s="18"/>
      <c r="N1943" s="18"/>
      <c r="O1943" s="18"/>
      <c r="P1943" s="19"/>
      <c r="Q1943" s="19"/>
      <c r="R1943" s="18"/>
      <c r="S1943" s="18"/>
      <c r="T1943" s="18"/>
      <c r="U1943" s="20"/>
      <c r="V1943" s="21"/>
      <c r="W1943" s="16"/>
      <c r="X1943" s="16"/>
      <c r="Y1943" s="16"/>
    </row>
    <row r="1944" customFormat="false" ht="15.75" hidden="false" customHeight="false" outlineLevel="0" collapsed="false">
      <c r="A1944" s="9"/>
      <c r="B1944" s="10"/>
      <c r="C1944" s="10"/>
      <c r="D1944" s="10"/>
      <c r="E1944" s="10"/>
      <c r="F1944" s="10"/>
      <c r="G1944" s="10"/>
      <c r="H1944" s="10"/>
      <c r="I1944" s="22" t="n">
        <v>3</v>
      </c>
      <c r="J1944" s="22"/>
      <c r="K1944" s="23"/>
      <c r="L1944" s="23"/>
      <c r="M1944" s="22"/>
      <c r="N1944" s="22"/>
      <c r="O1944" s="22"/>
      <c r="P1944" s="23"/>
      <c r="Q1944" s="23"/>
      <c r="R1944" s="22"/>
      <c r="S1944" s="22"/>
      <c r="T1944" s="22"/>
      <c r="U1944" s="24"/>
      <c r="V1944" s="15"/>
      <c r="W1944" s="16"/>
      <c r="X1944" s="16"/>
      <c r="Y1944" s="16"/>
    </row>
    <row r="1945" customFormat="false" ht="15.75" hidden="false" customHeight="false" outlineLevel="0" collapsed="false">
      <c r="A1945" s="9"/>
      <c r="B1945" s="10"/>
      <c r="C1945" s="10"/>
      <c r="D1945" s="10"/>
      <c r="E1945" s="10"/>
      <c r="F1945" s="10"/>
      <c r="G1945" s="10"/>
      <c r="H1945" s="10"/>
      <c r="I1945" s="25" t="n">
        <v>4</v>
      </c>
      <c r="J1945" s="25"/>
      <c r="K1945" s="26"/>
      <c r="L1945" s="26"/>
      <c r="M1945" s="25"/>
      <c r="N1945" s="25"/>
      <c r="O1945" s="25"/>
      <c r="P1945" s="26"/>
      <c r="Q1945" s="26"/>
      <c r="R1945" s="25"/>
      <c r="S1945" s="25"/>
      <c r="T1945" s="25"/>
      <c r="U1945" s="27"/>
      <c r="V1945" s="21"/>
      <c r="W1945" s="16"/>
      <c r="X1945" s="16"/>
      <c r="Y1945" s="16"/>
    </row>
    <row r="1946" customFormat="false" ht="15.75" hidden="false" customHeight="false" outlineLevel="0" collapsed="false">
      <c r="A1946" s="9"/>
      <c r="B1946" s="10"/>
      <c r="C1946" s="11"/>
      <c r="D1946" s="10"/>
      <c r="E1946" s="10"/>
      <c r="F1946" s="10"/>
      <c r="G1946" s="10"/>
      <c r="H1946" s="10"/>
      <c r="I1946" s="12" t="n">
        <v>1</v>
      </c>
      <c r="J1946" s="12"/>
      <c r="K1946" s="13"/>
      <c r="L1946" s="13"/>
      <c r="M1946" s="12"/>
      <c r="N1946" s="12"/>
      <c r="O1946" s="12"/>
      <c r="P1946" s="13"/>
      <c r="Q1946" s="13"/>
      <c r="R1946" s="12"/>
      <c r="S1946" s="12"/>
      <c r="T1946" s="12"/>
      <c r="U1946" s="14"/>
      <c r="V1946" s="15"/>
      <c r="W1946" s="16" t="n">
        <f aca="false">A1946</f>
        <v>0</v>
      </c>
      <c r="X1946" s="17" t="e">
        <f aca="false">ifs(C1946="","",X1946="",NOW(),TRUE(),X1946)</f>
        <v>#VALUE!</v>
      </c>
      <c r="Y1946" s="17" t="e">
        <f aca="false">ifs(COUNTA(K1946:U1949)&lt;44,"",Y1946="",NOW(),TRUE(),Y1946)</f>
        <v>#VALUE!</v>
      </c>
    </row>
    <row r="1947" customFormat="false" ht="15.75" hidden="false" customHeight="false" outlineLevel="0" collapsed="false">
      <c r="A1947" s="9"/>
      <c r="B1947" s="10"/>
      <c r="C1947" s="10"/>
      <c r="D1947" s="10"/>
      <c r="E1947" s="10"/>
      <c r="F1947" s="10"/>
      <c r="G1947" s="10"/>
      <c r="H1947" s="10"/>
      <c r="I1947" s="18" t="n">
        <v>2</v>
      </c>
      <c r="J1947" s="18"/>
      <c r="K1947" s="19"/>
      <c r="L1947" s="19"/>
      <c r="M1947" s="18"/>
      <c r="N1947" s="18"/>
      <c r="O1947" s="18"/>
      <c r="P1947" s="19"/>
      <c r="Q1947" s="19"/>
      <c r="R1947" s="18"/>
      <c r="S1947" s="18"/>
      <c r="T1947" s="18"/>
      <c r="U1947" s="20"/>
      <c r="V1947" s="21"/>
      <c r="W1947" s="16"/>
      <c r="X1947" s="16"/>
      <c r="Y1947" s="16"/>
    </row>
    <row r="1948" customFormat="false" ht="15.75" hidden="false" customHeight="false" outlineLevel="0" collapsed="false">
      <c r="A1948" s="9"/>
      <c r="B1948" s="10"/>
      <c r="C1948" s="10"/>
      <c r="D1948" s="10"/>
      <c r="E1948" s="10"/>
      <c r="F1948" s="10"/>
      <c r="G1948" s="10"/>
      <c r="H1948" s="10"/>
      <c r="I1948" s="22" t="n">
        <v>3</v>
      </c>
      <c r="J1948" s="22"/>
      <c r="K1948" s="23"/>
      <c r="L1948" s="23"/>
      <c r="M1948" s="22"/>
      <c r="N1948" s="22"/>
      <c r="O1948" s="22"/>
      <c r="P1948" s="23"/>
      <c r="Q1948" s="23"/>
      <c r="R1948" s="22"/>
      <c r="S1948" s="22"/>
      <c r="T1948" s="22"/>
      <c r="U1948" s="24"/>
      <c r="V1948" s="15"/>
      <c r="W1948" s="16"/>
      <c r="X1948" s="16"/>
      <c r="Y1948" s="16"/>
    </row>
    <row r="1949" customFormat="false" ht="15.75" hidden="false" customHeight="false" outlineLevel="0" collapsed="false">
      <c r="A1949" s="9"/>
      <c r="B1949" s="10"/>
      <c r="C1949" s="10"/>
      <c r="D1949" s="10"/>
      <c r="E1949" s="10"/>
      <c r="F1949" s="10"/>
      <c r="G1949" s="10"/>
      <c r="H1949" s="10"/>
      <c r="I1949" s="25" t="n">
        <v>4</v>
      </c>
      <c r="J1949" s="25"/>
      <c r="K1949" s="26"/>
      <c r="L1949" s="26"/>
      <c r="M1949" s="25"/>
      <c r="N1949" s="25"/>
      <c r="O1949" s="25"/>
      <c r="P1949" s="26"/>
      <c r="Q1949" s="26"/>
      <c r="R1949" s="25"/>
      <c r="S1949" s="25"/>
      <c r="T1949" s="25"/>
      <c r="U1949" s="27"/>
      <c r="V1949" s="21"/>
      <c r="W1949" s="16"/>
      <c r="X1949" s="16"/>
      <c r="Y1949" s="16"/>
    </row>
    <row r="1950" customFormat="false" ht="15.75" hidden="false" customHeight="false" outlineLevel="0" collapsed="false">
      <c r="A1950" s="9"/>
      <c r="B1950" s="10"/>
      <c r="C1950" s="11"/>
      <c r="D1950" s="10"/>
      <c r="E1950" s="10"/>
      <c r="F1950" s="10"/>
      <c r="G1950" s="10"/>
      <c r="H1950" s="10"/>
      <c r="I1950" s="12" t="n">
        <v>1</v>
      </c>
      <c r="J1950" s="12"/>
      <c r="K1950" s="13"/>
      <c r="L1950" s="13"/>
      <c r="M1950" s="12"/>
      <c r="N1950" s="12"/>
      <c r="O1950" s="12"/>
      <c r="P1950" s="13"/>
      <c r="Q1950" s="13"/>
      <c r="R1950" s="12"/>
      <c r="S1950" s="12"/>
      <c r="T1950" s="12"/>
      <c r="U1950" s="14"/>
      <c r="V1950" s="15"/>
      <c r="W1950" s="16" t="n">
        <f aca="false">A1950</f>
        <v>0</v>
      </c>
      <c r="X1950" s="17" t="e">
        <f aca="false">ifs(C1950="","",X1950="",NOW(),TRUE(),X1950)</f>
        <v>#VALUE!</v>
      </c>
      <c r="Y1950" s="17" t="e">
        <f aca="false">ifs(COUNTA(K1950:U1953)&lt;44,"",Y1950="",NOW(),TRUE(),Y1950)</f>
        <v>#VALUE!</v>
      </c>
    </row>
    <row r="1951" customFormat="false" ht="15.75" hidden="false" customHeight="false" outlineLevel="0" collapsed="false">
      <c r="A1951" s="9"/>
      <c r="B1951" s="10"/>
      <c r="C1951" s="10"/>
      <c r="D1951" s="10"/>
      <c r="E1951" s="10"/>
      <c r="F1951" s="10"/>
      <c r="G1951" s="10"/>
      <c r="H1951" s="10"/>
      <c r="I1951" s="18" t="n">
        <v>2</v>
      </c>
      <c r="J1951" s="18"/>
      <c r="K1951" s="19"/>
      <c r="L1951" s="19"/>
      <c r="M1951" s="18"/>
      <c r="N1951" s="18"/>
      <c r="O1951" s="18"/>
      <c r="P1951" s="19"/>
      <c r="Q1951" s="19"/>
      <c r="R1951" s="18"/>
      <c r="S1951" s="18"/>
      <c r="T1951" s="18"/>
      <c r="U1951" s="20"/>
      <c r="V1951" s="21"/>
      <c r="W1951" s="16"/>
      <c r="X1951" s="16"/>
      <c r="Y1951" s="16"/>
    </row>
    <row r="1952" customFormat="false" ht="15.75" hidden="false" customHeight="false" outlineLevel="0" collapsed="false">
      <c r="A1952" s="9"/>
      <c r="B1952" s="10"/>
      <c r="C1952" s="10"/>
      <c r="D1952" s="10"/>
      <c r="E1952" s="10"/>
      <c r="F1952" s="10"/>
      <c r="G1952" s="10"/>
      <c r="H1952" s="10"/>
      <c r="I1952" s="22" t="n">
        <v>3</v>
      </c>
      <c r="J1952" s="22"/>
      <c r="K1952" s="23"/>
      <c r="L1952" s="23"/>
      <c r="M1952" s="22"/>
      <c r="N1952" s="22"/>
      <c r="O1952" s="22"/>
      <c r="P1952" s="23"/>
      <c r="Q1952" s="23"/>
      <c r="R1952" s="22"/>
      <c r="S1952" s="22"/>
      <c r="T1952" s="22"/>
      <c r="U1952" s="24"/>
      <c r="V1952" s="15"/>
      <c r="W1952" s="16"/>
      <c r="X1952" s="16"/>
      <c r="Y1952" s="16"/>
    </row>
    <row r="1953" customFormat="false" ht="15.75" hidden="false" customHeight="false" outlineLevel="0" collapsed="false">
      <c r="A1953" s="9"/>
      <c r="B1953" s="10"/>
      <c r="C1953" s="10"/>
      <c r="D1953" s="10"/>
      <c r="E1953" s="10"/>
      <c r="F1953" s="10"/>
      <c r="G1953" s="10"/>
      <c r="H1953" s="10"/>
      <c r="I1953" s="25" t="n">
        <v>4</v>
      </c>
      <c r="J1953" s="25"/>
      <c r="K1953" s="26"/>
      <c r="L1953" s="26"/>
      <c r="M1953" s="25"/>
      <c r="N1953" s="25"/>
      <c r="O1953" s="25"/>
      <c r="P1953" s="26"/>
      <c r="Q1953" s="26"/>
      <c r="R1953" s="25"/>
      <c r="S1953" s="25"/>
      <c r="T1953" s="25"/>
      <c r="U1953" s="27"/>
      <c r="V1953" s="21"/>
      <c r="W1953" s="16"/>
      <c r="X1953" s="16"/>
      <c r="Y1953" s="16"/>
    </row>
    <row r="1954" customFormat="false" ht="15.75" hidden="false" customHeight="false" outlineLevel="0" collapsed="false">
      <c r="A1954" s="9"/>
      <c r="B1954" s="10"/>
      <c r="C1954" s="11"/>
      <c r="D1954" s="10"/>
      <c r="E1954" s="10"/>
      <c r="F1954" s="10"/>
      <c r="G1954" s="10"/>
      <c r="H1954" s="10"/>
      <c r="I1954" s="12" t="n">
        <v>1</v>
      </c>
      <c r="J1954" s="12"/>
      <c r="K1954" s="13"/>
      <c r="L1954" s="13"/>
      <c r="M1954" s="12"/>
      <c r="N1954" s="12"/>
      <c r="O1954" s="12"/>
      <c r="P1954" s="13"/>
      <c r="Q1954" s="13"/>
      <c r="R1954" s="12"/>
      <c r="S1954" s="12"/>
      <c r="T1954" s="12"/>
      <c r="U1954" s="14"/>
      <c r="V1954" s="15"/>
      <c r="W1954" s="16" t="n">
        <f aca="false">A1954</f>
        <v>0</v>
      </c>
      <c r="X1954" s="17" t="e">
        <f aca="false">ifs(C1954="","",X1954="",NOW(),TRUE(),X1954)</f>
        <v>#VALUE!</v>
      </c>
      <c r="Y1954" s="17" t="e">
        <f aca="false">ifs(COUNTA(K1954:U1957)&lt;44,"",Y1954="",NOW(),TRUE(),Y1954)</f>
        <v>#VALUE!</v>
      </c>
    </row>
    <row r="1955" customFormat="false" ht="15.75" hidden="false" customHeight="false" outlineLevel="0" collapsed="false">
      <c r="A1955" s="9"/>
      <c r="B1955" s="10"/>
      <c r="C1955" s="10"/>
      <c r="D1955" s="10"/>
      <c r="E1955" s="10"/>
      <c r="F1955" s="10"/>
      <c r="G1955" s="10"/>
      <c r="H1955" s="10"/>
      <c r="I1955" s="18" t="n">
        <v>2</v>
      </c>
      <c r="J1955" s="18"/>
      <c r="K1955" s="19"/>
      <c r="L1955" s="19"/>
      <c r="M1955" s="18"/>
      <c r="N1955" s="18"/>
      <c r="O1955" s="18"/>
      <c r="P1955" s="19"/>
      <c r="Q1955" s="19"/>
      <c r="R1955" s="18"/>
      <c r="S1955" s="18"/>
      <c r="T1955" s="18"/>
      <c r="U1955" s="20"/>
      <c r="V1955" s="21"/>
      <c r="W1955" s="16"/>
      <c r="X1955" s="16"/>
      <c r="Y1955" s="16"/>
    </row>
    <row r="1956" customFormat="false" ht="15.75" hidden="false" customHeight="false" outlineLevel="0" collapsed="false">
      <c r="A1956" s="9"/>
      <c r="B1956" s="10"/>
      <c r="C1956" s="10"/>
      <c r="D1956" s="10"/>
      <c r="E1956" s="10"/>
      <c r="F1956" s="10"/>
      <c r="G1956" s="10"/>
      <c r="H1956" s="10"/>
      <c r="I1956" s="22" t="n">
        <v>3</v>
      </c>
      <c r="J1956" s="22"/>
      <c r="K1956" s="23"/>
      <c r="L1956" s="23"/>
      <c r="M1956" s="22"/>
      <c r="N1956" s="22"/>
      <c r="O1956" s="22"/>
      <c r="P1956" s="23"/>
      <c r="Q1956" s="23"/>
      <c r="R1956" s="22"/>
      <c r="S1956" s="22"/>
      <c r="T1956" s="22"/>
      <c r="U1956" s="24"/>
      <c r="V1956" s="15"/>
      <c r="W1956" s="16"/>
      <c r="X1956" s="16"/>
      <c r="Y1956" s="16"/>
    </row>
    <row r="1957" customFormat="false" ht="15.75" hidden="false" customHeight="false" outlineLevel="0" collapsed="false">
      <c r="A1957" s="9"/>
      <c r="B1957" s="10"/>
      <c r="C1957" s="10"/>
      <c r="D1957" s="10"/>
      <c r="E1957" s="10"/>
      <c r="F1957" s="10"/>
      <c r="G1957" s="10"/>
      <c r="H1957" s="10"/>
      <c r="I1957" s="25" t="n">
        <v>4</v>
      </c>
      <c r="J1957" s="25"/>
      <c r="K1957" s="26"/>
      <c r="L1957" s="26"/>
      <c r="M1957" s="25"/>
      <c r="N1957" s="25"/>
      <c r="O1957" s="25"/>
      <c r="P1957" s="26"/>
      <c r="Q1957" s="26"/>
      <c r="R1957" s="25"/>
      <c r="S1957" s="25"/>
      <c r="T1957" s="25"/>
      <c r="U1957" s="27"/>
      <c r="V1957" s="21"/>
      <c r="W1957" s="16"/>
      <c r="X1957" s="16"/>
      <c r="Y1957" s="16"/>
    </row>
    <row r="1958" customFormat="false" ht="15.75" hidden="false" customHeight="false" outlineLevel="0" collapsed="false">
      <c r="A1958" s="9"/>
      <c r="B1958" s="10"/>
      <c r="C1958" s="11"/>
      <c r="D1958" s="10"/>
      <c r="E1958" s="10"/>
      <c r="F1958" s="10"/>
      <c r="G1958" s="10"/>
      <c r="H1958" s="10"/>
      <c r="I1958" s="12" t="n">
        <v>1</v>
      </c>
      <c r="J1958" s="12"/>
      <c r="K1958" s="13"/>
      <c r="L1958" s="13"/>
      <c r="M1958" s="12"/>
      <c r="N1958" s="12"/>
      <c r="O1958" s="12"/>
      <c r="P1958" s="13"/>
      <c r="Q1958" s="13"/>
      <c r="R1958" s="12"/>
      <c r="S1958" s="12"/>
      <c r="T1958" s="12"/>
      <c r="U1958" s="14"/>
      <c r="V1958" s="15"/>
      <c r="W1958" s="16" t="n">
        <f aca="false">A1958</f>
        <v>0</v>
      </c>
      <c r="X1958" s="17" t="e">
        <f aca="false">ifs(C1958="","",X1958="",NOW(),TRUE(),X1958)</f>
        <v>#VALUE!</v>
      </c>
      <c r="Y1958" s="17" t="e">
        <f aca="false">ifs(COUNTA(K1958:U1961)&lt;44,"",Y1958="",NOW(),TRUE(),Y1958)</f>
        <v>#VALUE!</v>
      </c>
    </row>
    <row r="1959" customFormat="false" ht="15.75" hidden="false" customHeight="false" outlineLevel="0" collapsed="false">
      <c r="A1959" s="9"/>
      <c r="B1959" s="10"/>
      <c r="C1959" s="10"/>
      <c r="D1959" s="10"/>
      <c r="E1959" s="10"/>
      <c r="F1959" s="10"/>
      <c r="G1959" s="10"/>
      <c r="H1959" s="10"/>
      <c r="I1959" s="18" t="n">
        <v>2</v>
      </c>
      <c r="J1959" s="18"/>
      <c r="K1959" s="19"/>
      <c r="L1959" s="19"/>
      <c r="M1959" s="18"/>
      <c r="N1959" s="18"/>
      <c r="O1959" s="18"/>
      <c r="P1959" s="19"/>
      <c r="Q1959" s="19"/>
      <c r="R1959" s="18"/>
      <c r="S1959" s="18"/>
      <c r="T1959" s="18"/>
      <c r="U1959" s="20"/>
      <c r="V1959" s="21"/>
      <c r="W1959" s="16"/>
      <c r="X1959" s="16"/>
      <c r="Y1959" s="16"/>
    </row>
    <row r="1960" customFormat="false" ht="15.75" hidden="false" customHeight="false" outlineLevel="0" collapsed="false">
      <c r="A1960" s="9"/>
      <c r="B1960" s="10"/>
      <c r="C1960" s="10"/>
      <c r="D1960" s="10"/>
      <c r="E1960" s="10"/>
      <c r="F1960" s="10"/>
      <c r="G1960" s="10"/>
      <c r="H1960" s="10"/>
      <c r="I1960" s="22" t="n">
        <v>3</v>
      </c>
      <c r="J1960" s="22"/>
      <c r="K1960" s="23"/>
      <c r="L1960" s="23"/>
      <c r="M1960" s="22"/>
      <c r="N1960" s="22"/>
      <c r="O1960" s="22"/>
      <c r="P1960" s="23"/>
      <c r="Q1960" s="23"/>
      <c r="R1960" s="22"/>
      <c r="S1960" s="22"/>
      <c r="T1960" s="22"/>
      <c r="U1960" s="24"/>
      <c r="V1960" s="15"/>
      <c r="W1960" s="16"/>
      <c r="X1960" s="16"/>
      <c r="Y1960" s="16"/>
    </row>
    <row r="1961" customFormat="false" ht="15.75" hidden="false" customHeight="false" outlineLevel="0" collapsed="false">
      <c r="A1961" s="9"/>
      <c r="B1961" s="10"/>
      <c r="C1961" s="10"/>
      <c r="D1961" s="10"/>
      <c r="E1961" s="10"/>
      <c r="F1961" s="10"/>
      <c r="G1961" s="10"/>
      <c r="H1961" s="10"/>
      <c r="I1961" s="25" t="n">
        <v>4</v>
      </c>
      <c r="J1961" s="25"/>
      <c r="K1961" s="26"/>
      <c r="L1961" s="26"/>
      <c r="M1961" s="25"/>
      <c r="N1961" s="25"/>
      <c r="O1961" s="25"/>
      <c r="P1961" s="26"/>
      <c r="Q1961" s="26"/>
      <c r="R1961" s="25"/>
      <c r="S1961" s="25"/>
      <c r="T1961" s="25"/>
      <c r="U1961" s="27"/>
      <c r="V1961" s="21"/>
      <c r="W1961" s="16"/>
      <c r="X1961" s="16"/>
      <c r="Y1961" s="16"/>
    </row>
    <row r="1962" customFormat="false" ht="15.75" hidden="false" customHeight="false" outlineLevel="0" collapsed="false">
      <c r="A1962" s="9"/>
      <c r="B1962" s="10"/>
      <c r="C1962" s="11"/>
      <c r="D1962" s="10"/>
      <c r="E1962" s="10"/>
      <c r="F1962" s="10"/>
      <c r="G1962" s="10"/>
      <c r="H1962" s="10"/>
      <c r="I1962" s="12" t="n">
        <v>1</v>
      </c>
      <c r="J1962" s="12"/>
      <c r="K1962" s="13"/>
      <c r="L1962" s="13"/>
      <c r="M1962" s="12"/>
      <c r="N1962" s="12"/>
      <c r="O1962" s="12"/>
      <c r="P1962" s="13"/>
      <c r="Q1962" s="13"/>
      <c r="R1962" s="12"/>
      <c r="S1962" s="12"/>
      <c r="T1962" s="12"/>
      <c r="U1962" s="14"/>
      <c r="V1962" s="15"/>
      <c r="W1962" s="16" t="n">
        <f aca="false">A1962</f>
        <v>0</v>
      </c>
      <c r="X1962" s="17" t="e">
        <f aca="false">ifs(C1962="","",X1962="",NOW(),TRUE(),X1962)</f>
        <v>#VALUE!</v>
      </c>
      <c r="Y1962" s="17" t="e">
        <f aca="false">ifs(COUNTA(K1962:U1965)&lt;44,"",Y1962="",NOW(),TRUE(),Y1962)</f>
        <v>#VALUE!</v>
      </c>
    </row>
    <row r="1963" customFormat="false" ht="15.75" hidden="false" customHeight="false" outlineLevel="0" collapsed="false">
      <c r="A1963" s="9"/>
      <c r="B1963" s="10"/>
      <c r="C1963" s="10"/>
      <c r="D1963" s="10"/>
      <c r="E1963" s="10"/>
      <c r="F1963" s="10"/>
      <c r="G1963" s="10"/>
      <c r="H1963" s="10"/>
      <c r="I1963" s="18" t="n">
        <v>2</v>
      </c>
      <c r="J1963" s="18"/>
      <c r="K1963" s="19"/>
      <c r="L1963" s="19"/>
      <c r="M1963" s="18"/>
      <c r="N1963" s="18"/>
      <c r="O1963" s="18"/>
      <c r="P1963" s="19"/>
      <c r="Q1963" s="19"/>
      <c r="R1963" s="18"/>
      <c r="S1963" s="18"/>
      <c r="T1963" s="18"/>
      <c r="U1963" s="20"/>
      <c r="V1963" s="21"/>
      <c r="W1963" s="16"/>
      <c r="X1963" s="16"/>
      <c r="Y1963" s="16"/>
    </row>
    <row r="1964" customFormat="false" ht="15.75" hidden="false" customHeight="false" outlineLevel="0" collapsed="false">
      <c r="A1964" s="9"/>
      <c r="B1964" s="10"/>
      <c r="C1964" s="10"/>
      <c r="D1964" s="10"/>
      <c r="E1964" s="10"/>
      <c r="F1964" s="10"/>
      <c r="G1964" s="10"/>
      <c r="H1964" s="10"/>
      <c r="I1964" s="22" t="n">
        <v>3</v>
      </c>
      <c r="J1964" s="22"/>
      <c r="K1964" s="23"/>
      <c r="L1964" s="23"/>
      <c r="M1964" s="22"/>
      <c r="N1964" s="22"/>
      <c r="O1964" s="22"/>
      <c r="P1964" s="23"/>
      <c r="Q1964" s="23"/>
      <c r="R1964" s="22"/>
      <c r="S1964" s="22"/>
      <c r="T1964" s="22"/>
      <c r="U1964" s="24"/>
      <c r="V1964" s="15"/>
      <c r="W1964" s="16"/>
      <c r="X1964" s="16"/>
      <c r="Y1964" s="16"/>
    </row>
    <row r="1965" customFormat="false" ht="15.75" hidden="false" customHeight="false" outlineLevel="0" collapsed="false">
      <c r="A1965" s="9"/>
      <c r="B1965" s="10"/>
      <c r="C1965" s="10"/>
      <c r="D1965" s="10"/>
      <c r="E1965" s="10"/>
      <c r="F1965" s="10"/>
      <c r="G1965" s="10"/>
      <c r="H1965" s="10"/>
      <c r="I1965" s="25" t="n">
        <v>4</v>
      </c>
      <c r="J1965" s="25"/>
      <c r="K1965" s="26"/>
      <c r="L1965" s="26"/>
      <c r="M1965" s="25"/>
      <c r="N1965" s="25"/>
      <c r="O1965" s="25"/>
      <c r="P1965" s="26"/>
      <c r="Q1965" s="26"/>
      <c r="R1965" s="25"/>
      <c r="S1965" s="25"/>
      <c r="T1965" s="25"/>
      <c r="U1965" s="27"/>
      <c r="V1965" s="21"/>
      <c r="W1965" s="16"/>
      <c r="X1965" s="16"/>
      <c r="Y1965" s="16"/>
    </row>
    <row r="1966" customFormat="false" ht="15.75" hidden="false" customHeight="false" outlineLevel="0" collapsed="false">
      <c r="A1966" s="9"/>
      <c r="B1966" s="10"/>
      <c r="C1966" s="11"/>
      <c r="D1966" s="10"/>
      <c r="E1966" s="10"/>
      <c r="F1966" s="10"/>
      <c r="G1966" s="10"/>
      <c r="H1966" s="10"/>
      <c r="I1966" s="12" t="n">
        <v>1</v>
      </c>
      <c r="J1966" s="12"/>
      <c r="K1966" s="13"/>
      <c r="L1966" s="13"/>
      <c r="M1966" s="12"/>
      <c r="N1966" s="12"/>
      <c r="O1966" s="12"/>
      <c r="P1966" s="13"/>
      <c r="Q1966" s="13"/>
      <c r="R1966" s="12"/>
      <c r="S1966" s="12"/>
      <c r="T1966" s="12"/>
      <c r="U1966" s="14"/>
      <c r="V1966" s="15"/>
      <c r="W1966" s="16" t="n">
        <f aca="false">A1966</f>
        <v>0</v>
      </c>
      <c r="X1966" s="17" t="e">
        <f aca="false">ifs(C1966="","",X1966="",NOW(),TRUE(),X1966)</f>
        <v>#VALUE!</v>
      </c>
      <c r="Y1966" s="17" t="e">
        <f aca="false">ifs(COUNTA(K1966:U1969)&lt;44,"",Y1966="",NOW(),TRUE(),Y1966)</f>
        <v>#VALUE!</v>
      </c>
    </row>
    <row r="1967" customFormat="false" ht="15.75" hidden="false" customHeight="false" outlineLevel="0" collapsed="false">
      <c r="A1967" s="9"/>
      <c r="B1967" s="10"/>
      <c r="C1967" s="10"/>
      <c r="D1967" s="10"/>
      <c r="E1967" s="10"/>
      <c r="F1967" s="10"/>
      <c r="G1967" s="10"/>
      <c r="H1967" s="10"/>
      <c r="I1967" s="18" t="n">
        <v>2</v>
      </c>
      <c r="J1967" s="18"/>
      <c r="K1967" s="19"/>
      <c r="L1967" s="19"/>
      <c r="M1967" s="18"/>
      <c r="N1967" s="18"/>
      <c r="O1967" s="18"/>
      <c r="P1967" s="19"/>
      <c r="Q1967" s="19"/>
      <c r="R1967" s="18"/>
      <c r="S1967" s="18"/>
      <c r="T1967" s="18"/>
      <c r="U1967" s="20"/>
      <c r="V1967" s="21"/>
      <c r="W1967" s="16"/>
      <c r="X1967" s="16"/>
      <c r="Y1967" s="16"/>
    </row>
    <row r="1968" customFormat="false" ht="15.75" hidden="false" customHeight="false" outlineLevel="0" collapsed="false">
      <c r="A1968" s="9"/>
      <c r="B1968" s="10"/>
      <c r="C1968" s="10"/>
      <c r="D1968" s="10"/>
      <c r="E1968" s="10"/>
      <c r="F1968" s="10"/>
      <c r="G1968" s="10"/>
      <c r="H1968" s="10"/>
      <c r="I1968" s="22" t="n">
        <v>3</v>
      </c>
      <c r="J1968" s="22"/>
      <c r="K1968" s="23"/>
      <c r="L1968" s="23"/>
      <c r="M1968" s="22"/>
      <c r="N1968" s="22"/>
      <c r="O1968" s="22"/>
      <c r="P1968" s="23"/>
      <c r="Q1968" s="23"/>
      <c r="R1968" s="22"/>
      <c r="S1968" s="22"/>
      <c r="T1968" s="22"/>
      <c r="U1968" s="24"/>
      <c r="V1968" s="15"/>
      <c r="W1968" s="16"/>
      <c r="X1968" s="16"/>
      <c r="Y1968" s="16"/>
    </row>
    <row r="1969" customFormat="false" ht="15.75" hidden="false" customHeight="false" outlineLevel="0" collapsed="false">
      <c r="A1969" s="9"/>
      <c r="B1969" s="10"/>
      <c r="C1969" s="10"/>
      <c r="D1969" s="10"/>
      <c r="E1969" s="10"/>
      <c r="F1969" s="10"/>
      <c r="G1969" s="10"/>
      <c r="H1969" s="10"/>
      <c r="I1969" s="25" t="n">
        <v>4</v>
      </c>
      <c r="J1969" s="25"/>
      <c r="K1969" s="26"/>
      <c r="L1969" s="26"/>
      <c r="M1969" s="25"/>
      <c r="N1969" s="25"/>
      <c r="O1969" s="25"/>
      <c r="P1969" s="26"/>
      <c r="Q1969" s="26"/>
      <c r="R1969" s="25"/>
      <c r="S1969" s="25"/>
      <c r="T1969" s="25"/>
      <c r="U1969" s="27"/>
      <c r="V1969" s="21"/>
      <c r="W1969" s="16"/>
      <c r="X1969" s="16"/>
      <c r="Y1969" s="16"/>
    </row>
    <row r="1970" customFormat="false" ht="15.75" hidden="false" customHeight="false" outlineLevel="0" collapsed="false">
      <c r="A1970" s="9"/>
      <c r="B1970" s="10"/>
      <c r="C1970" s="11"/>
      <c r="D1970" s="10"/>
      <c r="E1970" s="10"/>
      <c r="F1970" s="10"/>
      <c r="G1970" s="10"/>
      <c r="H1970" s="10"/>
      <c r="I1970" s="12" t="n">
        <v>1</v>
      </c>
      <c r="J1970" s="12"/>
      <c r="K1970" s="13"/>
      <c r="L1970" s="13"/>
      <c r="M1970" s="12"/>
      <c r="N1970" s="12"/>
      <c r="O1970" s="12"/>
      <c r="P1970" s="13"/>
      <c r="Q1970" s="13"/>
      <c r="R1970" s="12"/>
      <c r="S1970" s="12"/>
      <c r="T1970" s="12"/>
      <c r="U1970" s="14"/>
      <c r="V1970" s="15"/>
      <c r="W1970" s="16" t="n">
        <f aca="false">A1970</f>
        <v>0</v>
      </c>
      <c r="X1970" s="17" t="e">
        <f aca="false">ifs(C1970="","",X1970="",NOW(),TRUE(),X1970)</f>
        <v>#VALUE!</v>
      </c>
      <c r="Y1970" s="17" t="e">
        <f aca="false">ifs(COUNTA(K1970:U1973)&lt;44,"",Y1970="",NOW(),TRUE(),Y1970)</f>
        <v>#VALUE!</v>
      </c>
    </row>
    <row r="1971" customFormat="false" ht="15.75" hidden="false" customHeight="false" outlineLevel="0" collapsed="false">
      <c r="A1971" s="9"/>
      <c r="B1971" s="10"/>
      <c r="C1971" s="10"/>
      <c r="D1971" s="10"/>
      <c r="E1971" s="10"/>
      <c r="F1971" s="10"/>
      <c r="G1971" s="10"/>
      <c r="H1971" s="10"/>
      <c r="I1971" s="18" t="n">
        <v>2</v>
      </c>
      <c r="J1971" s="18"/>
      <c r="K1971" s="19"/>
      <c r="L1971" s="19"/>
      <c r="M1971" s="18"/>
      <c r="N1971" s="18"/>
      <c r="O1971" s="18"/>
      <c r="P1971" s="19"/>
      <c r="Q1971" s="19"/>
      <c r="R1971" s="18"/>
      <c r="S1971" s="18"/>
      <c r="T1971" s="18"/>
      <c r="U1971" s="20"/>
      <c r="V1971" s="21"/>
      <c r="W1971" s="16"/>
      <c r="X1971" s="16"/>
      <c r="Y1971" s="16"/>
    </row>
    <row r="1972" customFormat="false" ht="15.75" hidden="false" customHeight="false" outlineLevel="0" collapsed="false">
      <c r="A1972" s="9"/>
      <c r="B1972" s="10"/>
      <c r="C1972" s="10"/>
      <c r="D1972" s="10"/>
      <c r="E1972" s="10"/>
      <c r="F1972" s="10"/>
      <c r="G1972" s="10"/>
      <c r="H1972" s="10"/>
      <c r="I1972" s="22" t="n">
        <v>3</v>
      </c>
      <c r="J1972" s="22"/>
      <c r="K1972" s="23"/>
      <c r="L1972" s="23"/>
      <c r="M1972" s="22"/>
      <c r="N1972" s="22"/>
      <c r="O1972" s="22"/>
      <c r="P1972" s="23"/>
      <c r="Q1972" s="23"/>
      <c r="R1972" s="22"/>
      <c r="S1972" s="22"/>
      <c r="T1972" s="22"/>
      <c r="U1972" s="24"/>
      <c r="V1972" s="15"/>
      <c r="W1972" s="16"/>
      <c r="X1972" s="16"/>
      <c r="Y1972" s="16"/>
    </row>
    <row r="1973" customFormat="false" ht="15.75" hidden="false" customHeight="false" outlineLevel="0" collapsed="false">
      <c r="A1973" s="9"/>
      <c r="B1973" s="10"/>
      <c r="C1973" s="10"/>
      <c r="D1973" s="10"/>
      <c r="E1973" s="10"/>
      <c r="F1973" s="10"/>
      <c r="G1973" s="10"/>
      <c r="H1973" s="10"/>
      <c r="I1973" s="25" t="n">
        <v>4</v>
      </c>
      <c r="J1973" s="25"/>
      <c r="K1973" s="26"/>
      <c r="L1973" s="26"/>
      <c r="M1973" s="25"/>
      <c r="N1973" s="25"/>
      <c r="O1973" s="25"/>
      <c r="P1973" s="26"/>
      <c r="Q1973" s="26"/>
      <c r="R1973" s="25"/>
      <c r="S1973" s="25"/>
      <c r="T1973" s="25"/>
      <c r="U1973" s="27"/>
      <c r="V1973" s="21"/>
      <c r="W1973" s="16"/>
      <c r="X1973" s="16"/>
      <c r="Y1973" s="16"/>
    </row>
    <row r="1974" customFormat="false" ht="15.75" hidden="false" customHeight="false" outlineLevel="0" collapsed="false">
      <c r="A1974" s="9"/>
      <c r="B1974" s="10"/>
      <c r="C1974" s="11"/>
      <c r="D1974" s="10"/>
      <c r="E1974" s="10"/>
      <c r="F1974" s="10"/>
      <c r="G1974" s="10"/>
      <c r="H1974" s="10"/>
      <c r="I1974" s="12" t="n">
        <v>1</v>
      </c>
      <c r="J1974" s="12"/>
      <c r="K1974" s="13"/>
      <c r="L1974" s="13"/>
      <c r="M1974" s="12"/>
      <c r="N1974" s="12"/>
      <c r="O1974" s="12"/>
      <c r="P1974" s="13"/>
      <c r="Q1974" s="13"/>
      <c r="R1974" s="12"/>
      <c r="S1974" s="12"/>
      <c r="T1974" s="12"/>
      <c r="U1974" s="14"/>
      <c r="V1974" s="15"/>
      <c r="W1974" s="16" t="n">
        <f aca="false">A1974</f>
        <v>0</v>
      </c>
      <c r="X1974" s="17" t="e">
        <f aca="false">ifs(C1974="","",X1974="",NOW(),TRUE(),X1974)</f>
        <v>#VALUE!</v>
      </c>
      <c r="Y1974" s="17" t="e">
        <f aca="false">ifs(COUNTA(K1974:U1977)&lt;44,"",Y1974="",NOW(),TRUE(),Y1974)</f>
        <v>#VALUE!</v>
      </c>
    </row>
    <row r="1975" customFormat="false" ht="15.75" hidden="false" customHeight="false" outlineLevel="0" collapsed="false">
      <c r="A1975" s="9"/>
      <c r="B1975" s="10"/>
      <c r="C1975" s="10"/>
      <c r="D1975" s="10"/>
      <c r="E1975" s="10"/>
      <c r="F1975" s="10"/>
      <c r="G1975" s="10"/>
      <c r="H1975" s="10"/>
      <c r="I1975" s="18" t="n">
        <v>2</v>
      </c>
      <c r="J1975" s="18"/>
      <c r="K1975" s="19"/>
      <c r="L1975" s="19"/>
      <c r="M1975" s="18"/>
      <c r="N1975" s="18"/>
      <c r="O1975" s="18"/>
      <c r="P1975" s="19"/>
      <c r="Q1975" s="19"/>
      <c r="R1975" s="18"/>
      <c r="S1975" s="18"/>
      <c r="T1975" s="18"/>
      <c r="U1975" s="20"/>
      <c r="V1975" s="21"/>
      <c r="W1975" s="16"/>
      <c r="X1975" s="16"/>
      <c r="Y1975" s="16"/>
    </row>
    <row r="1976" customFormat="false" ht="15.75" hidden="false" customHeight="false" outlineLevel="0" collapsed="false">
      <c r="A1976" s="9"/>
      <c r="B1976" s="10"/>
      <c r="C1976" s="10"/>
      <c r="D1976" s="10"/>
      <c r="E1976" s="10"/>
      <c r="F1976" s="10"/>
      <c r="G1976" s="10"/>
      <c r="H1976" s="10"/>
      <c r="I1976" s="22" t="n">
        <v>3</v>
      </c>
      <c r="J1976" s="22"/>
      <c r="K1976" s="23"/>
      <c r="L1976" s="23"/>
      <c r="M1976" s="22"/>
      <c r="N1976" s="22"/>
      <c r="O1976" s="22"/>
      <c r="P1976" s="23"/>
      <c r="Q1976" s="23"/>
      <c r="R1976" s="22"/>
      <c r="S1976" s="22"/>
      <c r="T1976" s="22"/>
      <c r="U1976" s="24"/>
      <c r="V1976" s="15"/>
      <c r="W1976" s="16"/>
      <c r="X1976" s="16"/>
      <c r="Y1976" s="16"/>
    </row>
    <row r="1977" customFormat="false" ht="15.75" hidden="false" customHeight="false" outlineLevel="0" collapsed="false">
      <c r="A1977" s="9"/>
      <c r="B1977" s="10"/>
      <c r="C1977" s="10"/>
      <c r="D1977" s="10"/>
      <c r="E1977" s="10"/>
      <c r="F1977" s="10"/>
      <c r="G1977" s="10"/>
      <c r="H1977" s="10"/>
      <c r="I1977" s="25" t="n">
        <v>4</v>
      </c>
      <c r="J1977" s="25"/>
      <c r="K1977" s="26"/>
      <c r="L1977" s="26"/>
      <c r="M1977" s="25"/>
      <c r="N1977" s="25"/>
      <c r="O1977" s="25"/>
      <c r="P1977" s="26"/>
      <c r="Q1977" s="26"/>
      <c r="R1977" s="25"/>
      <c r="S1977" s="25"/>
      <c r="T1977" s="25"/>
      <c r="U1977" s="27"/>
      <c r="V1977" s="21"/>
      <c r="W1977" s="16"/>
      <c r="X1977" s="16"/>
      <c r="Y1977" s="16"/>
    </row>
    <row r="1978" customFormat="false" ht="15.75" hidden="false" customHeight="false" outlineLevel="0" collapsed="false">
      <c r="A1978" s="9"/>
      <c r="B1978" s="10"/>
      <c r="C1978" s="11"/>
      <c r="D1978" s="10"/>
      <c r="E1978" s="10"/>
      <c r="F1978" s="10"/>
      <c r="G1978" s="10"/>
      <c r="H1978" s="10"/>
      <c r="I1978" s="12" t="n">
        <v>1</v>
      </c>
      <c r="J1978" s="12"/>
      <c r="K1978" s="13"/>
      <c r="L1978" s="13"/>
      <c r="M1978" s="12"/>
      <c r="N1978" s="12"/>
      <c r="O1978" s="12"/>
      <c r="P1978" s="13"/>
      <c r="Q1978" s="13"/>
      <c r="R1978" s="12"/>
      <c r="S1978" s="12"/>
      <c r="T1978" s="12"/>
      <c r="U1978" s="14"/>
      <c r="V1978" s="15"/>
      <c r="W1978" s="16" t="n">
        <f aca="false">A1978</f>
        <v>0</v>
      </c>
      <c r="X1978" s="17" t="e">
        <f aca="false">ifs(C1978="","",X1978="",NOW(),TRUE(),X1978)</f>
        <v>#VALUE!</v>
      </c>
      <c r="Y1978" s="17" t="e">
        <f aca="false">ifs(COUNTA(K1978:U1981)&lt;44,"",Y1978="",NOW(),TRUE(),Y1978)</f>
        <v>#VALUE!</v>
      </c>
    </row>
    <row r="1979" customFormat="false" ht="15.75" hidden="false" customHeight="false" outlineLevel="0" collapsed="false">
      <c r="A1979" s="9"/>
      <c r="B1979" s="10"/>
      <c r="C1979" s="10"/>
      <c r="D1979" s="10"/>
      <c r="E1979" s="10"/>
      <c r="F1979" s="10"/>
      <c r="G1979" s="10"/>
      <c r="H1979" s="10"/>
      <c r="I1979" s="18" t="n">
        <v>2</v>
      </c>
      <c r="J1979" s="18"/>
      <c r="K1979" s="19"/>
      <c r="L1979" s="19"/>
      <c r="M1979" s="18"/>
      <c r="N1979" s="18"/>
      <c r="O1979" s="18"/>
      <c r="P1979" s="19"/>
      <c r="Q1979" s="19"/>
      <c r="R1979" s="18"/>
      <c r="S1979" s="18"/>
      <c r="T1979" s="18"/>
      <c r="U1979" s="20"/>
      <c r="V1979" s="21"/>
      <c r="W1979" s="16"/>
      <c r="X1979" s="16"/>
      <c r="Y1979" s="16"/>
    </row>
    <row r="1980" customFormat="false" ht="15.75" hidden="false" customHeight="false" outlineLevel="0" collapsed="false">
      <c r="A1980" s="9"/>
      <c r="B1980" s="10"/>
      <c r="C1980" s="10"/>
      <c r="D1980" s="10"/>
      <c r="E1980" s="10"/>
      <c r="F1980" s="10"/>
      <c r="G1980" s="10"/>
      <c r="H1980" s="10"/>
      <c r="I1980" s="22" t="n">
        <v>3</v>
      </c>
      <c r="J1980" s="22"/>
      <c r="K1980" s="23"/>
      <c r="L1980" s="23"/>
      <c r="M1980" s="22"/>
      <c r="N1980" s="22"/>
      <c r="O1980" s="22"/>
      <c r="P1980" s="23"/>
      <c r="Q1980" s="23"/>
      <c r="R1980" s="22"/>
      <c r="S1980" s="22"/>
      <c r="T1980" s="22"/>
      <c r="U1980" s="24"/>
      <c r="V1980" s="15"/>
      <c r="W1980" s="16"/>
      <c r="X1980" s="16"/>
      <c r="Y1980" s="16"/>
    </row>
    <row r="1981" customFormat="false" ht="15.75" hidden="false" customHeight="false" outlineLevel="0" collapsed="false">
      <c r="A1981" s="9"/>
      <c r="B1981" s="10"/>
      <c r="C1981" s="10"/>
      <c r="D1981" s="10"/>
      <c r="E1981" s="10"/>
      <c r="F1981" s="10"/>
      <c r="G1981" s="10"/>
      <c r="H1981" s="10"/>
      <c r="I1981" s="25" t="n">
        <v>4</v>
      </c>
      <c r="J1981" s="25"/>
      <c r="K1981" s="26"/>
      <c r="L1981" s="26"/>
      <c r="M1981" s="25"/>
      <c r="N1981" s="25"/>
      <c r="O1981" s="25"/>
      <c r="P1981" s="26"/>
      <c r="Q1981" s="26"/>
      <c r="R1981" s="25"/>
      <c r="S1981" s="25"/>
      <c r="T1981" s="25"/>
      <c r="U1981" s="27"/>
      <c r="V1981" s="21"/>
      <c r="W1981" s="16"/>
      <c r="X1981" s="16"/>
      <c r="Y1981" s="16"/>
    </row>
    <row r="1982" customFormat="false" ht="15.75" hidden="false" customHeight="false" outlineLevel="0" collapsed="false">
      <c r="A1982" s="9"/>
      <c r="B1982" s="10"/>
      <c r="C1982" s="11"/>
      <c r="D1982" s="10"/>
      <c r="E1982" s="10"/>
      <c r="F1982" s="10"/>
      <c r="G1982" s="10"/>
      <c r="H1982" s="10"/>
      <c r="I1982" s="12" t="n">
        <v>1</v>
      </c>
      <c r="J1982" s="12"/>
      <c r="K1982" s="13"/>
      <c r="L1982" s="13"/>
      <c r="M1982" s="12"/>
      <c r="N1982" s="12"/>
      <c r="O1982" s="12"/>
      <c r="P1982" s="13"/>
      <c r="Q1982" s="13"/>
      <c r="R1982" s="12"/>
      <c r="S1982" s="12"/>
      <c r="T1982" s="12"/>
      <c r="U1982" s="14"/>
      <c r="V1982" s="15"/>
      <c r="W1982" s="16" t="n">
        <f aca="false">A1982</f>
        <v>0</v>
      </c>
      <c r="X1982" s="17" t="e">
        <f aca="false">ifs(C1982="","",X1982="",NOW(),TRUE(),X1982)</f>
        <v>#VALUE!</v>
      </c>
      <c r="Y1982" s="17" t="e">
        <f aca="false">ifs(COUNTA(K1982:U1985)&lt;44,"",Y1982="",NOW(),TRUE(),Y1982)</f>
        <v>#VALUE!</v>
      </c>
    </row>
    <row r="1983" customFormat="false" ht="15.75" hidden="false" customHeight="false" outlineLevel="0" collapsed="false">
      <c r="A1983" s="9"/>
      <c r="B1983" s="10"/>
      <c r="C1983" s="10"/>
      <c r="D1983" s="10"/>
      <c r="E1983" s="10"/>
      <c r="F1983" s="10"/>
      <c r="G1983" s="10"/>
      <c r="H1983" s="10"/>
      <c r="I1983" s="18" t="n">
        <v>2</v>
      </c>
      <c r="J1983" s="18"/>
      <c r="K1983" s="19"/>
      <c r="L1983" s="19"/>
      <c r="M1983" s="18"/>
      <c r="N1983" s="18"/>
      <c r="O1983" s="18"/>
      <c r="P1983" s="19"/>
      <c r="Q1983" s="19"/>
      <c r="R1983" s="18"/>
      <c r="S1983" s="18"/>
      <c r="T1983" s="18"/>
      <c r="U1983" s="20"/>
      <c r="V1983" s="21"/>
      <c r="W1983" s="16"/>
      <c r="X1983" s="16"/>
      <c r="Y1983" s="16"/>
    </row>
    <row r="1984" customFormat="false" ht="15.75" hidden="false" customHeight="false" outlineLevel="0" collapsed="false">
      <c r="A1984" s="9"/>
      <c r="B1984" s="10"/>
      <c r="C1984" s="10"/>
      <c r="D1984" s="10"/>
      <c r="E1984" s="10"/>
      <c r="F1984" s="10"/>
      <c r="G1984" s="10"/>
      <c r="H1984" s="10"/>
      <c r="I1984" s="22" t="n">
        <v>3</v>
      </c>
      <c r="J1984" s="22"/>
      <c r="K1984" s="23"/>
      <c r="L1984" s="23"/>
      <c r="M1984" s="22"/>
      <c r="N1984" s="22"/>
      <c r="O1984" s="22"/>
      <c r="P1984" s="23"/>
      <c r="Q1984" s="23"/>
      <c r="R1984" s="22"/>
      <c r="S1984" s="22"/>
      <c r="T1984" s="22"/>
      <c r="U1984" s="24"/>
      <c r="V1984" s="15"/>
      <c r="W1984" s="16"/>
      <c r="X1984" s="16"/>
      <c r="Y1984" s="16"/>
    </row>
    <row r="1985" customFormat="false" ht="15.75" hidden="false" customHeight="false" outlineLevel="0" collapsed="false">
      <c r="A1985" s="9"/>
      <c r="B1985" s="10"/>
      <c r="C1985" s="10"/>
      <c r="D1985" s="10"/>
      <c r="E1985" s="10"/>
      <c r="F1985" s="10"/>
      <c r="G1985" s="10"/>
      <c r="H1985" s="10"/>
      <c r="I1985" s="25" t="n">
        <v>4</v>
      </c>
      <c r="J1985" s="25"/>
      <c r="K1985" s="26"/>
      <c r="L1985" s="26"/>
      <c r="M1985" s="25"/>
      <c r="N1985" s="25"/>
      <c r="O1985" s="25"/>
      <c r="P1985" s="26"/>
      <c r="Q1985" s="26"/>
      <c r="R1985" s="25"/>
      <c r="S1985" s="25"/>
      <c r="T1985" s="25"/>
      <c r="U1985" s="27"/>
      <c r="V1985" s="21"/>
      <c r="W1985" s="16"/>
      <c r="X1985" s="16"/>
      <c r="Y1985" s="16"/>
    </row>
    <row r="1986" customFormat="false" ht="15.75" hidden="false" customHeight="false" outlineLevel="0" collapsed="false">
      <c r="A1986" s="9"/>
      <c r="B1986" s="10"/>
      <c r="C1986" s="11"/>
      <c r="D1986" s="10"/>
      <c r="E1986" s="10"/>
      <c r="F1986" s="10"/>
      <c r="G1986" s="10"/>
      <c r="H1986" s="10"/>
      <c r="I1986" s="12" t="n">
        <v>1</v>
      </c>
      <c r="J1986" s="12"/>
      <c r="K1986" s="13"/>
      <c r="L1986" s="13"/>
      <c r="M1986" s="12"/>
      <c r="N1986" s="12"/>
      <c r="O1986" s="12"/>
      <c r="P1986" s="13"/>
      <c r="Q1986" s="13"/>
      <c r="R1986" s="12"/>
      <c r="S1986" s="12"/>
      <c r="T1986" s="12"/>
      <c r="U1986" s="14"/>
      <c r="V1986" s="15"/>
      <c r="W1986" s="16" t="n">
        <f aca="false">A1986</f>
        <v>0</v>
      </c>
      <c r="X1986" s="17" t="e">
        <f aca="false">ifs(C1986="","",X1986="",NOW(),TRUE(),X1986)</f>
        <v>#VALUE!</v>
      </c>
      <c r="Y1986" s="17" t="e">
        <f aca="false">ifs(COUNTA(K1986:U1989)&lt;44,"",Y1986="",NOW(),TRUE(),Y1986)</f>
        <v>#VALUE!</v>
      </c>
    </row>
    <row r="1987" customFormat="false" ht="15.75" hidden="false" customHeight="false" outlineLevel="0" collapsed="false">
      <c r="A1987" s="9"/>
      <c r="B1987" s="10"/>
      <c r="C1987" s="10"/>
      <c r="D1987" s="10"/>
      <c r="E1987" s="10"/>
      <c r="F1987" s="10"/>
      <c r="G1987" s="10"/>
      <c r="H1987" s="10"/>
      <c r="I1987" s="18" t="n">
        <v>2</v>
      </c>
      <c r="J1987" s="18"/>
      <c r="K1987" s="19"/>
      <c r="L1987" s="19"/>
      <c r="M1987" s="18"/>
      <c r="N1987" s="18"/>
      <c r="O1987" s="18"/>
      <c r="P1987" s="19"/>
      <c r="Q1987" s="19"/>
      <c r="R1987" s="18"/>
      <c r="S1987" s="18"/>
      <c r="T1987" s="18"/>
      <c r="U1987" s="20"/>
      <c r="V1987" s="21"/>
      <c r="W1987" s="16"/>
      <c r="X1987" s="16"/>
      <c r="Y1987" s="16"/>
    </row>
    <row r="1988" customFormat="false" ht="15.75" hidden="false" customHeight="false" outlineLevel="0" collapsed="false">
      <c r="A1988" s="9"/>
      <c r="B1988" s="10"/>
      <c r="C1988" s="10"/>
      <c r="D1988" s="10"/>
      <c r="E1988" s="10"/>
      <c r="F1988" s="10"/>
      <c r="G1988" s="10"/>
      <c r="H1988" s="10"/>
      <c r="I1988" s="22" t="n">
        <v>3</v>
      </c>
      <c r="J1988" s="22"/>
      <c r="K1988" s="23"/>
      <c r="L1988" s="23"/>
      <c r="M1988" s="22"/>
      <c r="N1988" s="22"/>
      <c r="O1988" s="22"/>
      <c r="P1988" s="23"/>
      <c r="Q1988" s="23"/>
      <c r="R1988" s="22"/>
      <c r="S1988" s="22"/>
      <c r="T1988" s="22"/>
      <c r="U1988" s="24"/>
      <c r="V1988" s="15"/>
      <c r="W1988" s="16"/>
      <c r="X1988" s="16"/>
      <c r="Y1988" s="16"/>
    </row>
    <row r="1989" customFormat="false" ht="15.75" hidden="false" customHeight="false" outlineLevel="0" collapsed="false">
      <c r="A1989" s="9"/>
      <c r="B1989" s="10"/>
      <c r="C1989" s="10"/>
      <c r="D1989" s="10"/>
      <c r="E1989" s="10"/>
      <c r="F1989" s="10"/>
      <c r="G1989" s="10"/>
      <c r="H1989" s="10"/>
      <c r="I1989" s="25" t="n">
        <v>4</v>
      </c>
      <c r="J1989" s="25"/>
      <c r="K1989" s="26"/>
      <c r="L1989" s="26"/>
      <c r="M1989" s="25"/>
      <c r="N1989" s="25"/>
      <c r="O1989" s="25"/>
      <c r="P1989" s="26"/>
      <c r="Q1989" s="26"/>
      <c r="R1989" s="25"/>
      <c r="S1989" s="25"/>
      <c r="T1989" s="25"/>
      <c r="U1989" s="27"/>
      <c r="V1989" s="21"/>
      <c r="W1989" s="16"/>
      <c r="X1989" s="16"/>
      <c r="Y1989" s="16"/>
    </row>
    <row r="1990" customFormat="false" ht="15.75" hidden="false" customHeight="false" outlineLevel="0" collapsed="false">
      <c r="A1990" s="9"/>
      <c r="B1990" s="10"/>
      <c r="C1990" s="11"/>
      <c r="D1990" s="10"/>
      <c r="E1990" s="10"/>
      <c r="F1990" s="10"/>
      <c r="G1990" s="10"/>
      <c r="H1990" s="10"/>
      <c r="I1990" s="12" t="n">
        <v>1</v>
      </c>
      <c r="J1990" s="12"/>
      <c r="K1990" s="13"/>
      <c r="L1990" s="13"/>
      <c r="M1990" s="12"/>
      <c r="N1990" s="12"/>
      <c r="O1990" s="12"/>
      <c r="P1990" s="13"/>
      <c r="Q1990" s="13"/>
      <c r="R1990" s="12"/>
      <c r="S1990" s="12"/>
      <c r="T1990" s="12"/>
      <c r="U1990" s="14"/>
      <c r="V1990" s="15"/>
      <c r="W1990" s="16" t="n">
        <f aca="false">A1990</f>
        <v>0</v>
      </c>
      <c r="X1990" s="17" t="e">
        <f aca="false">ifs(C1990="","",X1990="",NOW(),TRUE(),X1990)</f>
        <v>#VALUE!</v>
      </c>
      <c r="Y1990" s="17" t="e">
        <f aca="false">ifs(COUNTA(K1990:U1993)&lt;44,"",Y1990="",NOW(),TRUE(),Y1990)</f>
        <v>#VALUE!</v>
      </c>
    </row>
    <row r="1991" customFormat="false" ht="15.75" hidden="false" customHeight="false" outlineLevel="0" collapsed="false">
      <c r="A1991" s="9"/>
      <c r="B1991" s="10"/>
      <c r="C1991" s="10"/>
      <c r="D1991" s="10"/>
      <c r="E1991" s="10"/>
      <c r="F1991" s="10"/>
      <c r="G1991" s="10"/>
      <c r="H1991" s="10"/>
      <c r="I1991" s="18" t="n">
        <v>2</v>
      </c>
      <c r="J1991" s="18"/>
      <c r="K1991" s="19"/>
      <c r="L1991" s="19"/>
      <c r="M1991" s="18"/>
      <c r="N1991" s="18"/>
      <c r="O1991" s="18"/>
      <c r="P1991" s="19"/>
      <c r="Q1991" s="19"/>
      <c r="R1991" s="18"/>
      <c r="S1991" s="18"/>
      <c r="T1991" s="18"/>
      <c r="U1991" s="20"/>
      <c r="V1991" s="21"/>
      <c r="W1991" s="16"/>
      <c r="X1991" s="16"/>
      <c r="Y1991" s="16"/>
    </row>
    <row r="1992" customFormat="false" ht="15.75" hidden="false" customHeight="false" outlineLevel="0" collapsed="false">
      <c r="A1992" s="9"/>
      <c r="B1992" s="10"/>
      <c r="C1992" s="10"/>
      <c r="D1992" s="10"/>
      <c r="E1992" s="10"/>
      <c r="F1992" s="10"/>
      <c r="G1992" s="10"/>
      <c r="H1992" s="10"/>
      <c r="I1992" s="22" t="n">
        <v>3</v>
      </c>
      <c r="J1992" s="22"/>
      <c r="K1992" s="23"/>
      <c r="L1992" s="23"/>
      <c r="M1992" s="22"/>
      <c r="N1992" s="22"/>
      <c r="O1992" s="22"/>
      <c r="P1992" s="23"/>
      <c r="Q1992" s="23"/>
      <c r="R1992" s="22"/>
      <c r="S1992" s="22"/>
      <c r="T1992" s="22"/>
      <c r="U1992" s="24"/>
      <c r="V1992" s="15"/>
      <c r="W1992" s="16"/>
      <c r="X1992" s="16"/>
      <c r="Y1992" s="16"/>
    </row>
    <row r="1993" customFormat="false" ht="15.75" hidden="false" customHeight="false" outlineLevel="0" collapsed="false">
      <c r="A1993" s="9"/>
      <c r="B1993" s="10"/>
      <c r="C1993" s="10"/>
      <c r="D1993" s="10"/>
      <c r="E1993" s="10"/>
      <c r="F1993" s="10"/>
      <c r="G1993" s="10"/>
      <c r="H1993" s="10"/>
      <c r="I1993" s="25" t="n">
        <v>4</v>
      </c>
      <c r="J1993" s="25"/>
      <c r="K1993" s="26"/>
      <c r="L1993" s="26"/>
      <c r="M1993" s="25"/>
      <c r="N1993" s="25"/>
      <c r="O1993" s="25"/>
      <c r="P1993" s="26"/>
      <c r="Q1993" s="26"/>
      <c r="R1993" s="25"/>
      <c r="S1993" s="25"/>
      <c r="T1993" s="25"/>
      <c r="U1993" s="27"/>
      <c r="V1993" s="21"/>
      <c r="W1993" s="16"/>
      <c r="X1993" s="16"/>
      <c r="Y1993" s="16"/>
    </row>
    <row r="1994" customFormat="false" ht="15.75" hidden="false" customHeight="false" outlineLevel="0" collapsed="false">
      <c r="A1994" s="9"/>
      <c r="B1994" s="10"/>
      <c r="C1994" s="11"/>
      <c r="D1994" s="10"/>
      <c r="E1994" s="10"/>
      <c r="F1994" s="10"/>
      <c r="G1994" s="10"/>
      <c r="H1994" s="10"/>
      <c r="I1994" s="12" t="n">
        <v>1</v>
      </c>
      <c r="J1994" s="12"/>
      <c r="K1994" s="13"/>
      <c r="L1994" s="13"/>
      <c r="M1994" s="12"/>
      <c r="N1994" s="12"/>
      <c r="O1994" s="12"/>
      <c r="P1994" s="13"/>
      <c r="Q1994" s="13"/>
      <c r="R1994" s="12"/>
      <c r="S1994" s="12"/>
      <c r="T1994" s="12"/>
      <c r="U1994" s="14"/>
      <c r="V1994" s="15"/>
      <c r="W1994" s="16" t="n">
        <f aca="false">A1994</f>
        <v>0</v>
      </c>
      <c r="X1994" s="17" t="e">
        <f aca="false">ifs(C1994="","",X1994="",NOW(),TRUE(),X1994)</f>
        <v>#VALUE!</v>
      </c>
      <c r="Y1994" s="17" t="e">
        <f aca="false">ifs(COUNTA(K1994:U1997)&lt;44,"",Y1994="",NOW(),TRUE(),Y1994)</f>
        <v>#VALUE!</v>
      </c>
    </row>
    <row r="1995" customFormat="false" ht="15.75" hidden="false" customHeight="false" outlineLevel="0" collapsed="false">
      <c r="A1995" s="9"/>
      <c r="B1995" s="10"/>
      <c r="C1995" s="10"/>
      <c r="D1995" s="10"/>
      <c r="E1995" s="10"/>
      <c r="F1995" s="10"/>
      <c r="G1995" s="10"/>
      <c r="H1995" s="10"/>
      <c r="I1995" s="18" t="n">
        <v>2</v>
      </c>
      <c r="J1995" s="18"/>
      <c r="K1995" s="19"/>
      <c r="L1995" s="19"/>
      <c r="M1995" s="18"/>
      <c r="N1995" s="18"/>
      <c r="O1995" s="18"/>
      <c r="P1995" s="19"/>
      <c r="Q1995" s="19"/>
      <c r="R1995" s="18"/>
      <c r="S1995" s="18"/>
      <c r="T1995" s="18"/>
      <c r="U1995" s="20"/>
      <c r="V1995" s="21"/>
      <c r="W1995" s="16"/>
      <c r="X1995" s="16"/>
      <c r="Y1995" s="16"/>
    </row>
    <row r="1996" customFormat="false" ht="15.75" hidden="false" customHeight="false" outlineLevel="0" collapsed="false">
      <c r="A1996" s="9"/>
      <c r="B1996" s="10"/>
      <c r="C1996" s="10"/>
      <c r="D1996" s="10"/>
      <c r="E1996" s="10"/>
      <c r="F1996" s="10"/>
      <c r="G1996" s="10"/>
      <c r="H1996" s="10"/>
      <c r="I1996" s="22" t="n">
        <v>3</v>
      </c>
      <c r="J1996" s="22"/>
      <c r="K1996" s="23"/>
      <c r="L1996" s="23"/>
      <c r="M1996" s="22"/>
      <c r="N1996" s="22"/>
      <c r="O1996" s="22"/>
      <c r="P1996" s="23"/>
      <c r="Q1996" s="23"/>
      <c r="R1996" s="22"/>
      <c r="S1996" s="22"/>
      <c r="T1996" s="22"/>
      <c r="U1996" s="24"/>
      <c r="V1996" s="15"/>
      <c r="W1996" s="16"/>
      <c r="X1996" s="16"/>
      <c r="Y1996" s="16"/>
    </row>
    <row r="1997" customFormat="false" ht="15.75" hidden="false" customHeight="false" outlineLevel="0" collapsed="false">
      <c r="A1997" s="9"/>
      <c r="B1997" s="10"/>
      <c r="C1997" s="10"/>
      <c r="D1997" s="10"/>
      <c r="E1997" s="10"/>
      <c r="F1997" s="10"/>
      <c r="G1997" s="10"/>
      <c r="H1997" s="10"/>
      <c r="I1997" s="25" t="n">
        <v>4</v>
      </c>
      <c r="J1997" s="25"/>
      <c r="K1997" s="26"/>
      <c r="L1997" s="26"/>
      <c r="M1997" s="25"/>
      <c r="N1997" s="25"/>
      <c r="O1997" s="25"/>
      <c r="P1997" s="26"/>
      <c r="Q1997" s="26"/>
      <c r="R1997" s="25"/>
      <c r="S1997" s="25"/>
      <c r="T1997" s="25"/>
      <c r="U1997" s="27"/>
      <c r="V1997" s="21"/>
      <c r="W1997" s="16"/>
      <c r="X1997" s="16"/>
      <c r="Y1997" s="16"/>
    </row>
    <row r="1998" customFormat="false" ht="15.75" hidden="false" customHeight="false" outlineLevel="0" collapsed="false">
      <c r="A1998" s="9"/>
      <c r="B1998" s="10"/>
      <c r="C1998" s="11"/>
      <c r="D1998" s="10"/>
      <c r="E1998" s="10"/>
      <c r="F1998" s="10"/>
      <c r="G1998" s="10"/>
      <c r="H1998" s="10"/>
      <c r="I1998" s="12" t="n">
        <v>1</v>
      </c>
      <c r="J1998" s="12"/>
      <c r="K1998" s="13"/>
      <c r="L1998" s="13"/>
      <c r="M1998" s="12"/>
      <c r="N1998" s="12"/>
      <c r="O1998" s="12"/>
      <c r="P1998" s="13"/>
      <c r="Q1998" s="13"/>
      <c r="R1998" s="12"/>
      <c r="S1998" s="12"/>
      <c r="T1998" s="12"/>
      <c r="U1998" s="14"/>
      <c r="V1998" s="15"/>
      <c r="W1998" s="16" t="n">
        <f aca="false">A1998</f>
        <v>0</v>
      </c>
      <c r="X1998" s="17" t="e">
        <f aca="false">ifs(C1998="","",X1998="",NOW(),TRUE(),X1998)</f>
        <v>#VALUE!</v>
      </c>
      <c r="Y1998" s="17" t="e">
        <f aca="false">ifs(COUNTA(K1998:U2001)&lt;44,"",Y1998="",NOW(),TRUE(),Y1998)</f>
        <v>#VALUE!</v>
      </c>
    </row>
    <row r="1999" customFormat="false" ht="15.75" hidden="false" customHeight="false" outlineLevel="0" collapsed="false">
      <c r="A1999" s="9"/>
      <c r="B1999" s="10"/>
      <c r="C1999" s="10"/>
      <c r="D1999" s="10"/>
      <c r="E1999" s="10"/>
      <c r="F1999" s="10"/>
      <c r="G1999" s="10"/>
      <c r="H1999" s="10"/>
      <c r="I1999" s="18" t="n">
        <v>2</v>
      </c>
      <c r="J1999" s="18"/>
      <c r="K1999" s="19"/>
      <c r="L1999" s="19"/>
      <c r="M1999" s="18"/>
      <c r="N1999" s="18"/>
      <c r="O1999" s="18"/>
      <c r="P1999" s="19"/>
      <c r="Q1999" s="19"/>
      <c r="R1999" s="18"/>
      <c r="S1999" s="18"/>
      <c r="T1999" s="18"/>
      <c r="U1999" s="20"/>
      <c r="V1999" s="21"/>
      <c r="W1999" s="16"/>
      <c r="X1999" s="16"/>
      <c r="Y1999" s="16"/>
    </row>
    <row r="2000" customFormat="false" ht="15.75" hidden="false" customHeight="false" outlineLevel="0" collapsed="false">
      <c r="A2000" s="9"/>
      <c r="B2000" s="10"/>
      <c r="C2000" s="10"/>
      <c r="D2000" s="10"/>
      <c r="E2000" s="10"/>
      <c r="F2000" s="10"/>
      <c r="G2000" s="10"/>
      <c r="H2000" s="10"/>
      <c r="I2000" s="22" t="n">
        <v>3</v>
      </c>
      <c r="J2000" s="22"/>
      <c r="K2000" s="23"/>
      <c r="L2000" s="23"/>
      <c r="M2000" s="22"/>
      <c r="N2000" s="22"/>
      <c r="O2000" s="22"/>
      <c r="P2000" s="23"/>
      <c r="Q2000" s="23"/>
      <c r="R2000" s="22"/>
      <c r="S2000" s="22"/>
      <c r="T2000" s="22"/>
      <c r="U2000" s="24"/>
      <c r="V2000" s="15"/>
      <c r="W2000" s="16"/>
      <c r="X2000" s="16"/>
      <c r="Y2000" s="16"/>
    </row>
    <row r="2001" customFormat="false" ht="15.75" hidden="false" customHeight="false" outlineLevel="0" collapsed="false">
      <c r="A2001" s="9"/>
      <c r="B2001" s="10"/>
      <c r="C2001" s="10"/>
      <c r="D2001" s="10"/>
      <c r="E2001" s="10"/>
      <c r="F2001" s="10"/>
      <c r="G2001" s="10"/>
      <c r="H2001" s="10"/>
      <c r="I2001" s="25" t="n">
        <v>4</v>
      </c>
      <c r="J2001" s="25"/>
      <c r="K2001" s="26"/>
      <c r="L2001" s="26"/>
      <c r="M2001" s="25"/>
      <c r="N2001" s="25"/>
      <c r="O2001" s="25"/>
      <c r="P2001" s="26"/>
      <c r="Q2001" s="26"/>
      <c r="R2001" s="25"/>
      <c r="S2001" s="25"/>
      <c r="T2001" s="25"/>
      <c r="U2001" s="27"/>
      <c r="V2001" s="21"/>
      <c r="W2001" s="16"/>
      <c r="X2001" s="16"/>
      <c r="Y2001" s="16"/>
    </row>
    <row r="2002" customFormat="false" ht="15.75" hidden="false" customHeight="false" outlineLevel="0" collapsed="false">
      <c r="A2002" s="9"/>
      <c r="B2002" s="10"/>
      <c r="C2002" s="11"/>
      <c r="D2002" s="10"/>
      <c r="E2002" s="10"/>
      <c r="F2002" s="10"/>
      <c r="G2002" s="10"/>
      <c r="H2002" s="10"/>
      <c r="I2002" s="12" t="n">
        <v>1</v>
      </c>
      <c r="J2002" s="12"/>
      <c r="K2002" s="13"/>
      <c r="L2002" s="13"/>
      <c r="M2002" s="12"/>
      <c r="N2002" s="12"/>
      <c r="O2002" s="12"/>
      <c r="P2002" s="13"/>
      <c r="Q2002" s="13"/>
      <c r="R2002" s="12"/>
      <c r="S2002" s="12"/>
      <c r="T2002" s="12"/>
      <c r="U2002" s="14"/>
      <c r="V2002" s="15"/>
      <c r="W2002" s="16" t="n">
        <f aca="false">A2002</f>
        <v>0</v>
      </c>
      <c r="X2002" s="17" t="e">
        <f aca="false">ifs(C2002="","",X2002="",NOW(),TRUE(),X2002)</f>
        <v>#VALUE!</v>
      </c>
      <c r="Y2002" s="17" t="e">
        <f aca="false">ifs(COUNTA(K2002:U2005)&lt;44,"",Y2002="",NOW(),TRUE(),Y2002)</f>
        <v>#VALUE!</v>
      </c>
    </row>
    <row r="2003" customFormat="false" ht="15.75" hidden="false" customHeight="false" outlineLevel="0" collapsed="false">
      <c r="A2003" s="9"/>
      <c r="B2003" s="10"/>
      <c r="C2003" s="10"/>
      <c r="D2003" s="10"/>
      <c r="E2003" s="10"/>
      <c r="F2003" s="10"/>
      <c r="G2003" s="10"/>
      <c r="H2003" s="10"/>
      <c r="I2003" s="18" t="n">
        <v>2</v>
      </c>
      <c r="J2003" s="18"/>
      <c r="K2003" s="19"/>
      <c r="L2003" s="19"/>
      <c r="M2003" s="18"/>
      <c r="N2003" s="18"/>
      <c r="O2003" s="18"/>
      <c r="P2003" s="19"/>
      <c r="Q2003" s="19"/>
      <c r="R2003" s="18"/>
      <c r="S2003" s="18"/>
      <c r="T2003" s="18"/>
      <c r="U2003" s="20"/>
      <c r="V2003" s="21"/>
      <c r="W2003" s="16"/>
      <c r="X2003" s="16"/>
      <c r="Y2003" s="16"/>
    </row>
    <row r="2004" customFormat="false" ht="15.75" hidden="false" customHeight="false" outlineLevel="0" collapsed="false">
      <c r="A2004" s="9"/>
      <c r="B2004" s="10"/>
      <c r="C2004" s="10"/>
      <c r="D2004" s="10"/>
      <c r="E2004" s="10"/>
      <c r="F2004" s="10"/>
      <c r="G2004" s="10"/>
      <c r="H2004" s="10"/>
      <c r="I2004" s="22" t="n">
        <v>3</v>
      </c>
      <c r="J2004" s="22"/>
      <c r="K2004" s="23"/>
      <c r="L2004" s="23"/>
      <c r="M2004" s="22"/>
      <c r="N2004" s="22"/>
      <c r="O2004" s="22"/>
      <c r="P2004" s="23"/>
      <c r="Q2004" s="23"/>
      <c r="R2004" s="22"/>
      <c r="S2004" s="22"/>
      <c r="T2004" s="22"/>
      <c r="U2004" s="24"/>
      <c r="V2004" s="15"/>
      <c r="W2004" s="16"/>
      <c r="X2004" s="16"/>
      <c r="Y2004" s="16"/>
    </row>
    <row r="2005" customFormat="false" ht="15.75" hidden="false" customHeight="false" outlineLevel="0" collapsed="false">
      <c r="A2005" s="9"/>
      <c r="B2005" s="10"/>
      <c r="C2005" s="10"/>
      <c r="D2005" s="10"/>
      <c r="E2005" s="10"/>
      <c r="F2005" s="10"/>
      <c r="G2005" s="10"/>
      <c r="H2005" s="10"/>
      <c r="I2005" s="25" t="n">
        <v>4</v>
      </c>
      <c r="J2005" s="25"/>
      <c r="K2005" s="26"/>
      <c r="L2005" s="26"/>
      <c r="M2005" s="25"/>
      <c r="N2005" s="25"/>
      <c r="O2005" s="25"/>
      <c r="P2005" s="26"/>
      <c r="Q2005" s="26"/>
      <c r="R2005" s="25"/>
      <c r="S2005" s="25"/>
      <c r="T2005" s="25"/>
      <c r="U2005" s="27"/>
      <c r="V2005" s="21"/>
      <c r="W2005" s="16"/>
      <c r="X2005" s="16"/>
      <c r="Y2005" s="16"/>
    </row>
    <row r="2006" customFormat="false" ht="15.75" hidden="false" customHeight="false" outlineLevel="0" collapsed="false">
      <c r="A2006" s="9"/>
      <c r="B2006" s="10"/>
      <c r="C2006" s="11"/>
      <c r="D2006" s="10"/>
      <c r="E2006" s="10"/>
      <c r="F2006" s="10"/>
      <c r="G2006" s="10"/>
      <c r="H2006" s="10"/>
      <c r="I2006" s="12" t="n">
        <v>1</v>
      </c>
      <c r="J2006" s="12"/>
      <c r="K2006" s="13"/>
      <c r="L2006" s="13"/>
      <c r="M2006" s="12"/>
      <c r="N2006" s="12"/>
      <c r="O2006" s="12"/>
      <c r="P2006" s="13"/>
      <c r="Q2006" s="13"/>
      <c r="R2006" s="12"/>
      <c r="S2006" s="12"/>
      <c r="T2006" s="12"/>
      <c r="U2006" s="14"/>
      <c r="V2006" s="15"/>
      <c r="W2006" s="16" t="n">
        <f aca="false">A2006</f>
        <v>0</v>
      </c>
      <c r="X2006" s="17" t="e">
        <f aca="false">ifs(C2006="","",X2006="",NOW(),TRUE(),X2006)</f>
        <v>#VALUE!</v>
      </c>
      <c r="Y2006" s="17" t="e">
        <f aca="false">ifs(COUNTA(K2006:U2009)&lt;44,"",Y2006="",NOW(),TRUE(),Y2006)</f>
        <v>#VALUE!</v>
      </c>
    </row>
    <row r="2007" customFormat="false" ht="15.75" hidden="false" customHeight="false" outlineLevel="0" collapsed="false">
      <c r="A2007" s="9"/>
      <c r="B2007" s="10"/>
      <c r="C2007" s="10"/>
      <c r="D2007" s="10"/>
      <c r="E2007" s="10"/>
      <c r="F2007" s="10"/>
      <c r="G2007" s="10"/>
      <c r="H2007" s="10"/>
      <c r="I2007" s="18" t="n">
        <v>2</v>
      </c>
      <c r="J2007" s="18"/>
      <c r="K2007" s="19"/>
      <c r="L2007" s="19"/>
      <c r="M2007" s="18"/>
      <c r="N2007" s="18"/>
      <c r="O2007" s="18"/>
      <c r="P2007" s="19"/>
      <c r="Q2007" s="19"/>
      <c r="R2007" s="18"/>
      <c r="S2007" s="18"/>
      <c r="T2007" s="18"/>
      <c r="U2007" s="20"/>
      <c r="V2007" s="21"/>
      <c r="W2007" s="16"/>
      <c r="X2007" s="16"/>
      <c r="Y2007" s="16"/>
    </row>
    <row r="2008" customFormat="false" ht="15.75" hidden="false" customHeight="false" outlineLevel="0" collapsed="false">
      <c r="A2008" s="9"/>
      <c r="B2008" s="10"/>
      <c r="C2008" s="10"/>
      <c r="D2008" s="10"/>
      <c r="E2008" s="10"/>
      <c r="F2008" s="10"/>
      <c r="G2008" s="10"/>
      <c r="H2008" s="10"/>
      <c r="I2008" s="22" t="n">
        <v>3</v>
      </c>
      <c r="J2008" s="22"/>
      <c r="K2008" s="23"/>
      <c r="L2008" s="23"/>
      <c r="M2008" s="22"/>
      <c r="N2008" s="22"/>
      <c r="O2008" s="22"/>
      <c r="P2008" s="23"/>
      <c r="Q2008" s="23"/>
      <c r="R2008" s="22"/>
      <c r="S2008" s="22"/>
      <c r="T2008" s="22"/>
      <c r="U2008" s="24"/>
      <c r="V2008" s="15"/>
      <c r="W2008" s="16"/>
      <c r="X2008" s="16"/>
      <c r="Y2008" s="16"/>
    </row>
    <row r="2009" customFormat="false" ht="15.75" hidden="false" customHeight="false" outlineLevel="0" collapsed="false">
      <c r="A2009" s="9"/>
      <c r="B2009" s="10"/>
      <c r="C2009" s="10"/>
      <c r="D2009" s="10"/>
      <c r="E2009" s="10"/>
      <c r="F2009" s="10"/>
      <c r="G2009" s="10"/>
      <c r="H2009" s="10"/>
      <c r="I2009" s="25" t="n">
        <v>4</v>
      </c>
      <c r="J2009" s="25"/>
      <c r="K2009" s="26"/>
      <c r="L2009" s="26"/>
      <c r="M2009" s="25"/>
      <c r="N2009" s="25"/>
      <c r="O2009" s="25"/>
      <c r="P2009" s="26"/>
      <c r="Q2009" s="26"/>
      <c r="R2009" s="25"/>
      <c r="S2009" s="25"/>
      <c r="T2009" s="25"/>
      <c r="U2009" s="27"/>
      <c r="V2009" s="21"/>
      <c r="W2009" s="16"/>
      <c r="X2009" s="16"/>
      <c r="Y2009" s="16"/>
    </row>
    <row r="2010" customFormat="false" ht="15.75" hidden="false" customHeight="false" outlineLevel="0" collapsed="false">
      <c r="A2010" s="9"/>
      <c r="B2010" s="10"/>
      <c r="C2010" s="11"/>
      <c r="D2010" s="10"/>
      <c r="E2010" s="10"/>
      <c r="F2010" s="10"/>
      <c r="G2010" s="10"/>
      <c r="H2010" s="10"/>
      <c r="I2010" s="12" t="n">
        <v>1</v>
      </c>
      <c r="J2010" s="12"/>
      <c r="K2010" s="13"/>
      <c r="L2010" s="13"/>
      <c r="M2010" s="12"/>
      <c r="N2010" s="12"/>
      <c r="O2010" s="12"/>
      <c r="P2010" s="13"/>
      <c r="Q2010" s="13"/>
      <c r="R2010" s="12"/>
      <c r="S2010" s="12"/>
      <c r="T2010" s="12"/>
      <c r="U2010" s="14"/>
      <c r="V2010" s="15"/>
      <c r="W2010" s="16" t="n">
        <f aca="false">A2010</f>
        <v>0</v>
      </c>
      <c r="X2010" s="17" t="e">
        <f aca="false">ifs(C2010="","",X2010="",NOW(),TRUE(),X2010)</f>
        <v>#VALUE!</v>
      </c>
      <c r="Y2010" s="17" t="e">
        <f aca="false">ifs(COUNTA(K2010:U2013)&lt;44,"",Y2010="",NOW(),TRUE(),Y2010)</f>
        <v>#VALUE!</v>
      </c>
    </row>
    <row r="2011" customFormat="false" ht="15.75" hidden="false" customHeight="false" outlineLevel="0" collapsed="false">
      <c r="A2011" s="9"/>
      <c r="B2011" s="10"/>
      <c r="C2011" s="10"/>
      <c r="D2011" s="10"/>
      <c r="E2011" s="10"/>
      <c r="F2011" s="10"/>
      <c r="G2011" s="10"/>
      <c r="H2011" s="10"/>
      <c r="I2011" s="18" t="n">
        <v>2</v>
      </c>
      <c r="J2011" s="18"/>
      <c r="K2011" s="19"/>
      <c r="L2011" s="19"/>
      <c r="M2011" s="18"/>
      <c r="N2011" s="18"/>
      <c r="O2011" s="18"/>
      <c r="P2011" s="19"/>
      <c r="Q2011" s="19"/>
      <c r="R2011" s="18"/>
      <c r="S2011" s="18"/>
      <c r="T2011" s="18"/>
      <c r="U2011" s="20"/>
      <c r="V2011" s="21"/>
      <c r="W2011" s="16"/>
      <c r="X2011" s="16"/>
      <c r="Y2011" s="16"/>
    </row>
    <row r="2012" customFormat="false" ht="15.75" hidden="false" customHeight="false" outlineLevel="0" collapsed="false">
      <c r="A2012" s="9"/>
      <c r="B2012" s="10"/>
      <c r="C2012" s="10"/>
      <c r="D2012" s="10"/>
      <c r="E2012" s="10"/>
      <c r="F2012" s="10"/>
      <c r="G2012" s="10"/>
      <c r="H2012" s="10"/>
      <c r="I2012" s="22" t="n">
        <v>3</v>
      </c>
      <c r="J2012" s="22"/>
      <c r="K2012" s="23"/>
      <c r="L2012" s="23"/>
      <c r="M2012" s="22"/>
      <c r="N2012" s="22"/>
      <c r="O2012" s="22"/>
      <c r="P2012" s="23"/>
      <c r="Q2012" s="23"/>
      <c r="R2012" s="22"/>
      <c r="S2012" s="22"/>
      <c r="T2012" s="22"/>
      <c r="U2012" s="24"/>
      <c r="V2012" s="15"/>
      <c r="W2012" s="16"/>
      <c r="X2012" s="16"/>
      <c r="Y2012" s="16"/>
    </row>
    <row r="2013" customFormat="false" ht="15.75" hidden="false" customHeight="false" outlineLevel="0" collapsed="false">
      <c r="A2013" s="9"/>
      <c r="B2013" s="10"/>
      <c r="C2013" s="10"/>
      <c r="D2013" s="10"/>
      <c r="E2013" s="10"/>
      <c r="F2013" s="10"/>
      <c r="G2013" s="10"/>
      <c r="H2013" s="10"/>
      <c r="I2013" s="25" t="n">
        <v>4</v>
      </c>
      <c r="J2013" s="25"/>
      <c r="K2013" s="26"/>
      <c r="L2013" s="26"/>
      <c r="M2013" s="25"/>
      <c r="N2013" s="25"/>
      <c r="O2013" s="25"/>
      <c r="P2013" s="26"/>
      <c r="Q2013" s="26"/>
      <c r="R2013" s="25"/>
      <c r="S2013" s="25"/>
      <c r="T2013" s="25"/>
      <c r="U2013" s="27"/>
      <c r="V2013" s="21"/>
      <c r="W2013" s="16"/>
      <c r="X2013" s="16"/>
      <c r="Y2013" s="16"/>
    </row>
    <row r="2014" customFormat="false" ht="15.75" hidden="false" customHeight="false" outlineLevel="0" collapsed="false">
      <c r="A2014" s="9"/>
      <c r="B2014" s="10"/>
      <c r="C2014" s="11"/>
      <c r="D2014" s="10"/>
      <c r="E2014" s="10"/>
      <c r="F2014" s="10"/>
      <c r="G2014" s="10"/>
      <c r="H2014" s="10"/>
      <c r="I2014" s="12" t="n">
        <v>1</v>
      </c>
      <c r="J2014" s="12"/>
      <c r="K2014" s="13"/>
      <c r="L2014" s="13"/>
      <c r="M2014" s="12"/>
      <c r="N2014" s="12"/>
      <c r="O2014" s="12"/>
      <c r="P2014" s="13"/>
      <c r="Q2014" s="13"/>
      <c r="R2014" s="12"/>
      <c r="S2014" s="12"/>
      <c r="T2014" s="12"/>
      <c r="U2014" s="14"/>
      <c r="V2014" s="15"/>
      <c r="W2014" s="16" t="n">
        <f aca="false">A2014</f>
        <v>0</v>
      </c>
      <c r="X2014" s="17" t="e">
        <f aca="false">ifs(C2014="","",X2014="",NOW(),TRUE(),X2014)</f>
        <v>#VALUE!</v>
      </c>
      <c r="Y2014" s="17" t="e">
        <f aca="false">ifs(COUNTA(K2014:U2017)&lt;44,"",Y2014="",NOW(),TRUE(),Y2014)</f>
        <v>#VALUE!</v>
      </c>
    </row>
    <row r="2015" customFormat="false" ht="15.75" hidden="false" customHeight="false" outlineLevel="0" collapsed="false">
      <c r="A2015" s="9"/>
      <c r="B2015" s="10"/>
      <c r="C2015" s="10"/>
      <c r="D2015" s="10"/>
      <c r="E2015" s="10"/>
      <c r="F2015" s="10"/>
      <c r="G2015" s="10"/>
      <c r="H2015" s="10"/>
      <c r="I2015" s="18" t="n">
        <v>2</v>
      </c>
      <c r="J2015" s="18"/>
      <c r="K2015" s="19"/>
      <c r="L2015" s="19"/>
      <c r="M2015" s="18"/>
      <c r="N2015" s="18"/>
      <c r="O2015" s="18"/>
      <c r="P2015" s="19"/>
      <c r="Q2015" s="19"/>
      <c r="R2015" s="18"/>
      <c r="S2015" s="18"/>
      <c r="T2015" s="18"/>
      <c r="U2015" s="20"/>
      <c r="V2015" s="21"/>
      <c r="W2015" s="16"/>
      <c r="X2015" s="16"/>
      <c r="Y2015" s="16"/>
    </row>
    <row r="2016" customFormat="false" ht="15.75" hidden="false" customHeight="false" outlineLevel="0" collapsed="false">
      <c r="A2016" s="9"/>
      <c r="B2016" s="10"/>
      <c r="C2016" s="10"/>
      <c r="D2016" s="10"/>
      <c r="E2016" s="10"/>
      <c r="F2016" s="10"/>
      <c r="G2016" s="10"/>
      <c r="H2016" s="10"/>
      <c r="I2016" s="22" t="n">
        <v>3</v>
      </c>
      <c r="J2016" s="22"/>
      <c r="K2016" s="23"/>
      <c r="L2016" s="23"/>
      <c r="M2016" s="22"/>
      <c r="N2016" s="22"/>
      <c r="O2016" s="22"/>
      <c r="P2016" s="23"/>
      <c r="Q2016" s="23"/>
      <c r="R2016" s="22"/>
      <c r="S2016" s="22"/>
      <c r="T2016" s="22"/>
      <c r="U2016" s="24"/>
      <c r="V2016" s="15"/>
      <c r="W2016" s="16"/>
      <c r="X2016" s="16"/>
      <c r="Y2016" s="16"/>
    </row>
    <row r="2017" customFormat="false" ht="15.75" hidden="false" customHeight="false" outlineLevel="0" collapsed="false">
      <c r="A2017" s="9"/>
      <c r="B2017" s="10"/>
      <c r="C2017" s="10"/>
      <c r="D2017" s="10"/>
      <c r="E2017" s="10"/>
      <c r="F2017" s="10"/>
      <c r="G2017" s="10"/>
      <c r="H2017" s="10"/>
      <c r="I2017" s="25" t="n">
        <v>4</v>
      </c>
      <c r="J2017" s="25"/>
      <c r="K2017" s="26"/>
      <c r="L2017" s="26"/>
      <c r="M2017" s="25"/>
      <c r="N2017" s="25"/>
      <c r="O2017" s="25"/>
      <c r="P2017" s="26"/>
      <c r="Q2017" s="26"/>
      <c r="R2017" s="25"/>
      <c r="S2017" s="25"/>
      <c r="T2017" s="25"/>
      <c r="U2017" s="27"/>
      <c r="V2017" s="21"/>
      <c r="W2017" s="16"/>
      <c r="X2017" s="16"/>
      <c r="Y2017" s="16"/>
    </row>
    <row r="2018" customFormat="false" ht="15.75" hidden="false" customHeight="false" outlineLevel="0" collapsed="false">
      <c r="A2018" s="9"/>
      <c r="B2018" s="10"/>
      <c r="C2018" s="11"/>
      <c r="D2018" s="10"/>
      <c r="E2018" s="10"/>
      <c r="F2018" s="10"/>
      <c r="G2018" s="10"/>
      <c r="H2018" s="10"/>
      <c r="I2018" s="12" t="n">
        <v>1</v>
      </c>
      <c r="J2018" s="12"/>
      <c r="K2018" s="13"/>
      <c r="L2018" s="13"/>
      <c r="M2018" s="12"/>
      <c r="N2018" s="12"/>
      <c r="O2018" s="12"/>
      <c r="P2018" s="13"/>
      <c r="Q2018" s="13"/>
      <c r="R2018" s="12"/>
      <c r="S2018" s="12"/>
      <c r="T2018" s="12"/>
      <c r="U2018" s="14"/>
      <c r="V2018" s="15"/>
      <c r="W2018" s="16" t="n">
        <f aca="false">A2018</f>
        <v>0</v>
      </c>
      <c r="X2018" s="17" t="e">
        <f aca="false">ifs(C2018="","",X2018="",NOW(),TRUE(),X2018)</f>
        <v>#VALUE!</v>
      </c>
      <c r="Y2018" s="17" t="e">
        <f aca="false">ifs(COUNTA(K2018:U2021)&lt;44,"",Y2018="",NOW(),TRUE(),Y2018)</f>
        <v>#VALUE!</v>
      </c>
    </row>
    <row r="2019" customFormat="false" ht="15.75" hidden="false" customHeight="false" outlineLevel="0" collapsed="false">
      <c r="A2019" s="9"/>
      <c r="B2019" s="10"/>
      <c r="C2019" s="10"/>
      <c r="D2019" s="10"/>
      <c r="E2019" s="10"/>
      <c r="F2019" s="10"/>
      <c r="G2019" s="10"/>
      <c r="H2019" s="10"/>
      <c r="I2019" s="18" t="n">
        <v>2</v>
      </c>
      <c r="J2019" s="18"/>
      <c r="K2019" s="19"/>
      <c r="L2019" s="19"/>
      <c r="M2019" s="18"/>
      <c r="N2019" s="18"/>
      <c r="O2019" s="18"/>
      <c r="P2019" s="19"/>
      <c r="Q2019" s="19"/>
      <c r="R2019" s="18"/>
      <c r="S2019" s="18"/>
      <c r="T2019" s="18"/>
      <c r="U2019" s="20"/>
      <c r="V2019" s="21"/>
      <c r="W2019" s="16"/>
      <c r="X2019" s="16"/>
      <c r="Y2019" s="16"/>
    </row>
    <row r="2020" customFormat="false" ht="15.75" hidden="false" customHeight="false" outlineLevel="0" collapsed="false">
      <c r="A2020" s="9"/>
      <c r="B2020" s="10"/>
      <c r="C2020" s="10"/>
      <c r="D2020" s="10"/>
      <c r="E2020" s="10"/>
      <c r="F2020" s="10"/>
      <c r="G2020" s="10"/>
      <c r="H2020" s="10"/>
      <c r="I2020" s="22" t="n">
        <v>3</v>
      </c>
      <c r="J2020" s="22"/>
      <c r="K2020" s="23"/>
      <c r="L2020" s="23"/>
      <c r="M2020" s="22"/>
      <c r="N2020" s="22"/>
      <c r="O2020" s="22"/>
      <c r="P2020" s="23"/>
      <c r="Q2020" s="23"/>
      <c r="R2020" s="22"/>
      <c r="S2020" s="22"/>
      <c r="T2020" s="22"/>
      <c r="U2020" s="24"/>
      <c r="V2020" s="15"/>
      <c r="W2020" s="16"/>
      <c r="X2020" s="16"/>
      <c r="Y2020" s="16"/>
    </row>
    <row r="2021" customFormat="false" ht="15.75" hidden="false" customHeight="false" outlineLevel="0" collapsed="false">
      <c r="A2021" s="9"/>
      <c r="B2021" s="10"/>
      <c r="C2021" s="10"/>
      <c r="D2021" s="10"/>
      <c r="E2021" s="10"/>
      <c r="F2021" s="10"/>
      <c r="G2021" s="10"/>
      <c r="H2021" s="10"/>
      <c r="I2021" s="25" t="n">
        <v>4</v>
      </c>
      <c r="J2021" s="25"/>
      <c r="K2021" s="26"/>
      <c r="L2021" s="26"/>
      <c r="M2021" s="25"/>
      <c r="N2021" s="25"/>
      <c r="O2021" s="25"/>
      <c r="P2021" s="26"/>
      <c r="Q2021" s="26"/>
      <c r="R2021" s="25"/>
      <c r="S2021" s="25"/>
      <c r="T2021" s="25"/>
      <c r="U2021" s="27"/>
      <c r="V2021" s="21"/>
      <c r="W2021" s="16"/>
      <c r="X2021" s="16"/>
      <c r="Y2021" s="16"/>
    </row>
    <row r="2022" customFormat="false" ht="15.75" hidden="false" customHeight="false" outlineLevel="0" collapsed="false">
      <c r="A2022" s="9"/>
      <c r="B2022" s="10"/>
      <c r="C2022" s="11"/>
      <c r="D2022" s="10"/>
      <c r="E2022" s="10"/>
      <c r="F2022" s="10"/>
      <c r="G2022" s="10"/>
      <c r="H2022" s="10"/>
      <c r="I2022" s="12" t="n">
        <v>1</v>
      </c>
      <c r="J2022" s="12"/>
      <c r="K2022" s="13"/>
      <c r="L2022" s="13"/>
      <c r="M2022" s="12"/>
      <c r="N2022" s="12"/>
      <c r="O2022" s="12"/>
      <c r="P2022" s="13"/>
      <c r="Q2022" s="13"/>
      <c r="R2022" s="12"/>
      <c r="S2022" s="12"/>
      <c r="T2022" s="12"/>
      <c r="U2022" s="14"/>
      <c r="V2022" s="15"/>
      <c r="W2022" s="16" t="n">
        <f aca="false">A2022</f>
        <v>0</v>
      </c>
      <c r="X2022" s="17" t="e">
        <f aca="false">ifs(C2022="","",X2022="",NOW(),TRUE(),X2022)</f>
        <v>#VALUE!</v>
      </c>
      <c r="Y2022" s="17" t="e">
        <f aca="false">ifs(COUNTA(K2022:U2025)&lt;44,"",Y2022="",NOW(),TRUE(),Y2022)</f>
        <v>#VALUE!</v>
      </c>
    </row>
    <row r="2023" customFormat="false" ht="15.75" hidden="false" customHeight="false" outlineLevel="0" collapsed="false">
      <c r="A2023" s="9"/>
      <c r="B2023" s="10"/>
      <c r="C2023" s="10"/>
      <c r="D2023" s="10"/>
      <c r="E2023" s="10"/>
      <c r="F2023" s="10"/>
      <c r="G2023" s="10"/>
      <c r="H2023" s="10"/>
      <c r="I2023" s="18" t="n">
        <v>2</v>
      </c>
      <c r="J2023" s="18"/>
      <c r="K2023" s="19"/>
      <c r="L2023" s="19"/>
      <c r="M2023" s="18"/>
      <c r="N2023" s="18"/>
      <c r="O2023" s="18"/>
      <c r="P2023" s="19"/>
      <c r="Q2023" s="19"/>
      <c r="R2023" s="18"/>
      <c r="S2023" s="18"/>
      <c r="T2023" s="18"/>
      <c r="U2023" s="20"/>
      <c r="V2023" s="21"/>
      <c r="W2023" s="16"/>
      <c r="X2023" s="16"/>
      <c r="Y2023" s="16"/>
    </row>
    <row r="2024" customFormat="false" ht="15.75" hidden="false" customHeight="false" outlineLevel="0" collapsed="false">
      <c r="A2024" s="9"/>
      <c r="B2024" s="10"/>
      <c r="C2024" s="10"/>
      <c r="D2024" s="10"/>
      <c r="E2024" s="10"/>
      <c r="F2024" s="10"/>
      <c r="G2024" s="10"/>
      <c r="H2024" s="10"/>
      <c r="I2024" s="22" t="n">
        <v>3</v>
      </c>
      <c r="J2024" s="22"/>
      <c r="K2024" s="23"/>
      <c r="L2024" s="23"/>
      <c r="M2024" s="22"/>
      <c r="N2024" s="22"/>
      <c r="O2024" s="22"/>
      <c r="P2024" s="23"/>
      <c r="Q2024" s="23"/>
      <c r="R2024" s="22"/>
      <c r="S2024" s="22"/>
      <c r="T2024" s="22"/>
      <c r="U2024" s="24"/>
      <c r="V2024" s="15"/>
      <c r="W2024" s="16"/>
      <c r="X2024" s="16"/>
      <c r="Y2024" s="16"/>
    </row>
    <row r="2025" customFormat="false" ht="15.75" hidden="false" customHeight="false" outlineLevel="0" collapsed="false">
      <c r="A2025" s="9"/>
      <c r="B2025" s="10"/>
      <c r="C2025" s="10"/>
      <c r="D2025" s="10"/>
      <c r="E2025" s="10"/>
      <c r="F2025" s="10"/>
      <c r="G2025" s="10"/>
      <c r="H2025" s="10"/>
      <c r="I2025" s="25" t="n">
        <v>4</v>
      </c>
      <c r="J2025" s="25"/>
      <c r="K2025" s="26"/>
      <c r="L2025" s="26"/>
      <c r="M2025" s="25"/>
      <c r="N2025" s="25"/>
      <c r="O2025" s="25"/>
      <c r="P2025" s="26"/>
      <c r="Q2025" s="26"/>
      <c r="R2025" s="25"/>
      <c r="S2025" s="25"/>
      <c r="T2025" s="25"/>
      <c r="U2025" s="27"/>
      <c r="V2025" s="21"/>
      <c r="W2025" s="16"/>
      <c r="X2025" s="16"/>
      <c r="Y2025" s="16"/>
    </row>
    <row r="2026" customFormat="false" ht="15.75" hidden="false" customHeight="false" outlineLevel="0" collapsed="false">
      <c r="A2026" s="9"/>
      <c r="B2026" s="10"/>
      <c r="C2026" s="11"/>
      <c r="D2026" s="10"/>
      <c r="E2026" s="10"/>
      <c r="F2026" s="10"/>
      <c r="G2026" s="10"/>
      <c r="H2026" s="10"/>
      <c r="I2026" s="12" t="n">
        <v>1</v>
      </c>
      <c r="J2026" s="12"/>
      <c r="K2026" s="13"/>
      <c r="L2026" s="13"/>
      <c r="M2026" s="12"/>
      <c r="N2026" s="12"/>
      <c r="O2026" s="12"/>
      <c r="P2026" s="13"/>
      <c r="Q2026" s="13"/>
      <c r="R2026" s="12"/>
      <c r="S2026" s="12"/>
      <c r="T2026" s="12"/>
      <c r="U2026" s="14"/>
      <c r="V2026" s="15"/>
      <c r="W2026" s="16" t="n">
        <f aca="false">A2026</f>
        <v>0</v>
      </c>
      <c r="X2026" s="17" t="e">
        <f aca="false">ifs(C2026="","",X2026="",NOW(),TRUE(),X2026)</f>
        <v>#VALUE!</v>
      </c>
      <c r="Y2026" s="17" t="e">
        <f aca="false">ifs(COUNTA(K2026:U2029)&lt;44,"",Y2026="",NOW(),TRUE(),Y2026)</f>
        <v>#VALUE!</v>
      </c>
    </row>
    <row r="2027" customFormat="false" ht="15.75" hidden="false" customHeight="false" outlineLevel="0" collapsed="false">
      <c r="A2027" s="9"/>
      <c r="B2027" s="10"/>
      <c r="C2027" s="10"/>
      <c r="D2027" s="10"/>
      <c r="E2027" s="10"/>
      <c r="F2027" s="10"/>
      <c r="G2027" s="10"/>
      <c r="H2027" s="10"/>
      <c r="I2027" s="18" t="n">
        <v>2</v>
      </c>
      <c r="J2027" s="18"/>
      <c r="K2027" s="19"/>
      <c r="L2027" s="19"/>
      <c r="M2027" s="18"/>
      <c r="N2027" s="18"/>
      <c r="O2027" s="18"/>
      <c r="P2027" s="19"/>
      <c r="Q2027" s="19"/>
      <c r="R2027" s="18"/>
      <c r="S2027" s="18"/>
      <c r="T2027" s="18"/>
      <c r="U2027" s="20"/>
      <c r="V2027" s="21"/>
      <c r="W2027" s="16"/>
      <c r="X2027" s="16"/>
      <c r="Y2027" s="16"/>
    </row>
    <row r="2028" customFormat="false" ht="15.75" hidden="false" customHeight="false" outlineLevel="0" collapsed="false">
      <c r="A2028" s="9"/>
      <c r="B2028" s="10"/>
      <c r="C2028" s="10"/>
      <c r="D2028" s="10"/>
      <c r="E2028" s="10"/>
      <c r="F2028" s="10"/>
      <c r="G2028" s="10"/>
      <c r="H2028" s="10"/>
      <c r="I2028" s="22" t="n">
        <v>3</v>
      </c>
      <c r="J2028" s="22"/>
      <c r="K2028" s="23"/>
      <c r="L2028" s="23"/>
      <c r="M2028" s="22"/>
      <c r="N2028" s="22"/>
      <c r="O2028" s="22"/>
      <c r="P2028" s="23"/>
      <c r="Q2028" s="23"/>
      <c r="R2028" s="22"/>
      <c r="S2028" s="22"/>
      <c r="T2028" s="22"/>
      <c r="U2028" s="24"/>
      <c r="V2028" s="15"/>
      <c r="W2028" s="16"/>
      <c r="X2028" s="16"/>
      <c r="Y2028" s="16"/>
    </row>
    <row r="2029" customFormat="false" ht="15.75" hidden="false" customHeight="false" outlineLevel="0" collapsed="false">
      <c r="A2029" s="9"/>
      <c r="B2029" s="10"/>
      <c r="C2029" s="10"/>
      <c r="D2029" s="10"/>
      <c r="E2029" s="10"/>
      <c r="F2029" s="10"/>
      <c r="G2029" s="10"/>
      <c r="H2029" s="10"/>
      <c r="I2029" s="25" t="n">
        <v>4</v>
      </c>
      <c r="J2029" s="25"/>
      <c r="K2029" s="26"/>
      <c r="L2029" s="26"/>
      <c r="M2029" s="25"/>
      <c r="N2029" s="25"/>
      <c r="O2029" s="25"/>
      <c r="P2029" s="26"/>
      <c r="Q2029" s="26"/>
      <c r="R2029" s="25"/>
      <c r="S2029" s="25"/>
      <c r="T2029" s="25"/>
      <c r="U2029" s="27"/>
      <c r="V2029" s="21"/>
      <c r="W2029" s="16"/>
      <c r="X2029" s="16"/>
      <c r="Y2029" s="16"/>
    </row>
    <row r="2030" customFormat="false" ht="15.75" hidden="false" customHeight="false" outlineLevel="0" collapsed="false">
      <c r="A2030" s="9"/>
      <c r="B2030" s="10"/>
      <c r="C2030" s="11"/>
      <c r="D2030" s="10"/>
      <c r="E2030" s="10"/>
      <c r="F2030" s="10"/>
      <c r="G2030" s="10"/>
      <c r="H2030" s="10"/>
      <c r="I2030" s="12" t="n">
        <v>1</v>
      </c>
      <c r="J2030" s="12"/>
      <c r="K2030" s="13"/>
      <c r="L2030" s="13"/>
      <c r="M2030" s="12"/>
      <c r="N2030" s="12"/>
      <c r="O2030" s="12"/>
      <c r="P2030" s="13"/>
      <c r="Q2030" s="13"/>
      <c r="R2030" s="12"/>
      <c r="S2030" s="12"/>
      <c r="T2030" s="12"/>
      <c r="U2030" s="14"/>
      <c r="V2030" s="15"/>
      <c r="W2030" s="16" t="n">
        <f aca="false">A2030</f>
        <v>0</v>
      </c>
      <c r="X2030" s="17" t="e">
        <f aca="false">ifs(C2030="","",X2030="",NOW(),TRUE(),X2030)</f>
        <v>#VALUE!</v>
      </c>
      <c r="Y2030" s="17" t="e">
        <f aca="false">ifs(COUNTA(K2030:U2033)&lt;44,"",Y2030="",NOW(),TRUE(),Y2030)</f>
        <v>#VALUE!</v>
      </c>
    </row>
    <row r="2031" customFormat="false" ht="15.75" hidden="false" customHeight="false" outlineLevel="0" collapsed="false">
      <c r="A2031" s="9"/>
      <c r="B2031" s="10"/>
      <c r="C2031" s="10"/>
      <c r="D2031" s="10"/>
      <c r="E2031" s="10"/>
      <c r="F2031" s="10"/>
      <c r="G2031" s="10"/>
      <c r="H2031" s="10"/>
      <c r="I2031" s="18" t="n">
        <v>2</v>
      </c>
      <c r="J2031" s="18"/>
      <c r="K2031" s="19"/>
      <c r="L2031" s="19"/>
      <c r="M2031" s="18"/>
      <c r="N2031" s="18"/>
      <c r="O2031" s="18"/>
      <c r="P2031" s="19"/>
      <c r="Q2031" s="19"/>
      <c r="R2031" s="18"/>
      <c r="S2031" s="18"/>
      <c r="T2031" s="18"/>
      <c r="U2031" s="20"/>
      <c r="V2031" s="21"/>
      <c r="W2031" s="16"/>
      <c r="X2031" s="16"/>
      <c r="Y2031" s="16"/>
    </row>
    <row r="2032" customFormat="false" ht="15.75" hidden="false" customHeight="false" outlineLevel="0" collapsed="false">
      <c r="A2032" s="9"/>
      <c r="B2032" s="10"/>
      <c r="C2032" s="10"/>
      <c r="D2032" s="10"/>
      <c r="E2032" s="10"/>
      <c r="F2032" s="10"/>
      <c r="G2032" s="10"/>
      <c r="H2032" s="10"/>
      <c r="I2032" s="22" t="n">
        <v>3</v>
      </c>
      <c r="J2032" s="22"/>
      <c r="K2032" s="23"/>
      <c r="L2032" s="23"/>
      <c r="M2032" s="22"/>
      <c r="N2032" s="22"/>
      <c r="O2032" s="22"/>
      <c r="P2032" s="23"/>
      <c r="Q2032" s="23"/>
      <c r="R2032" s="22"/>
      <c r="S2032" s="22"/>
      <c r="T2032" s="22"/>
      <c r="U2032" s="24"/>
      <c r="V2032" s="15"/>
      <c r="W2032" s="16"/>
      <c r="X2032" s="16"/>
      <c r="Y2032" s="16"/>
    </row>
    <row r="2033" customFormat="false" ht="15.75" hidden="false" customHeight="false" outlineLevel="0" collapsed="false">
      <c r="A2033" s="9"/>
      <c r="B2033" s="10"/>
      <c r="C2033" s="10"/>
      <c r="D2033" s="10"/>
      <c r="E2033" s="10"/>
      <c r="F2033" s="10"/>
      <c r="G2033" s="10"/>
      <c r="H2033" s="10"/>
      <c r="I2033" s="25" t="n">
        <v>4</v>
      </c>
      <c r="J2033" s="25"/>
      <c r="K2033" s="26"/>
      <c r="L2033" s="26"/>
      <c r="M2033" s="25"/>
      <c r="N2033" s="25"/>
      <c r="O2033" s="25"/>
      <c r="P2033" s="26"/>
      <c r="Q2033" s="26"/>
      <c r="R2033" s="25"/>
      <c r="S2033" s="25"/>
      <c r="T2033" s="25"/>
      <c r="U2033" s="27"/>
      <c r="V2033" s="21"/>
      <c r="W2033" s="16"/>
      <c r="X2033" s="16"/>
      <c r="Y2033" s="16"/>
    </row>
    <row r="2034" customFormat="false" ht="15.75" hidden="false" customHeight="false" outlineLevel="0" collapsed="false">
      <c r="A2034" s="9"/>
      <c r="B2034" s="10"/>
      <c r="C2034" s="11"/>
      <c r="D2034" s="10"/>
      <c r="E2034" s="10"/>
      <c r="F2034" s="10"/>
      <c r="G2034" s="10"/>
      <c r="H2034" s="10"/>
      <c r="I2034" s="12" t="n">
        <v>1</v>
      </c>
      <c r="J2034" s="12"/>
      <c r="K2034" s="13"/>
      <c r="L2034" s="13"/>
      <c r="M2034" s="12"/>
      <c r="N2034" s="12"/>
      <c r="O2034" s="12"/>
      <c r="P2034" s="13"/>
      <c r="Q2034" s="13"/>
      <c r="R2034" s="12"/>
      <c r="S2034" s="12"/>
      <c r="T2034" s="12"/>
      <c r="U2034" s="14"/>
      <c r="V2034" s="15"/>
      <c r="W2034" s="16" t="n">
        <f aca="false">A2034</f>
        <v>0</v>
      </c>
      <c r="X2034" s="17" t="e">
        <f aca="false">ifs(C2034="","",X2034="",NOW(),TRUE(),X2034)</f>
        <v>#VALUE!</v>
      </c>
      <c r="Y2034" s="17" t="e">
        <f aca="false">ifs(COUNTA(K2034:U2037)&lt;44,"",Y2034="",NOW(),TRUE(),Y2034)</f>
        <v>#VALUE!</v>
      </c>
    </row>
    <row r="2035" customFormat="false" ht="15.75" hidden="false" customHeight="false" outlineLevel="0" collapsed="false">
      <c r="A2035" s="9"/>
      <c r="B2035" s="10"/>
      <c r="C2035" s="10"/>
      <c r="D2035" s="10"/>
      <c r="E2035" s="10"/>
      <c r="F2035" s="10"/>
      <c r="G2035" s="10"/>
      <c r="H2035" s="10"/>
      <c r="I2035" s="18" t="n">
        <v>2</v>
      </c>
      <c r="J2035" s="18"/>
      <c r="K2035" s="19"/>
      <c r="L2035" s="19"/>
      <c r="M2035" s="18"/>
      <c r="N2035" s="18"/>
      <c r="O2035" s="18"/>
      <c r="P2035" s="19"/>
      <c r="Q2035" s="19"/>
      <c r="R2035" s="18"/>
      <c r="S2035" s="18"/>
      <c r="T2035" s="18"/>
      <c r="U2035" s="20"/>
      <c r="V2035" s="21"/>
      <c r="W2035" s="16"/>
      <c r="X2035" s="16"/>
      <c r="Y2035" s="16"/>
    </row>
    <row r="2036" customFormat="false" ht="15.75" hidden="false" customHeight="false" outlineLevel="0" collapsed="false">
      <c r="A2036" s="9"/>
      <c r="B2036" s="10"/>
      <c r="C2036" s="10"/>
      <c r="D2036" s="10"/>
      <c r="E2036" s="10"/>
      <c r="F2036" s="10"/>
      <c r="G2036" s="10"/>
      <c r="H2036" s="10"/>
      <c r="I2036" s="22" t="n">
        <v>3</v>
      </c>
      <c r="J2036" s="22"/>
      <c r="K2036" s="23"/>
      <c r="L2036" s="23"/>
      <c r="M2036" s="22"/>
      <c r="N2036" s="22"/>
      <c r="O2036" s="22"/>
      <c r="P2036" s="23"/>
      <c r="Q2036" s="23"/>
      <c r="R2036" s="22"/>
      <c r="S2036" s="22"/>
      <c r="T2036" s="22"/>
      <c r="U2036" s="24"/>
      <c r="V2036" s="15"/>
      <c r="W2036" s="16"/>
      <c r="X2036" s="16"/>
      <c r="Y2036" s="16"/>
    </row>
    <row r="2037" customFormat="false" ht="15.75" hidden="false" customHeight="false" outlineLevel="0" collapsed="false">
      <c r="A2037" s="9"/>
      <c r="B2037" s="10"/>
      <c r="C2037" s="10"/>
      <c r="D2037" s="10"/>
      <c r="E2037" s="10"/>
      <c r="F2037" s="10"/>
      <c r="G2037" s="10"/>
      <c r="H2037" s="10"/>
      <c r="I2037" s="25" t="n">
        <v>4</v>
      </c>
      <c r="J2037" s="25"/>
      <c r="K2037" s="26"/>
      <c r="L2037" s="26"/>
      <c r="M2037" s="25"/>
      <c r="N2037" s="25"/>
      <c r="O2037" s="25"/>
      <c r="P2037" s="26"/>
      <c r="Q2037" s="26"/>
      <c r="R2037" s="25"/>
      <c r="S2037" s="25"/>
      <c r="T2037" s="25"/>
      <c r="U2037" s="27"/>
      <c r="V2037" s="21"/>
      <c r="W2037" s="16"/>
      <c r="X2037" s="16"/>
      <c r="Y2037" s="16"/>
    </row>
    <row r="2038" customFormat="false" ht="15.75" hidden="false" customHeight="false" outlineLevel="0" collapsed="false">
      <c r="A2038" s="9"/>
      <c r="B2038" s="10"/>
      <c r="C2038" s="11"/>
      <c r="D2038" s="10"/>
      <c r="E2038" s="10"/>
      <c r="F2038" s="10"/>
      <c r="G2038" s="10"/>
      <c r="H2038" s="10"/>
      <c r="I2038" s="12" t="n">
        <v>1</v>
      </c>
      <c r="J2038" s="12"/>
      <c r="K2038" s="13"/>
      <c r="L2038" s="13"/>
      <c r="M2038" s="12"/>
      <c r="N2038" s="12"/>
      <c r="O2038" s="12"/>
      <c r="P2038" s="13"/>
      <c r="Q2038" s="13"/>
      <c r="R2038" s="12"/>
      <c r="S2038" s="12"/>
      <c r="T2038" s="12"/>
      <c r="U2038" s="14"/>
      <c r="V2038" s="15"/>
      <c r="W2038" s="16" t="n">
        <f aca="false">A2038</f>
        <v>0</v>
      </c>
      <c r="X2038" s="17" t="e">
        <f aca="false">ifs(C2038="","",X2038="",NOW(),TRUE(),X2038)</f>
        <v>#VALUE!</v>
      </c>
      <c r="Y2038" s="17" t="e">
        <f aca="false">ifs(COUNTA(K2038:U2041)&lt;44,"",Y2038="",NOW(),TRUE(),Y2038)</f>
        <v>#VALUE!</v>
      </c>
    </row>
    <row r="2039" customFormat="false" ht="15.75" hidden="false" customHeight="false" outlineLevel="0" collapsed="false">
      <c r="A2039" s="9"/>
      <c r="B2039" s="10"/>
      <c r="C2039" s="10"/>
      <c r="D2039" s="10"/>
      <c r="E2039" s="10"/>
      <c r="F2039" s="10"/>
      <c r="G2039" s="10"/>
      <c r="H2039" s="10"/>
      <c r="I2039" s="18" t="n">
        <v>2</v>
      </c>
      <c r="J2039" s="18"/>
      <c r="K2039" s="19"/>
      <c r="L2039" s="19"/>
      <c r="M2039" s="18"/>
      <c r="N2039" s="18"/>
      <c r="O2039" s="18"/>
      <c r="P2039" s="19"/>
      <c r="Q2039" s="19"/>
      <c r="R2039" s="18"/>
      <c r="S2039" s="18"/>
      <c r="T2039" s="18"/>
      <c r="U2039" s="20"/>
      <c r="V2039" s="21"/>
      <c r="W2039" s="16"/>
      <c r="X2039" s="16"/>
      <c r="Y2039" s="16"/>
    </row>
    <row r="2040" customFormat="false" ht="15.75" hidden="false" customHeight="false" outlineLevel="0" collapsed="false">
      <c r="A2040" s="9"/>
      <c r="B2040" s="10"/>
      <c r="C2040" s="10"/>
      <c r="D2040" s="10"/>
      <c r="E2040" s="10"/>
      <c r="F2040" s="10"/>
      <c r="G2040" s="10"/>
      <c r="H2040" s="10"/>
      <c r="I2040" s="22" t="n">
        <v>3</v>
      </c>
      <c r="J2040" s="22"/>
      <c r="K2040" s="23"/>
      <c r="L2040" s="23"/>
      <c r="M2040" s="22"/>
      <c r="N2040" s="22"/>
      <c r="O2040" s="22"/>
      <c r="P2040" s="23"/>
      <c r="Q2040" s="23"/>
      <c r="R2040" s="22"/>
      <c r="S2040" s="22"/>
      <c r="T2040" s="22"/>
      <c r="U2040" s="24"/>
      <c r="V2040" s="15"/>
      <c r="W2040" s="16"/>
      <c r="X2040" s="16"/>
      <c r="Y2040" s="16"/>
    </row>
    <row r="2041" customFormat="false" ht="15.75" hidden="false" customHeight="false" outlineLevel="0" collapsed="false">
      <c r="A2041" s="9"/>
      <c r="B2041" s="10"/>
      <c r="C2041" s="10"/>
      <c r="D2041" s="10"/>
      <c r="E2041" s="10"/>
      <c r="F2041" s="10"/>
      <c r="G2041" s="10"/>
      <c r="H2041" s="10"/>
      <c r="I2041" s="25" t="n">
        <v>4</v>
      </c>
      <c r="J2041" s="25"/>
      <c r="K2041" s="26"/>
      <c r="L2041" s="26"/>
      <c r="M2041" s="25"/>
      <c r="N2041" s="25"/>
      <c r="O2041" s="25"/>
      <c r="P2041" s="26"/>
      <c r="Q2041" s="26"/>
      <c r="R2041" s="25"/>
      <c r="S2041" s="25"/>
      <c r="T2041" s="25"/>
      <c r="U2041" s="27"/>
      <c r="V2041" s="21"/>
      <c r="W2041" s="16"/>
      <c r="X2041" s="16"/>
      <c r="Y2041" s="16"/>
    </row>
    <row r="2042" customFormat="false" ht="15.75" hidden="false" customHeight="false" outlineLevel="0" collapsed="false">
      <c r="A2042" s="9"/>
      <c r="B2042" s="10"/>
      <c r="C2042" s="11"/>
      <c r="D2042" s="10"/>
      <c r="E2042" s="10"/>
      <c r="F2042" s="10"/>
      <c r="G2042" s="10"/>
      <c r="H2042" s="10"/>
      <c r="I2042" s="12" t="n">
        <v>1</v>
      </c>
      <c r="J2042" s="12"/>
      <c r="K2042" s="13"/>
      <c r="L2042" s="13"/>
      <c r="M2042" s="12"/>
      <c r="N2042" s="12"/>
      <c r="O2042" s="12"/>
      <c r="P2042" s="13"/>
      <c r="Q2042" s="13"/>
      <c r="R2042" s="12"/>
      <c r="S2042" s="12"/>
      <c r="T2042" s="12"/>
      <c r="U2042" s="14"/>
      <c r="V2042" s="15"/>
      <c r="W2042" s="16" t="n">
        <f aca="false">A2042</f>
        <v>0</v>
      </c>
      <c r="X2042" s="17" t="e">
        <f aca="false">ifs(C2042="","",X2042="",NOW(),TRUE(),X2042)</f>
        <v>#VALUE!</v>
      </c>
      <c r="Y2042" s="17" t="e">
        <f aca="false">ifs(COUNTA(K2042:U2045)&lt;44,"",Y2042="",NOW(),TRUE(),Y2042)</f>
        <v>#VALUE!</v>
      </c>
    </row>
    <row r="2043" customFormat="false" ht="15.75" hidden="false" customHeight="false" outlineLevel="0" collapsed="false">
      <c r="A2043" s="9"/>
      <c r="B2043" s="10"/>
      <c r="C2043" s="10"/>
      <c r="D2043" s="10"/>
      <c r="E2043" s="10"/>
      <c r="F2043" s="10"/>
      <c r="G2043" s="10"/>
      <c r="H2043" s="10"/>
      <c r="I2043" s="18" t="n">
        <v>2</v>
      </c>
      <c r="J2043" s="18"/>
      <c r="K2043" s="19"/>
      <c r="L2043" s="19"/>
      <c r="M2043" s="18"/>
      <c r="N2043" s="18"/>
      <c r="O2043" s="18"/>
      <c r="P2043" s="19"/>
      <c r="Q2043" s="19"/>
      <c r="R2043" s="18"/>
      <c r="S2043" s="18"/>
      <c r="T2043" s="18"/>
      <c r="U2043" s="20"/>
      <c r="V2043" s="21"/>
      <c r="W2043" s="16"/>
      <c r="X2043" s="16"/>
      <c r="Y2043" s="16"/>
    </row>
    <row r="2044" customFormat="false" ht="15.75" hidden="false" customHeight="false" outlineLevel="0" collapsed="false">
      <c r="A2044" s="9"/>
      <c r="B2044" s="10"/>
      <c r="C2044" s="10"/>
      <c r="D2044" s="10"/>
      <c r="E2044" s="10"/>
      <c r="F2044" s="10"/>
      <c r="G2044" s="10"/>
      <c r="H2044" s="10"/>
      <c r="I2044" s="22" t="n">
        <v>3</v>
      </c>
      <c r="J2044" s="22"/>
      <c r="K2044" s="23"/>
      <c r="L2044" s="23"/>
      <c r="M2044" s="22"/>
      <c r="N2044" s="22"/>
      <c r="O2044" s="22"/>
      <c r="P2044" s="23"/>
      <c r="Q2044" s="23"/>
      <c r="R2044" s="22"/>
      <c r="S2044" s="22"/>
      <c r="T2044" s="22"/>
      <c r="U2044" s="24"/>
      <c r="V2044" s="15"/>
      <c r="W2044" s="16"/>
      <c r="X2044" s="16"/>
      <c r="Y2044" s="16"/>
    </row>
    <row r="2045" customFormat="false" ht="15.75" hidden="false" customHeight="false" outlineLevel="0" collapsed="false">
      <c r="A2045" s="9"/>
      <c r="B2045" s="10"/>
      <c r="C2045" s="10"/>
      <c r="D2045" s="10"/>
      <c r="E2045" s="10"/>
      <c r="F2045" s="10"/>
      <c r="G2045" s="10"/>
      <c r="H2045" s="10"/>
      <c r="I2045" s="25" t="n">
        <v>4</v>
      </c>
      <c r="J2045" s="25"/>
      <c r="K2045" s="26"/>
      <c r="L2045" s="26"/>
      <c r="M2045" s="25"/>
      <c r="N2045" s="25"/>
      <c r="O2045" s="25"/>
      <c r="P2045" s="26"/>
      <c r="Q2045" s="26"/>
      <c r="R2045" s="25"/>
      <c r="S2045" s="25"/>
      <c r="T2045" s="25"/>
      <c r="U2045" s="27"/>
      <c r="V2045" s="21"/>
      <c r="W2045" s="16"/>
      <c r="X2045" s="16"/>
      <c r="Y2045" s="16"/>
    </row>
    <row r="2046" customFormat="false" ht="15.75" hidden="false" customHeight="false" outlineLevel="0" collapsed="false">
      <c r="A2046" s="9"/>
      <c r="B2046" s="10"/>
      <c r="C2046" s="11"/>
      <c r="D2046" s="10"/>
      <c r="E2046" s="10"/>
      <c r="F2046" s="10"/>
      <c r="G2046" s="10"/>
      <c r="H2046" s="10"/>
      <c r="I2046" s="12" t="n">
        <v>1</v>
      </c>
      <c r="J2046" s="12"/>
      <c r="K2046" s="13"/>
      <c r="L2046" s="13"/>
      <c r="M2046" s="12"/>
      <c r="N2046" s="12"/>
      <c r="O2046" s="12"/>
      <c r="P2046" s="13"/>
      <c r="Q2046" s="13"/>
      <c r="R2046" s="12"/>
      <c r="S2046" s="12"/>
      <c r="T2046" s="12"/>
      <c r="U2046" s="14"/>
      <c r="V2046" s="15"/>
      <c r="W2046" s="16" t="n">
        <f aca="false">A2046</f>
        <v>0</v>
      </c>
      <c r="X2046" s="17" t="e">
        <f aca="false">ifs(C2046="","",X2046="",NOW(),TRUE(),X2046)</f>
        <v>#VALUE!</v>
      </c>
      <c r="Y2046" s="17" t="e">
        <f aca="false">ifs(COUNTA(K2046:U2049)&lt;44,"",Y2046="",NOW(),TRUE(),Y2046)</f>
        <v>#VALUE!</v>
      </c>
    </row>
    <row r="2047" customFormat="false" ht="15.75" hidden="false" customHeight="false" outlineLevel="0" collapsed="false">
      <c r="A2047" s="9"/>
      <c r="B2047" s="10"/>
      <c r="C2047" s="10"/>
      <c r="D2047" s="10"/>
      <c r="E2047" s="10"/>
      <c r="F2047" s="10"/>
      <c r="G2047" s="10"/>
      <c r="H2047" s="10"/>
      <c r="I2047" s="18" t="n">
        <v>2</v>
      </c>
      <c r="J2047" s="18"/>
      <c r="K2047" s="19"/>
      <c r="L2047" s="19"/>
      <c r="M2047" s="18"/>
      <c r="N2047" s="18"/>
      <c r="O2047" s="18"/>
      <c r="P2047" s="19"/>
      <c r="Q2047" s="19"/>
      <c r="R2047" s="18"/>
      <c r="S2047" s="18"/>
      <c r="T2047" s="18"/>
      <c r="U2047" s="20"/>
      <c r="V2047" s="21"/>
      <c r="W2047" s="16"/>
      <c r="X2047" s="16"/>
      <c r="Y2047" s="16"/>
    </row>
    <row r="2048" customFormat="false" ht="15.75" hidden="false" customHeight="false" outlineLevel="0" collapsed="false">
      <c r="A2048" s="9"/>
      <c r="B2048" s="10"/>
      <c r="C2048" s="10"/>
      <c r="D2048" s="10"/>
      <c r="E2048" s="10"/>
      <c r="F2048" s="10"/>
      <c r="G2048" s="10"/>
      <c r="H2048" s="10"/>
      <c r="I2048" s="22" t="n">
        <v>3</v>
      </c>
      <c r="J2048" s="22"/>
      <c r="K2048" s="23"/>
      <c r="L2048" s="23"/>
      <c r="M2048" s="22"/>
      <c r="N2048" s="22"/>
      <c r="O2048" s="22"/>
      <c r="P2048" s="23"/>
      <c r="Q2048" s="23"/>
      <c r="R2048" s="22"/>
      <c r="S2048" s="22"/>
      <c r="T2048" s="22"/>
      <c r="U2048" s="24"/>
      <c r="V2048" s="15"/>
      <c r="W2048" s="16"/>
      <c r="X2048" s="16"/>
      <c r="Y2048" s="16"/>
    </row>
    <row r="2049" customFormat="false" ht="15.75" hidden="false" customHeight="false" outlineLevel="0" collapsed="false">
      <c r="A2049" s="9"/>
      <c r="B2049" s="10"/>
      <c r="C2049" s="10"/>
      <c r="D2049" s="10"/>
      <c r="E2049" s="10"/>
      <c r="F2049" s="10"/>
      <c r="G2049" s="10"/>
      <c r="H2049" s="10"/>
      <c r="I2049" s="25" t="n">
        <v>4</v>
      </c>
      <c r="J2049" s="25"/>
      <c r="K2049" s="26"/>
      <c r="L2049" s="26"/>
      <c r="M2049" s="25"/>
      <c r="N2049" s="25"/>
      <c r="O2049" s="25"/>
      <c r="P2049" s="26"/>
      <c r="Q2049" s="26"/>
      <c r="R2049" s="25"/>
      <c r="S2049" s="25"/>
      <c r="T2049" s="25"/>
      <c r="U2049" s="27"/>
      <c r="V2049" s="21"/>
      <c r="W2049" s="16"/>
      <c r="X2049" s="16"/>
      <c r="Y2049" s="16"/>
    </row>
    <row r="2050" customFormat="false" ht="15.75" hidden="false" customHeight="false" outlineLevel="0" collapsed="false">
      <c r="A2050" s="9"/>
      <c r="B2050" s="10"/>
      <c r="C2050" s="11"/>
      <c r="D2050" s="10"/>
      <c r="E2050" s="10"/>
      <c r="F2050" s="10"/>
      <c r="G2050" s="10"/>
      <c r="H2050" s="10"/>
      <c r="I2050" s="12" t="n">
        <v>1</v>
      </c>
      <c r="J2050" s="12"/>
      <c r="K2050" s="13"/>
      <c r="L2050" s="13"/>
      <c r="M2050" s="12"/>
      <c r="N2050" s="12"/>
      <c r="O2050" s="12"/>
      <c r="P2050" s="13"/>
      <c r="Q2050" s="13"/>
      <c r="R2050" s="12"/>
      <c r="S2050" s="12"/>
      <c r="T2050" s="12"/>
      <c r="U2050" s="14"/>
      <c r="V2050" s="15"/>
      <c r="W2050" s="16" t="n">
        <f aca="false">A2050</f>
        <v>0</v>
      </c>
      <c r="X2050" s="17" t="e">
        <f aca="false">ifs(C2050="","",X2050="",NOW(),TRUE(),X2050)</f>
        <v>#VALUE!</v>
      </c>
      <c r="Y2050" s="17" t="e">
        <f aca="false">ifs(COUNTA(K2050:U2053)&lt;44,"",Y2050="",NOW(),TRUE(),Y2050)</f>
        <v>#VALUE!</v>
      </c>
    </row>
    <row r="2051" customFormat="false" ht="15.75" hidden="false" customHeight="false" outlineLevel="0" collapsed="false">
      <c r="A2051" s="9"/>
      <c r="B2051" s="10"/>
      <c r="C2051" s="10"/>
      <c r="D2051" s="10"/>
      <c r="E2051" s="10"/>
      <c r="F2051" s="10"/>
      <c r="G2051" s="10"/>
      <c r="H2051" s="10"/>
      <c r="I2051" s="18" t="n">
        <v>2</v>
      </c>
      <c r="J2051" s="18"/>
      <c r="K2051" s="19"/>
      <c r="L2051" s="19"/>
      <c r="M2051" s="18"/>
      <c r="N2051" s="18"/>
      <c r="O2051" s="18"/>
      <c r="P2051" s="19"/>
      <c r="Q2051" s="19"/>
      <c r="R2051" s="18"/>
      <c r="S2051" s="18"/>
      <c r="T2051" s="18"/>
      <c r="U2051" s="20"/>
      <c r="V2051" s="21"/>
      <c r="W2051" s="16"/>
      <c r="X2051" s="16"/>
      <c r="Y2051" s="16"/>
    </row>
    <row r="2052" customFormat="false" ht="15.75" hidden="false" customHeight="false" outlineLevel="0" collapsed="false">
      <c r="A2052" s="9"/>
      <c r="B2052" s="10"/>
      <c r="C2052" s="10"/>
      <c r="D2052" s="10"/>
      <c r="E2052" s="10"/>
      <c r="F2052" s="10"/>
      <c r="G2052" s="10"/>
      <c r="H2052" s="10"/>
      <c r="I2052" s="22" t="n">
        <v>3</v>
      </c>
      <c r="J2052" s="22"/>
      <c r="K2052" s="23"/>
      <c r="L2052" s="23"/>
      <c r="M2052" s="22"/>
      <c r="N2052" s="22"/>
      <c r="O2052" s="22"/>
      <c r="P2052" s="23"/>
      <c r="Q2052" s="23"/>
      <c r="R2052" s="22"/>
      <c r="S2052" s="22"/>
      <c r="T2052" s="22"/>
      <c r="U2052" s="24"/>
      <c r="V2052" s="15"/>
      <c r="W2052" s="16"/>
      <c r="X2052" s="16"/>
      <c r="Y2052" s="16"/>
    </row>
    <row r="2053" customFormat="false" ht="15.75" hidden="false" customHeight="false" outlineLevel="0" collapsed="false">
      <c r="A2053" s="9"/>
      <c r="B2053" s="10"/>
      <c r="C2053" s="10"/>
      <c r="D2053" s="10"/>
      <c r="E2053" s="10"/>
      <c r="F2053" s="10"/>
      <c r="G2053" s="10"/>
      <c r="H2053" s="10"/>
      <c r="I2053" s="25" t="n">
        <v>4</v>
      </c>
      <c r="J2053" s="25"/>
      <c r="K2053" s="26"/>
      <c r="L2053" s="26"/>
      <c r="M2053" s="25"/>
      <c r="N2053" s="25"/>
      <c r="O2053" s="25"/>
      <c r="P2053" s="26"/>
      <c r="Q2053" s="26"/>
      <c r="R2053" s="25"/>
      <c r="S2053" s="25"/>
      <c r="T2053" s="25"/>
      <c r="U2053" s="27"/>
      <c r="V2053" s="21"/>
      <c r="W2053" s="16"/>
      <c r="X2053" s="16"/>
      <c r="Y2053" s="16"/>
    </row>
    <row r="2054" customFormat="false" ht="15.75" hidden="false" customHeight="false" outlineLevel="0" collapsed="false">
      <c r="A2054" s="9"/>
      <c r="B2054" s="10"/>
      <c r="C2054" s="11"/>
      <c r="D2054" s="10"/>
      <c r="E2054" s="10"/>
      <c r="F2054" s="10"/>
      <c r="G2054" s="10"/>
      <c r="H2054" s="10"/>
      <c r="I2054" s="12" t="n">
        <v>1</v>
      </c>
      <c r="J2054" s="12"/>
      <c r="K2054" s="13"/>
      <c r="L2054" s="13"/>
      <c r="M2054" s="12"/>
      <c r="N2054" s="12"/>
      <c r="O2054" s="12"/>
      <c r="P2054" s="13"/>
      <c r="Q2054" s="13"/>
      <c r="R2054" s="12"/>
      <c r="S2054" s="12"/>
      <c r="T2054" s="12"/>
      <c r="U2054" s="14"/>
      <c r="V2054" s="15"/>
      <c r="W2054" s="16" t="n">
        <f aca="false">A2054</f>
        <v>0</v>
      </c>
      <c r="X2054" s="17" t="e">
        <f aca="false">ifs(C2054="","",X2054="",NOW(),TRUE(),X2054)</f>
        <v>#VALUE!</v>
      </c>
      <c r="Y2054" s="17" t="e">
        <f aca="false">ifs(COUNTA(K2054:U2057)&lt;44,"",Y2054="",NOW(),TRUE(),Y2054)</f>
        <v>#VALUE!</v>
      </c>
    </row>
    <row r="2055" customFormat="false" ht="15.75" hidden="false" customHeight="false" outlineLevel="0" collapsed="false">
      <c r="A2055" s="9"/>
      <c r="B2055" s="10"/>
      <c r="C2055" s="10"/>
      <c r="D2055" s="10"/>
      <c r="E2055" s="10"/>
      <c r="F2055" s="10"/>
      <c r="G2055" s="10"/>
      <c r="H2055" s="10"/>
      <c r="I2055" s="18" t="n">
        <v>2</v>
      </c>
      <c r="J2055" s="18"/>
      <c r="K2055" s="19"/>
      <c r="L2055" s="19"/>
      <c r="M2055" s="18"/>
      <c r="N2055" s="18"/>
      <c r="O2055" s="18"/>
      <c r="P2055" s="19"/>
      <c r="Q2055" s="19"/>
      <c r="R2055" s="18"/>
      <c r="S2055" s="18"/>
      <c r="T2055" s="18"/>
      <c r="U2055" s="20"/>
      <c r="V2055" s="21"/>
      <c r="W2055" s="16"/>
      <c r="X2055" s="16"/>
      <c r="Y2055" s="16"/>
    </row>
    <row r="2056" customFormat="false" ht="15.75" hidden="false" customHeight="false" outlineLevel="0" collapsed="false">
      <c r="A2056" s="9"/>
      <c r="B2056" s="10"/>
      <c r="C2056" s="10"/>
      <c r="D2056" s="10"/>
      <c r="E2056" s="10"/>
      <c r="F2056" s="10"/>
      <c r="G2056" s="10"/>
      <c r="H2056" s="10"/>
      <c r="I2056" s="22" t="n">
        <v>3</v>
      </c>
      <c r="J2056" s="22"/>
      <c r="K2056" s="23"/>
      <c r="L2056" s="23"/>
      <c r="M2056" s="22"/>
      <c r="N2056" s="22"/>
      <c r="O2056" s="22"/>
      <c r="P2056" s="23"/>
      <c r="Q2056" s="23"/>
      <c r="R2056" s="22"/>
      <c r="S2056" s="22"/>
      <c r="T2056" s="22"/>
      <c r="U2056" s="24"/>
      <c r="V2056" s="15"/>
      <c r="W2056" s="16"/>
      <c r="X2056" s="16"/>
      <c r="Y2056" s="16"/>
    </row>
    <row r="2057" customFormat="false" ht="15.75" hidden="false" customHeight="false" outlineLevel="0" collapsed="false">
      <c r="A2057" s="9"/>
      <c r="B2057" s="10"/>
      <c r="C2057" s="10"/>
      <c r="D2057" s="10"/>
      <c r="E2057" s="10"/>
      <c r="F2057" s="10"/>
      <c r="G2057" s="10"/>
      <c r="H2057" s="10"/>
      <c r="I2057" s="25" t="n">
        <v>4</v>
      </c>
      <c r="J2057" s="25"/>
      <c r="K2057" s="26"/>
      <c r="L2057" s="26"/>
      <c r="M2057" s="25"/>
      <c r="N2057" s="25"/>
      <c r="O2057" s="25"/>
      <c r="P2057" s="26"/>
      <c r="Q2057" s="26"/>
      <c r="R2057" s="25"/>
      <c r="S2057" s="25"/>
      <c r="T2057" s="25"/>
      <c r="U2057" s="27"/>
      <c r="V2057" s="21"/>
      <c r="W2057" s="16"/>
      <c r="X2057" s="16"/>
      <c r="Y2057" s="16"/>
    </row>
    <row r="2058" customFormat="false" ht="15.75" hidden="false" customHeight="false" outlineLevel="0" collapsed="false">
      <c r="A2058" s="9"/>
      <c r="B2058" s="10"/>
      <c r="C2058" s="11"/>
      <c r="D2058" s="10"/>
      <c r="E2058" s="10"/>
      <c r="F2058" s="10"/>
      <c r="G2058" s="10"/>
      <c r="H2058" s="10"/>
      <c r="I2058" s="12" t="n">
        <v>1</v>
      </c>
      <c r="J2058" s="12"/>
      <c r="K2058" s="13"/>
      <c r="L2058" s="13"/>
      <c r="M2058" s="12"/>
      <c r="N2058" s="12"/>
      <c r="O2058" s="12"/>
      <c r="P2058" s="13"/>
      <c r="Q2058" s="13"/>
      <c r="R2058" s="12"/>
      <c r="S2058" s="12"/>
      <c r="T2058" s="12"/>
      <c r="U2058" s="14"/>
      <c r="V2058" s="15"/>
      <c r="W2058" s="16" t="n">
        <f aca="false">A2058</f>
        <v>0</v>
      </c>
      <c r="X2058" s="17" t="e">
        <f aca="false">ifs(C2058="","",X2058="",NOW(),TRUE(),X2058)</f>
        <v>#VALUE!</v>
      </c>
      <c r="Y2058" s="17" t="e">
        <f aca="false">ifs(COUNTA(K2058:U2061)&lt;44,"",Y2058="",NOW(),TRUE(),Y2058)</f>
        <v>#VALUE!</v>
      </c>
    </row>
    <row r="2059" customFormat="false" ht="15.75" hidden="false" customHeight="false" outlineLevel="0" collapsed="false">
      <c r="A2059" s="9"/>
      <c r="B2059" s="10"/>
      <c r="C2059" s="10"/>
      <c r="D2059" s="10"/>
      <c r="E2059" s="10"/>
      <c r="F2059" s="10"/>
      <c r="G2059" s="10"/>
      <c r="H2059" s="10"/>
      <c r="I2059" s="18" t="n">
        <v>2</v>
      </c>
      <c r="J2059" s="18"/>
      <c r="K2059" s="19"/>
      <c r="L2059" s="19"/>
      <c r="M2059" s="18"/>
      <c r="N2059" s="18"/>
      <c r="O2059" s="18"/>
      <c r="P2059" s="19"/>
      <c r="Q2059" s="19"/>
      <c r="R2059" s="18"/>
      <c r="S2059" s="18"/>
      <c r="T2059" s="18"/>
      <c r="U2059" s="20"/>
      <c r="V2059" s="21"/>
      <c r="W2059" s="16"/>
      <c r="X2059" s="16"/>
      <c r="Y2059" s="16"/>
    </row>
    <row r="2060" customFormat="false" ht="15.75" hidden="false" customHeight="false" outlineLevel="0" collapsed="false">
      <c r="A2060" s="9"/>
      <c r="B2060" s="10"/>
      <c r="C2060" s="10"/>
      <c r="D2060" s="10"/>
      <c r="E2060" s="10"/>
      <c r="F2060" s="10"/>
      <c r="G2060" s="10"/>
      <c r="H2060" s="10"/>
      <c r="I2060" s="22" t="n">
        <v>3</v>
      </c>
      <c r="J2060" s="22"/>
      <c r="K2060" s="23"/>
      <c r="L2060" s="23"/>
      <c r="M2060" s="22"/>
      <c r="N2060" s="22"/>
      <c r="O2060" s="22"/>
      <c r="P2060" s="23"/>
      <c r="Q2060" s="23"/>
      <c r="R2060" s="22"/>
      <c r="S2060" s="22"/>
      <c r="T2060" s="22"/>
      <c r="U2060" s="24"/>
      <c r="V2060" s="15"/>
      <c r="W2060" s="16"/>
      <c r="X2060" s="16"/>
      <c r="Y2060" s="16"/>
    </row>
    <row r="2061" customFormat="false" ht="15.75" hidden="false" customHeight="false" outlineLevel="0" collapsed="false">
      <c r="A2061" s="9"/>
      <c r="B2061" s="10"/>
      <c r="C2061" s="10"/>
      <c r="D2061" s="10"/>
      <c r="E2061" s="10"/>
      <c r="F2061" s="10"/>
      <c r="G2061" s="10"/>
      <c r="H2061" s="10"/>
      <c r="I2061" s="25" t="n">
        <v>4</v>
      </c>
      <c r="J2061" s="25"/>
      <c r="K2061" s="26"/>
      <c r="L2061" s="26"/>
      <c r="M2061" s="25"/>
      <c r="N2061" s="25"/>
      <c r="O2061" s="25"/>
      <c r="P2061" s="26"/>
      <c r="Q2061" s="26"/>
      <c r="R2061" s="25"/>
      <c r="S2061" s="25"/>
      <c r="T2061" s="25"/>
      <c r="U2061" s="27"/>
      <c r="V2061" s="21"/>
      <c r="W2061" s="16"/>
      <c r="X2061" s="16"/>
      <c r="Y2061" s="16"/>
    </row>
    <row r="2062" customFormat="false" ht="15.75" hidden="false" customHeight="false" outlineLevel="0" collapsed="false">
      <c r="A2062" s="9"/>
      <c r="B2062" s="10"/>
      <c r="C2062" s="11"/>
      <c r="D2062" s="10"/>
      <c r="E2062" s="10"/>
      <c r="F2062" s="10"/>
      <c r="G2062" s="10"/>
      <c r="H2062" s="10"/>
      <c r="I2062" s="12" t="n">
        <v>1</v>
      </c>
      <c r="J2062" s="12"/>
      <c r="K2062" s="13"/>
      <c r="L2062" s="13"/>
      <c r="M2062" s="12"/>
      <c r="N2062" s="12"/>
      <c r="O2062" s="12"/>
      <c r="P2062" s="13"/>
      <c r="Q2062" s="13"/>
      <c r="R2062" s="12"/>
      <c r="S2062" s="12"/>
      <c r="T2062" s="12"/>
      <c r="U2062" s="14"/>
      <c r="V2062" s="15"/>
      <c r="W2062" s="16" t="n">
        <f aca="false">A2062</f>
        <v>0</v>
      </c>
      <c r="X2062" s="17" t="e">
        <f aca="false">ifs(C2062="","",X2062="",NOW(),TRUE(),X2062)</f>
        <v>#VALUE!</v>
      </c>
      <c r="Y2062" s="17" t="e">
        <f aca="false">ifs(COUNTA(K2062:U2065)&lt;44,"",Y2062="",NOW(),TRUE(),Y2062)</f>
        <v>#VALUE!</v>
      </c>
    </row>
    <row r="2063" customFormat="false" ht="15.75" hidden="false" customHeight="false" outlineLevel="0" collapsed="false">
      <c r="A2063" s="9"/>
      <c r="B2063" s="10"/>
      <c r="C2063" s="10"/>
      <c r="D2063" s="10"/>
      <c r="E2063" s="10"/>
      <c r="F2063" s="10"/>
      <c r="G2063" s="10"/>
      <c r="H2063" s="10"/>
      <c r="I2063" s="18" t="n">
        <v>2</v>
      </c>
      <c r="J2063" s="18"/>
      <c r="K2063" s="19"/>
      <c r="L2063" s="19"/>
      <c r="M2063" s="18"/>
      <c r="N2063" s="18"/>
      <c r="O2063" s="18"/>
      <c r="P2063" s="19"/>
      <c r="Q2063" s="19"/>
      <c r="R2063" s="18"/>
      <c r="S2063" s="18"/>
      <c r="T2063" s="18"/>
      <c r="U2063" s="20"/>
      <c r="V2063" s="21"/>
      <c r="W2063" s="16"/>
      <c r="X2063" s="16"/>
      <c r="Y2063" s="16"/>
    </row>
    <row r="2064" customFormat="false" ht="15.75" hidden="false" customHeight="false" outlineLevel="0" collapsed="false">
      <c r="A2064" s="9"/>
      <c r="B2064" s="10"/>
      <c r="C2064" s="10"/>
      <c r="D2064" s="10"/>
      <c r="E2064" s="10"/>
      <c r="F2064" s="10"/>
      <c r="G2064" s="10"/>
      <c r="H2064" s="10"/>
      <c r="I2064" s="22" t="n">
        <v>3</v>
      </c>
      <c r="J2064" s="22"/>
      <c r="K2064" s="23"/>
      <c r="L2064" s="23"/>
      <c r="M2064" s="22"/>
      <c r="N2064" s="22"/>
      <c r="O2064" s="22"/>
      <c r="P2064" s="23"/>
      <c r="Q2064" s="23"/>
      <c r="R2064" s="22"/>
      <c r="S2064" s="22"/>
      <c r="T2064" s="22"/>
      <c r="U2064" s="24"/>
      <c r="V2064" s="15"/>
      <c r="W2064" s="16"/>
      <c r="X2064" s="16"/>
      <c r="Y2064" s="16"/>
    </row>
    <row r="2065" customFormat="false" ht="15.75" hidden="false" customHeight="false" outlineLevel="0" collapsed="false">
      <c r="A2065" s="9"/>
      <c r="B2065" s="10"/>
      <c r="C2065" s="10"/>
      <c r="D2065" s="10"/>
      <c r="E2065" s="10"/>
      <c r="F2065" s="10"/>
      <c r="G2065" s="10"/>
      <c r="H2065" s="10"/>
      <c r="I2065" s="25" t="n">
        <v>4</v>
      </c>
      <c r="J2065" s="25"/>
      <c r="K2065" s="26"/>
      <c r="L2065" s="26"/>
      <c r="M2065" s="25"/>
      <c r="N2065" s="25"/>
      <c r="O2065" s="25"/>
      <c r="P2065" s="26"/>
      <c r="Q2065" s="26"/>
      <c r="R2065" s="25"/>
      <c r="S2065" s="25"/>
      <c r="T2065" s="25"/>
      <c r="U2065" s="27"/>
      <c r="V2065" s="21"/>
      <c r="W2065" s="16"/>
      <c r="X2065" s="16"/>
      <c r="Y2065" s="16"/>
    </row>
    <row r="2066" customFormat="false" ht="15.75" hidden="false" customHeight="false" outlineLevel="0" collapsed="false">
      <c r="A2066" s="9"/>
      <c r="B2066" s="10"/>
      <c r="C2066" s="11"/>
      <c r="D2066" s="10"/>
      <c r="E2066" s="10"/>
      <c r="F2066" s="10"/>
      <c r="G2066" s="10"/>
      <c r="H2066" s="10"/>
      <c r="I2066" s="12" t="n">
        <v>1</v>
      </c>
      <c r="J2066" s="12"/>
      <c r="K2066" s="13"/>
      <c r="L2066" s="13"/>
      <c r="M2066" s="12"/>
      <c r="N2066" s="12"/>
      <c r="O2066" s="12"/>
      <c r="P2066" s="13"/>
      <c r="Q2066" s="13"/>
      <c r="R2066" s="12"/>
      <c r="S2066" s="12"/>
      <c r="T2066" s="12"/>
      <c r="U2066" s="14"/>
      <c r="V2066" s="15"/>
      <c r="W2066" s="16" t="n">
        <f aca="false">A2066</f>
        <v>0</v>
      </c>
      <c r="X2066" s="17" t="e">
        <f aca="false">ifs(C2066="","",X2066="",NOW(),TRUE(),X2066)</f>
        <v>#VALUE!</v>
      </c>
      <c r="Y2066" s="17" t="e">
        <f aca="false">ifs(COUNTA(K2066:U2069)&lt;44,"",Y2066="",NOW(),TRUE(),Y2066)</f>
        <v>#VALUE!</v>
      </c>
    </row>
    <row r="2067" customFormat="false" ht="15.75" hidden="false" customHeight="false" outlineLevel="0" collapsed="false">
      <c r="A2067" s="9"/>
      <c r="B2067" s="10"/>
      <c r="C2067" s="10"/>
      <c r="D2067" s="10"/>
      <c r="E2067" s="10"/>
      <c r="F2067" s="10"/>
      <c r="G2067" s="10"/>
      <c r="H2067" s="10"/>
      <c r="I2067" s="18" t="n">
        <v>2</v>
      </c>
      <c r="J2067" s="18"/>
      <c r="K2067" s="19"/>
      <c r="L2067" s="19"/>
      <c r="M2067" s="18"/>
      <c r="N2067" s="18"/>
      <c r="O2067" s="18"/>
      <c r="P2067" s="19"/>
      <c r="Q2067" s="19"/>
      <c r="R2067" s="18"/>
      <c r="S2067" s="18"/>
      <c r="T2067" s="18"/>
      <c r="U2067" s="20"/>
      <c r="V2067" s="21"/>
      <c r="W2067" s="16"/>
      <c r="X2067" s="16"/>
      <c r="Y2067" s="16"/>
    </row>
    <row r="2068" customFormat="false" ht="15.75" hidden="false" customHeight="false" outlineLevel="0" collapsed="false">
      <c r="A2068" s="9"/>
      <c r="B2068" s="10"/>
      <c r="C2068" s="10"/>
      <c r="D2068" s="10"/>
      <c r="E2068" s="10"/>
      <c r="F2068" s="10"/>
      <c r="G2068" s="10"/>
      <c r="H2068" s="10"/>
      <c r="I2068" s="22" t="n">
        <v>3</v>
      </c>
      <c r="J2068" s="22"/>
      <c r="K2068" s="23"/>
      <c r="L2068" s="23"/>
      <c r="M2068" s="22"/>
      <c r="N2068" s="22"/>
      <c r="O2068" s="22"/>
      <c r="P2068" s="23"/>
      <c r="Q2068" s="23"/>
      <c r="R2068" s="22"/>
      <c r="S2068" s="22"/>
      <c r="T2068" s="22"/>
      <c r="U2068" s="24"/>
      <c r="V2068" s="15"/>
      <c r="W2068" s="16"/>
      <c r="X2068" s="16"/>
      <c r="Y2068" s="16"/>
    </row>
    <row r="2069" customFormat="false" ht="15.75" hidden="false" customHeight="false" outlineLevel="0" collapsed="false">
      <c r="A2069" s="9"/>
      <c r="B2069" s="10"/>
      <c r="C2069" s="10"/>
      <c r="D2069" s="10"/>
      <c r="E2069" s="10"/>
      <c r="F2069" s="10"/>
      <c r="G2069" s="10"/>
      <c r="H2069" s="10"/>
      <c r="I2069" s="25" t="n">
        <v>4</v>
      </c>
      <c r="J2069" s="25"/>
      <c r="K2069" s="26"/>
      <c r="L2069" s="26"/>
      <c r="M2069" s="25"/>
      <c r="N2069" s="25"/>
      <c r="O2069" s="25"/>
      <c r="P2069" s="26"/>
      <c r="Q2069" s="26"/>
      <c r="R2069" s="25"/>
      <c r="S2069" s="25"/>
      <c r="T2069" s="25"/>
      <c r="U2069" s="27"/>
      <c r="V2069" s="21"/>
      <c r="W2069" s="16"/>
      <c r="X2069" s="16"/>
      <c r="Y2069" s="16"/>
    </row>
    <row r="2070" customFormat="false" ht="15.75" hidden="false" customHeight="false" outlineLevel="0" collapsed="false">
      <c r="A2070" s="9"/>
      <c r="B2070" s="10"/>
      <c r="C2070" s="11"/>
      <c r="D2070" s="10"/>
      <c r="E2070" s="10"/>
      <c r="F2070" s="10"/>
      <c r="G2070" s="10"/>
      <c r="H2070" s="10"/>
      <c r="I2070" s="12" t="n">
        <v>1</v>
      </c>
      <c r="J2070" s="12"/>
      <c r="K2070" s="13"/>
      <c r="L2070" s="13"/>
      <c r="M2070" s="12"/>
      <c r="N2070" s="12"/>
      <c r="O2070" s="12"/>
      <c r="P2070" s="13"/>
      <c r="Q2070" s="13"/>
      <c r="R2070" s="12"/>
      <c r="S2070" s="12"/>
      <c r="T2070" s="12"/>
      <c r="U2070" s="14"/>
      <c r="V2070" s="15"/>
      <c r="W2070" s="16" t="n">
        <f aca="false">A2070</f>
        <v>0</v>
      </c>
      <c r="X2070" s="17" t="e">
        <f aca="false">ifs(C2070="","",X2070="",NOW(),TRUE(),X2070)</f>
        <v>#VALUE!</v>
      </c>
      <c r="Y2070" s="17" t="e">
        <f aca="false">ifs(COUNTA(K2070:U2073)&lt;44,"",Y2070="",NOW(),TRUE(),Y2070)</f>
        <v>#VALUE!</v>
      </c>
    </row>
    <row r="2071" customFormat="false" ht="15.75" hidden="false" customHeight="false" outlineLevel="0" collapsed="false">
      <c r="A2071" s="9"/>
      <c r="B2071" s="10"/>
      <c r="C2071" s="10"/>
      <c r="D2071" s="10"/>
      <c r="E2071" s="10"/>
      <c r="F2071" s="10"/>
      <c r="G2071" s="10"/>
      <c r="H2071" s="10"/>
      <c r="I2071" s="18" t="n">
        <v>2</v>
      </c>
      <c r="J2071" s="18"/>
      <c r="K2071" s="19"/>
      <c r="L2071" s="19"/>
      <c r="M2071" s="18"/>
      <c r="N2071" s="18"/>
      <c r="O2071" s="18"/>
      <c r="P2071" s="19"/>
      <c r="Q2071" s="19"/>
      <c r="R2071" s="18"/>
      <c r="S2071" s="18"/>
      <c r="T2071" s="18"/>
      <c r="U2071" s="20"/>
      <c r="V2071" s="21"/>
      <c r="W2071" s="16"/>
      <c r="X2071" s="16"/>
      <c r="Y2071" s="16"/>
    </row>
    <row r="2072" customFormat="false" ht="15.75" hidden="false" customHeight="false" outlineLevel="0" collapsed="false">
      <c r="A2072" s="9"/>
      <c r="B2072" s="10"/>
      <c r="C2072" s="10"/>
      <c r="D2072" s="10"/>
      <c r="E2072" s="10"/>
      <c r="F2072" s="10"/>
      <c r="G2072" s="10"/>
      <c r="H2072" s="10"/>
      <c r="I2072" s="22" t="n">
        <v>3</v>
      </c>
      <c r="J2072" s="22"/>
      <c r="K2072" s="23"/>
      <c r="L2072" s="23"/>
      <c r="M2072" s="22"/>
      <c r="N2072" s="22"/>
      <c r="O2072" s="22"/>
      <c r="P2072" s="23"/>
      <c r="Q2072" s="23"/>
      <c r="R2072" s="22"/>
      <c r="S2072" s="22"/>
      <c r="T2072" s="22"/>
      <c r="U2072" s="24"/>
      <c r="V2072" s="15"/>
      <c r="W2072" s="16"/>
      <c r="X2072" s="16"/>
      <c r="Y2072" s="16"/>
    </row>
    <row r="2073" customFormat="false" ht="15.75" hidden="false" customHeight="false" outlineLevel="0" collapsed="false">
      <c r="A2073" s="9"/>
      <c r="B2073" s="10"/>
      <c r="C2073" s="10"/>
      <c r="D2073" s="10"/>
      <c r="E2073" s="10"/>
      <c r="F2073" s="10"/>
      <c r="G2073" s="10"/>
      <c r="H2073" s="10"/>
      <c r="I2073" s="25" t="n">
        <v>4</v>
      </c>
      <c r="J2073" s="25"/>
      <c r="K2073" s="26"/>
      <c r="L2073" s="26"/>
      <c r="M2073" s="25"/>
      <c r="N2073" s="25"/>
      <c r="O2073" s="25"/>
      <c r="P2073" s="26"/>
      <c r="Q2073" s="26"/>
      <c r="R2073" s="25"/>
      <c r="S2073" s="25"/>
      <c r="T2073" s="25"/>
      <c r="U2073" s="27"/>
      <c r="V2073" s="21"/>
      <c r="W2073" s="16"/>
      <c r="X2073" s="16"/>
      <c r="Y2073" s="16"/>
    </row>
    <row r="2074" customFormat="false" ht="15.75" hidden="false" customHeight="false" outlineLevel="0" collapsed="false">
      <c r="A2074" s="9"/>
      <c r="B2074" s="10"/>
      <c r="C2074" s="11"/>
      <c r="D2074" s="10"/>
      <c r="E2074" s="10"/>
      <c r="F2074" s="10"/>
      <c r="G2074" s="10"/>
      <c r="H2074" s="10"/>
      <c r="I2074" s="12" t="n">
        <v>1</v>
      </c>
      <c r="J2074" s="12"/>
      <c r="K2074" s="13"/>
      <c r="L2074" s="13"/>
      <c r="M2074" s="12"/>
      <c r="N2074" s="12"/>
      <c r="O2074" s="12"/>
      <c r="P2074" s="13"/>
      <c r="Q2074" s="13"/>
      <c r="R2074" s="12"/>
      <c r="S2074" s="12"/>
      <c r="T2074" s="12"/>
      <c r="U2074" s="14"/>
      <c r="V2074" s="15"/>
      <c r="W2074" s="16" t="n">
        <f aca="false">A2074</f>
        <v>0</v>
      </c>
      <c r="X2074" s="17" t="e">
        <f aca="false">ifs(C2074="","",X2074="",NOW(),TRUE(),X2074)</f>
        <v>#VALUE!</v>
      </c>
      <c r="Y2074" s="17" t="e">
        <f aca="false">ifs(COUNTA(K2074:U2077)&lt;44,"",Y2074="",NOW(),TRUE(),Y2074)</f>
        <v>#VALUE!</v>
      </c>
    </row>
    <row r="2075" customFormat="false" ht="15.75" hidden="false" customHeight="false" outlineLevel="0" collapsed="false">
      <c r="A2075" s="9"/>
      <c r="B2075" s="10"/>
      <c r="C2075" s="10"/>
      <c r="D2075" s="10"/>
      <c r="E2075" s="10"/>
      <c r="F2075" s="10"/>
      <c r="G2075" s="10"/>
      <c r="H2075" s="10"/>
      <c r="I2075" s="18" t="n">
        <v>2</v>
      </c>
      <c r="J2075" s="18"/>
      <c r="K2075" s="19"/>
      <c r="L2075" s="19"/>
      <c r="M2075" s="18"/>
      <c r="N2075" s="18"/>
      <c r="O2075" s="18"/>
      <c r="P2075" s="19"/>
      <c r="Q2075" s="19"/>
      <c r="R2075" s="18"/>
      <c r="S2075" s="18"/>
      <c r="T2075" s="18"/>
      <c r="U2075" s="20"/>
      <c r="V2075" s="21"/>
      <c r="W2075" s="16"/>
      <c r="X2075" s="16"/>
      <c r="Y2075" s="16"/>
    </row>
    <row r="2076" customFormat="false" ht="15.75" hidden="false" customHeight="false" outlineLevel="0" collapsed="false">
      <c r="A2076" s="9"/>
      <c r="B2076" s="10"/>
      <c r="C2076" s="10"/>
      <c r="D2076" s="10"/>
      <c r="E2076" s="10"/>
      <c r="F2076" s="10"/>
      <c r="G2076" s="10"/>
      <c r="H2076" s="10"/>
      <c r="I2076" s="22" t="n">
        <v>3</v>
      </c>
      <c r="J2076" s="22"/>
      <c r="K2076" s="23"/>
      <c r="L2076" s="23"/>
      <c r="M2076" s="22"/>
      <c r="N2076" s="22"/>
      <c r="O2076" s="22"/>
      <c r="P2076" s="23"/>
      <c r="Q2076" s="23"/>
      <c r="R2076" s="22"/>
      <c r="S2076" s="22"/>
      <c r="T2076" s="22"/>
      <c r="U2076" s="24"/>
      <c r="V2076" s="15"/>
      <c r="W2076" s="16"/>
      <c r="X2076" s="16"/>
      <c r="Y2076" s="16"/>
    </row>
    <row r="2077" customFormat="false" ht="15.75" hidden="false" customHeight="false" outlineLevel="0" collapsed="false">
      <c r="A2077" s="9"/>
      <c r="B2077" s="10"/>
      <c r="C2077" s="10"/>
      <c r="D2077" s="10"/>
      <c r="E2077" s="10"/>
      <c r="F2077" s="10"/>
      <c r="G2077" s="10"/>
      <c r="H2077" s="10"/>
      <c r="I2077" s="25" t="n">
        <v>4</v>
      </c>
      <c r="J2077" s="25"/>
      <c r="K2077" s="26"/>
      <c r="L2077" s="26"/>
      <c r="M2077" s="25"/>
      <c r="N2077" s="25"/>
      <c r="O2077" s="25"/>
      <c r="P2077" s="26"/>
      <c r="Q2077" s="26"/>
      <c r="R2077" s="25"/>
      <c r="S2077" s="25"/>
      <c r="T2077" s="25"/>
      <c r="U2077" s="27"/>
      <c r="V2077" s="21"/>
      <c r="W2077" s="16"/>
      <c r="X2077" s="16"/>
      <c r="Y2077" s="16"/>
    </row>
    <row r="2078" customFormat="false" ht="15.75" hidden="false" customHeight="false" outlineLevel="0" collapsed="false">
      <c r="A2078" s="9"/>
      <c r="B2078" s="10"/>
      <c r="C2078" s="11"/>
      <c r="D2078" s="10"/>
      <c r="E2078" s="10"/>
      <c r="F2078" s="10"/>
      <c r="G2078" s="10"/>
      <c r="H2078" s="10"/>
      <c r="I2078" s="12" t="n">
        <v>1</v>
      </c>
      <c r="J2078" s="12"/>
      <c r="K2078" s="13"/>
      <c r="L2078" s="13"/>
      <c r="M2078" s="12"/>
      <c r="N2078" s="12"/>
      <c r="O2078" s="12"/>
      <c r="P2078" s="13"/>
      <c r="Q2078" s="13"/>
      <c r="R2078" s="12"/>
      <c r="S2078" s="12"/>
      <c r="T2078" s="12"/>
      <c r="U2078" s="14"/>
      <c r="V2078" s="15"/>
      <c r="W2078" s="16" t="n">
        <f aca="false">A2078</f>
        <v>0</v>
      </c>
      <c r="X2078" s="17" t="e">
        <f aca="false">ifs(C2078="","",X2078="",NOW(),TRUE(),X2078)</f>
        <v>#VALUE!</v>
      </c>
      <c r="Y2078" s="17" t="e">
        <f aca="false">ifs(COUNTA(K2078:U2081)&lt;44,"",Y2078="",NOW(),TRUE(),Y2078)</f>
        <v>#VALUE!</v>
      </c>
    </row>
    <row r="2079" customFormat="false" ht="15.75" hidden="false" customHeight="false" outlineLevel="0" collapsed="false">
      <c r="A2079" s="9"/>
      <c r="B2079" s="10"/>
      <c r="C2079" s="10"/>
      <c r="D2079" s="10"/>
      <c r="E2079" s="10"/>
      <c r="F2079" s="10"/>
      <c r="G2079" s="10"/>
      <c r="H2079" s="10"/>
      <c r="I2079" s="18" t="n">
        <v>2</v>
      </c>
      <c r="J2079" s="18"/>
      <c r="K2079" s="19"/>
      <c r="L2079" s="19"/>
      <c r="M2079" s="18"/>
      <c r="N2079" s="18"/>
      <c r="O2079" s="18"/>
      <c r="P2079" s="19"/>
      <c r="Q2079" s="19"/>
      <c r="R2079" s="18"/>
      <c r="S2079" s="18"/>
      <c r="T2079" s="18"/>
      <c r="U2079" s="20"/>
      <c r="V2079" s="21"/>
      <c r="W2079" s="16"/>
      <c r="X2079" s="16"/>
      <c r="Y2079" s="16"/>
    </row>
    <row r="2080" customFormat="false" ht="15.75" hidden="false" customHeight="false" outlineLevel="0" collapsed="false">
      <c r="A2080" s="9"/>
      <c r="B2080" s="10"/>
      <c r="C2080" s="10"/>
      <c r="D2080" s="10"/>
      <c r="E2080" s="10"/>
      <c r="F2080" s="10"/>
      <c r="G2080" s="10"/>
      <c r="H2080" s="10"/>
      <c r="I2080" s="22" t="n">
        <v>3</v>
      </c>
      <c r="J2080" s="22"/>
      <c r="K2080" s="23"/>
      <c r="L2080" s="23"/>
      <c r="M2080" s="22"/>
      <c r="N2080" s="22"/>
      <c r="O2080" s="22"/>
      <c r="P2080" s="23"/>
      <c r="Q2080" s="23"/>
      <c r="R2080" s="22"/>
      <c r="S2080" s="22"/>
      <c r="T2080" s="22"/>
      <c r="U2080" s="24"/>
      <c r="V2080" s="15"/>
      <c r="W2080" s="16"/>
      <c r="X2080" s="16"/>
      <c r="Y2080" s="16"/>
    </row>
    <row r="2081" customFormat="false" ht="15.75" hidden="false" customHeight="false" outlineLevel="0" collapsed="false">
      <c r="A2081" s="9"/>
      <c r="B2081" s="10"/>
      <c r="C2081" s="10"/>
      <c r="D2081" s="10"/>
      <c r="E2081" s="10"/>
      <c r="F2081" s="10"/>
      <c r="G2081" s="10"/>
      <c r="H2081" s="10"/>
      <c r="I2081" s="25" t="n">
        <v>4</v>
      </c>
      <c r="J2081" s="25"/>
      <c r="K2081" s="26"/>
      <c r="L2081" s="26"/>
      <c r="M2081" s="25"/>
      <c r="N2081" s="25"/>
      <c r="O2081" s="25"/>
      <c r="P2081" s="26"/>
      <c r="Q2081" s="26"/>
      <c r="R2081" s="25"/>
      <c r="S2081" s="25"/>
      <c r="T2081" s="25"/>
      <c r="U2081" s="27"/>
      <c r="V2081" s="21"/>
      <c r="W2081" s="16"/>
      <c r="X2081" s="16"/>
      <c r="Y2081" s="16"/>
    </row>
    <row r="2082" customFormat="false" ht="15.75" hidden="false" customHeight="false" outlineLevel="0" collapsed="false">
      <c r="A2082" s="9"/>
      <c r="B2082" s="10"/>
      <c r="C2082" s="11"/>
      <c r="D2082" s="10"/>
      <c r="E2082" s="10"/>
      <c r="F2082" s="10"/>
      <c r="G2082" s="10"/>
      <c r="H2082" s="10"/>
      <c r="I2082" s="12" t="n">
        <v>1</v>
      </c>
      <c r="J2082" s="12"/>
      <c r="K2082" s="13"/>
      <c r="L2082" s="13"/>
      <c r="M2082" s="12"/>
      <c r="N2082" s="12"/>
      <c r="O2082" s="12"/>
      <c r="P2082" s="13"/>
      <c r="Q2082" s="13"/>
      <c r="R2082" s="12"/>
      <c r="S2082" s="12"/>
      <c r="T2082" s="12"/>
      <c r="U2082" s="14"/>
      <c r="V2082" s="15"/>
      <c r="W2082" s="16" t="n">
        <f aca="false">A2082</f>
        <v>0</v>
      </c>
      <c r="X2082" s="17" t="e">
        <f aca="false">ifs(C2082="","",X2082="",NOW(),TRUE(),X2082)</f>
        <v>#VALUE!</v>
      </c>
      <c r="Y2082" s="17" t="e">
        <f aca="false">ifs(COUNTA(K2082:U2085)&lt;44,"",Y2082="",NOW(),TRUE(),Y2082)</f>
        <v>#VALUE!</v>
      </c>
    </row>
    <row r="2083" customFormat="false" ht="15.75" hidden="false" customHeight="false" outlineLevel="0" collapsed="false">
      <c r="A2083" s="9"/>
      <c r="B2083" s="10"/>
      <c r="C2083" s="10"/>
      <c r="D2083" s="10"/>
      <c r="E2083" s="10"/>
      <c r="F2083" s="10"/>
      <c r="G2083" s="10"/>
      <c r="H2083" s="10"/>
      <c r="I2083" s="18" t="n">
        <v>2</v>
      </c>
      <c r="J2083" s="18"/>
      <c r="K2083" s="19"/>
      <c r="L2083" s="19"/>
      <c r="M2083" s="18"/>
      <c r="N2083" s="18"/>
      <c r="O2083" s="18"/>
      <c r="P2083" s="19"/>
      <c r="Q2083" s="19"/>
      <c r="R2083" s="18"/>
      <c r="S2083" s="18"/>
      <c r="T2083" s="18"/>
      <c r="U2083" s="20"/>
      <c r="V2083" s="21"/>
      <c r="W2083" s="16"/>
      <c r="X2083" s="16"/>
      <c r="Y2083" s="16"/>
    </row>
    <row r="2084" customFormat="false" ht="15.75" hidden="false" customHeight="false" outlineLevel="0" collapsed="false">
      <c r="A2084" s="9"/>
      <c r="B2084" s="10"/>
      <c r="C2084" s="10"/>
      <c r="D2084" s="10"/>
      <c r="E2084" s="10"/>
      <c r="F2084" s="10"/>
      <c r="G2084" s="10"/>
      <c r="H2084" s="10"/>
      <c r="I2084" s="22" t="n">
        <v>3</v>
      </c>
      <c r="J2084" s="22"/>
      <c r="K2084" s="23"/>
      <c r="L2084" s="23"/>
      <c r="M2084" s="22"/>
      <c r="N2084" s="22"/>
      <c r="O2084" s="22"/>
      <c r="P2084" s="23"/>
      <c r="Q2084" s="23"/>
      <c r="R2084" s="22"/>
      <c r="S2084" s="22"/>
      <c r="T2084" s="22"/>
      <c r="U2084" s="24"/>
      <c r="V2084" s="15"/>
      <c r="W2084" s="16"/>
      <c r="X2084" s="16"/>
      <c r="Y2084" s="16"/>
    </row>
    <row r="2085" customFormat="false" ht="15.75" hidden="false" customHeight="false" outlineLevel="0" collapsed="false">
      <c r="A2085" s="9"/>
      <c r="B2085" s="10"/>
      <c r="C2085" s="10"/>
      <c r="D2085" s="10"/>
      <c r="E2085" s="10"/>
      <c r="F2085" s="10"/>
      <c r="G2085" s="10"/>
      <c r="H2085" s="10"/>
      <c r="I2085" s="25" t="n">
        <v>4</v>
      </c>
      <c r="J2085" s="25"/>
      <c r="K2085" s="26"/>
      <c r="L2085" s="26"/>
      <c r="M2085" s="25"/>
      <c r="N2085" s="25"/>
      <c r="O2085" s="25"/>
      <c r="P2085" s="26"/>
      <c r="Q2085" s="26"/>
      <c r="R2085" s="25"/>
      <c r="S2085" s="25"/>
      <c r="T2085" s="25"/>
      <c r="U2085" s="27"/>
      <c r="V2085" s="21"/>
      <c r="W2085" s="16"/>
      <c r="X2085" s="16"/>
      <c r="Y2085" s="16"/>
    </row>
    <row r="2086" customFormat="false" ht="15.75" hidden="false" customHeight="false" outlineLevel="0" collapsed="false">
      <c r="A2086" s="9"/>
      <c r="B2086" s="10"/>
      <c r="C2086" s="11"/>
      <c r="D2086" s="10"/>
      <c r="E2086" s="10"/>
      <c r="F2086" s="10"/>
      <c r="G2086" s="10"/>
      <c r="H2086" s="10"/>
      <c r="I2086" s="12" t="n">
        <v>1</v>
      </c>
      <c r="J2086" s="12"/>
      <c r="K2086" s="13"/>
      <c r="L2086" s="13"/>
      <c r="M2086" s="12"/>
      <c r="N2086" s="12"/>
      <c r="O2086" s="12"/>
      <c r="P2086" s="13"/>
      <c r="Q2086" s="13"/>
      <c r="R2086" s="12"/>
      <c r="S2086" s="12"/>
      <c r="T2086" s="12"/>
      <c r="U2086" s="14"/>
      <c r="V2086" s="15"/>
      <c r="W2086" s="16" t="n">
        <f aca="false">A2086</f>
        <v>0</v>
      </c>
      <c r="X2086" s="17" t="e">
        <f aca="false">ifs(C2086="","",X2086="",NOW(),TRUE(),X2086)</f>
        <v>#VALUE!</v>
      </c>
      <c r="Y2086" s="17" t="e">
        <f aca="false">ifs(COUNTA(K2086:U2089)&lt;44,"",Y2086="",NOW(),TRUE(),Y2086)</f>
        <v>#VALUE!</v>
      </c>
    </row>
    <row r="2087" customFormat="false" ht="15.75" hidden="false" customHeight="false" outlineLevel="0" collapsed="false">
      <c r="A2087" s="9"/>
      <c r="B2087" s="10"/>
      <c r="C2087" s="10"/>
      <c r="D2087" s="10"/>
      <c r="E2087" s="10"/>
      <c r="F2087" s="10"/>
      <c r="G2087" s="10"/>
      <c r="H2087" s="10"/>
      <c r="I2087" s="18" t="n">
        <v>2</v>
      </c>
      <c r="J2087" s="18"/>
      <c r="K2087" s="19"/>
      <c r="L2087" s="19"/>
      <c r="M2087" s="18"/>
      <c r="N2087" s="18"/>
      <c r="O2087" s="18"/>
      <c r="P2087" s="19"/>
      <c r="Q2087" s="19"/>
      <c r="R2087" s="18"/>
      <c r="S2087" s="18"/>
      <c r="T2087" s="18"/>
      <c r="U2087" s="20"/>
      <c r="V2087" s="21"/>
      <c r="W2087" s="16"/>
      <c r="X2087" s="16"/>
      <c r="Y2087" s="16"/>
    </row>
    <row r="2088" customFormat="false" ht="15.75" hidden="false" customHeight="false" outlineLevel="0" collapsed="false">
      <c r="A2088" s="9"/>
      <c r="B2088" s="10"/>
      <c r="C2088" s="10"/>
      <c r="D2088" s="10"/>
      <c r="E2088" s="10"/>
      <c r="F2088" s="10"/>
      <c r="G2088" s="10"/>
      <c r="H2088" s="10"/>
      <c r="I2088" s="22" t="n">
        <v>3</v>
      </c>
      <c r="J2088" s="22"/>
      <c r="K2088" s="23"/>
      <c r="L2088" s="23"/>
      <c r="M2088" s="22"/>
      <c r="N2088" s="22"/>
      <c r="O2088" s="22"/>
      <c r="P2088" s="23"/>
      <c r="Q2088" s="23"/>
      <c r="R2088" s="22"/>
      <c r="S2088" s="22"/>
      <c r="T2088" s="22"/>
      <c r="U2088" s="24"/>
      <c r="V2088" s="15"/>
      <c r="W2088" s="16"/>
      <c r="X2088" s="16"/>
      <c r="Y2088" s="16"/>
    </row>
    <row r="2089" customFormat="false" ht="15.75" hidden="false" customHeight="false" outlineLevel="0" collapsed="false">
      <c r="A2089" s="9"/>
      <c r="B2089" s="10"/>
      <c r="C2089" s="10"/>
      <c r="D2089" s="10"/>
      <c r="E2089" s="10"/>
      <c r="F2089" s="10"/>
      <c r="G2089" s="10"/>
      <c r="H2089" s="10"/>
      <c r="I2089" s="25" t="n">
        <v>4</v>
      </c>
      <c r="J2089" s="25"/>
      <c r="K2089" s="26"/>
      <c r="L2089" s="26"/>
      <c r="M2089" s="25"/>
      <c r="N2089" s="25"/>
      <c r="O2089" s="25"/>
      <c r="P2089" s="26"/>
      <c r="Q2089" s="26"/>
      <c r="R2089" s="25"/>
      <c r="S2089" s="25"/>
      <c r="T2089" s="25"/>
      <c r="U2089" s="27"/>
      <c r="V2089" s="21"/>
      <c r="W2089" s="16"/>
      <c r="X2089" s="16"/>
      <c r="Y2089" s="16"/>
    </row>
    <row r="2090" customFormat="false" ht="15.75" hidden="false" customHeight="false" outlineLevel="0" collapsed="false">
      <c r="A2090" s="9"/>
      <c r="B2090" s="10"/>
      <c r="C2090" s="11"/>
      <c r="D2090" s="10"/>
      <c r="E2090" s="10"/>
      <c r="F2090" s="10"/>
      <c r="G2090" s="10"/>
      <c r="H2090" s="10"/>
      <c r="I2090" s="12" t="n">
        <v>1</v>
      </c>
      <c r="J2090" s="12"/>
      <c r="K2090" s="13"/>
      <c r="L2090" s="13"/>
      <c r="M2090" s="12"/>
      <c r="N2090" s="12"/>
      <c r="O2090" s="12"/>
      <c r="P2090" s="13"/>
      <c r="Q2090" s="13"/>
      <c r="R2090" s="12"/>
      <c r="S2090" s="12"/>
      <c r="T2090" s="12"/>
      <c r="U2090" s="14"/>
      <c r="V2090" s="15"/>
      <c r="W2090" s="16" t="n">
        <f aca="false">A2090</f>
        <v>0</v>
      </c>
      <c r="X2090" s="17" t="e">
        <f aca="false">ifs(C2090="","",X2090="",NOW(),TRUE(),X2090)</f>
        <v>#VALUE!</v>
      </c>
      <c r="Y2090" s="17" t="e">
        <f aca="false">ifs(COUNTA(K2090:U2093)&lt;44,"",Y2090="",NOW(),TRUE(),Y2090)</f>
        <v>#VALUE!</v>
      </c>
    </row>
    <row r="2091" customFormat="false" ht="15.75" hidden="false" customHeight="false" outlineLevel="0" collapsed="false">
      <c r="A2091" s="9"/>
      <c r="B2091" s="10"/>
      <c r="C2091" s="10"/>
      <c r="D2091" s="10"/>
      <c r="E2091" s="10"/>
      <c r="F2091" s="10"/>
      <c r="G2091" s="10"/>
      <c r="H2091" s="10"/>
      <c r="I2091" s="18" t="n">
        <v>2</v>
      </c>
      <c r="J2091" s="18"/>
      <c r="K2091" s="19"/>
      <c r="L2091" s="19"/>
      <c r="M2091" s="18"/>
      <c r="N2091" s="18"/>
      <c r="O2091" s="18"/>
      <c r="P2091" s="19"/>
      <c r="Q2091" s="19"/>
      <c r="R2091" s="18"/>
      <c r="S2091" s="18"/>
      <c r="T2091" s="18"/>
      <c r="U2091" s="20"/>
      <c r="V2091" s="21"/>
      <c r="W2091" s="16"/>
      <c r="X2091" s="16"/>
      <c r="Y2091" s="16"/>
    </row>
    <row r="2092" customFormat="false" ht="15.75" hidden="false" customHeight="false" outlineLevel="0" collapsed="false">
      <c r="A2092" s="9"/>
      <c r="B2092" s="10"/>
      <c r="C2092" s="10"/>
      <c r="D2092" s="10"/>
      <c r="E2092" s="10"/>
      <c r="F2092" s="10"/>
      <c r="G2092" s="10"/>
      <c r="H2092" s="10"/>
      <c r="I2092" s="22" t="n">
        <v>3</v>
      </c>
      <c r="J2092" s="22"/>
      <c r="K2092" s="23"/>
      <c r="L2092" s="23"/>
      <c r="M2092" s="22"/>
      <c r="N2092" s="22"/>
      <c r="O2092" s="22"/>
      <c r="P2092" s="23"/>
      <c r="Q2092" s="23"/>
      <c r="R2092" s="22"/>
      <c r="S2092" s="22"/>
      <c r="T2092" s="22"/>
      <c r="U2092" s="24"/>
      <c r="V2092" s="15"/>
      <c r="W2092" s="16"/>
      <c r="X2092" s="16"/>
      <c r="Y2092" s="16"/>
    </row>
    <row r="2093" customFormat="false" ht="15.75" hidden="false" customHeight="false" outlineLevel="0" collapsed="false">
      <c r="A2093" s="9"/>
      <c r="B2093" s="10"/>
      <c r="C2093" s="10"/>
      <c r="D2093" s="10"/>
      <c r="E2093" s="10"/>
      <c r="F2093" s="10"/>
      <c r="G2093" s="10"/>
      <c r="H2093" s="10"/>
      <c r="I2093" s="25" t="n">
        <v>4</v>
      </c>
      <c r="J2093" s="25"/>
      <c r="K2093" s="26"/>
      <c r="L2093" s="26"/>
      <c r="M2093" s="25"/>
      <c r="N2093" s="25"/>
      <c r="O2093" s="25"/>
      <c r="P2093" s="26"/>
      <c r="Q2093" s="26"/>
      <c r="R2093" s="25"/>
      <c r="S2093" s="25"/>
      <c r="T2093" s="25"/>
      <c r="U2093" s="27"/>
      <c r="V2093" s="21"/>
      <c r="W2093" s="16"/>
      <c r="X2093" s="16"/>
      <c r="Y2093" s="16"/>
    </row>
    <row r="2094" customFormat="false" ht="15.75" hidden="false" customHeight="false" outlineLevel="0" collapsed="false">
      <c r="A2094" s="9"/>
      <c r="B2094" s="10"/>
      <c r="C2094" s="11"/>
      <c r="D2094" s="10"/>
      <c r="E2094" s="10"/>
      <c r="F2094" s="10"/>
      <c r="G2094" s="10"/>
      <c r="H2094" s="10"/>
      <c r="I2094" s="12" t="n">
        <v>1</v>
      </c>
      <c r="J2094" s="12"/>
      <c r="K2094" s="13"/>
      <c r="L2094" s="13"/>
      <c r="M2094" s="12"/>
      <c r="N2094" s="12"/>
      <c r="O2094" s="12"/>
      <c r="P2094" s="13"/>
      <c r="Q2094" s="13"/>
      <c r="R2094" s="12"/>
      <c r="S2094" s="12"/>
      <c r="T2094" s="12"/>
      <c r="U2094" s="14"/>
      <c r="V2094" s="15"/>
      <c r="W2094" s="16" t="n">
        <f aca="false">A2094</f>
        <v>0</v>
      </c>
      <c r="X2094" s="17" t="e">
        <f aca="false">ifs(C2094="","",X2094="",NOW(),TRUE(),X2094)</f>
        <v>#VALUE!</v>
      </c>
      <c r="Y2094" s="17" t="e">
        <f aca="false">ifs(COUNTA(K2094:U2097)&lt;44,"",Y2094="",NOW(),TRUE(),Y2094)</f>
        <v>#VALUE!</v>
      </c>
    </row>
    <row r="2095" customFormat="false" ht="15.75" hidden="false" customHeight="false" outlineLevel="0" collapsed="false">
      <c r="A2095" s="9"/>
      <c r="B2095" s="10"/>
      <c r="C2095" s="10"/>
      <c r="D2095" s="10"/>
      <c r="E2095" s="10"/>
      <c r="F2095" s="10"/>
      <c r="G2095" s="10"/>
      <c r="H2095" s="10"/>
      <c r="I2095" s="18" t="n">
        <v>2</v>
      </c>
      <c r="J2095" s="18"/>
      <c r="K2095" s="19"/>
      <c r="L2095" s="19"/>
      <c r="M2095" s="18"/>
      <c r="N2095" s="18"/>
      <c r="O2095" s="18"/>
      <c r="P2095" s="19"/>
      <c r="Q2095" s="19"/>
      <c r="R2095" s="18"/>
      <c r="S2095" s="18"/>
      <c r="T2095" s="18"/>
      <c r="U2095" s="20"/>
      <c r="V2095" s="21"/>
      <c r="W2095" s="16"/>
      <c r="X2095" s="16"/>
      <c r="Y2095" s="16"/>
    </row>
    <row r="2096" customFormat="false" ht="15.75" hidden="false" customHeight="false" outlineLevel="0" collapsed="false">
      <c r="A2096" s="9"/>
      <c r="B2096" s="10"/>
      <c r="C2096" s="10"/>
      <c r="D2096" s="10"/>
      <c r="E2096" s="10"/>
      <c r="F2096" s="10"/>
      <c r="G2096" s="10"/>
      <c r="H2096" s="10"/>
      <c r="I2096" s="22" t="n">
        <v>3</v>
      </c>
      <c r="J2096" s="22"/>
      <c r="K2096" s="23"/>
      <c r="L2096" s="23"/>
      <c r="M2096" s="22"/>
      <c r="N2096" s="22"/>
      <c r="O2096" s="22"/>
      <c r="P2096" s="23"/>
      <c r="Q2096" s="23"/>
      <c r="R2096" s="22"/>
      <c r="S2096" s="22"/>
      <c r="T2096" s="22"/>
      <c r="U2096" s="24"/>
      <c r="V2096" s="15"/>
      <c r="W2096" s="16"/>
      <c r="X2096" s="16"/>
      <c r="Y2096" s="16"/>
    </row>
    <row r="2097" customFormat="false" ht="15.75" hidden="false" customHeight="false" outlineLevel="0" collapsed="false">
      <c r="A2097" s="9"/>
      <c r="B2097" s="10"/>
      <c r="C2097" s="10"/>
      <c r="D2097" s="10"/>
      <c r="E2097" s="10"/>
      <c r="F2097" s="10"/>
      <c r="G2097" s="10"/>
      <c r="H2097" s="10"/>
      <c r="I2097" s="25" t="n">
        <v>4</v>
      </c>
      <c r="J2097" s="25"/>
      <c r="K2097" s="26"/>
      <c r="L2097" s="26"/>
      <c r="M2097" s="25"/>
      <c r="N2097" s="25"/>
      <c r="O2097" s="25"/>
      <c r="P2097" s="26"/>
      <c r="Q2097" s="26"/>
      <c r="R2097" s="25"/>
      <c r="S2097" s="25"/>
      <c r="T2097" s="25"/>
      <c r="U2097" s="27"/>
      <c r="V2097" s="21"/>
      <c r="W2097" s="16"/>
      <c r="X2097" s="16"/>
      <c r="Y2097" s="16"/>
    </row>
    <row r="2098" customFormat="false" ht="15.75" hidden="false" customHeight="false" outlineLevel="0" collapsed="false">
      <c r="A2098" s="9"/>
      <c r="B2098" s="10"/>
      <c r="C2098" s="11"/>
      <c r="D2098" s="10"/>
      <c r="E2098" s="10"/>
      <c r="F2098" s="10"/>
      <c r="G2098" s="10"/>
      <c r="H2098" s="10"/>
      <c r="I2098" s="12" t="n">
        <v>1</v>
      </c>
      <c r="J2098" s="12"/>
      <c r="K2098" s="13"/>
      <c r="L2098" s="13"/>
      <c r="M2098" s="12"/>
      <c r="N2098" s="12"/>
      <c r="O2098" s="12"/>
      <c r="P2098" s="13"/>
      <c r="Q2098" s="13"/>
      <c r="R2098" s="12"/>
      <c r="S2098" s="12"/>
      <c r="T2098" s="12"/>
      <c r="U2098" s="14"/>
      <c r="V2098" s="15"/>
      <c r="W2098" s="16" t="n">
        <f aca="false">A2098</f>
        <v>0</v>
      </c>
      <c r="X2098" s="17" t="e">
        <f aca="false">ifs(C2098="","",X2098="",NOW(),TRUE(),X2098)</f>
        <v>#VALUE!</v>
      </c>
      <c r="Y2098" s="17" t="e">
        <f aca="false">ifs(COUNTA(K2098:U2101)&lt;44,"",Y2098="",NOW(),TRUE(),Y2098)</f>
        <v>#VALUE!</v>
      </c>
    </row>
    <row r="2099" customFormat="false" ht="15.75" hidden="false" customHeight="false" outlineLevel="0" collapsed="false">
      <c r="A2099" s="9"/>
      <c r="B2099" s="10"/>
      <c r="C2099" s="10"/>
      <c r="D2099" s="10"/>
      <c r="E2099" s="10"/>
      <c r="F2099" s="10"/>
      <c r="G2099" s="10"/>
      <c r="H2099" s="10"/>
      <c r="I2099" s="18" t="n">
        <v>2</v>
      </c>
      <c r="J2099" s="18"/>
      <c r="K2099" s="19"/>
      <c r="L2099" s="19"/>
      <c r="M2099" s="18"/>
      <c r="N2099" s="18"/>
      <c r="O2099" s="18"/>
      <c r="P2099" s="19"/>
      <c r="Q2099" s="19"/>
      <c r="R2099" s="18"/>
      <c r="S2099" s="18"/>
      <c r="T2099" s="18"/>
      <c r="U2099" s="20"/>
      <c r="V2099" s="21"/>
      <c r="W2099" s="16"/>
      <c r="X2099" s="16"/>
      <c r="Y2099" s="16"/>
    </row>
    <row r="2100" customFormat="false" ht="15.75" hidden="false" customHeight="false" outlineLevel="0" collapsed="false">
      <c r="A2100" s="9"/>
      <c r="B2100" s="10"/>
      <c r="C2100" s="10"/>
      <c r="D2100" s="10"/>
      <c r="E2100" s="10"/>
      <c r="F2100" s="10"/>
      <c r="G2100" s="10"/>
      <c r="H2100" s="10"/>
      <c r="I2100" s="22" t="n">
        <v>3</v>
      </c>
      <c r="J2100" s="22"/>
      <c r="K2100" s="23"/>
      <c r="L2100" s="23"/>
      <c r="M2100" s="22"/>
      <c r="N2100" s="22"/>
      <c r="O2100" s="22"/>
      <c r="P2100" s="23"/>
      <c r="Q2100" s="23"/>
      <c r="R2100" s="22"/>
      <c r="S2100" s="22"/>
      <c r="T2100" s="22"/>
      <c r="U2100" s="24"/>
      <c r="V2100" s="15"/>
      <c r="W2100" s="16"/>
      <c r="X2100" s="16"/>
      <c r="Y2100" s="16"/>
    </row>
    <row r="2101" customFormat="false" ht="15.75" hidden="false" customHeight="false" outlineLevel="0" collapsed="false">
      <c r="A2101" s="9"/>
      <c r="B2101" s="10"/>
      <c r="C2101" s="10"/>
      <c r="D2101" s="10"/>
      <c r="E2101" s="10"/>
      <c r="F2101" s="10"/>
      <c r="G2101" s="10"/>
      <c r="H2101" s="10"/>
      <c r="I2101" s="25" t="n">
        <v>4</v>
      </c>
      <c r="J2101" s="25"/>
      <c r="K2101" s="26"/>
      <c r="L2101" s="26"/>
      <c r="M2101" s="25"/>
      <c r="N2101" s="25"/>
      <c r="O2101" s="25"/>
      <c r="P2101" s="26"/>
      <c r="Q2101" s="26"/>
      <c r="R2101" s="25"/>
      <c r="S2101" s="25"/>
      <c r="T2101" s="25"/>
      <c r="U2101" s="27"/>
      <c r="V2101" s="21"/>
      <c r="W2101" s="16"/>
      <c r="X2101" s="16"/>
      <c r="Y2101" s="16"/>
    </row>
    <row r="2102" customFormat="false" ht="15.75" hidden="false" customHeight="false" outlineLevel="0" collapsed="false">
      <c r="A2102" s="9"/>
      <c r="B2102" s="10"/>
      <c r="C2102" s="11"/>
      <c r="D2102" s="10"/>
      <c r="E2102" s="10"/>
      <c r="F2102" s="10"/>
      <c r="G2102" s="10"/>
      <c r="H2102" s="10"/>
      <c r="I2102" s="12" t="n">
        <v>1</v>
      </c>
      <c r="J2102" s="12"/>
      <c r="K2102" s="13"/>
      <c r="L2102" s="13"/>
      <c r="M2102" s="12"/>
      <c r="N2102" s="12"/>
      <c r="O2102" s="12"/>
      <c r="P2102" s="13"/>
      <c r="Q2102" s="13"/>
      <c r="R2102" s="12"/>
      <c r="S2102" s="12"/>
      <c r="T2102" s="12"/>
      <c r="U2102" s="14"/>
      <c r="V2102" s="15"/>
      <c r="W2102" s="16" t="n">
        <f aca="false">A2102</f>
        <v>0</v>
      </c>
      <c r="X2102" s="17" t="e">
        <f aca="false">ifs(C2102="","",X2102="",NOW(),TRUE(),X2102)</f>
        <v>#VALUE!</v>
      </c>
      <c r="Y2102" s="17" t="e">
        <f aca="false">ifs(COUNTA(K2102:U2105)&lt;44,"",Y2102="",NOW(),TRUE(),Y2102)</f>
        <v>#VALUE!</v>
      </c>
    </row>
    <row r="2103" customFormat="false" ht="15.75" hidden="false" customHeight="false" outlineLevel="0" collapsed="false">
      <c r="A2103" s="9"/>
      <c r="B2103" s="10"/>
      <c r="C2103" s="10"/>
      <c r="D2103" s="10"/>
      <c r="E2103" s="10"/>
      <c r="F2103" s="10"/>
      <c r="G2103" s="10"/>
      <c r="H2103" s="10"/>
      <c r="I2103" s="18" t="n">
        <v>2</v>
      </c>
      <c r="J2103" s="18"/>
      <c r="K2103" s="19"/>
      <c r="L2103" s="19"/>
      <c r="M2103" s="18"/>
      <c r="N2103" s="18"/>
      <c r="O2103" s="18"/>
      <c r="P2103" s="19"/>
      <c r="Q2103" s="19"/>
      <c r="R2103" s="18"/>
      <c r="S2103" s="18"/>
      <c r="T2103" s="18"/>
      <c r="U2103" s="20"/>
      <c r="V2103" s="21"/>
      <c r="W2103" s="16"/>
      <c r="X2103" s="16"/>
      <c r="Y2103" s="16"/>
    </row>
    <row r="2104" customFormat="false" ht="15.75" hidden="false" customHeight="false" outlineLevel="0" collapsed="false">
      <c r="A2104" s="9"/>
      <c r="B2104" s="10"/>
      <c r="C2104" s="10"/>
      <c r="D2104" s="10"/>
      <c r="E2104" s="10"/>
      <c r="F2104" s="10"/>
      <c r="G2104" s="10"/>
      <c r="H2104" s="10"/>
      <c r="I2104" s="22" t="n">
        <v>3</v>
      </c>
      <c r="J2104" s="22"/>
      <c r="K2104" s="23"/>
      <c r="L2104" s="23"/>
      <c r="M2104" s="22"/>
      <c r="N2104" s="22"/>
      <c r="O2104" s="22"/>
      <c r="P2104" s="23"/>
      <c r="Q2104" s="23"/>
      <c r="R2104" s="22"/>
      <c r="S2104" s="22"/>
      <c r="T2104" s="22"/>
      <c r="U2104" s="24"/>
      <c r="V2104" s="15"/>
      <c r="W2104" s="16"/>
      <c r="X2104" s="16"/>
      <c r="Y2104" s="16"/>
    </row>
    <row r="2105" customFormat="false" ht="15.75" hidden="false" customHeight="false" outlineLevel="0" collapsed="false">
      <c r="A2105" s="9"/>
      <c r="B2105" s="10"/>
      <c r="C2105" s="10"/>
      <c r="D2105" s="10"/>
      <c r="E2105" s="10"/>
      <c r="F2105" s="10"/>
      <c r="G2105" s="10"/>
      <c r="H2105" s="10"/>
      <c r="I2105" s="25" t="n">
        <v>4</v>
      </c>
      <c r="J2105" s="25"/>
      <c r="K2105" s="26"/>
      <c r="L2105" s="26"/>
      <c r="M2105" s="25"/>
      <c r="N2105" s="25"/>
      <c r="O2105" s="25"/>
      <c r="P2105" s="26"/>
      <c r="Q2105" s="26"/>
      <c r="R2105" s="25"/>
      <c r="S2105" s="25"/>
      <c r="T2105" s="25"/>
      <c r="U2105" s="27"/>
      <c r="V2105" s="21"/>
      <c r="W2105" s="16"/>
      <c r="X2105" s="16"/>
      <c r="Y2105" s="16"/>
    </row>
    <row r="2106" customFormat="false" ht="15.75" hidden="false" customHeight="false" outlineLevel="0" collapsed="false">
      <c r="A2106" s="9"/>
      <c r="B2106" s="10"/>
      <c r="C2106" s="11"/>
      <c r="D2106" s="10"/>
      <c r="E2106" s="10"/>
      <c r="F2106" s="10"/>
      <c r="G2106" s="10"/>
      <c r="H2106" s="10"/>
      <c r="I2106" s="12" t="n">
        <v>1</v>
      </c>
      <c r="J2106" s="12"/>
      <c r="K2106" s="13"/>
      <c r="L2106" s="13"/>
      <c r="M2106" s="12"/>
      <c r="N2106" s="12"/>
      <c r="O2106" s="12"/>
      <c r="P2106" s="13"/>
      <c r="Q2106" s="13"/>
      <c r="R2106" s="12"/>
      <c r="S2106" s="12"/>
      <c r="T2106" s="12"/>
      <c r="U2106" s="14"/>
      <c r="V2106" s="15"/>
      <c r="W2106" s="16" t="n">
        <f aca="false">A2106</f>
        <v>0</v>
      </c>
      <c r="X2106" s="17" t="e">
        <f aca="false">ifs(C2106="","",X2106="",NOW(),TRUE(),X2106)</f>
        <v>#VALUE!</v>
      </c>
      <c r="Y2106" s="17" t="e">
        <f aca="false">ifs(COUNTA(K2106:U2109)&lt;44,"",Y2106="",NOW(),TRUE(),Y2106)</f>
        <v>#VALUE!</v>
      </c>
    </row>
    <row r="2107" customFormat="false" ht="15.75" hidden="false" customHeight="false" outlineLevel="0" collapsed="false">
      <c r="A2107" s="9"/>
      <c r="B2107" s="10"/>
      <c r="C2107" s="10"/>
      <c r="D2107" s="10"/>
      <c r="E2107" s="10"/>
      <c r="F2107" s="10"/>
      <c r="G2107" s="10"/>
      <c r="H2107" s="10"/>
      <c r="I2107" s="18" t="n">
        <v>2</v>
      </c>
      <c r="J2107" s="18"/>
      <c r="K2107" s="19"/>
      <c r="L2107" s="19"/>
      <c r="M2107" s="18"/>
      <c r="N2107" s="18"/>
      <c r="O2107" s="18"/>
      <c r="P2107" s="19"/>
      <c r="Q2107" s="19"/>
      <c r="R2107" s="18"/>
      <c r="S2107" s="18"/>
      <c r="T2107" s="18"/>
      <c r="U2107" s="20"/>
      <c r="V2107" s="21"/>
      <c r="W2107" s="16"/>
      <c r="X2107" s="16"/>
      <c r="Y2107" s="16"/>
    </row>
    <row r="2108" customFormat="false" ht="15.75" hidden="false" customHeight="false" outlineLevel="0" collapsed="false">
      <c r="A2108" s="9"/>
      <c r="B2108" s="10"/>
      <c r="C2108" s="10"/>
      <c r="D2108" s="10"/>
      <c r="E2108" s="10"/>
      <c r="F2108" s="10"/>
      <c r="G2108" s="10"/>
      <c r="H2108" s="10"/>
      <c r="I2108" s="22" t="n">
        <v>3</v>
      </c>
      <c r="J2108" s="22"/>
      <c r="K2108" s="23"/>
      <c r="L2108" s="23"/>
      <c r="M2108" s="22"/>
      <c r="N2108" s="22"/>
      <c r="O2108" s="22"/>
      <c r="P2108" s="23"/>
      <c r="Q2108" s="23"/>
      <c r="R2108" s="22"/>
      <c r="S2108" s="22"/>
      <c r="T2108" s="22"/>
      <c r="U2108" s="24"/>
      <c r="V2108" s="15"/>
      <c r="W2108" s="16"/>
      <c r="X2108" s="16"/>
      <c r="Y2108" s="16"/>
    </row>
    <row r="2109" customFormat="false" ht="15.75" hidden="false" customHeight="false" outlineLevel="0" collapsed="false">
      <c r="A2109" s="9"/>
      <c r="B2109" s="10"/>
      <c r="C2109" s="10"/>
      <c r="D2109" s="10"/>
      <c r="E2109" s="10"/>
      <c r="F2109" s="10"/>
      <c r="G2109" s="10"/>
      <c r="H2109" s="10"/>
      <c r="I2109" s="25" t="n">
        <v>4</v>
      </c>
      <c r="J2109" s="25"/>
      <c r="K2109" s="26"/>
      <c r="L2109" s="26"/>
      <c r="M2109" s="25"/>
      <c r="N2109" s="25"/>
      <c r="O2109" s="25"/>
      <c r="P2109" s="26"/>
      <c r="Q2109" s="26"/>
      <c r="R2109" s="25"/>
      <c r="S2109" s="25"/>
      <c r="T2109" s="25"/>
      <c r="U2109" s="27"/>
      <c r="V2109" s="21"/>
      <c r="W2109" s="16"/>
      <c r="X2109" s="16"/>
      <c r="Y2109" s="16"/>
    </row>
    <row r="2110" customFormat="false" ht="15.75" hidden="false" customHeight="false" outlineLevel="0" collapsed="false">
      <c r="A2110" s="9"/>
      <c r="B2110" s="10"/>
      <c r="C2110" s="11"/>
      <c r="D2110" s="10"/>
      <c r="E2110" s="10"/>
      <c r="F2110" s="10"/>
      <c r="G2110" s="10"/>
      <c r="H2110" s="10"/>
      <c r="I2110" s="12" t="n">
        <v>1</v>
      </c>
      <c r="J2110" s="12"/>
      <c r="K2110" s="13"/>
      <c r="L2110" s="13"/>
      <c r="M2110" s="12"/>
      <c r="N2110" s="12"/>
      <c r="O2110" s="12"/>
      <c r="P2110" s="13"/>
      <c r="Q2110" s="13"/>
      <c r="R2110" s="12"/>
      <c r="S2110" s="12"/>
      <c r="T2110" s="12"/>
      <c r="U2110" s="14"/>
      <c r="V2110" s="15"/>
      <c r="W2110" s="16" t="n">
        <f aca="false">A2110</f>
        <v>0</v>
      </c>
      <c r="X2110" s="17" t="e">
        <f aca="false">ifs(C2110="","",X2110="",NOW(),TRUE(),X2110)</f>
        <v>#VALUE!</v>
      </c>
      <c r="Y2110" s="17" t="e">
        <f aca="false">ifs(COUNTA(K2110:U2113)&lt;44,"",Y2110="",NOW(),TRUE(),Y2110)</f>
        <v>#VALUE!</v>
      </c>
    </row>
    <row r="2111" customFormat="false" ht="15.75" hidden="false" customHeight="false" outlineLevel="0" collapsed="false">
      <c r="A2111" s="9"/>
      <c r="B2111" s="10"/>
      <c r="C2111" s="10"/>
      <c r="D2111" s="10"/>
      <c r="E2111" s="10"/>
      <c r="F2111" s="10"/>
      <c r="G2111" s="10"/>
      <c r="H2111" s="10"/>
      <c r="I2111" s="18" t="n">
        <v>2</v>
      </c>
      <c r="J2111" s="18"/>
      <c r="K2111" s="19"/>
      <c r="L2111" s="19"/>
      <c r="M2111" s="18"/>
      <c r="N2111" s="18"/>
      <c r="O2111" s="18"/>
      <c r="P2111" s="19"/>
      <c r="Q2111" s="19"/>
      <c r="R2111" s="18"/>
      <c r="S2111" s="18"/>
      <c r="T2111" s="18"/>
      <c r="U2111" s="20"/>
      <c r="V2111" s="21"/>
      <c r="W2111" s="16"/>
      <c r="X2111" s="16"/>
      <c r="Y2111" s="16"/>
    </row>
    <row r="2112" customFormat="false" ht="15.75" hidden="false" customHeight="false" outlineLevel="0" collapsed="false">
      <c r="A2112" s="9"/>
      <c r="B2112" s="10"/>
      <c r="C2112" s="10"/>
      <c r="D2112" s="10"/>
      <c r="E2112" s="10"/>
      <c r="F2112" s="10"/>
      <c r="G2112" s="10"/>
      <c r="H2112" s="10"/>
      <c r="I2112" s="22" t="n">
        <v>3</v>
      </c>
      <c r="J2112" s="22"/>
      <c r="K2112" s="23"/>
      <c r="L2112" s="23"/>
      <c r="M2112" s="22"/>
      <c r="N2112" s="22"/>
      <c r="O2112" s="22"/>
      <c r="P2112" s="23"/>
      <c r="Q2112" s="23"/>
      <c r="R2112" s="22"/>
      <c r="S2112" s="22"/>
      <c r="T2112" s="22"/>
      <c r="U2112" s="24"/>
      <c r="V2112" s="15"/>
      <c r="W2112" s="16"/>
      <c r="X2112" s="16"/>
      <c r="Y2112" s="16"/>
    </row>
    <row r="2113" customFormat="false" ht="15.75" hidden="false" customHeight="false" outlineLevel="0" collapsed="false">
      <c r="A2113" s="9"/>
      <c r="B2113" s="10"/>
      <c r="C2113" s="10"/>
      <c r="D2113" s="10"/>
      <c r="E2113" s="10"/>
      <c r="F2113" s="10"/>
      <c r="G2113" s="10"/>
      <c r="H2113" s="10"/>
      <c r="I2113" s="25" t="n">
        <v>4</v>
      </c>
      <c r="J2113" s="25"/>
      <c r="K2113" s="26"/>
      <c r="L2113" s="26"/>
      <c r="M2113" s="25"/>
      <c r="N2113" s="25"/>
      <c r="O2113" s="25"/>
      <c r="P2113" s="26"/>
      <c r="Q2113" s="26"/>
      <c r="R2113" s="25"/>
      <c r="S2113" s="25"/>
      <c r="T2113" s="25"/>
      <c r="U2113" s="27"/>
      <c r="V2113" s="21"/>
      <c r="W2113" s="16"/>
      <c r="X2113" s="16"/>
      <c r="Y2113" s="16"/>
    </row>
    <row r="2114" customFormat="false" ht="15.75" hidden="false" customHeight="false" outlineLevel="0" collapsed="false">
      <c r="A2114" s="9"/>
      <c r="B2114" s="10"/>
      <c r="C2114" s="11"/>
      <c r="D2114" s="10"/>
      <c r="E2114" s="10"/>
      <c r="F2114" s="10"/>
      <c r="G2114" s="10"/>
      <c r="H2114" s="10"/>
      <c r="I2114" s="12" t="n">
        <v>1</v>
      </c>
      <c r="J2114" s="12"/>
      <c r="K2114" s="13"/>
      <c r="L2114" s="13"/>
      <c r="M2114" s="12"/>
      <c r="N2114" s="12"/>
      <c r="O2114" s="12"/>
      <c r="P2114" s="13"/>
      <c r="Q2114" s="13"/>
      <c r="R2114" s="12"/>
      <c r="S2114" s="12"/>
      <c r="T2114" s="12"/>
      <c r="U2114" s="14"/>
      <c r="V2114" s="15"/>
      <c r="W2114" s="16" t="n">
        <f aca="false">A2114</f>
        <v>0</v>
      </c>
      <c r="X2114" s="17" t="e">
        <f aca="false">ifs(C2114="","",X2114="",NOW(),TRUE(),X2114)</f>
        <v>#VALUE!</v>
      </c>
      <c r="Y2114" s="17" t="e">
        <f aca="false">ifs(COUNTA(K2114:U2117)&lt;44,"",Y2114="",NOW(),TRUE(),Y2114)</f>
        <v>#VALUE!</v>
      </c>
    </row>
    <row r="2115" customFormat="false" ht="15.75" hidden="false" customHeight="false" outlineLevel="0" collapsed="false">
      <c r="A2115" s="9"/>
      <c r="B2115" s="10"/>
      <c r="C2115" s="10"/>
      <c r="D2115" s="10"/>
      <c r="E2115" s="10"/>
      <c r="F2115" s="10"/>
      <c r="G2115" s="10"/>
      <c r="H2115" s="10"/>
      <c r="I2115" s="18" t="n">
        <v>2</v>
      </c>
      <c r="J2115" s="18"/>
      <c r="K2115" s="19"/>
      <c r="L2115" s="19"/>
      <c r="M2115" s="18"/>
      <c r="N2115" s="18"/>
      <c r="O2115" s="18"/>
      <c r="P2115" s="19"/>
      <c r="Q2115" s="19"/>
      <c r="R2115" s="18"/>
      <c r="S2115" s="18"/>
      <c r="T2115" s="18"/>
      <c r="U2115" s="20"/>
      <c r="V2115" s="21"/>
      <c r="W2115" s="16"/>
      <c r="X2115" s="16"/>
      <c r="Y2115" s="16"/>
    </row>
    <row r="2116" customFormat="false" ht="15.75" hidden="false" customHeight="false" outlineLevel="0" collapsed="false">
      <c r="A2116" s="9"/>
      <c r="B2116" s="10"/>
      <c r="C2116" s="10"/>
      <c r="D2116" s="10"/>
      <c r="E2116" s="10"/>
      <c r="F2116" s="10"/>
      <c r="G2116" s="10"/>
      <c r="H2116" s="10"/>
      <c r="I2116" s="22" t="n">
        <v>3</v>
      </c>
      <c r="J2116" s="22"/>
      <c r="K2116" s="23"/>
      <c r="L2116" s="23"/>
      <c r="M2116" s="22"/>
      <c r="N2116" s="22"/>
      <c r="O2116" s="22"/>
      <c r="P2116" s="23"/>
      <c r="Q2116" s="23"/>
      <c r="R2116" s="22"/>
      <c r="S2116" s="22"/>
      <c r="T2116" s="22"/>
      <c r="U2116" s="24"/>
      <c r="V2116" s="15"/>
      <c r="W2116" s="16"/>
      <c r="X2116" s="16"/>
      <c r="Y2116" s="16"/>
    </row>
    <row r="2117" customFormat="false" ht="15.75" hidden="false" customHeight="false" outlineLevel="0" collapsed="false">
      <c r="A2117" s="9"/>
      <c r="B2117" s="10"/>
      <c r="C2117" s="10"/>
      <c r="D2117" s="10"/>
      <c r="E2117" s="10"/>
      <c r="F2117" s="10"/>
      <c r="G2117" s="10"/>
      <c r="H2117" s="10"/>
      <c r="I2117" s="25" t="n">
        <v>4</v>
      </c>
      <c r="J2117" s="25"/>
      <c r="K2117" s="26"/>
      <c r="L2117" s="26"/>
      <c r="M2117" s="25"/>
      <c r="N2117" s="25"/>
      <c r="O2117" s="25"/>
      <c r="P2117" s="26"/>
      <c r="Q2117" s="26"/>
      <c r="R2117" s="25"/>
      <c r="S2117" s="25"/>
      <c r="T2117" s="25"/>
      <c r="U2117" s="27"/>
      <c r="V2117" s="21"/>
      <c r="W2117" s="16"/>
      <c r="X2117" s="16"/>
      <c r="Y2117" s="16"/>
    </row>
    <row r="2118" customFormat="false" ht="15.75" hidden="false" customHeight="false" outlineLevel="0" collapsed="false">
      <c r="A2118" s="9"/>
      <c r="B2118" s="10"/>
      <c r="C2118" s="11"/>
      <c r="D2118" s="10"/>
      <c r="E2118" s="10"/>
      <c r="F2118" s="10"/>
      <c r="G2118" s="10"/>
      <c r="H2118" s="10"/>
      <c r="I2118" s="12" t="n">
        <v>1</v>
      </c>
      <c r="J2118" s="12"/>
      <c r="K2118" s="13"/>
      <c r="L2118" s="13"/>
      <c r="M2118" s="12"/>
      <c r="N2118" s="12"/>
      <c r="O2118" s="12"/>
      <c r="P2118" s="13"/>
      <c r="Q2118" s="13"/>
      <c r="R2118" s="12"/>
      <c r="S2118" s="12"/>
      <c r="T2118" s="12"/>
      <c r="U2118" s="14"/>
      <c r="V2118" s="15"/>
      <c r="W2118" s="16" t="n">
        <f aca="false">A2118</f>
        <v>0</v>
      </c>
      <c r="X2118" s="17" t="e">
        <f aca="false">ifs(C2118="","",X2118="",NOW(),TRUE(),X2118)</f>
        <v>#VALUE!</v>
      </c>
      <c r="Y2118" s="17" t="e">
        <f aca="false">ifs(COUNTA(K2118:U2121)&lt;44,"",Y2118="",NOW(),TRUE(),Y2118)</f>
        <v>#VALUE!</v>
      </c>
    </row>
    <row r="2119" customFormat="false" ht="15.75" hidden="false" customHeight="false" outlineLevel="0" collapsed="false">
      <c r="A2119" s="9"/>
      <c r="B2119" s="10"/>
      <c r="C2119" s="10"/>
      <c r="D2119" s="10"/>
      <c r="E2119" s="10"/>
      <c r="F2119" s="10"/>
      <c r="G2119" s="10"/>
      <c r="H2119" s="10"/>
      <c r="I2119" s="18" t="n">
        <v>2</v>
      </c>
      <c r="J2119" s="18"/>
      <c r="K2119" s="19"/>
      <c r="L2119" s="19"/>
      <c r="M2119" s="18"/>
      <c r="N2119" s="18"/>
      <c r="O2119" s="18"/>
      <c r="P2119" s="19"/>
      <c r="Q2119" s="19"/>
      <c r="R2119" s="18"/>
      <c r="S2119" s="18"/>
      <c r="T2119" s="18"/>
      <c r="U2119" s="20"/>
      <c r="V2119" s="21"/>
      <c r="W2119" s="16"/>
      <c r="X2119" s="16"/>
      <c r="Y2119" s="16"/>
    </row>
    <row r="2120" customFormat="false" ht="15.75" hidden="false" customHeight="false" outlineLevel="0" collapsed="false">
      <c r="A2120" s="9"/>
      <c r="B2120" s="10"/>
      <c r="C2120" s="10"/>
      <c r="D2120" s="10"/>
      <c r="E2120" s="10"/>
      <c r="F2120" s="10"/>
      <c r="G2120" s="10"/>
      <c r="H2120" s="10"/>
      <c r="I2120" s="22" t="n">
        <v>3</v>
      </c>
      <c r="J2120" s="22"/>
      <c r="K2120" s="23"/>
      <c r="L2120" s="23"/>
      <c r="M2120" s="22"/>
      <c r="N2120" s="22"/>
      <c r="O2120" s="22"/>
      <c r="P2120" s="23"/>
      <c r="Q2120" s="23"/>
      <c r="R2120" s="22"/>
      <c r="S2120" s="22"/>
      <c r="T2120" s="22"/>
      <c r="U2120" s="24"/>
      <c r="V2120" s="15"/>
      <c r="W2120" s="16"/>
      <c r="X2120" s="16"/>
      <c r="Y2120" s="16"/>
    </row>
    <row r="2121" customFormat="false" ht="15.75" hidden="false" customHeight="false" outlineLevel="0" collapsed="false">
      <c r="A2121" s="9"/>
      <c r="B2121" s="10"/>
      <c r="C2121" s="10"/>
      <c r="D2121" s="10"/>
      <c r="E2121" s="10"/>
      <c r="F2121" s="10"/>
      <c r="G2121" s="10"/>
      <c r="H2121" s="10"/>
      <c r="I2121" s="25" t="n">
        <v>4</v>
      </c>
      <c r="J2121" s="25"/>
      <c r="K2121" s="26"/>
      <c r="L2121" s="26"/>
      <c r="M2121" s="25"/>
      <c r="N2121" s="25"/>
      <c r="O2121" s="25"/>
      <c r="P2121" s="26"/>
      <c r="Q2121" s="26"/>
      <c r="R2121" s="25"/>
      <c r="S2121" s="25"/>
      <c r="T2121" s="25"/>
      <c r="U2121" s="27"/>
      <c r="V2121" s="21"/>
      <c r="W2121" s="16"/>
      <c r="X2121" s="16"/>
      <c r="Y2121" s="16"/>
    </row>
    <row r="2122" customFormat="false" ht="15.75" hidden="false" customHeight="false" outlineLevel="0" collapsed="false">
      <c r="A2122" s="9"/>
      <c r="B2122" s="10"/>
      <c r="C2122" s="11"/>
      <c r="D2122" s="10"/>
      <c r="E2122" s="10"/>
      <c r="F2122" s="10"/>
      <c r="G2122" s="10"/>
      <c r="H2122" s="10"/>
      <c r="I2122" s="12" t="n">
        <v>1</v>
      </c>
      <c r="J2122" s="12"/>
      <c r="K2122" s="13"/>
      <c r="L2122" s="13"/>
      <c r="M2122" s="12"/>
      <c r="N2122" s="12"/>
      <c r="O2122" s="12"/>
      <c r="P2122" s="13"/>
      <c r="Q2122" s="13"/>
      <c r="R2122" s="12"/>
      <c r="S2122" s="12"/>
      <c r="T2122" s="12"/>
      <c r="U2122" s="14"/>
      <c r="V2122" s="15"/>
      <c r="W2122" s="16" t="n">
        <f aca="false">A2122</f>
        <v>0</v>
      </c>
      <c r="X2122" s="17" t="e">
        <f aca="false">ifs(C2122="","",X2122="",NOW(),TRUE(),X2122)</f>
        <v>#VALUE!</v>
      </c>
      <c r="Y2122" s="17" t="e">
        <f aca="false">ifs(COUNTA(K2122:U2125)&lt;44,"",Y2122="",NOW(),TRUE(),Y2122)</f>
        <v>#VALUE!</v>
      </c>
    </row>
    <row r="2123" customFormat="false" ht="15.75" hidden="false" customHeight="false" outlineLevel="0" collapsed="false">
      <c r="A2123" s="9"/>
      <c r="B2123" s="10"/>
      <c r="C2123" s="10"/>
      <c r="D2123" s="10"/>
      <c r="E2123" s="10"/>
      <c r="F2123" s="10"/>
      <c r="G2123" s="10"/>
      <c r="H2123" s="10"/>
      <c r="I2123" s="18" t="n">
        <v>2</v>
      </c>
      <c r="J2123" s="18"/>
      <c r="K2123" s="19"/>
      <c r="L2123" s="19"/>
      <c r="M2123" s="18"/>
      <c r="N2123" s="18"/>
      <c r="O2123" s="18"/>
      <c r="P2123" s="19"/>
      <c r="Q2123" s="19"/>
      <c r="R2123" s="18"/>
      <c r="S2123" s="18"/>
      <c r="T2123" s="18"/>
      <c r="U2123" s="20"/>
      <c r="V2123" s="21"/>
      <c r="W2123" s="16"/>
      <c r="X2123" s="16"/>
      <c r="Y2123" s="16"/>
    </row>
    <row r="2124" customFormat="false" ht="15.75" hidden="false" customHeight="false" outlineLevel="0" collapsed="false">
      <c r="A2124" s="9"/>
      <c r="B2124" s="10"/>
      <c r="C2124" s="10"/>
      <c r="D2124" s="10"/>
      <c r="E2124" s="10"/>
      <c r="F2124" s="10"/>
      <c r="G2124" s="10"/>
      <c r="H2124" s="10"/>
      <c r="I2124" s="22" t="n">
        <v>3</v>
      </c>
      <c r="J2124" s="22"/>
      <c r="K2124" s="23"/>
      <c r="L2124" s="23"/>
      <c r="M2124" s="22"/>
      <c r="N2124" s="22"/>
      <c r="O2124" s="22"/>
      <c r="P2124" s="23"/>
      <c r="Q2124" s="23"/>
      <c r="R2124" s="22"/>
      <c r="S2124" s="22"/>
      <c r="T2124" s="22"/>
      <c r="U2124" s="24"/>
      <c r="V2124" s="15"/>
      <c r="W2124" s="16"/>
      <c r="X2124" s="16"/>
      <c r="Y2124" s="16"/>
    </row>
    <row r="2125" customFormat="false" ht="15.75" hidden="false" customHeight="false" outlineLevel="0" collapsed="false">
      <c r="A2125" s="9"/>
      <c r="B2125" s="10"/>
      <c r="C2125" s="10"/>
      <c r="D2125" s="10"/>
      <c r="E2125" s="10"/>
      <c r="F2125" s="10"/>
      <c r="G2125" s="10"/>
      <c r="H2125" s="10"/>
      <c r="I2125" s="25" t="n">
        <v>4</v>
      </c>
      <c r="J2125" s="25"/>
      <c r="K2125" s="26"/>
      <c r="L2125" s="26"/>
      <c r="M2125" s="25"/>
      <c r="N2125" s="25"/>
      <c r="O2125" s="25"/>
      <c r="P2125" s="26"/>
      <c r="Q2125" s="26"/>
      <c r="R2125" s="25"/>
      <c r="S2125" s="25"/>
      <c r="T2125" s="25"/>
      <c r="U2125" s="27"/>
      <c r="V2125" s="21"/>
      <c r="W2125" s="16"/>
      <c r="X2125" s="16"/>
      <c r="Y2125" s="16"/>
    </row>
    <row r="2126" customFormat="false" ht="15.75" hidden="false" customHeight="false" outlineLevel="0" collapsed="false">
      <c r="A2126" s="9"/>
      <c r="B2126" s="10"/>
      <c r="C2126" s="11"/>
      <c r="D2126" s="10"/>
      <c r="E2126" s="10"/>
      <c r="F2126" s="10"/>
      <c r="G2126" s="10"/>
      <c r="H2126" s="10"/>
      <c r="I2126" s="12" t="n">
        <v>1</v>
      </c>
      <c r="J2126" s="12"/>
      <c r="K2126" s="13"/>
      <c r="L2126" s="13"/>
      <c r="M2126" s="12"/>
      <c r="N2126" s="12"/>
      <c r="O2126" s="12"/>
      <c r="P2126" s="13"/>
      <c r="Q2126" s="13"/>
      <c r="R2126" s="12"/>
      <c r="S2126" s="12"/>
      <c r="T2126" s="12"/>
      <c r="U2126" s="14"/>
      <c r="V2126" s="15"/>
      <c r="W2126" s="16" t="n">
        <f aca="false">A2126</f>
        <v>0</v>
      </c>
      <c r="X2126" s="17" t="e">
        <f aca="false">ifs(C2126="","",X2126="",NOW(),TRUE(),X2126)</f>
        <v>#VALUE!</v>
      </c>
      <c r="Y2126" s="17" t="e">
        <f aca="false">ifs(COUNTA(K2126:U2129)&lt;44,"",Y2126="",NOW(),TRUE(),Y2126)</f>
        <v>#VALUE!</v>
      </c>
    </row>
    <row r="2127" customFormat="false" ht="15.75" hidden="false" customHeight="false" outlineLevel="0" collapsed="false">
      <c r="A2127" s="9"/>
      <c r="B2127" s="10"/>
      <c r="C2127" s="10"/>
      <c r="D2127" s="10"/>
      <c r="E2127" s="10"/>
      <c r="F2127" s="10"/>
      <c r="G2127" s="10"/>
      <c r="H2127" s="10"/>
      <c r="I2127" s="18" t="n">
        <v>2</v>
      </c>
      <c r="J2127" s="18"/>
      <c r="K2127" s="19"/>
      <c r="L2127" s="19"/>
      <c r="M2127" s="18"/>
      <c r="N2127" s="18"/>
      <c r="O2127" s="18"/>
      <c r="P2127" s="19"/>
      <c r="Q2127" s="19"/>
      <c r="R2127" s="18"/>
      <c r="S2127" s="18"/>
      <c r="T2127" s="18"/>
      <c r="U2127" s="20"/>
      <c r="V2127" s="21"/>
      <c r="W2127" s="16"/>
      <c r="X2127" s="16"/>
      <c r="Y2127" s="16"/>
    </row>
    <row r="2128" customFormat="false" ht="15.75" hidden="false" customHeight="false" outlineLevel="0" collapsed="false">
      <c r="A2128" s="9"/>
      <c r="B2128" s="10"/>
      <c r="C2128" s="10"/>
      <c r="D2128" s="10"/>
      <c r="E2128" s="10"/>
      <c r="F2128" s="10"/>
      <c r="G2128" s="10"/>
      <c r="H2128" s="10"/>
      <c r="I2128" s="22" t="n">
        <v>3</v>
      </c>
      <c r="J2128" s="22"/>
      <c r="K2128" s="23"/>
      <c r="L2128" s="23"/>
      <c r="M2128" s="22"/>
      <c r="N2128" s="22"/>
      <c r="O2128" s="22"/>
      <c r="P2128" s="23"/>
      <c r="Q2128" s="23"/>
      <c r="R2128" s="22"/>
      <c r="S2128" s="22"/>
      <c r="T2128" s="22"/>
      <c r="U2128" s="24"/>
      <c r="V2128" s="15"/>
      <c r="W2128" s="16"/>
      <c r="X2128" s="16"/>
      <c r="Y2128" s="16"/>
    </row>
    <row r="2129" customFormat="false" ht="15.75" hidden="false" customHeight="false" outlineLevel="0" collapsed="false">
      <c r="A2129" s="9"/>
      <c r="B2129" s="10"/>
      <c r="C2129" s="10"/>
      <c r="D2129" s="10"/>
      <c r="E2129" s="10"/>
      <c r="F2129" s="10"/>
      <c r="G2129" s="10"/>
      <c r="H2129" s="10"/>
      <c r="I2129" s="25" t="n">
        <v>4</v>
      </c>
      <c r="J2129" s="25"/>
      <c r="K2129" s="26"/>
      <c r="L2129" s="26"/>
      <c r="M2129" s="25"/>
      <c r="N2129" s="25"/>
      <c r="O2129" s="25"/>
      <c r="P2129" s="26"/>
      <c r="Q2129" s="26"/>
      <c r="R2129" s="25"/>
      <c r="S2129" s="25"/>
      <c r="T2129" s="25"/>
      <c r="U2129" s="27"/>
      <c r="V2129" s="21"/>
      <c r="W2129" s="16"/>
      <c r="X2129" s="16"/>
      <c r="Y2129" s="16"/>
    </row>
    <row r="2130" customFormat="false" ht="15.75" hidden="false" customHeight="false" outlineLevel="0" collapsed="false">
      <c r="A2130" s="9"/>
      <c r="B2130" s="10"/>
      <c r="C2130" s="11"/>
      <c r="D2130" s="10"/>
      <c r="E2130" s="10"/>
      <c r="F2130" s="10"/>
      <c r="G2130" s="10"/>
      <c r="H2130" s="10"/>
      <c r="I2130" s="12" t="n">
        <v>1</v>
      </c>
      <c r="J2130" s="12"/>
      <c r="K2130" s="13"/>
      <c r="L2130" s="13"/>
      <c r="M2130" s="12"/>
      <c r="N2130" s="12"/>
      <c r="O2130" s="12"/>
      <c r="P2130" s="13"/>
      <c r="Q2130" s="13"/>
      <c r="R2130" s="12"/>
      <c r="S2130" s="12"/>
      <c r="T2130" s="12"/>
      <c r="U2130" s="14"/>
      <c r="V2130" s="15"/>
      <c r="W2130" s="16" t="n">
        <f aca="false">A2130</f>
        <v>0</v>
      </c>
      <c r="X2130" s="17" t="e">
        <f aca="false">ifs(C2130="","",X2130="",NOW(),TRUE(),X2130)</f>
        <v>#VALUE!</v>
      </c>
      <c r="Y2130" s="17" t="e">
        <f aca="false">ifs(COUNTA(K2130:U2133)&lt;44,"",Y2130="",NOW(),TRUE(),Y2130)</f>
        <v>#VALUE!</v>
      </c>
    </row>
    <row r="2131" customFormat="false" ht="15.75" hidden="false" customHeight="false" outlineLevel="0" collapsed="false">
      <c r="A2131" s="9"/>
      <c r="B2131" s="10"/>
      <c r="C2131" s="10"/>
      <c r="D2131" s="10"/>
      <c r="E2131" s="10"/>
      <c r="F2131" s="10"/>
      <c r="G2131" s="10"/>
      <c r="H2131" s="10"/>
      <c r="I2131" s="18" t="n">
        <v>2</v>
      </c>
      <c r="J2131" s="18"/>
      <c r="K2131" s="19"/>
      <c r="L2131" s="19"/>
      <c r="M2131" s="18"/>
      <c r="N2131" s="18"/>
      <c r="O2131" s="18"/>
      <c r="P2131" s="19"/>
      <c r="Q2131" s="19"/>
      <c r="R2131" s="18"/>
      <c r="S2131" s="18"/>
      <c r="T2131" s="18"/>
      <c r="U2131" s="20"/>
      <c r="V2131" s="21"/>
      <c r="W2131" s="16"/>
      <c r="X2131" s="16"/>
      <c r="Y2131" s="16"/>
    </row>
    <row r="2132" customFormat="false" ht="15.75" hidden="false" customHeight="false" outlineLevel="0" collapsed="false">
      <c r="A2132" s="9"/>
      <c r="B2132" s="10"/>
      <c r="C2132" s="10"/>
      <c r="D2132" s="10"/>
      <c r="E2132" s="10"/>
      <c r="F2132" s="10"/>
      <c r="G2132" s="10"/>
      <c r="H2132" s="10"/>
      <c r="I2132" s="22" t="n">
        <v>3</v>
      </c>
      <c r="J2132" s="22"/>
      <c r="K2132" s="23"/>
      <c r="L2132" s="23"/>
      <c r="M2132" s="22"/>
      <c r="N2132" s="22"/>
      <c r="O2132" s="22"/>
      <c r="P2132" s="23"/>
      <c r="Q2132" s="23"/>
      <c r="R2132" s="22"/>
      <c r="S2132" s="22"/>
      <c r="T2132" s="22"/>
      <c r="U2132" s="24"/>
      <c r="V2132" s="15"/>
      <c r="W2132" s="16"/>
      <c r="X2132" s="16"/>
      <c r="Y2132" s="16"/>
    </row>
    <row r="2133" customFormat="false" ht="15.75" hidden="false" customHeight="false" outlineLevel="0" collapsed="false">
      <c r="A2133" s="9"/>
      <c r="B2133" s="10"/>
      <c r="C2133" s="10"/>
      <c r="D2133" s="10"/>
      <c r="E2133" s="10"/>
      <c r="F2133" s="10"/>
      <c r="G2133" s="10"/>
      <c r="H2133" s="10"/>
      <c r="I2133" s="25" t="n">
        <v>4</v>
      </c>
      <c r="J2133" s="25"/>
      <c r="K2133" s="26"/>
      <c r="L2133" s="26"/>
      <c r="M2133" s="25"/>
      <c r="N2133" s="25"/>
      <c r="O2133" s="25"/>
      <c r="P2133" s="26"/>
      <c r="Q2133" s="26"/>
      <c r="R2133" s="25"/>
      <c r="S2133" s="25"/>
      <c r="T2133" s="25"/>
      <c r="U2133" s="27"/>
      <c r="V2133" s="21"/>
      <c r="W2133" s="16"/>
      <c r="X2133" s="16"/>
      <c r="Y2133" s="16"/>
    </row>
    <row r="2134" customFormat="false" ht="15.75" hidden="false" customHeight="false" outlineLevel="0" collapsed="false">
      <c r="A2134" s="9"/>
      <c r="B2134" s="10"/>
      <c r="C2134" s="11"/>
      <c r="D2134" s="10"/>
      <c r="E2134" s="10"/>
      <c r="F2134" s="10"/>
      <c r="G2134" s="10"/>
      <c r="H2134" s="10"/>
      <c r="I2134" s="12" t="n">
        <v>1</v>
      </c>
      <c r="J2134" s="12"/>
      <c r="K2134" s="13"/>
      <c r="L2134" s="13"/>
      <c r="M2134" s="12"/>
      <c r="N2134" s="12"/>
      <c r="O2134" s="12"/>
      <c r="P2134" s="13"/>
      <c r="Q2134" s="13"/>
      <c r="R2134" s="12"/>
      <c r="S2134" s="12"/>
      <c r="T2134" s="12"/>
      <c r="U2134" s="14"/>
      <c r="V2134" s="15"/>
      <c r="W2134" s="16" t="n">
        <f aca="false">A2134</f>
        <v>0</v>
      </c>
      <c r="X2134" s="17" t="e">
        <f aca="false">ifs(C2134="","",X2134="",NOW(),TRUE(),X2134)</f>
        <v>#VALUE!</v>
      </c>
      <c r="Y2134" s="17" t="e">
        <f aca="false">ifs(COUNTA(K2134:U2137)&lt;44,"",Y2134="",NOW(),TRUE(),Y2134)</f>
        <v>#VALUE!</v>
      </c>
    </row>
    <row r="2135" customFormat="false" ht="15.75" hidden="false" customHeight="false" outlineLevel="0" collapsed="false">
      <c r="A2135" s="9"/>
      <c r="B2135" s="10"/>
      <c r="C2135" s="10"/>
      <c r="D2135" s="10"/>
      <c r="E2135" s="10"/>
      <c r="F2135" s="10"/>
      <c r="G2135" s="10"/>
      <c r="H2135" s="10"/>
      <c r="I2135" s="18" t="n">
        <v>2</v>
      </c>
      <c r="J2135" s="18"/>
      <c r="K2135" s="19"/>
      <c r="L2135" s="19"/>
      <c r="M2135" s="18"/>
      <c r="N2135" s="18"/>
      <c r="O2135" s="18"/>
      <c r="P2135" s="19"/>
      <c r="Q2135" s="19"/>
      <c r="R2135" s="18"/>
      <c r="S2135" s="18"/>
      <c r="T2135" s="18"/>
      <c r="U2135" s="20"/>
      <c r="V2135" s="21"/>
      <c r="W2135" s="16"/>
      <c r="X2135" s="16"/>
      <c r="Y2135" s="16"/>
    </row>
    <row r="2136" customFormat="false" ht="15.75" hidden="false" customHeight="false" outlineLevel="0" collapsed="false">
      <c r="A2136" s="9"/>
      <c r="B2136" s="10"/>
      <c r="C2136" s="10"/>
      <c r="D2136" s="10"/>
      <c r="E2136" s="10"/>
      <c r="F2136" s="10"/>
      <c r="G2136" s="10"/>
      <c r="H2136" s="10"/>
      <c r="I2136" s="22" t="n">
        <v>3</v>
      </c>
      <c r="J2136" s="22"/>
      <c r="K2136" s="23"/>
      <c r="L2136" s="23"/>
      <c r="M2136" s="22"/>
      <c r="N2136" s="22"/>
      <c r="O2136" s="22"/>
      <c r="P2136" s="23"/>
      <c r="Q2136" s="23"/>
      <c r="R2136" s="22"/>
      <c r="S2136" s="22"/>
      <c r="T2136" s="22"/>
      <c r="U2136" s="24"/>
      <c r="V2136" s="15"/>
      <c r="W2136" s="16"/>
      <c r="X2136" s="16"/>
      <c r="Y2136" s="16"/>
    </row>
    <row r="2137" customFormat="false" ht="15.75" hidden="false" customHeight="false" outlineLevel="0" collapsed="false">
      <c r="A2137" s="9"/>
      <c r="B2137" s="10"/>
      <c r="C2137" s="10"/>
      <c r="D2137" s="10"/>
      <c r="E2137" s="10"/>
      <c r="F2137" s="10"/>
      <c r="G2137" s="10"/>
      <c r="H2137" s="10"/>
      <c r="I2137" s="25" t="n">
        <v>4</v>
      </c>
      <c r="J2137" s="25"/>
      <c r="K2137" s="26"/>
      <c r="L2137" s="26"/>
      <c r="M2137" s="25"/>
      <c r="N2137" s="25"/>
      <c r="O2137" s="25"/>
      <c r="P2137" s="26"/>
      <c r="Q2137" s="26"/>
      <c r="R2137" s="25"/>
      <c r="S2137" s="25"/>
      <c r="T2137" s="25"/>
      <c r="U2137" s="27"/>
      <c r="V2137" s="21"/>
      <c r="W2137" s="16"/>
      <c r="X2137" s="16"/>
      <c r="Y2137" s="16"/>
    </row>
    <row r="2138" customFormat="false" ht="15.75" hidden="false" customHeight="false" outlineLevel="0" collapsed="false">
      <c r="A2138" s="9"/>
      <c r="B2138" s="10"/>
      <c r="C2138" s="11"/>
      <c r="D2138" s="10"/>
      <c r="E2138" s="10"/>
      <c r="F2138" s="10"/>
      <c r="G2138" s="10"/>
      <c r="H2138" s="10"/>
      <c r="I2138" s="12" t="n">
        <v>1</v>
      </c>
      <c r="J2138" s="12"/>
      <c r="K2138" s="13"/>
      <c r="L2138" s="13"/>
      <c r="M2138" s="12"/>
      <c r="N2138" s="12"/>
      <c r="O2138" s="12"/>
      <c r="P2138" s="13"/>
      <c r="Q2138" s="13"/>
      <c r="R2138" s="12"/>
      <c r="S2138" s="12"/>
      <c r="T2138" s="12"/>
      <c r="U2138" s="14"/>
      <c r="V2138" s="15"/>
      <c r="W2138" s="16" t="n">
        <f aca="false">A2138</f>
        <v>0</v>
      </c>
      <c r="X2138" s="17" t="e">
        <f aca="false">ifs(C2138="","",X2138="",NOW(),TRUE(),X2138)</f>
        <v>#VALUE!</v>
      </c>
      <c r="Y2138" s="17" t="e">
        <f aca="false">ifs(COUNTA(K2138:U2141)&lt;44,"",Y2138="",NOW(),TRUE(),Y2138)</f>
        <v>#VALUE!</v>
      </c>
    </row>
    <row r="2139" customFormat="false" ht="15.75" hidden="false" customHeight="false" outlineLevel="0" collapsed="false">
      <c r="A2139" s="9"/>
      <c r="B2139" s="10"/>
      <c r="C2139" s="10"/>
      <c r="D2139" s="10"/>
      <c r="E2139" s="10"/>
      <c r="F2139" s="10"/>
      <c r="G2139" s="10"/>
      <c r="H2139" s="10"/>
      <c r="I2139" s="18" t="n">
        <v>2</v>
      </c>
      <c r="J2139" s="18"/>
      <c r="K2139" s="19"/>
      <c r="L2139" s="19"/>
      <c r="M2139" s="18"/>
      <c r="N2139" s="18"/>
      <c r="O2139" s="18"/>
      <c r="P2139" s="19"/>
      <c r="Q2139" s="19"/>
      <c r="R2139" s="18"/>
      <c r="S2139" s="18"/>
      <c r="T2139" s="18"/>
      <c r="U2139" s="20"/>
      <c r="V2139" s="21"/>
      <c r="W2139" s="16"/>
      <c r="X2139" s="16"/>
      <c r="Y2139" s="16"/>
    </row>
    <row r="2140" customFormat="false" ht="15.75" hidden="false" customHeight="false" outlineLevel="0" collapsed="false">
      <c r="A2140" s="9"/>
      <c r="B2140" s="10"/>
      <c r="C2140" s="10"/>
      <c r="D2140" s="10"/>
      <c r="E2140" s="10"/>
      <c r="F2140" s="10"/>
      <c r="G2140" s="10"/>
      <c r="H2140" s="10"/>
      <c r="I2140" s="22" t="n">
        <v>3</v>
      </c>
      <c r="J2140" s="22"/>
      <c r="K2140" s="23"/>
      <c r="L2140" s="23"/>
      <c r="M2140" s="22"/>
      <c r="N2140" s="22"/>
      <c r="O2140" s="22"/>
      <c r="P2140" s="23"/>
      <c r="Q2140" s="23"/>
      <c r="R2140" s="22"/>
      <c r="S2140" s="22"/>
      <c r="T2140" s="22"/>
      <c r="U2140" s="24"/>
      <c r="V2140" s="15"/>
      <c r="W2140" s="16"/>
      <c r="X2140" s="16"/>
      <c r="Y2140" s="16"/>
    </row>
    <row r="2141" customFormat="false" ht="15.75" hidden="false" customHeight="false" outlineLevel="0" collapsed="false">
      <c r="A2141" s="9"/>
      <c r="B2141" s="10"/>
      <c r="C2141" s="10"/>
      <c r="D2141" s="10"/>
      <c r="E2141" s="10"/>
      <c r="F2141" s="10"/>
      <c r="G2141" s="10"/>
      <c r="H2141" s="10"/>
      <c r="I2141" s="25" t="n">
        <v>4</v>
      </c>
      <c r="J2141" s="25"/>
      <c r="K2141" s="26"/>
      <c r="L2141" s="26"/>
      <c r="M2141" s="25"/>
      <c r="N2141" s="25"/>
      <c r="O2141" s="25"/>
      <c r="P2141" s="26"/>
      <c r="Q2141" s="26"/>
      <c r="R2141" s="25"/>
      <c r="S2141" s="25"/>
      <c r="T2141" s="25"/>
      <c r="U2141" s="27"/>
      <c r="V2141" s="21"/>
      <c r="W2141" s="16"/>
      <c r="X2141" s="16"/>
      <c r="Y2141" s="16"/>
    </row>
    <row r="2142" customFormat="false" ht="15.75" hidden="false" customHeight="false" outlineLevel="0" collapsed="false">
      <c r="A2142" s="9"/>
      <c r="B2142" s="10"/>
      <c r="C2142" s="11"/>
      <c r="D2142" s="10"/>
      <c r="E2142" s="10"/>
      <c r="F2142" s="10"/>
      <c r="G2142" s="10"/>
      <c r="H2142" s="10"/>
      <c r="I2142" s="12" t="n">
        <v>1</v>
      </c>
      <c r="J2142" s="12"/>
      <c r="K2142" s="13"/>
      <c r="L2142" s="13"/>
      <c r="M2142" s="12"/>
      <c r="N2142" s="12"/>
      <c r="O2142" s="12"/>
      <c r="P2142" s="13"/>
      <c r="Q2142" s="13"/>
      <c r="R2142" s="12"/>
      <c r="S2142" s="12"/>
      <c r="T2142" s="12"/>
      <c r="U2142" s="14"/>
      <c r="V2142" s="15"/>
      <c r="W2142" s="16" t="n">
        <f aca="false">A2142</f>
        <v>0</v>
      </c>
      <c r="X2142" s="17" t="e">
        <f aca="false">ifs(C2142="","",X2142="",NOW(),TRUE(),X2142)</f>
        <v>#VALUE!</v>
      </c>
      <c r="Y2142" s="17" t="e">
        <f aca="false">ifs(COUNTA(K2142:U2145)&lt;44,"",Y2142="",NOW(),TRUE(),Y2142)</f>
        <v>#VALUE!</v>
      </c>
    </row>
    <row r="2143" customFormat="false" ht="15.75" hidden="false" customHeight="false" outlineLevel="0" collapsed="false">
      <c r="A2143" s="9"/>
      <c r="B2143" s="10"/>
      <c r="C2143" s="10"/>
      <c r="D2143" s="10"/>
      <c r="E2143" s="10"/>
      <c r="F2143" s="10"/>
      <c r="G2143" s="10"/>
      <c r="H2143" s="10"/>
      <c r="I2143" s="18" t="n">
        <v>2</v>
      </c>
      <c r="J2143" s="18"/>
      <c r="K2143" s="19"/>
      <c r="L2143" s="19"/>
      <c r="M2143" s="18"/>
      <c r="N2143" s="18"/>
      <c r="O2143" s="18"/>
      <c r="P2143" s="19"/>
      <c r="Q2143" s="19"/>
      <c r="R2143" s="18"/>
      <c r="S2143" s="18"/>
      <c r="T2143" s="18"/>
      <c r="U2143" s="20"/>
      <c r="V2143" s="21"/>
      <c r="W2143" s="16"/>
      <c r="X2143" s="16"/>
      <c r="Y2143" s="16"/>
    </row>
    <row r="2144" customFormat="false" ht="15.75" hidden="false" customHeight="false" outlineLevel="0" collapsed="false">
      <c r="A2144" s="9"/>
      <c r="B2144" s="10"/>
      <c r="C2144" s="10"/>
      <c r="D2144" s="10"/>
      <c r="E2144" s="10"/>
      <c r="F2144" s="10"/>
      <c r="G2144" s="10"/>
      <c r="H2144" s="10"/>
      <c r="I2144" s="22" t="n">
        <v>3</v>
      </c>
      <c r="J2144" s="22"/>
      <c r="K2144" s="23"/>
      <c r="L2144" s="23"/>
      <c r="M2144" s="22"/>
      <c r="N2144" s="22"/>
      <c r="O2144" s="22"/>
      <c r="P2144" s="23"/>
      <c r="Q2144" s="23"/>
      <c r="R2144" s="22"/>
      <c r="S2144" s="22"/>
      <c r="T2144" s="22"/>
      <c r="U2144" s="24"/>
      <c r="V2144" s="15"/>
      <c r="W2144" s="16"/>
      <c r="X2144" s="16"/>
      <c r="Y2144" s="16"/>
    </row>
    <row r="2145" customFormat="false" ht="15.75" hidden="false" customHeight="false" outlineLevel="0" collapsed="false">
      <c r="A2145" s="9"/>
      <c r="B2145" s="10"/>
      <c r="C2145" s="10"/>
      <c r="D2145" s="10"/>
      <c r="E2145" s="10"/>
      <c r="F2145" s="10"/>
      <c r="G2145" s="10"/>
      <c r="H2145" s="10"/>
      <c r="I2145" s="25" t="n">
        <v>4</v>
      </c>
      <c r="J2145" s="25"/>
      <c r="K2145" s="26"/>
      <c r="L2145" s="26"/>
      <c r="M2145" s="25"/>
      <c r="N2145" s="25"/>
      <c r="O2145" s="25"/>
      <c r="P2145" s="26"/>
      <c r="Q2145" s="26"/>
      <c r="R2145" s="25"/>
      <c r="S2145" s="25"/>
      <c r="T2145" s="25"/>
      <c r="U2145" s="27"/>
      <c r="V2145" s="21"/>
      <c r="W2145" s="16"/>
      <c r="X2145" s="16"/>
      <c r="Y2145" s="16"/>
    </row>
    <row r="2146" customFormat="false" ht="15.75" hidden="false" customHeight="false" outlineLevel="0" collapsed="false">
      <c r="A2146" s="9"/>
      <c r="B2146" s="10"/>
      <c r="C2146" s="11"/>
      <c r="D2146" s="10"/>
      <c r="E2146" s="10"/>
      <c r="F2146" s="10"/>
      <c r="G2146" s="10"/>
      <c r="H2146" s="10"/>
      <c r="I2146" s="12" t="n">
        <v>1</v>
      </c>
      <c r="J2146" s="12"/>
      <c r="K2146" s="13"/>
      <c r="L2146" s="13"/>
      <c r="M2146" s="12"/>
      <c r="N2146" s="12"/>
      <c r="O2146" s="12"/>
      <c r="P2146" s="13"/>
      <c r="Q2146" s="13"/>
      <c r="R2146" s="12"/>
      <c r="S2146" s="12"/>
      <c r="T2146" s="12"/>
      <c r="U2146" s="14"/>
      <c r="V2146" s="15"/>
      <c r="W2146" s="16" t="n">
        <f aca="false">A2146</f>
        <v>0</v>
      </c>
      <c r="X2146" s="17" t="e">
        <f aca="false">ifs(C2146="","",X2146="",NOW(),TRUE(),X2146)</f>
        <v>#VALUE!</v>
      </c>
      <c r="Y2146" s="17" t="e">
        <f aca="false">ifs(COUNTA(K2146:U2149)&lt;44,"",Y2146="",NOW(),TRUE(),Y2146)</f>
        <v>#VALUE!</v>
      </c>
    </row>
    <row r="2147" customFormat="false" ht="15.75" hidden="false" customHeight="false" outlineLevel="0" collapsed="false">
      <c r="A2147" s="9"/>
      <c r="B2147" s="10"/>
      <c r="C2147" s="10"/>
      <c r="D2147" s="10"/>
      <c r="E2147" s="10"/>
      <c r="F2147" s="10"/>
      <c r="G2147" s="10"/>
      <c r="H2147" s="10"/>
      <c r="I2147" s="18" t="n">
        <v>2</v>
      </c>
      <c r="J2147" s="18"/>
      <c r="K2147" s="19"/>
      <c r="L2147" s="19"/>
      <c r="M2147" s="18"/>
      <c r="N2147" s="18"/>
      <c r="O2147" s="18"/>
      <c r="P2147" s="19"/>
      <c r="Q2147" s="19"/>
      <c r="R2147" s="18"/>
      <c r="S2147" s="18"/>
      <c r="T2147" s="18"/>
      <c r="U2147" s="20"/>
      <c r="V2147" s="21"/>
      <c r="W2147" s="16"/>
      <c r="X2147" s="16"/>
      <c r="Y2147" s="16"/>
    </row>
    <row r="2148" customFormat="false" ht="15.75" hidden="false" customHeight="false" outlineLevel="0" collapsed="false">
      <c r="A2148" s="9"/>
      <c r="B2148" s="10"/>
      <c r="C2148" s="10"/>
      <c r="D2148" s="10"/>
      <c r="E2148" s="10"/>
      <c r="F2148" s="10"/>
      <c r="G2148" s="10"/>
      <c r="H2148" s="10"/>
      <c r="I2148" s="22" t="n">
        <v>3</v>
      </c>
      <c r="J2148" s="22"/>
      <c r="K2148" s="23"/>
      <c r="L2148" s="23"/>
      <c r="M2148" s="22"/>
      <c r="N2148" s="22"/>
      <c r="O2148" s="22"/>
      <c r="P2148" s="23"/>
      <c r="Q2148" s="23"/>
      <c r="R2148" s="22"/>
      <c r="S2148" s="22"/>
      <c r="T2148" s="22"/>
      <c r="U2148" s="24"/>
      <c r="V2148" s="15"/>
      <c r="W2148" s="16"/>
      <c r="X2148" s="16"/>
      <c r="Y2148" s="16"/>
    </row>
    <row r="2149" customFormat="false" ht="15.75" hidden="false" customHeight="false" outlineLevel="0" collapsed="false">
      <c r="A2149" s="9"/>
      <c r="B2149" s="10"/>
      <c r="C2149" s="10"/>
      <c r="D2149" s="10"/>
      <c r="E2149" s="10"/>
      <c r="F2149" s="10"/>
      <c r="G2149" s="10"/>
      <c r="H2149" s="10"/>
      <c r="I2149" s="25" t="n">
        <v>4</v>
      </c>
      <c r="J2149" s="25"/>
      <c r="K2149" s="26"/>
      <c r="L2149" s="26"/>
      <c r="M2149" s="25"/>
      <c r="N2149" s="25"/>
      <c r="O2149" s="25"/>
      <c r="P2149" s="26"/>
      <c r="Q2149" s="26"/>
      <c r="R2149" s="25"/>
      <c r="S2149" s="25"/>
      <c r="T2149" s="25"/>
      <c r="U2149" s="27"/>
      <c r="V2149" s="21"/>
      <c r="W2149" s="16"/>
      <c r="X2149" s="16"/>
      <c r="Y2149" s="16"/>
    </row>
    <row r="2150" customFormat="false" ht="15.75" hidden="false" customHeight="false" outlineLevel="0" collapsed="false">
      <c r="A2150" s="9"/>
      <c r="B2150" s="10"/>
      <c r="C2150" s="11"/>
      <c r="D2150" s="10"/>
      <c r="E2150" s="10"/>
      <c r="F2150" s="10"/>
      <c r="G2150" s="10"/>
      <c r="H2150" s="10"/>
      <c r="I2150" s="12" t="n">
        <v>1</v>
      </c>
      <c r="J2150" s="12"/>
      <c r="K2150" s="13"/>
      <c r="L2150" s="13"/>
      <c r="M2150" s="12"/>
      <c r="N2150" s="12"/>
      <c r="O2150" s="12"/>
      <c r="P2150" s="13"/>
      <c r="Q2150" s="13"/>
      <c r="R2150" s="12"/>
      <c r="S2150" s="12"/>
      <c r="T2150" s="12"/>
      <c r="U2150" s="14"/>
      <c r="V2150" s="15"/>
      <c r="W2150" s="16" t="n">
        <f aca="false">A2150</f>
        <v>0</v>
      </c>
      <c r="X2150" s="17" t="e">
        <f aca="false">ifs(C2150="","",X2150="",NOW(),TRUE(),X2150)</f>
        <v>#VALUE!</v>
      </c>
      <c r="Y2150" s="17" t="e">
        <f aca="false">ifs(COUNTA(K2150:U2153)&lt;44,"",Y2150="",NOW(),TRUE(),Y2150)</f>
        <v>#VALUE!</v>
      </c>
    </row>
    <row r="2151" customFormat="false" ht="15.75" hidden="false" customHeight="false" outlineLevel="0" collapsed="false">
      <c r="A2151" s="9"/>
      <c r="B2151" s="10"/>
      <c r="C2151" s="10"/>
      <c r="D2151" s="10"/>
      <c r="E2151" s="10"/>
      <c r="F2151" s="10"/>
      <c r="G2151" s="10"/>
      <c r="H2151" s="10"/>
      <c r="I2151" s="18" t="n">
        <v>2</v>
      </c>
      <c r="J2151" s="18"/>
      <c r="K2151" s="19"/>
      <c r="L2151" s="19"/>
      <c r="M2151" s="18"/>
      <c r="N2151" s="18"/>
      <c r="O2151" s="18"/>
      <c r="P2151" s="19"/>
      <c r="Q2151" s="19"/>
      <c r="R2151" s="18"/>
      <c r="S2151" s="18"/>
      <c r="T2151" s="18"/>
      <c r="U2151" s="20"/>
      <c r="V2151" s="21"/>
      <c r="W2151" s="16"/>
      <c r="X2151" s="16"/>
      <c r="Y2151" s="16"/>
    </row>
    <row r="2152" customFormat="false" ht="15.75" hidden="false" customHeight="false" outlineLevel="0" collapsed="false">
      <c r="A2152" s="9"/>
      <c r="B2152" s="10"/>
      <c r="C2152" s="10"/>
      <c r="D2152" s="10"/>
      <c r="E2152" s="10"/>
      <c r="F2152" s="10"/>
      <c r="G2152" s="10"/>
      <c r="H2152" s="10"/>
      <c r="I2152" s="22" t="n">
        <v>3</v>
      </c>
      <c r="J2152" s="22"/>
      <c r="K2152" s="23"/>
      <c r="L2152" s="23"/>
      <c r="M2152" s="22"/>
      <c r="N2152" s="22"/>
      <c r="O2152" s="22"/>
      <c r="P2152" s="23"/>
      <c r="Q2152" s="23"/>
      <c r="R2152" s="22"/>
      <c r="S2152" s="22"/>
      <c r="T2152" s="22"/>
      <c r="U2152" s="24"/>
      <c r="V2152" s="15"/>
      <c r="W2152" s="16"/>
      <c r="X2152" s="16"/>
      <c r="Y2152" s="16"/>
    </row>
    <row r="2153" customFormat="false" ht="15.75" hidden="false" customHeight="false" outlineLevel="0" collapsed="false">
      <c r="A2153" s="9"/>
      <c r="B2153" s="10"/>
      <c r="C2153" s="10"/>
      <c r="D2153" s="10"/>
      <c r="E2153" s="10"/>
      <c r="F2153" s="10"/>
      <c r="G2153" s="10"/>
      <c r="H2153" s="10"/>
      <c r="I2153" s="25" t="n">
        <v>4</v>
      </c>
      <c r="J2153" s="25"/>
      <c r="K2153" s="26"/>
      <c r="L2153" s="26"/>
      <c r="M2153" s="25"/>
      <c r="N2153" s="25"/>
      <c r="O2153" s="25"/>
      <c r="P2153" s="26"/>
      <c r="Q2153" s="26"/>
      <c r="R2153" s="25"/>
      <c r="S2153" s="25"/>
      <c r="T2153" s="25"/>
      <c r="U2153" s="27"/>
      <c r="V2153" s="21"/>
      <c r="W2153" s="16"/>
      <c r="X2153" s="16"/>
      <c r="Y2153" s="16"/>
    </row>
    <row r="2154" customFormat="false" ht="15.75" hidden="false" customHeight="false" outlineLevel="0" collapsed="false">
      <c r="A2154" s="9"/>
      <c r="B2154" s="10"/>
      <c r="C2154" s="11"/>
      <c r="D2154" s="10"/>
      <c r="E2154" s="10"/>
      <c r="F2154" s="10"/>
      <c r="G2154" s="10"/>
      <c r="H2154" s="10"/>
      <c r="I2154" s="12" t="n">
        <v>1</v>
      </c>
      <c r="J2154" s="12"/>
      <c r="K2154" s="13"/>
      <c r="L2154" s="13"/>
      <c r="M2154" s="12"/>
      <c r="N2154" s="12"/>
      <c r="O2154" s="12"/>
      <c r="P2154" s="13"/>
      <c r="Q2154" s="13"/>
      <c r="R2154" s="12"/>
      <c r="S2154" s="12"/>
      <c r="T2154" s="12"/>
      <c r="U2154" s="14"/>
      <c r="V2154" s="15"/>
      <c r="W2154" s="16" t="n">
        <f aca="false">A2154</f>
        <v>0</v>
      </c>
      <c r="X2154" s="17" t="e">
        <f aca="false">ifs(C2154="","",X2154="",NOW(),TRUE(),X2154)</f>
        <v>#VALUE!</v>
      </c>
      <c r="Y2154" s="17" t="e">
        <f aca="false">ifs(COUNTA(K2154:U2157)&lt;44,"",Y2154="",NOW(),TRUE(),Y2154)</f>
        <v>#VALUE!</v>
      </c>
    </row>
    <row r="2155" customFormat="false" ht="15.75" hidden="false" customHeight="false" outlineLevel="0" collapsed="false">
      <c r="A2155" s="9"/>
      <c r="B2155" s="10"/>
      <c r="C2155" s="10"/>
      <c r="D2155" s="10"/>
      <c r="E2155" s="10"/>
      <c r="F2155" s="10"/>
      <c r="G2155" s="10"/>
      <c r="H2155" s="10"/>
      <c r="I2155" s="18" t="n">
        <v>2</v>
      </c>
      <c r="J2155" s="18"/>
      <c r="K2155" s="19"/>
      <c r="L2155" s="19"/>
      <c r="M2155" s="18"/>
      <c r="N2155" s="18"/>
      <c r="O2155" s="18"/>
      <c r="P2155" s="19"/>
      <c r="Q2155" s="19"/>
      <c r="R2155" s="18"/>
      <c r="S2155" s="18"/>
      <c r="T2155" s="18"/>
      <c r="U2155" s="20"/>
      <c r="V2155" s="21"/>
      <c r="W2155" s="16"/>
      <c r="X2155" s="16"/>
      <c r="Y2155" s="16"/>
    </row>
    <row r="2156" customFormat="false" ht="15.75" hidden="false" customHeight="false" outlineLevel="0" collapsed="false">
      <c r="A2156" s="9"/>
      <c r="B2156" s="10"/>
      <c r="C2156" s="10"/>
      <c r="D2156" s="10"/>
      <c r="E2156" s="10"/>
      <c r="F2156" s="10"/>
      <c r="G2156" s="10"/>
      <c r="H2156" s="10"/>
      <c r="I2156" s="22" t="n">
        <v>3</v>
      </c>
      <c r="J2156" s="22"/>
      <c r="K2156" s="23"/>
      <c r="L2156" s="23"/>
      <c r="M2156" s="22"/>
      <c r="N2156" s="22"/>
      <c r="O2156" s="22"/>
      <c r="P2156" s="23"/>
      <c r="Q2156" s="23"/>
      <c r="R2156" s="22"/>
      <c r="S2156" s="22"/>
      <c r="T2156" s="22"/>
      <c r="U2156" s="24"/>
      <c r="V2156" s="15"/>
      <c r="W2156" s="16"/>
      <c r="X2156" s="16"/>
      <c r="Y2156" s="16"/>
    </row>
    <row r="2157" customFormat="false" ht="15.75" hidden="false" customHeight="false" outlineLevel="0" collapsed="false">
      <c r="A2157" s="9"/>
      <c r="B2157" s="10"/>
      <c r="C2157" s="10"/>
      <c r="D2157" s="10"/>
      <c r="E2157" s="10"/>
      <c r="F2157" s="10"/>
      <c r="G2157" s="10"/>
      <c r="H2157" s="10"/>
      <c r="I2157" s="25" t="n">
        <v>4</v>
      </c>
      <c r="J2157" s="25"/>
      <c r="K2157" s="26"/>
      <c r="L2157" s="26"/>
      <c r="M2157" s="25"/>
      <c r="N2157" s="25"/>
      <c r="O2157" s="25"/>
      <c r="P2157" s="26"/>
      <c r="Q2157" s="26"/>
      <c r="R2157" s="25"/>
      <c r="S2157" s="25"/>
      <c r="T2157" s="25"/>
      <c r="U2157" s="27"/>
      <c r="V2157" s="21"/>
      <c r="W2157" s="16"/>
      <c r="X2157" s="16"/>
      <c r="Y2157" s="16"/>
    </row>
    <row r="2158" customFormat="false" ht="15.75" hidden="false" customHeight="false" outlineLevel="0" collapsed="false">
      <c r="A2158" s="9"/>
      <c r="B2158" s="10"/>
      <c r="C2158" s="11"/>
      <c r="D2158" s="10"/>
      <c r="E2158" s="10"/>
      <c r="F2158" s="10"/>
      <c r="G2158" s="10"/>
      <c r="H2158" s="10"/>
      <c r="I2158" s="12" t="n">
        <v>1</v>
      </c>
      <c r="J2158" s="12"/>
      <c r="K2158" s="13"/>
      <c r="L2158" s="13"/>
      <c r="M2158" s="12"/>
      <c r="N2158" s="12"/>
      <c r="O2158" s="12"/>
      <c r="P2158" s="13"/>
      <c r="Q2158" s="13"/>
      <c r="R2158" s="12"/>
      <c r="S2158" s="12"/>
      <c r="T2158" s="12"/>
      <c r="U2158" s="14"/>
      <c r="V2158" s="15"/>
      <c r="W2158" s="16" t="n">
        <f aca="false">A2158</f>
        <v>0</v>
      </c>
      <c r="X2158" s="17" t="e">
        <f aca="false">ifs(C2158="","",X2158="",NOW(),TRUE(),X2158)</f>
        <v>#VALUE!</v>
      </c>
      <c r="Y2158" s="17" t="e">
        <f aca="false">ifs(COUNTA(K2158:U2161)&lt;44,"",Y2158="",NOW(),TRUE(),Y2158)</f>
        <v>#VALUE!</v>
      </c>
    </row>
    <row r="2159" customFormat="false" ht="15.75" hidden="false" customHeight="false" outlineLevel="0" collapsed="false">
      <c r="A2159" s="9"/>
      <c r="B2159" s="10"/>
      <c r="C2159" s="10"/>
      <c r="D2159" s="10"/>
      <c r="E2159" s="10"/>
      <c r="F2159" s="10"/>
      <c r="G2159" s="10"/>
      <c r="H2159" s="10"/>
      <c r="I2159" s="18" t="n">
        <v>2</v>
      </c>
      <c r="J2159" s="18"/>
      <c r="K2159" s="19"/>
      <c r="L2159" s="19"/>
      <c r="M2159" s="18"/>
      <c r="N2159" s="18"/>
      <c r="O2159" s="18"/>
      <c r="P2159" s="19"/>
      <c r="Q2159" s="19"/>
      <c r="R2159" s="18"/>
      <c r="S2159" s="18"/>
      <c r="T2159" s="18"/>
      <c r="U2159" s="20"/>
      <c r="V2159" s="21"/>
      <c r="W2159" s="16"/>
      <c r="X2159" s="16"/>
      <c r="Y2159" s="16"/>
    </row>
    <row r="2160" customFormat="false" ht="15.75" hidden="false" customHeight="false" outlineLevel="0" collapsed="false">
      <c r="A2160" s="9"/>
      <c r="B2160" s="10"/>
      <c r="C2160" s="10"/>
      <c r="D2160" s="10"/>
      <c r="E2160" s="10"/>
      <c r="F2160" s="10"/>
      <c r="G2160" s="10"/>
      <c r="H2160" s="10"/>
      <c r="I2160" s="22" t="n">
        <v>3</v>
      </c>
      <c r="J2160" s="22"/>
      <c r="K2160" s="23"/>
      <c r="L2160" s="23"/>
      <c r="M2160" s="22"/>
      <c r="N2160" s="22"/>
      <c r="O2160" s="22"/>
      <c r="P2160" s="23"/>
      <c r="Q2160" s="23"/>
      <c r="R2160" s="22"/>
      <c r="S2160" s="22"/>
      <c r="T2160" s="22"/>
      <c r="U2160" s="24"/>
      <c r="V2160" s="15"/>
      <c r="W2160" s="16"/>
      <c r="X2160" s="16"/>
      <c r="Y2160" s="16"/>
    </row>
    <row r="2161" customFormat="false" ht="15.75" hidden="false" customHeight="false" outlineLevel="0" collapsed="false">
      <c r="A2161" s="9"/>
      <c r="B2161" s="10"/>
      <c r="C2161" s="10"/>
      <c r="D2161" s="10"/>
      <c r="E2161" s="10"/>
      <c r="F2161" s="10"/>
      <c r="G2161" s="10"/>
      <c r="H2161" s="10"/>
      <c r="I2161" s="25" t="n">
        <v>4</v>
      </c>
      <c r="J2161" s="25"/>
      <c r="K2161" s="26"/>
      <c r="L2161" s="26"/>
      <c r="M2161" s="25"/>
      <c r="N2161" s="25"/>
      <c r="O2161" s="25"/>
      <c r="P2161" s="26"/>
      <c r="Q2161" s="26"/>
      <c r="R2161" s="25"/>
      <c r="S2161" s="25"/>
      <c r="T2161" s="25"/>
      <c r="U2161" s="27"/>
      <c r="V2161" s="21"/>
      <c r="W2161" s="16"/>
      <c r="X2161" s="16"/>
      <c r="Y2161" s="16"/>
    </row>
    <row r="2162" customFormat="false" ht="15.75" hidden="false" customHeight="false" outlineLevel="0" collapsed="false">
      <c r="A2162" s="9"/>
      <c r="B2162" s="10"/>
      <c r="C2162" s="11"/>
      <c r="D2162" s="10"/>
      <c r="E2162" s="10"/>
      <c r="F2162" s="10"/>
      <c r="G2162" s="10"/>
      <c r="H2162" s="10"/>
      <c r="I2162" s="12" t="n">
        <v>1</v>
      </c>
      <c r="J2162" s="12"/>
      <c r="K2162" s="13"/>
      <c r="L2162" s="13"/>
      <c r="M2162" s="12"/>
      <c r="N2162" s="12"/>
      <c r="O2162" s="12"/>
      <c r="P2162" s="13"/>
      <c r="Q2162" s="13"/>
      <c r="R2162" s="12"/>
      <c r="S2162" s="12"/>
      <c r="T2162" s="12"/>
      <c r="U2162" s="14"/>
      <c r="V2162" s="15"/>
      <c r="W2162" s="16" t="n">
        <f aca="false">A2162</f>
        <v>0</v>
      </c>
      <c r="X2162" s="17" t="e">
        <f aca="false">ifs(C2162="","",X2162="",NOW(),TRUE(),X2162)</f>
        <v>#VALUE!</v>
      </c>
      <c r="Y2162" s="17" t="e">
        <f aca="false">ifs(COUNTA(K2162:U2165)&lt;44,"",Y2162="",NOW(),TRUE(),Y2162)</f>
        <v>#VALUE!</v>
      </c>
    </row>
    <row r="2163" customFormat="false" ht="15.75" hidden="false" customHeight="false" outlineLevel="0" collapsed="false">
      <c r="A2163" s="9"/>
      <c r="B2163" s="10"/>
      <c r="C2163" s="10"/>
      <c r="D2163" s="10"/>
      <c r="E2163" s="10"/>
      <c r="F2163" s="10"/>
      <c r="G2163" s="10"/>
      <c r="H2163" s="10"/>
      <c r="I2163" s="18" t="n">
        <v>2</v>
      </c>
      <c r="J2163" s="18"/>
      <c r="K2163" s="19"/>
      <c r="L2163" s="19"/>
      <c r="M2163" s="18"/>
      <c r="N2163" s="18"/>
      <c r="O2163" s="18"/>
      <c r="P2163" s="19"/>
      <c r="Q2163" s="19"/>
      <c r="R2163" s="18"/>
      <c r="S2163" s="18"/>
      <c r="T2163" s="18"/>
      <c r="U2163" s="20"/>
      <c r="V2163" s="21"/>
      <c r="W2163" s="16"/>
      <c r="X2163" s="16"/>
      <c r="Y2163" s="16"/>
    </row>
    <row r="2164" customFormat="false" ht="15.75" hidden="false" customHeight="false" outlineLevel="0" collapsed="false">
      <c r="A2164" s="9"/>
      <c r="B2164" s="10"/>
      <c r="C2164" s="10"/>
      <c r="D2164" s="10"/>
      <c r="E2164" s="10"/>
      <c r="F2164" s="10"/>
      <c r="G2164" s="10"/>
      <c r="H2164" s="10"/>
      <c r="I2164" s="22" t="n">
        <v>3</v>
      </c>
      <c r="J2164" s="22"/>
      <c r="K2164" s="23"/>
      <c r="L2164" s="23"/>
      <c r="M2164" s="22"/>
      <c r="N2164" s="22"/>
      <c r="O2164" s="22"/>
      <c r="P2164" s="23"/>
      <c r="Q2164" s="23"/>
      <c r="R2164" s="22"/>
      <c r="S2164" s="22"/>
      <c r="T2164" s="22"/>
      <c r="U2164" s="24"/>
      <c r="V2164" s="15"/>
      <c r="W2164" s="16"/>
      <c r="X2164" s="16"/>
      <c r="Y2164" s="16"/>
    </row>
    <row r="2165" customFormat="false" ht="15.75" hidden="false" customHeight="false" outlineLevel="0" collapsed="false">
      <c r="A2165" s="9"/>
      <c r="B2165" s="10"/>
      <c r="C2165" s="10"/>
      <c r="D2165" s="10"/>
      <c r="E2165" s="10"/>
      <c r="F2165" s="10"/>
      <c r="G2165" s="10"/>
      <c r="H2165" s="10"/>
      <c r="I2165" s="25" t="n">
        <v>4</v>
      </c>
      <c r="J2165" s="25"/>
      <c r="K2165" s="26"/>
      <c r="L2165" s="26"/>
      <c r="M2165" s="25"/>
      <c r="N2165" s="25"/>
      <c r="O2165" s="25"/>
      <c r="P2165" s="26"/>
      <c r="Q2165" s="26"/>
      <c r="R2165" s="25"/>
      <c r="S2165" s="25"/>
      <c r="T2165" s="25"/>
      <c r="U2165" s="27"/>
      <c r="V2165" s="21"/>
      <c r="W2165" s="16"/>
      <c r="X2165" s="16"/>
      <c r="Y2165" s="16"/>
    </row>
    <row r="2166" customFormat="false" ht="15.75" hidden="false" customHeight="false" outlineLevel="0" collapsed="false">
      <c r="A2166" s="9"/>
      <c r="B2166" s="10"/>
      <c r="C2166" s="11"/>
      <c r="D2166" s="10"/>
      <c r="E2166" s="10"/>
      <c r="F2166" s="10"/>
      <c r="G2166" s="10"/>
      <c r="H2166" s="10"/>
      <c r="I2166" s="12" t="n">
        <v>1</v>
      </c>
      <c r="J2166" s="12"/>
      <c r="K2166" s="13"/>
      <c r="L2166" s="13"/>
      <c r="M2166" s="12"/>
      <c r="N2166" s="12"/>
      <c r="O2166" s="12"/>
      <c r="P2166" s="13"/>
      <c r="Q2166" s="13"/>
      <c r="R2166" s="12"/>
      <c r="S2166" s="12"/>
      <c r="T2166" s="12"/>
      <c r="U2166" s="14"/>
      <c r="V2166" s="15"/>
      <c r="W2166" s="16" t="n">
        <f aca="false">A2166</f>
        <v>0</v>
      </c>
      <c r="X2166" s="17" t="e">
        <f aca="false">ifs(C2166="","",X2166="",NOW(),TRUE(),X2166)</f>
        <v>#VALUE!</v>
      </c>
      <c r="Y2166" s="17" t="e">
        <f aca="false">ifs(COUNTA(K2166:U2169)&lt;44,"",Y2166="",NOW(),TRUE(),Y2166)</f>
        <v>#VALUE!</v>
      </c>
    </row>
    <row r="2167" customFormat="false" ht="15.75" hidden="false" customHeight="false" outlineLevel="0" collapsed="false">
      <c r="A2167" s="9"/>
      <c r="B2167" s="10"/>
      <c r="C2167" s="10"/>
      <c r="D2167" s="10"/>
      <c r="E2167" s="10"/>
      <c r="F2167" s="10"/>
      <c r="G2167" s="10"/>
      <c r="H2167" s="10"/>
      <c r="I2167" s="18" t="n">
        <v>2</v>
      </c>
      <c r="J2167" s="18"/>
      <c r="K2167" s="19"/>
      <c r="L2167" s="19"/>
      <c r="M2167" s="18"/>
      <c r="N2167" s="18"/>
      <c r="O2167" s="18"/>
      <c r="P2167" s="19"/>
      <c r="Q2167" s="19"/>
      <c r="R2167" s="18"/>
      <c r="S2167" s="18"/>
      <c r="T2167" s="18"/>
      <c r="U2167" s="20"/>
      <c r="V2167" s="21"/>
      <c r="W2167" s="16"/>
      <c r="X2167" s="16"/>
      <c r="Y2167" s="16"/>
    </row>
    <row r="2168" customFormat="false" ht="15.75" hidden="false" customHeight="false" outlineLevel="0" collapsed="false">
      <c r="A2168" s="9"/>
      <c r="B2168" s="10"/>
      <c r="C2168" s="10"/>
      <c r="D2168" s="10"/>
      <c r="E2168" s="10"/>
      <c r="F2168" s="10"/>
      <c r="G2168" s="10"/>
      <c r="H2168" s="10"/>
      <c r="I2168" s="22" t="n">
        <v>3</v>
      </c>
      <c r="J2168" s="22"/>
      <c r="K2168" s="23"/>
      <c r="L2168" s="23"/>
      <c r="M2168" s="22"/>
      <c r="N2168" s="22"/>
      <c r="O2168" s="22"/>
      <c r="P2168" s="23"/>
      <c r="Q2168" s="23"/>
      <c r="R2168" s="22"/>
      <c r="S2168" s="22"/>
      <c r="T2168" s="22"/>
      <c r="U2168" s="24"/>
      <c r="V2168" s="15"/>
      <c r="W2168" s="16"/>
      <c r="X2168" s="16"/>
      <c r="Y2168" s="16"/>
    </row>
    <row r="2169" customFormat="false" ht="15.75" hidden="false" customHeight="false" outlineLevel="0" collapsed="false">
      <c r="A2169" s="9"/>
      <c r="B2169" s="10"/>
      <c r="C2169" s="10"/>
      <c r="D2169" s="10"/>
      <c r="E2169" s="10"/>
      <c r="F2169" s="10"/>
      <c r="G2169" s="10"/>
      <c r="H2169" s="10"/>
      <c r="I2169" s="25" t="n">
        <v>4</v>
      </c>
      <c r="J2169" s="25"/>
      <c r="K2169" s="26"/>
      <c r="L2169" s="26"/>
      <c r="M2169" s="25"/>
      <c r="N2169" s="25"/>
      <c r="O2169" s="25"/>
      <c r="P2169" s="26"/>
      <c r="Q2169" s="26"/>
      <c r="R2169" s="25"/>
      <c r="S2169" s="25"/>
      <c r="T2169" s="25"/>
      <c r="U2169" s="27"/>
      <c r="V2169" s="21"/>
      <c r="W2169" s="16"/>
      <c r="X2169" s="16"/>
      <c r="Y2169" s="16"/>
    </row>
    <row r="2170" customFormat="false" ht="15.75" hidden="false" customHeight="false" outlineLevel="0" collapsed="false">
      <c r="A2170" s="9"/>
      <c r="B2170" s="10"/>
      <c r="C2170" s="11"/>
      <c r="D2170" s="10"/>
      <c r="E2170" s="10"/>
      <c r="F2170" s="10"/>
      <c r="G2170" s="10"/>
      <c r="H2170" s="10"/>
      <c r="I2170" s="12" t="n">
        <v>1</v>
      </c>
      <c r="J2170" s="12"/>
      <c r="K2170" s="13"/>
      <c r="L2170" s="13"/>
      <c r="M2170" s="12"/>
      <c r="N2170" s="12"/>
      <c r="O2170" s="12"/>
      <c r="P2170" s="13"/>
      <c r="Q2170" s="13"/>
      <c r="R2170" s="12"/>
      <c r="S2170" s="12"/>
      <c r="T2170" s="12"/>
      <c r="U2170" s="14"/>
      <c r="V2170" s="15"/>
      <c r="W2170" s="16" t="n">
        <f aca="false">A2170</f>
        <v>0</v>
      </c>
      <c r="X2170" s="17" t="e">
        <f aca="false">ifs(C2170="","",X2170="",NOW(),TRUE(),X2170)</f>
        <v>#VALUE!</v>
      </c>
      <c r="Y2170" s="17" t="e">
        <f aca="false">ifs(COUNTA(K2170:U2173)&lt;44,"",Y2170="",NOW(),TRUE(),Y2170)</f>
        <v>#VALUE!</v>
      </c>
    </row>
    <row r="2171" customFormat="false" ht="15.75" hidden="false" customHeight="false" outlineLevel="0" collapsed="false">
      <c r="A2171" s="9"/>
      <c r="B2171" s="10"/>
      <c r="C2171" s="10"/>
      <c r="D2171" s="10"/>
      <c r="E2171" s="10"/>
      <c r="F2171" s="10"/>
      <c r="G2171" s="10"/>
      <c r="H2171" s="10"/>
      <c r="I2171" s="18" t="n">
        <v>2</v>
      </c>
      <c r="J2171" s="18"/>
      <c r="K2171" s="19"/>
      <c r="L2171" s="19"/>
      <c r="M2171" s="18"/>
      <c r="N2171" s="18"/>
      <c r="O2171" s="18"/>
      <c r="P2171" s="19"/>
      <c r="Q2171" s="19"/>
      <c r="R2171" s="18"/>
      <c r="S2171" s="18"/>
      <c r="T2171" s="18"/>
      <c r="U2171" s="20"/>
      <c r="V2171" s="21"/>
      <c r="W2171" s="16"/>
      <c r="X2171" s="16"/>
      <c r="Y2171" s="16"/>
    </row>
    <row r="2172" customFormat="false" ht="15.75" hidden="false" customHeight="false" outlineLevel="0" collapsed="false">
      <c r="A2172" s="9"/>
      <c r="B2172" s="10"/>
      <c r="C2172" s="10"/>
      <c r="D2172" s="10"/>
      <c r="E2172" s="10"/>
      <c r="F2172" s="10"/>
      <c r="G2172" s="10"/>
      <c r="H2172" s="10"/>
      <c r="I2172" s="22" t="n">
        <v>3</v>
      </c>
      <c r="J2172" s="22"/>
      <c r="K2172" s="23"/>
      <c r="L2172" s="23"/>
      <c r="M2172" s="22"/>
      <c r="N2172" s="22"/>
      <c r="O2172" s="22"/>
      <c r="P2172" s="23"/>
      <c r="Q2172" s="23"/>
      <c r="R2172" s="22"/>
      <c r="S2172" s="22"/>
      <c r="T2172" s="22"/>
      <c r="U2172" s="24"/>
      <c r="V2172" s="15"/>
      <c r="W2172" s="16"/>
      <c r="X2172" s="16"/>
      <c r="Y2172" s="16"/>
    </row>
    <row r="2173" customFormat="false" ht="15.75" hidden="false" customHeight="false" outlineLevel="0" collapsed="false">
      <c r="A2173" s="9"/>
      <c r="B2173" s="10"/>
      <c r="C2173" s="10"/>
      <c r="D2173" s="10"/>
      <c r="E2173" s="10"/>
      <c r="F2173" s="10"/>
      <c r="G2173" s="10"/>
      <c r="H2173" s="10"/>
      <c r="I2173" s="25" t="n">
        <v>4</v>
      </c>
      <c r="J2173" s="25"/>
      <c r="K2173" s="26"/>
      <c r="L2173" s="26"/>
      <c r="M2173" s="25"/>
      <c r="N2173" s="25"/>
      <c r="O2173" s="25"/>
      <c r="P2173" s="26"/>
      <c r="Q2173" s="26"/>
      <c r="R2173" s="25"/>
      <c r="S2173" s="25"/>
      <c r="T2173" s="25"/>
      <c r="U2173" s="27"/>
      <c r="V2173" s="21"/>
      <c r="W2173" s="16"/>
      <c r="X2173" s="16"/>
      <c r="Y2173" s="16"/>
    </row>
    <row r="2174" customFormat="false" ht="15.75" hidden="false" customHeight="false" outlineLevel="0" collapsed="false">
      <c r="A2174" s="9"/>
      <c r="B2174" s="10"/>
      <c r="C2174" s="11"/>
      <c r="D2174" s="10"/>
      <c r="E2174" s="10"/>
      <c r="F2174" s="10"/>
      <c r="G2174" s="10"/>
      <c r="H2174" s="10"/>
      <c r="I2174" s="12" t="n">
        <v>1</v>
      </c>
      <c r="J2174" s="12"/>
      <c r="K2174" s="13"/>
      <c r="L2174" s="13"/>
      <c r="M2174" s="12"/>
      <c r="N2174" s="12"/>
      <c r="O2174" s="12"/>
      <c r="P2174" s="13"/>
      <c r="Q2174" s="13"/>
      <c r="R2174" s="12"/>
      <c r="S2174" s="12"/>
      <c r="T2174" s="12"/>
      <c r="U2174" s="14"/>
      <c r="V2174" s="15"/>
      <c r="W2174" s="16" t="n">
        <f aca="false">A2174</f>
        <v>0</v>
      </c>
      <c r="X2174" s="17" t="e">
        <f aca="false">ifs(C2174="","",X2174="",NOW(),TRUE(),X2174)</f>
        <v>#VALUE!</v>
      </c>
      <c r="Y2174" s="17" t="e">
        <f aca="false">ifs(COUNTA(K2174:U2177)&lt;44,"",Y2174="",NOW(),TRUE(),Y2174)</f>
        <v>#VALUE!</v>
      </c>
    </row>
    <row r="2175" customFormat="false" ht="15.75" hidden="false" customHeight="false" outlineLevel="0" collapsed="false">
      <c r="A2175" s="9"/>
      <c r="B2175" s="10"/>
      <c r="C2175" s="10"/>
      <c r="D2175" s="10"/>
      <c r="E2175" s="10"/>
      <c r="F2175" s="10"/>
      <c r="G2175" s="10"/>
      <c r="H2175" s="10"/>
      <c r="I2175" s="18" t="n">
        <v>2</v>
      </c>
      <c r="J2175" s="18"/>
      <c r="K2175" s="19"/>
      <c r="L2175" s="19"/>
      <c r="M2175" s="18"/>
      <c r="N2175" s="18"/>
      <c r="O2175" s="18"/>
      <c r="P2175" s="19"/>
      <c r="Q2175" s="19"/>
      <c r="R2175" s="18"/>
      <c r="S2175" s="18"/>
      <c r="T2175" s="18"/>
      <c r="U2175" s="20"/>
      <c r="V2175" s="21"/>
      <c r="W2175" s="16"/>
      <c r="X2175" s="16"/>
      <c r="Y2175" s="16"/>
    </row>
    <row r="2176" customFormat="false" ht="15.75" hidden="false" customHeight="false" outlineLevel="0" collapsed="false">
      <c r="A2176" s="9"/>
      <c r="B2176" s="10"/>
      <c r="C2176" s="10"/>
      <c r="D2176" s="10"/>
      <c r="E2176" s="10"/>
      <c r="F2176" s="10"/>
      <c r="G2176" s="10"/>
      <c r="H2176" s="10"/>
      <c r="I2176" s="22" t="n">
        <v>3</v>
      </c>
      <c r="J2176" s="22"/>
      <c r="K2176" s="23"/>
      <c r="L2176" s="23"/>
      <c r="M2176" s="22"/>
      <c r="N2176" s="22"/>
      <c r="O2176" s="22"/>
      <c r="P2176" s="23"/>
      <c r="Q2176" s="23"/>
      <c r="R2176" s="22"/>
      <c r="S2176" s="22"/>
      <c r="T2176" s="22"/>
      <c r="U2176" s="24"/>
      <c r="V2176" s="15"/>
      <c r="W2176" s="16"/>
      <c r="X2176" s="16"/>
      <c r="Y2176" s="16"/>
    </row>
    <row r="2177" customFormat="false" ht="15.75" hidden="false" customHeight="false" outlineLevel="0" collapsed="false">
      <c r="A2177" s="9"/>
      <c r="B2177" s="10"/>
      <c r="C2177" s="10"/>
      <c r="D2177" s="10"/>
      <c r="E2177" s="10"/>
      <c r="F2177" s="10"/>
      <c r="G2177" s="10"/>
      <c r="H2177" s="10"/>
      <c r="I2177" s="25" t="n">
        <v>4</v>
      </c>
      <c r="J2177" s="25"/>
      <c r="K2177" s="26"/>
      <c r="L2177" s="26"/>
      <c r="M2177" s="25"/>
      <c r="N2177" s="25"/>
      <c r="O2177" s="25"/>
      <c r="P2177" s="26"/>
      <c r="Q2177" s="26"/>
      <c r="R2177" s="25"/>
      <c r="S2177" s="25"/>
      <c r="T2177" s="25"/>
      <c r="U2177" s="27"/>
      <c r="V2177" s="21"/>
      <c r="W2177" s="16"/>
      <c r="X2177" s="16"/>
      <c r="Y2177" s="16"/>
    </row>
    <row r="2178" customFormat="false" ht="15.75" hidden="false" customHeight="false" outlineLevel="0" collapsed="false">
      <c r="A2178" s="9"/>
      <c r="B2178" s="10"/>
      <c r="C2178" s="11"/>
      <c r="D2178" s="10"/>
      <c r="E2178" s="10"/>
      <c r="F2178" s="10"/>
      <c r="G2178" s="10"/>
      <c r="H2178" s="10"/>
      <c r="I2178" s="12" t="n">
        <v>1</v>
      </c>
      <c r="J2178" s="12"/>
      <c r="K2178" s="13"/>
      <c r="L2178" s="13"/>
      <c r="M2178" s="12"/>
      <c r="N2178" s="12"/>
      <c r="O2178" s="12"/>
      <c r="P2178" s="13"/>
      <c r="Q2178" s="13"/>
      <c r="R2178" s="12"/>
      <c r="S2178" s="12"/>
      <c r="T2178" s="12"/>
      <c r="U2178" s="14"/>
      <c r="V2178" s="15"/>
      <c r="W2178" s="16" t="n">
        <f aca="false">A2178</f>
        <v>0</v>
      </c>
      <c r="X2178" s="17" t="e">
        <f aca="false">ifs(C2178="","",X2178="",NOW(),TRUE(),X2178)</f>
        <v>#VALUE!</v>
      </c>
      <c r="Y2178" s="17" t="e">
        <f aca="false">ifs(COUNTA(K2178:U2181)&lt;44,"",Y2178="",NOW(),TRUE(),Y2178)</f>
        <v>#VALUE!</v>
      </c>
    </row>
    <row r="2179" customFormat="false" ht="15.75" hidden="false" customHeight="false" outlineLevel="0" collapsed="false">
      <c r="A2179" s="9"/>
      <c r="B2179" s="10"/>
      <c r="C2179" s="10"/>
      <c r="D2179" s="10"/>
      <c r="E2179" s="10"/>
      <c r="F2179" s="10"/>
      <c r="G2179" s="10"/>
      <c r="H2179" s="10"/>
      <c r="I2179" s="18" t="n">
        <v>2</v>
      </c>
      <c r="J2179" s="18"/>
      <c r="K2179" s="19"/>
      <c r="L2179" s="19"/>
      <c r="M2179" s="18"/>
      <c r="N2179" s="18"/>
      <c r="O2179" s="18"/>
      <c r="P2179" s="19"/>
      <c r="Q2179" s="19"/>
      <c r="R2179" s="18"/>
      <c r="S2179" s="18"/>
      <c r="T2179" s="18"/>
      <c r="U2179" s="20"/>
      <c r="V2179" s="21"/>
      <c r="W2179" s="16"/>
      <c r="X2179" s="16"/>
      <c r="Y2179" s="16"/>
    </row>
    <row r="2180" customFormat="false" ht="15.75" hidden="false" customHeight="false" outlineLevel="0" collapsed="false">
      <c r="A2180" s="9"/>
      <c r="B2180" s="10"/>
      <c r="C2180" s="10"/>
      <c r="D2180" s="10"/>
      <c r="E2180" s="10"/>
      <c r="F2180" s="10"/>
      <c r="G2180" s="10"/>
      <c r="H2180" s="10"/>
      <c r="I2180" s="22" t="n">
        <v>3</v>
      </c>
      <c r="J2180" s="22"/>
      <c r="K2180" s="23"/>
      <c r="L2180" s="23"/>
      <c r="M2180" s="22"/>
      <c r="N2180" s="22"/>
      <c r="O2180" s="22"/>
      <c r="P2180" s="23"/>
      <c r="Q2180" s="23"/>
      <c r="R2180" s="22"/>
      <c r="S2180" s="22"/>
      <c r="T2180" s="22"/>
      <c r="U2180" s="24"/>
      <c r="V2180" s="15"/>
      <c r="W2180" s="16"/>
      <c r="X2180" s="16"/>
      <c r="Y2180" s="16"/>
    </row>
    <row r="2181" customFormat="false" ht="15.75" hidden="false" customHeight="false" outlineLevel="0" collapsed="false">
      <c r="A2181" s="9"/>
      <c r="B2181" s="10"/>
      <c r="C2181" s="10"/>
      <c r="D2181" s="10"/>
      <c r="E2181" s="10"/>
      <c r="F2181" s="10"/>
      <c r="G2181" s="10"/>
      <c r="H2181" s="10"/>
      <c r="I2181" s="25" t="n">
        <v>4</v>
      </c>
      <c r="J2181" s="25"/>
      <c r="K2181" s="26"/>
      <c r="L2181" s="26"/>
      <c r="M2181" s="25"/>
      <c r="N2181" s="25"/>
      <c r="O2181" s="25"/>
      <c r="P2181" s="26"/>
      <c r="Q2181" s="26"/>
      <c r="R2181" s="25"/>
      <c r="S2181" s="25"/>
      <c r="T2181" s="25"/>
      <c r="U2181" s="27"/>
      <c r="V2181" s="21"/>
      <c r="W2181" s="16"/>
      <c r="X2181" s="16"/>
      <c r="Y2181" s="16"/>
    </row>
    <row r="2182" customFormat="false" ht="15.75" hidden="false" customHeight="false" outlineLevel="0" collapsed="false">
      <c r="A2182" s="9"/>
      <c r="B2182" s="10"/>
      <c r="C2182" s="11"/>
      <c r="D2182" s="10"/>
      <c r="E2182" s="10"/>
      <c r="F2182" s="10"/>
      <c r="G2182" s="10"/>
      <c r="H2182" s="10"/>
      <c r="I2182" s="12" t="n">
        <v>1</v>
      </c>
      <c r="J2182" s="12"/>
      <c r="K2182" s="13"/>
      <c r="L2182" s="13"/>
      <c r="M2182" s="12"/>
      <c r="N2182" s="12"/>
      <c r="O2182" s="12"/>
      <c r="P2182" s="13"/>
      <c r="Q2182" s="13"/>
      <c r="R2182" s="12"/>
      <c r="S2182" s="12"/>
      <c r="T2182" s="12"/>
      <c r="U2182" s="14"/>
      <c r="V2182" s="15"/>
      <c r="W2182" s="16" t="n">
        <f aca="false">A2182</f>
        <v>0</v>
      </c>
      <c r="X2182" s="17" t="e">
        <f aca="false">ifs(C2182="","",X2182="",NOW(),TRUE(),X2182)</f>
        <v>#VALUE!</v>
      </c>
      <c r="Y2182" s="17" t="e">
        <f aca="false">ifs(COUNTA(K2182:U2185)&lt;44,"",Y2182="",NOW(),TRUE(),Y2182)</f>
        <v>#VALUE!</v>
      </c>
    </row>
    <row r="2183" customFormat="false" ht="15.75" hidden="false" customHeight="false" outlineLevel="0" collapsed="false">
      <c r="A2183" s="9"/>
      <c r="B2183" s="10"/>
      <c r="C2183" s="10"/>
      <c r="D2183" s="10"/>
      <c r="E2183" s="10"/>
      <c r="F2183" s="10"/>
      <c r="G2183" s="10"/>
      <c r="H2183" s="10"/>
      <c r="I2183" s="18" t="n">
        <v>2</v>
      </c>
      <c r="J2183" s="18"/>
      <c r="K2183" s="19"/>
      <c r="L2183" s="19"/>
      <c r="M2183" s="18"/>
      <c r="N2183" s="18"/>
      <c r="O2183" s="18"/>
      <c r="P2183" s="19"/>
      <c r="Q2183" s="19"/>
      <c r="R2183" s="18"/>
      <c r="S2183" s="18"/>
      <c r="T2183" s="18"/>
      <c r="U2183" s="20"/>
      <c r="V2183" s="21"/>
      <c r="W2183" s="16"/>
      <c r="X2183" s="16"/>
      <c r="Y2183" s="16"/>
    </row>
    <row r="2184" customFormat="false" ht="15.75" hidden="false" customHeight="false" outlineLevel="0" collapsed="false">
      <c r="A2184" s="9"/>
      <c r="B2184" s="10"/>
      <c r="C2184" s="10"/>
      <c r="D2184" s="10"/>
      <c r="E2184" s="10"/>
      <c r="F2184" s="10"/>
      <c r="G2184" s="10"/>
      <c r="H2184" s="10"/>
      <c r="I2184" s="22" t="n">
        <v>3</v>
      </c>
      <c r="J2184" s="22"/>
      <c r="K2184" s="23"/>
      <c r="L2184" s="23"/>
      <c r="M2184" s="22"/>
      <c r="N2184" s="22"/>
      <c r="O2184" s="22"/>
      <c r="P2184" s="23"/>
      <c r="Q2184" s="23"/>
      <c r="R2184" s="22"/>
      <c r="S2184" s="22"/>
      <c r="T2184" s="22"/>
      <c r="U2184" s="24"/>
      <c r="V2184" s="15"/>
      <c r="W2184" s="16"/>
      <c r="X2184" s="16"/>
      <c r="Y2184" s="16"/>
    </row>
    <row r="2185" customFormat="false" ht="15.75" hidden="false" customHeight="false" outlineLevel="0" collapsed="false">
      <c r="A2185" s="9"/>
      <c r="B2185" s="10"/>
      <c r="C2185" s="10"/>
      <c r="D2185" s="10"/>
      <c r="E2185" s="10"/>
      <c r="F2185" s="10"/>
      <c r="G2185" s="10"/>
      <c r="H2185" s="10"/>
      <c r="I2185" s="25" t="n">
        <v>4</v>
      </c>
      <c r="J2185" s="25"/>
      <c r="K2185" s="26"/>
      <c r="L2185" s="26"/>
      <c r="M2185" s="25"/>
      <c r="N2185" s="25"/>
      <c r="O2185" s="25"/>
      <c r="P2185" s="26"/>
      <c r="Q2185" s="26"/>
      <c r="R2185" s="25"/>
      <c r="S2185" s="25"/>
      <c r="T2185" s="25"/>
      <c r="U2185" s="27"/>
      <c r="V2185" s="21"/>
      <c r="W2185" s="16"/>
      <c r="X2185" s="16"/>
      <c r="Y2185" s="16"/>
    </row>
    <row r="2186" customFormat="false" ht="15.75" hidden="false" customHeight="false" outlineLevel="0" collapsed="false">
      <c r="A2186" s="9"/>
      <c r="B2186" s="10"/>
      <c r="C2186" s="11"/>
      <c r="D2186" s="10"/>
      <c r="E2186" s="10"/>
      <c r="F2186" s="10"/>
      <c r="G2186" s="10"/>
      <c r="H2186" s="10"/>
      <c r="I2186" s="12" t="n">
        <v>1</v>
      </c>
      <c r="J2186" s="12"/>
      <c r="K2186" s="13"/>
      <c r="L2186" s="13"/>
      <c r="M2186" s="12"/>
      <c r="N2186" s="12"/>
      <c r="O2186" s="12"/>
      <c r="P2186" s="13"/>
      <c r="Q2186" s="13"/>
      <c r="R2186" s="12"/>
      <c r="S2186" s="12"/>
      <c r="T2186" s="12"/>
      <c r="U2186" s="14"/>
      <c r="V2186" s="15"/>
      <c r="W2186" s="16" t="n">
        <f aca="false">A2186</f>
        <v>0</v>
      </c>
      <c r="X2186" s="17" t="e">
        <f aca="false">ifs(C2186="","",X2186="",NOW(),TRUE(),X2186)</f>
        <v>#VALUE!</v>
      </c>
      <c r="Y2186" s="17" t="e">
        <f aca="false">ifs(COUNTA(K2186:U2189)&lt;44,"",Y2186="",NOW(),TRUE(),Y2186)</f>
        <v>#VALUE!</v>
      </c>
    </row>
    <row r="2187" customFormat="false" ht="15.75" hidden="false" customHeight="false" outlineLevel="0" collapsed="false">
      <c r="A2187" s="9"/>
      <c r="B2187" s="10"/>
      <c r="C2187" s="10"/>
      <c r="D2187" s="10"/>
      <c r="E2187" s="10"/>
      <c r="F2187" s="10"/>
      <c r="G2187" s="10"/>
      <c r="H2187" s="10"/>
      <c r="I2187" s="18" t="n">
        <v>2</v>
      </c>
      <c r="J2187" s="18"/>
      <c r="K2187" s="19"/>
      <c r="L2187" s="19"/>
      <c r="M2187" s="18"/>
      <c r="N2187" s="18"/>
      <c r="O2187" s="18"/>
      <c r="P2187" s="19"/>
      <c r="Q2187" s="19"/>
      <c r="R2187" s="18"/>
      <c r="S2187" s="18"/>
      <c r="T2187" s="18"/>
      <c r="U2187" s="20"/>
      <c r="V2187" s="21"/>
      <c r="W2187" s="16"/>
      <c r="X2187" s="16"/>
      <c r="Y2187" s="16"/>
    </row>
    <row r="2188" customFormat="false" ht="15.75" hidden="false" customHeight="false" outlineLevel="0" collapsed="false">
      <c r="A2188" s="9"/>
      <c r="B2188" s="10"/>
      <c r="C2188" s="10"/>
      <c r="D2188" s="10"/>
      <c r="E2188" s="10"/>
      <c r="F2188" s="10"/>
      <c r="G2188" s="10"/>
      <c r="H2188" s="10"/>
      <c r="I2188" s="22" t="n">
        <v>3</v>
      </c>
      <c r="J2188" s="22"/>
      <c r="K2188" s="23"/>
      <c r="L2188" s="23"/>
      <c r="M2188" s="22"/>
      <c r="N2188" s="22"/>
      <c r="O2188" s="22"/>
      <c r="P2188" s="23"/>
      <c r="Q2188" s="23"/>
      <c r="R2188" s="22"/>
      <c r="S2188" s="22"/>
      <c r="T2188" s="22"/>
      <c r="U2188" s="24"/>
      <c r="V2188" s="15"/>
      <c r="W2188" s="16"/>
      <c r="X2188" s="16"/>
      <c r="Y2188" s="16"/>
    </row>
    <row r="2189" customFormat="false" ht="15.75" hidden="false" customHeight="false" outlineLevel="0" collapsed="false">
      <c r="A2189" s="9"/>
      <c r="B2189" s="10"/>
      <c r="C2189" s="10"/>
      <c r="D2189" s="10"/>
      <c r="E2189" s="10"/>
      <c r="F2189" s="10"/>
      <c r="G2189" s="10"/>
      <c r="H2189" s="10"/>
      <c r="I2189" s="25" t="n">
        <v>4</v>
      </c>
      <c r="J2189" s="25"/>
      <c r="K2189" s="26"/>
      <c r="L2189" s="26"/>
      <c r="M2189" s="25"/>
      <c r="N2189" s="25"/>
      <c r="O2189" s="25"/>
      <c r="P2189" s="26"/>
      <c r="Q2189" s="26"/>
      <c r="R2189" s="25"/>
      <c r="S2189" s="25"/>
      <c r="T2189" s="25"/>
      <c r="U2189" s="27"/>
      <c r="V2189" s="21"/>
      <c r="W2189" s="16"/>
      <c r="X2189" s="16"/>
      <c r="Y2189" s="16"/>
    </row>
    <row r="2190" customFormat="false" ht="15.75" hidden="false" customHeight="false" outlineLevel="0" collapsed="false">
      <c r="A2190" s="9"/>
      <c r="B2190" s="10"/>
      <c r="C2190" s="11"/>
      <c r="D2190" s="10"/>
      <c r="E2190" s="10"/>
      <c r="F2190" s="10"/>
      <c r="G2190" s="10"/>
      <c r="H2190" s="10"/>
      <c r="I2190" s="12" t="n">
        <v>1</v>
      </c>
      <c r="J2190" s="12"/>
      <c r="K2190" s="13"/>
      <c r="L2190" s="13"/>
      <c r="M2190" s="12"/>
      <c r="N2190" s="12"/>
      <c r="O2190" s="12"/>
      <c r="P2190" s="13"/>
      <c r="Q2190" s="13"/>
      <c r="R2190" s="12"/>
      <c r="S2190" s="12"/>
      <c r="T2190" s="12"/>
      <c r="U2190" s="14"/>
      <c r="V2190" s="15"/>
      <c r="W2190" s="16" t="n">
        <f aca="false">A2190</f>
        <v>0</v>
      </c>
      <c r="X2190" s="17" t="e">
        <f aca="false">ifs(C2190="","",X2190="",NOW(),TRUE(),X2190)</f>
        <v>#VALUE!</v>
      </c>
      <c r="Y2190" s="17" t="e">
        <f aca="false">ifs(COUNTA(K2190:U2193)&lt;44,"",Y2190="",NOW(),TRUE(),Y2190)</f>
        <v>#VALUE!</v>
      </c>
    </row>
    <row r="2191" customFormat="false" ht="15.75" hidden="false" customHeight="false" outlineLevel="0" collapsed="false">
      <c r="A2191" s="9"/>
      <c r="B2191" s="10"/>
      <c r="C2191" s="10"/>
      <c r="D2191" s="10"/>
      <c r="E2191" s="10"/>
      <c r="F2191" s="10"/>
      <c r="G2191" s="10"/>
      <c r="H2191" s="10"/>
      <c r="I2191" s="18" t="n">
        <v>2</v>
      </c>
      <c r="J2191" s="18"/>
      <c r="K2191" s="19"/>
      <c r="L2191" s="19"/>
      <c r="M2191" s="18"/>
      <c r="N2191" s="18"/>
      <c r="O2191" s="18"/>
      <c r="P2191" s="19"/>
      <c r="Q2191" s="19"/>
      <c r="R2191" s="18"/>
      <c r="S2191" s="18"/>
      <c r="T2191" s="18"/>
      <c r="U2191" s="20"/>
      <c r="V2191" s="21"/>
      <c r="W2191" s="16"/>
      <c r="X2191" s="16"/>
      <c r="Y2191" s="16"/>
    </row>
    <row r="2192" customFormat="false" ht="15.75" hidden="false" customHeight="false" outlineLevel="0" collapsed="false">
      <c r="A2192" s="9"/>
      <c r="B2192" s="10"/>
      <c r="C2192" s="10"/>
      <c r="D2192" s="10"/>
      <c r="E2192" s="10"/>
      <c r="F2192" s="10"/>
      <c r="G2192" s="10"/>
      <c r="H2192" s="10"/>
      <c r="I2192" s="22" t="n">
        <v>3</v>
      </c>
      <c r="J2192" s="22"/>
      <c r="K2192" s="23"/>
      <c r="L2192" s="23"/>
      <c r="M2192" s="22"/>
      <c r="N2192" s="22"/>
      <c r="O2192" s="22"/>
      <c r="P2192" s="23"/>
      <c r="Q2192" s="23"/>
      <c r="R2192" s="22"/>
      <c r="S2192" s="22"/>
      <c r="T2192" s="22"/>
      <c r="U2192" s="24"/>
      <c r="V2192" s="15"/>
      <c r="W2192" s="16"/>
      <c r="X2192" s="16"/>
      <c r="Y2192" s="16"/>
    </row>
    <row r="2193" customFormat="false" ht="15.75" hidden="false" customHeight="false" outlineLevel="0" collapsed="false">
      <c r="A2193" s="9"/>
      <c r="B2193" s="10"/>
      <c r="C2193" s="10"/>
      <c r="D2193" s="10"/>
      <c r="E2193" s="10"/>
      <c r="F2193" s="10"/>
      <c r="G2193" s="10"/>
      <c r="H2193" s="10"/>
      <c r="I2193" s="25" t="n">
        <v>4</v>
      </c>
      <c r="J2193" s="25"/>
      <c r="K2193" s="26"/>
      <c r="L2193" s="26"/>
      <c r="M2193" s="25"/>
      <c r="N2193" s="25"/>
      <c r="O2193" s="25"/>
      <c r="P2193" s="26"/>
      <c r="Q2193" s="26"/>
      <c r="R2193" s="25"/>
      <c r="S2193" s="25"/>
      <c r="T2193" s="25"/>
      <c r="U2193" s="27"/>
      <c r="V2193" s="21"/>
      <c r="W2193" s="16"/>
      <c r="X2193" s="16"/>
      <c r="Y2193" s="16"/>
    </row>
    <row r="2194" customFormat="false" ht="15.75" hidden="false" customHeight="false" outlineLevel="0" collapsed="false">
      <c r="A2194" s="9"/>
      <c r="B2194" s="10"/>
      <c r="C2194" s="11"/>
      <c r="D2194" s="10"/>
      <c r="E2194" s="10"/>
      <c r="F2194" s="10"/>
      <c r="G2194" s="10"/>
      <c r="H2194" s="10"/>
      <c r="I2194" s="12" t="n">
        <v>1</v>
      </c>
      <c r="J2194" s="12"/>
      <c r="K2194" s="13"/>
      <c r="L2194" s="13"/>
      <c r="M2194" s="12"/>
      <c r="N2194" s="12"/>
      <c r="O2194" s="12"/>
      <c r="P2194" s="13"/>
      <c r="Q2194" s="13"/>
      <c r="R2194" s="12"/>
      <c r="S2194" s="12"/>
      <c r="T2194" s="12"/>
      <c r="U2194" s="14"/>
      <c r="V2194" s="15"/>
      <c r="W2194" s="16" t="n">
        <f aca="false">A2194</f>
        <v>0</v>
      </c>
      <c r="X2194" s="17" t="e">
        <f aca="false">ifs(C2194="","",X2194="",NOW(),TRUE(),X2194)</f>
        <v>#VALUE!</v>
      </c>
      <c r="Y2194" s="17" t="e">
        <f aca="false">ifs(COUNTA(K2194:U2197)&lt;44,"",Y2194="",NOW(),TRUE(),Y2194)</f>
        <v>#VALUE!</v>
      </c>
    </row>
    <row r="2195" customFormat="false" ht="15.75" hidden="false" customHeight="false" outlineLevel="0" collapsed="false">
      <c r="A2195" s="9"/>
      <c r="B2195" s="10"/>
      <c r="C2195" s="10"/>
      <c r="D2195" s="10"/>
      <c r="E2195" s="10"/>
      <c r="F2195" s="10"/>
      <c r="G2195" s="10"/>
      <c r="H2195" s="10"/>
      <c r="I2195" s="18" t="n">
        <v>2</v>
      </c>
      <c r="J2195" s="18"/>
      <c r="K2195" s="19"/>
      <c r="L2195" s="19"/>
      <c r="M2195" s="18"/>
      <c r="N2195" s="18"/>
      <c r="O2195" s="18"/>
      <c r="P2195" s="19"/>
      <c r="Q2195" s="19"/>
      <c r="R2195" s="18"/>
      <c r="S2195" s="18"/>
      <c r="T2195" s="18"/>
      <c r="U2195" s="20"/>
      <c r="V2195" s="21"/>
      <c r="W2195" s="16"/>
      <c r="X2195" s="16"/>
      <c r="Y2195" s="16"/>
    </row>
    <row r="2196" customFormat="false" ht="15.75" hidden="false" customHeight="false" outlineLevel="0" collapsed="false">
      <c r="A2196" s="9"/>
      <c r="B2196" s="10"/>
      <c r="C2196" s="10"/>
      <c r="D2196" s="10"/>
      <c r="E2196" s="10"/>
      <c r="F2196" s="10"/>
      <c r="G2196" s="10"/>
      <c r="H2196" s="10"/>
      <c r="I2196" s="22" t="n">
        <v>3</v>
      </c>
      <c r="J2196" s="22"/>
      <c r="K2196" s="23"/>
      <c r="L2196" s="23"/>
      <c r="M2196" s="22"/>
      <c r="N2196" s="22"/>
      <c r="O2196" s="22"/>
      <c r="P2196" s="23"/>
      <c r="Q2196" s="23"/>
      <c r="R2196" s="22"/>
      <c r="S2196" s="22"/>
      <c r="T2196" s="22"/>
      <c r="U2196" s="24"/>
      <c r="V2196" s="15"/>
      <c r="W2196" s="16"/>
      <c r="X2196" s="16"/>
      <c r="Y2196" s="16"/>
    </row>
    <row r="2197" customFormat="false" ht="15.75" hidden="false" customHeight="false" outlineLevel="0" collapsed="false">
      <c r="A2197" s="9"/>
      <c r="B2197" s="10"/>
      <c r="C2197" s="10"/>
      <c r="D2197" s="10"/>
      <c r="E2197" s="10"/>
      <c r="F2197" s="10"/>
      <c r="G2197" s="10"/>
      <c r="H2197" s="10"/>
      <c r="I2197" s="25" t="n">
        <v>4</v>
      </c>
      <c r="J2197" s="25"/>
      <c r="K2197" s="26"/>
      <c r="L2197" s="26"/>
      <c r="M2197" s="25"/>
      <c r="N2197" s="25"/>
      <c r="O2197" s="25"/>
      <c r="P2197" s="26"/>
      <c r="Q2197" s="26"/>
      <c r="R2197" s="25"/>
      <c r="S2197" s="25"/>
      <c r="T2197" s="25"/>
      <c r="U2197" s="27"/>
      <c r="V2197" s="21"/>
      <c r="W2197" s="16"/>
      <c r="X2197" s="16"/>
      <c r="Y2197" s="16"/>
    </row>
    <row r="2198" customFormat="false" ht="15.75" hidden="false" customHeight="false" outlineLevel="0" collapsed="false">
      <c r="A2198" s="9"/>
      <c r="B2198" s="10"/>
      <c r="C2198" s="11"/>
      <c r="D2198" s="10"/>
      <c r="E2198" s="10"/>
      <c r="F2198" s="10"/>
      <c r="G2198" s="10"/>
      <c r="H2198" s="10"/>
      <c r="I2198" s="12" t="n">
        <v>1</v>
      </c>
      <c r="J2198" s="12"/>
      <c r="K2198" s="13"/>
      <c r="L2198" s="13"/>
      <c r="M2198" s="12"/>
      <c r="N2198" s="12"/>
      <c r="O2198" s="12"/>
      <c r="P2198" s="13"/>
      <c r="Q2198" s="13"/>
      <c r="R2198" s="12"/>
      <c r="S2198" s="12"/>
      <c r="T2198" s="12"/>
      <c r="U2198" s="14"/>
      <c r="V2198" s="15"/>
      <c r="W2198" s="16" t="n">
        <f aca="false">A2198</f>
        <v>0</v>
      </c>
      <c r="X2198" s="17" t="e">
        <f aca="false">ifs(C2198="","",X2198="",NOW(),TRUE(),X2198)</f>
        <v>#VALUE!</v>
      </c>
      <c r="Y2198" s="17" t="e">
        <f aca="false">ifs(COUNTA(K2198:U2201)&lt;44,"",Y2198="",NOW(),TRUE(),Y2198)</f>
        <v>#VALUE!</v>
      </c>
    </row>
    <row r="2199" customFormat="false" ht="15.75" hidden="false" customHeight="false" outlineLevel="0" collapsed="false">
      <c r="A2199" s="9"/>
      <c r="B2199" s="10"/>
      <c r="C2199" s="10"/>
      <c r="D2199" s="10"/>
      <c r="E2199" s="10"/>
      <c r="F2199" s="10"/>
      <c r="G2199" s="10"/>
      <c r="H2199" s="10"/>
      <c r="I2199" s="18" t="n">
        <v>2</v>
      </c>
      <c r="J2199" s="18"/>
      <c r="K2199" s="19"/>
      <c r="L2199" s="19"/>
      <c r="M2199" s="18"/>
      <c r="N2199" s="18"/>
      <c r="O2199" s="18"/>
      <c r="P2199" s="19"/>
      <c r="Q2199" s="19"/>
      <c r="R2199" s="18"/>
      <c r="S2199" s="18"/>
      <c r="T2199" s="18"/>
      <c r="U2199" s="20"/>
      <c r="V2199" s="21"/>
      <c r="W2199" s="16"/>
      <c r="X2199" s="16"/>
      <c r="Y2199" s="16"/>
    </row>
    <row r="2200" customFormat="false" ht="15.75" hidden="false" customHeight="false" outlineLevel="0" collapsed="false">
      <c r="A2200" s="9"/>
      <c r="B2200" s="10"/>
      <c r="C2200" s="10"/>
      <c r="D2200" s="10"/>
      <c r="E2200" s="10"/>
      <c r="F2200" s="10"/>
      <c r="G2200" s="10"/>
      <c r="H2200" s="10"/>
      <c r="I2200" s="22" t="n">
        <v>3</v>
      </c>
      <c r="J2200" s="22"/>
      <c r="K2200" s="23"/>
      <c r="L2200" s="23"/>
      <c r="M2200" s="22"/>
      <c r="N2200" s="22"/>
      <c r="O2200" s="22"/>
      <c r="P2200" s="23"/>
      <c r="Q2200" s="23"/>
      <c r="R2200" s="22"/>
      <c r="S2200" s="22"/>
      <c r="T2200" s="22"/>
      <c r="U2200" s="24"/>
      <c r="V2200" s="15"/>
      <c r="W2200" s="16"/>
      <c r="X2200" s="16"/>
      <c r="Y2200" s="16"/>
    </row>
    <row r="2201" customFormat="false" ht="15.75" hidden="false" customHeight="false" outlineLevel="0" collapsed="false">
      <c r="A2201" s="9"/>
      <c r="B2201" s="10"/>
      <c r="C2201" s="10"/>
      <c r="D2201" s="10"/>
      <c r="E2201" s="10"/>
      <c r="F2201" s="10"/>
      <c r="G2201" s="10"/>
      <c r="H2201" s="10"/>
      <c r="I2201" s="25" t="n">
        <v>4</v>
      </c>
      <c r="J2201" s="25"/>
      <c r="K2201" s="26"/>
      <c r="L2201" s="26"/>
      <c r="M2201" s="25"/>
      <c r="N2201" s="25"/>
      <c r="O2201" s="25"/>
      <c r="P2201" s="26"/>
      <c r="Q2201" s="26"/>
      <c r="R2201" s="25"/>
      <c r="S2201" s="25"/>
      <c r="T2201" s="25"/>
      <c r="U2201" s="27"/>
      <c r="V2201" s="21"/>
      <c r="W2201" s="16"/>
      <c r="X2201" s="16"/>
      <c r="Y2201" s="16"/>
    </row>
    <row r="2202" customFormat="false" ht="15.75" hidden="false" customHeight="false" outlineLevel="0" collapsed="false">
      <c r="A2202" s="9"/>
      <c r="B2202" s="10"/>
      <c r="C2202" s="11"/>
      <c r="D2202" s="10"/>
      <c r="E2202" s="10"/>
      <c r="F2202" s="10"/>
      <c r="G2202" s="10"/>
      <c r="H2202" s="10"/>
      <c r="I2202" s="12" t="n">
        <v>1</v>
      </c>
      <c r="J2202" s="12"/>
      <c r="K2202" s="13"/>
      <c r="L2202" s="13"/>
      <c r="M2202" s="12"/>
      <c r="N2202" s="12"/>
      <c r="O2202" s="12"/>
      <c r="P2202" s="13"/>
      <c r="Q2202" s="13"/>
      <c r="R2202" s="12"/>
      <c r="S2202" s="12"/>
      <c r="T2202" s="12"/>
      <c r="U2202" s="14"/>
      <c r="V2202" s="15"/>
      <c r="W2202" s="16" t="n">
        <f aca="false">A2202</f>
        <v>0</v>
      </c>
      <c r="X2202" s="17" t="e">
        <f aca="false">ifs(C2202="","",X2202="",NOW(),TRUE(),X2202)</f>
        <v>#VALUE!</v>
      </c>
      <c r="Y2202" s="17" t="e">
        <f aca="false">ifs(COUNTA(K2202:U2205)&lt;44,"",Y2202="",NOW(),TRUE(),Y2202)</f>
        <v>#VALUE!</v>
      </c>
    </row>
    <row r="2203" customFormat="false" ht="15.75" hidden="false" customHeight="false" outlineLevel="0" collapsed="false">
      <c r="A2203" s="9"/>
      <c r="B2203" s="10"/>
      <c r="C2203" s="10"/>
      <c r="D2203" s="10"/>
      <c r="E2203" s="10"/>
      <c r="F2203" s="10"/>
      <c r="G2203" s="10"/>
      <c r="H2203" s="10"/>
      <c r="I2203" s="18" t="n">
        <v>2</v>
      </c>
      <c r="J2203" s="18"/>
      <c r="K2203" s="19"/>
      <c r="L2203" s="19"/>
      <c r="M2203" s="18"/>
      <c r="N2203" s="18"/>
      <c r="O2203" s="18"/>
      <c r="P2203" s="19"/>
      <c r="Q2203" s="19"/>
      <c r="R2203" s="18"/>
      <c r="S2203" s="18"/>
      <c r="T2203" s="18"/>
      <c r="U2203" s="20"/>
      <c r="V2203" s="21"/>
      <c r="W2203" s="16"/>
      <c r="X2203" s="16"/>
      <c r="Y2203" s="16"/>
    </row>
    <row r="2204" customFormat="false" ht="15.75" hidden="false" customHeight="false" outlineLevel="0" collapsed="false">
      <c r="A2204" s="9"/>
      <c r="B2204" s="10"/>
      <c r="C2204" s="10"/>
      <c r="D2204" s="10"/>
      <c r="E2204" s="10"/>
      <c r="F2204" s="10"/>
      <c r="G2204" s="10"/>
      <c r="H2204" s="10"/>
      <c r="I2204" s="22" t="n">
        <v>3</v>
      </c>
      <c r="J2204" s="22"/>
      <c r="K2204" s="23"/>
      <c r="L2204" s="23"/>
      <c r="M2204" s="22"/>
      <c r="N2204" s="22"/>
      <c r="O2204" s="22"/>
      <c r="P2204" s="23"/>
      <c r="Q2204" s="23"/>
      <c r="R2204" s="22"/>
      <c r="S2204" s="22"/>
      <c r="T2204" s="22"/>
      <c r="U2204" s="24"/>
      <c r="V2204" s="15"/>
      <c r="W2204" s="16"/>
      <c r="X2204" s="16"/>
      <c r="Y2204" s="16"/>
    </row>
    <row r="2205" customFormat="false" ht="15.75" hidden="false" customHeight="false" outlineLevel="0" collapsed="false">
      <c r="A2205" s="9"/>
      <c r="B2205" s="10"/>
      <c r="C2205" s="10"/>
      <c r="D2205" s="10"/>
      <c r="E2205" s="10"/>
      <c r="F2205" s="10"/>
      <c r="G2205" s="10"/>
      <c r="H2205" s="10"/>
      <c r="I2205" s="25" t="n">
        <v>4</v>
      </c>
      <c r="J2205" s="25"/>
      <c r="K2205" s="26"/>
      <c r="L2205" s="26"/>
      <c r="M2205" s="25"/>
      <c r="N2205" s="25"/>
      <c r="O2205" s="25"/>
      <c r="P2205" s="26"/>
      <c r="Q2205" s="26"/>
      <c r="R2205" s="25"/>
      <c r="S2205" s="25"/>
      <c r="T2205" s="25"/>
      <c r="U2205" s="27"/>
      <c r="V2205" s="21"/>
      <c r="W2205" s="16"/>
      <c r="X2205" s="16"/>
      <c r="Y2205" s="16"/>
    </row>
    <row r="2206" customFormat="false" ht="15.75" hidden="false" customHeight="false" outlineLevel="0" collapsed="false">
      <c r="A2206" s="9"/>
      <c r="B2206" s="10"/>
      <c r="C2206" s="11"/>
      <c r="D2206" s="10"/>
      <c r="E2206" s="10"/>
      <c r="F2206" s="10"/>
      <c r="G2206" s="10"/>
      <c r="H2206" s="10"/>
      <c r="I2206" s="12" t="n">
        <v>1</v>
      </c>
      <c r="J2206" s="12"/>
      <c r="K2206" s="13"/>
      <c r="L2206" s="13"/>
      <c r="M2206" s="12"/>
      <c r="N2206" s="12"/>
      <c r="O2206" s="12"/>
      <c r="P2206" s="13"/>
      <c r="Q2206" s="13"/>
      <c r="R2206" s="12"/>
      <c r="S2206" s="12"/>
      <c r="T2206" s="12"/>
      <c r="U2206" s="14"/>
      <c r="V2206" s="15"/>
      <c r="W2206" s="16" t="n">
        <f aca="false">A2206</f>
        <v>0</v>
      </c>
      <c r="X2206" s="17" t="e">
        <f aca="false">ifs(C2206="","",X2206="",NOW(),TRUE(),X2206)</f>
        <v>#VALUE!</v>
      </c>
      <c r="Y2206" s="17" t="e">
        <f aca="false">ifs(COUNTA(K2206:U2209)&lt;44,"",Y2206="",NOW(),TRUE(),Y2206)</f>
        <v>#VALUE!</v>
      </c>
    </row>
    <row r="2207" customFormat="false" ht="15.75" hidden="false" customHeight="false" outlineLevel="0" collapsed="false">
      <c r="A2207" s="9"/>
      <c r="B2207" s="10"/>
      <c r="C2207" s="10"/>
      <c r="D2207" s="10"/>
      <c r="E2207" s="10"/>
      <c r="F2207" s="10"/>
      <c r="G2207" s="10"/>
      <c r="H2207" s="10"/>
      <c r="I2207" s="18" t="n">
        <v>2</v>
      </c>
      <c r="J2207" s="18"/>
      <c r="K2207" s="19"/>
      <c r="L2207" s="19"/>
      <c r="M2207" s="18"/>
      <c r="N2207" s="18"/>
      <c r="O2207" s="18"/>
      <c r="P2207" s="19"/>
      <c r="Q2207" s="19"/>
      <c r="R2207" s="18"/>
      <c r="S2207" s="18"/>
      <c r="T2207" s="18"/>
      <c r="U2207" s="20"/>
      <c r="V2207" s="21"/>
      <c r="W2207" s="16"/>
      <c r="X2207" s="16"/>
      <c r="Y2207" s="16"/>
    </row>
    <row r="2208" customFormat="false" ht="15.75" hidden="false" customHeight="false" outlineLevel="0" collapsed="false">
      <c r="A2208" s="9"/>
      <c r="B2208" s="10"/>
      <c r="C2208" s="10"/>
      <c r="D2208" s="10"/>
      <c r="E2208" s="10"/>
      <c r="F2208" s="10"/>
      <c r="G2208" s="10"/>
      <c r="H2208" s="10"/>
      <c r="I2208" s="22" t="n">
        <v>3</v>
      </c>
      <c r="J2208" s="22"/>
      <c r="K2208" s="23"/>
      <c r="L2208" s="23"/>
      <c r="M2208" s="22"/>
      <c r="N2208" s="22"/>
      <c r="O2208" s="22"/>
      <c r="P2208" s="23"/>
      <c r="Q2208" s="23"/>
      <c r="R2208" s="22"/>
      <c r="S2208" s="22"/>
      <c r="T2208" s="22"/>
      <c r="U2208" s="24"/>
      <c r="V2208" s="15"/>
      <c r="W2208" s="16"/>
      <c r="X2208" s="16"/>
      <c r="Y2208" s="16"/>
    </row>
    <row r="2209" customFormat="false" ht="15.75" hidden="false" customHeight="false" outlineLevel="0" collapsed="false">
      <c r="A2209" s="9"/>
      <c r="B2209" s="10"/>
      <c r="C2209" s="10"/>
      <c r="D2209" s="10"/>
      <c r="E2209" s="10"/>
      <c r="F2209" s="10"/>
      <c r="G2209" s="10"/>
      <c r="H2209" s="10"/>
      <c r="I2209" s="25" t="n">
        <v>4</v>
      </c>
      <c r="J2209" s="25"/>
      <c r="K2209" s="26"/>
      <c r="L2209" s="26"/>
      <c r="M2209" s="25"/>
      <c r="N2209" s="25"/>
      <c r="O2209" s="25"/>
      <c r="P2209" s="26"/>
      <c r="Q2209" s="26"/>
      <c r="R2209" s="25"/>
      <c r="S2209" s="25"/>
      <c r="T2209" s="25"/>
      <c r="U2209" s="27"/>
      <c r="V2209" s="21"/>
      <c r="W2209" s="16"/>
      <c r="X2209" s="16"/>
      <c r="Y2209" s="16"/>
    </row>
    <row r="2210" customFormat="false" ht="15.75" hidden="false" customHeight="false" outlineLevel="0" collapsed="false">
      <c r="A2210" s="9"/>
      <c r="B2210" s="10"/>
      <c r="C2210" s="11"/>
      <c r="D2210" s="10"/>
      <c r="E2210" s="10"/>
      <c r="F2210" s="10"/>
      <c r="G2210" s="10"/>
      <c r="H2210" s="10"/>
      <c r="I2210" s="12" t="n">
        <v>1</v>
      </c>
      <c r="J2210" s="12"/>
      <c r="K2210" s="13"/>
      <c r="L2210" s="13"/>
      <c r="M2210" s="12"/>
      <c r="N2210" s="12"/>
      <c r="O2210" s="12"/>
      <c r="P2210" s="13"/>
      <c r="Q2210" s="13"/>
      <c r="R2210" s="12"/>
      <c r="S2210" s="12"/>
      <c r="T2210" s="12"/>
      <c r="U2210" s="14"/>
      <c r="V2210" s="15"/>
      <c r="W2210" s="16" t="n">
        <f aca="false">A2210</f>
        <v>0</v>
      </c>
      <c r="X2210" s="17" t="e">
        <f aca="false">ifs(C2210="","",X2210="",NOW(),TRUE(),X2210)</f>
        <v>#VALUE!</v>
      </c>
      <c r="Y2210" s="17" t="e">
        <f aca="false">ifs(COUNTA(K2210:U2213)&lt;44,"",Y2210="",NOW(),TRUE(),Y2210)</f>
        <v>#VALUE!</v>
      </c>
    </row>
    <row r="2211" customFormat="false" ht="15.75" hidden="false" customHeight="false" outlineLevel="0" collapsed="false">
      <c r="A2211" s="9"/>
      <c r="B2211" s="10"/>
      <c r="C2211" s="10"/>
      <c r="D2211" s="10"/>
      <c r="E2211" s="10"/>
      <c r="F2211" s="10"/>
      <c r="G2211" s="10"/>
      <c r="H2211" s="10"/>
      <c r="I2211" s="18" t="n">
        <v>2</v>
      </c>
      <c r="J2211" s="18"/>
      <c r="K2211" s="19"/>
      <c r="L2211" s="19"/>
      <c r="M2211" s="18"/>
      <c r="N2211" s="18"/>
      <c r="O2211" s="18"/>
      <c r="P2211" s="19"/>
      <c r="Q2211" s="19"/>
      <c r="R2211" s="18"/>
      <c r="S2211" s="18"/>
      <c r="T2211" s="18"/>
      <c r="U2211" s="20"/>
      <c r="V2211" s="21"/>
      <c r="W2211" s="16"/>
      <c r="X2211" s="16"/>
      <c r="Y2211" s="16"/>
    </row>
    <row r="2212" customFormat="false" ht="15.75" hidden="false" customHeight="false" outlineLevel="0" collapsed="false">
      <c r="A2212" s="9"/>
      <c r="B2212" s="10"/>
      <c r="C2212" s="10"/>
      <c r="D2212" s="10"/>
      <c r="E2212" s="10"/>
      <c r="F2212" s="10"/>
      <c r="G2212" s="10"/>
      <c r="H2212" s="10"/>
      <c r="I2212" s="22" t="n">
        <v>3</v>
      </c>
      <c r="J2212" s="22"/>
      <c r="K2212" s="23"/>
      <c r="L2212" s="23"/>
      <c r="M2212" s="22"/>
      <c r="N2212" s="22"/>
      <c r="O2212" s="22"/>
      <c r="P2212" s="23"/>
      <c r="Q2212" s="23"/>
      <c r="R2212" s="22"/>
      <c r="S2212" s="22"/>
      <c r="T2212" s="22"/>
      <c r="U2212" s="24"/>
      <c r="V2212" s="15"/>
      <c r="W2212" s="16"/>
      <c r="X2212" s="16"/>
      <c r="Y2212" s="16"/>
    </row>
    <row r="2213" customFormat="false" ht="15.75" hidden="false" customHeight="false" outlineLevel="0" collapsed="false">
      <c r="A2213" s="9"/>
      <c r="B2213" s="10"/>
      <c r="C2213" s="10"/>
      <c r="D2213" s="10"/>
      <c r="E2213" s="10"/>
      <c r="F2213" s="10"/>
      <c r="G2213" s="10"/>
      <c r="H2213" s="10"/>
      <c r="I2213" s="25" t="n">
        <v>4</v>
      </c>
      <c r="J2213" s="25"/>
      <c r="K2213" s="26"/>
      <c r="L2213" s="26"/>
      <c r="M2213" s="25"/>
      <c r="N2213" s="25"/>
      <c r="O2213" s="25"/>
      <c r="P2213" s="26"/>
      <c r="Q2213" s="26"/>
      <c r="R2213" s="25"/>
      <c r="S2213" s="25"/>
      <c r="T2213" s="25"/>
      <c r="U2213" s="27"/>
      <c r="V2213" s="21"/>
      <c r="W2213" s="16"/>
      <c r="X2213" s="16"/>
      <c r="Y2213" s="16"/>
    </row>
    <row r="2214" customFormat="false" ht="15.75" hidden="false" customHeight="false" outlineLevel="0" collapsed="false">
      <c r="A2214" s="9"/>
      <c r="B2214" s="10"/>
      <c r="C2214" s="11"/>
      <c r="D2214" s="10"/>
      <c r="E2214" s="10"/>
      <c r="F2214" s="10"/>
      <c r="G2214" s="10"/>
      <c r="H2214" s="10"/>
      <c r="I2214" s="12" t="n">
        <v>1</v>
      </c>
      <c r="J2214" s="12"/>
      <c r="K2214" s="13"/>
      <c r="L2214" s="13"/>
      <c r="M2214" s="12"/>
      <c r="N2214" s="12"/>
      <c r="O2214" s="12"/>
      <c r="P2214" s="13"/>
      <c r="Q2214" s="13"/>
      <c r="R2214" s="12"/>
      <c r="S2214" s="12"/>
      <c r="T2214" s="12"/>
      <c r="U2214" s="14"/>
      <c r="V2214" s="15"/>
      <c r="W2214" s="16" t="n">
        <f aca="false">A2214</f>
        <v>0</v>
      </c>
      <c r="X2214" s="17" t="e">
        <f aca="false">ifs(C2214="","",X2214="",NOW(),TRUE(),X2214)</f>
        <v>#VALUE!</v>
      </c>
      <c r="Y2214" s="17" t="e">
        <f aca="false">ifs(COUNTA(K2214:U2217)&lt;44,"",Y2214="",NOW(),TRUE(),Y2214)</f>
        <v>#VALUE!</v>
      </c>
    </row>
    <row r="2215" customFormat="false" ht="15.75" hidden="false" customHeight="false" outlineLevel="0" collapsed="false">
      <c r="A2215" s="9"/>
      <c r="B2215" s="10"/>
      <c r="C2215" s="10"/>
      <c r="D2215" s="10"/>
      <c r="E2215" s="10"/>
      <c r="F2215" s="10"/>
      <c r="G2215" s="10"/>
      <c r="H2215" s="10"/>
      <c r="I2215" s="18" t="n">
        <v>2</v>
      </c>
      <c r="J2215" s="18"/>
      <c r="K2215" s="19"/>
      <c r="L2215" s="19"/>
      <c r="M2215" s="18"/>
      <c r="N2215" s="18"/>
      <c r="O2215" s="18"/>
      <c r="P2215" s="19"/>
      <c r="Q2215" s="19"/>
      <c r="R2215" s="18"/>
      <c r="S2215" s="18"/>
      <c r="T2215" s="18"/>
      <c r="U2215" s="20"/>
      <c r="V2215" s="21"/>
      <c r="W2215" s="16"/>
      <c r="X2215" s="16"/>
      <c r="Y2215" s="16"/>
    </row>
    <row r="2216" customFormat="false" ht="15.75" hidden="false" customHeight="false" outlineLevel="0" collapsed="false">
      <c r="A2216" s="9"/>
      <c r="B2216" s="10"/>
      <c r="C2216" s="10"/>
      <c r="D2216" s="10"/>
      <c r="E2216" s="10"/>
      <c r="F2216" s="10"/>
      <c r="G2216" s="10"/>
      <c r="H2216" s="10"/>
      <c r="I2216" s="22" t="n">
        <v>3</v>
      </c>
      <c r="J2216" s="22"/>
      <c r="K2216" s="23"/>
      <c r="L2216" s="23"/>
      <c r="M2216" s="22"/>
      <c r="N2216" s="22"/>
      <c r="O2216" s="22"/>
      <c r="P2216" s="23"/>
      <c r="Q2216" s="23"/>
      <c r="R2216" s="22"/>
      <c r="S2216" s="22"/>
      <c r="T2216" s="22"/>
      <c r="U2216" s="24"/>
      <c r="V2216" s="15"/>
      <c r="W2216" s="16"/>
      <c r="X2216" s="16"/>
      <c r="Y2216" s="16"/>
    </row>
    <row r="2217" customFormat="false" ht="15.75" hidden="false" customHeight="false" outlineLevel="0" collapsed="false">
      <c r="A2217" s="9"/>
      <c r="B2217" s="10"/>
      <c r="C2217" s="10"/>
      <c r="D2217" s="10"/>
      <c r="E2217" s="10"/>
      <c r="F2217" s="10"/>
      <c r="G2217" s="10"/>
      <c r="H2217" s="10"/>
      <c r="I2217" s="25" t="n">
        <v>4</v>
      </c>
      <c r="J2217" s="25"/>
      <c r="K2217" s="26"/>
      <c r="L2217" s="26"/>
      <c r="M2217" s="25"/>
      <c r="N2217" s="25"/>
      <c r="O2217" s="25"/>
      <c r="P2217" s="26"/>
      <c r="Q2217" s="26"/>
      <c r="R2217" s="25"/>
      <c r="S2217" s="25"/>
      <c r="T2217" s="25"/>
      <c r="U2217" s="27"/>
      <c r="V2217" s="21"/>
      <c r="W2217" s="16"/>
      <c r="X2217" s="16"/>
      <c r="Y2217" s="16"/>
    </row>
    <row r="2218" customFormat="false" ht="15.75" hidden="false" customHeight="false" outlineLevel="0" collapsed="false">
      <c r="A2218" s="9"/>
      <c r="B2218" s="10"/>
      <c r="C2218" s="11"/>
      <c r="D2218" s="10"/>
      <c r="E2218" s="10"/>
      <c r="F2218" s="10"/>
      <c r="G2218" s="10"/>
      <c r="H2218" s="10"/>
      <c r="I2218" s="12" t="n">
        <v>1</v>
      </c>
      <c r="J2218" s="12"/>
      <c r="K2218" s="13"/>
      <c r="L2218" s="13"/>
      <c r="M2218" s="12"/>
      <c r="N2218" s="12"/>
      <c r="O2218" s="12"/>
      <c r="P2218" s="13"/>
      <c r="Q2218" s="13"/>
      <c r="R2218" s="12"/>
      <c r="S2218" s="12"/>
      <c r="T2218" s="12"/>
      <c r="U2218" s="14"/>
      <c r="V2218" s="15"/>
      <c r="W2218" s="16" t="n">
        <f aca="false">A2218</f>
        <v>0</v>
      </c>
      <c r="X2218" s="17" t="e">
        <f aca="false">ifs(C2218="","",X2218="",NOW(),TRUE(),X2218)</f>
        <v>#VALUE!</v>
      </c>
      <c r="Y2218" s="17" t="e">
        <f aca="false">ifs(COUNTA(K2218:U2221)&lt;44,"",Y2218="",NOW(),TRUE(),Y2218)</f>
        <v>#VALUE!</v>
      </c>
    </row>
    <row r="2219" customFormat="false" ht="15.75" hidden="false" customHeight="false" outlineLevel="0" collapsed="false">
      <c r="A2219" s="9"/>
      <c r="B2219" s="10"/>
      <c r="C2219" s="10"/>
      <c r="D2219" s="10"/>
      <c r="E2219" s="10"/>
      <c r="F2219" s="10"/>
      <c r="G2219" s="10"/>
      <c r="H2219" s="10"/>
      <c r="I2219" s="18" t="n">
        <v>2</v>
      </c>
      <c r="J2219" s="18"/>
      <c r="K2219" s="19"/>
      <c r="L2219" s="19"/>
      <c r="M2219" s="18"/>
      <c r="N2219" s="18"/>
      <c r="O2219" s="18"/>
      <c r="P2219" s="19"/>
      <c r="Q2219" s="19"/>
      <c r="R2219" s="18"/>
      <c r="S2219" s="18"/>
      <c r="T2219" s="18"/>
      <c r="U2219" s="20"/>
      <c r="V2219" s="21"/>
      <c r="W2219" s="16"/>
      <c r="X2219" s="16"/>
      <c r="Y2219" s="16"/>
    </row>
    <row r="2220" customFormat="false" ht="15.75" hidden="false" customHeight="false" outlineLevel="0" collapsed="false">
      <c r="A2220" s="9"/>
      <c r="B2220" s="10"/>
      <c r="C2220" s="10"/>
      <c r="D2220" s="10"/>
      <c r="E2220" s="10"/>
      <c r="F2220" s="10"/>
      <c r="G2220" s="10"/>
      <c r="H2220" s="10"/>
      <c r="I2220" s="22" t="n">
        <v>3</v>
      </c>
      <c r="J2220" s="22"/>
      <c r="K2220" s="23"/>
      <c r="L2220" s="23"/>
      <c r="M2220" s="22"/>
      <c r="N2220" s="22"/>
      <c r="O2220" s="22"/>
      <c r="P2220" s="23"/>
      <c r="Q2220" s="23"/>
      <c r="R2220" s="22"/>
      <c r="S2220" s="22"/>
      <c r="T2220" s="22"/>
      <c r="U2220" s="24"/>
      <c r="V2220" s="15"/>
      <c r="W2220" s="16"/>
      <c r="X2220" s="16"/>
      <c r="Y2220" s="16"/>
    </row>
    <row r="2221" customFormat="false" ht="15.75" hidden="false" customHeight="false" outlineLevel="0" collapsed="false">
      <c r="A2221" s="9"/>
      <c r="B2221" s="10"/>
      <c r="C2221" s="10"/>
      <c r="D2221" s="10"/>
      <c r="E2221" s="10"/>
      <c r="F2221" s="10"/>
      <c r="G2221" s="10"/>
      <c r="H2221" s="10"/>
      <c r="I2221" s="25" t="n">
        <v>4</v>
      </c>
      <c r="J2221" s="25"/>
      <c r="K2221" s="26"/>
      <c r="L2221" s="26"/>
      <c r="M2221" s="25"/>
      <c r="N2221" s="25"/>
      <c r="O2221" s="25"/>
      <c r="P2221" s="26"/>
      <c r="Q2221" s="26"/>
      <c r="R2221" s="25"/>
      <c r="S2221" s="25"/>
      <c r="T2221" s="25"/>
      <c r="U2221" s="27"/>
      <c r="V2221" s="21"/>
      <c r="W2221" s="16"/>
      <c r="X2221" s="16"/>
      <c r="Y2221" s="16"/>
    </row>
    <row r="2222" customFormat="false" ht="15.75" hidden="false" customHeight="false" outlineLevel="0" collapsed="false">
      <c r="A2222" s="9"/>
      <c r="B2222" s="10"/>
      <c r="C2222" s="11"/>
      <c r="D2222" s="10"/>
      <c r="E2222" s="10"/>
      <c r="F2222" s="10"/>
      <c r="G2222" s="10"/>
      <c r="H2222" s="10"/>
      <c r="I2222" s="12" t="n">
        <v>1</v>
      </c>
      <c r="J2222" s="12"/>
      <c r="K2222" s="13"/>
      <c r="L2222" s="13"/>
      <c r="M2222" s="12"/>
      <c r="N2222" s="12"/>
      <c r="O2222" s="12"/>
      <c r="P2222" s="13"/>
      <c r="Q2222" s="13"/>
      <c r="R2222" s="12"/>
      <c r="S2222" s="12"/>
      <c r="T2222" s="12"/>
      <c r="U2222" s="14"/>
      <c r="V2222" s="15"/>
      <c r="W2222" s="16" t="n">
        <f aca="false">A2222</f>
        <v>0</v>
      </c>
      <c r="X2222" s="17" t="e">
        <f aca="false">ifs(C2222="","",X2222="",NOW(),TRUE(),X2222)</f>
        <v>#VALUE!</v>
      </c>
      <c r="Y2222" s="17" t="e">
        <f aca="false">ifs(COUNTA(K2222:U2225)&lt;44,"",Y2222="",NOW(),TRUE(),Y2222)</f>
        <v>#VALUE!</v>
      </c>
    </row>
    <row r="2223" customFormat="false" ht="15.75" hidden="false" customHeight="false" outlineLevel="0" collapsed="false">
      <c r="A2223" s="9"/>
      <c r="B2223" s="10"/>
      <c r="C2223" s="10"/>
      <c r="D2223" s="10"/>
      <c r="E2223" s="10"/>
      <c r="F2223" s="10"/>
      <c r="G2223" s="10"/>
      <c r="H2223" s="10"/>
      <c r="I2223" s="18" t="n">
        <v>2</v>
      </c>
      <c r="J2223" s="18"/>
      <c r="K2223" s="19"/>
      <c r="L2223" s="19"/>
      <c r="M2223" s="18"/>
      <c r="N2223" s="18"/>
      <c r="O2223" s="18"/>
      <c r="P2223" s="19"/>
      <c r="Q2223" s="19"/>
      <c r="R2223" s="18"/>
      <c r="S2223" s="18"/>
      <c r="T2223" s="18"/>
      <c r="U2223" s="20"/>
      <c r="V2223" s="21"/>
      <c r="W2223" s="16"/>
      <c r="X2223" s="16"/>
      <c r="Y2223" s="16"/>
    </row>
    <row r="2224" customFormat="false" ht="15.75" hidden="false" customHeight="false" outlineLevel="0" collapsed="false">
      <c r="A2224" s="9"/>
      <c r="B2224" s="10"/>
      <c r="C2224" s="10"/>
      <c r="D2224" s="10"/>
      <c r="E2224" s="10"/>
      <c r="F2224" s="10"/>
      <c r="G2224" s="10"/>
      <c r="H2224" s="10"/>
      <c r="I2224" s="22" t="n">
        <v>3</v>
      </c>
      <c r="J2224" s="22"/>
      <c r="K2224" s="23"/>
      <c r="L2224" s="23"/>
      <c r="M2224" s="22"/>
      <c r="N2224" s="22"/>
      <c r="O2224" s="22"/>
      <c r="P2224" s="23"/>
      <c r="Q2224" s="23"/>
      <c r="R2224" s="22"/>
      <c r="S2224" s="22"/>
      <c r="T2224" s="22"/>
      <c r="U2224" s="24"/>
      <c r="V2224" s="15"/>
      <c r="W2224" s="16"/>
      <c r="X2224" s="16"/>
      <c r="Y2224" s="16"/>
    </row>
    <row r="2225" customFormat="false" ht="15.75" hidden="false" customHeight="false" outlineLevel="0" collapsed="false">
      <c r="A2225" s="9"/>
      <c r="B2225" s="10"/>
      <c r="C2225" s="10"/>
      <c r="D2225" s="10"/>
      <c r="E2225" s="10"/>
      <c r="F2225" s="10"/>
      <c r="G2225" s="10"/>
      <c r="H2225" s="10"/>
      <c r="I2225" s="25" t="n">
        <v>4</v>
      </c>
      <c r="J2225" s="25"/>
      <c r="K2225" s="26"/>
      <c r="L2225" s="26"/>
      <c r="M2225" s="25"/>
      <c r="N2225" s="25"/>
      <c r="O2225" s="25"/>
      <c r="P2225" s="26"/>
      <c r="Q2225" s="26"/>
      <c r="R2225" s="25"/>
      <c r="S2225" s="25"/>
      <c r="T2225" s="25"/>
      <c r="U2225" s="27"/>
      <c r="V2225" s="21"/>
      <c r="W2225" s="16"/>
      <c r="X2225" s="16"/>
      <c r="Y2225" s="16"/>
    </row>
    <row r="2226" customFormat="false" ht="15.75" hidden="false" customHeight="false" outlineLevel="0" collapsed="false">
      <c r="A2226" s="9"/>
      <c r="B2226" s="10"/>
      <c r="C2226" s="11"/>
      <c r="D2226" s="10"/>
      <c r="E2226" s="10"/>
      <c r="F2226" s="10"/>
      <c r="G2226" s="10"/>
      <c r="H2226" s="10"/>
      <c r="I2226" s="12" t="n">
        <v>1</v>
      </c>
      <c r="J2226" s="12"/>
      <c r="K2226" s="13"/>
      <c r="L2226" s="13"/>
      <c r="M2226" s="12"/>
      <c r="N2226" s="12"/>
      <c r="O2226" s="12"/>
      <c r="P2226" s="13"/>
      <c r="Q2226" s="13"/>
      <c r="R2226" s="12"/>
      <c r="S2226" s="12"/>
      <c r="T2226" s="12"/>
      <c r="U2226" s="14"/>
      <c r="V2226" s="15"/>
      <c r="W2226" s="16" t="n">
        <f aca="false">A2226</f>
        <v>0</v>
      </c>
      <c r="X2226" s="17" t="e">
        <f aca="false">ifs(C2226="","",X2226="",NOW(),TRUE(),X2226)</f>
        <v>#VALUE!</v>
      </c>
      <c r="Y2226" s="17" t="e">
        <f aca="false">ifs(COUNTA(K2226:U2229)&lt;44,"",Y2226="",NOW(),TRUE(),Y2226)</f>
        <v>#VALUE!</v>
      </c>
    </row>
    <row r="2227" customFormat="false" ht="15.75" hidden="false" customHeight="false" outlineLevel="0" collapsed="false">
      <c r="A2227" s="9"/>
      <c r="B2227" s="10"/>
      <c r="C2227" s="10"/>
      <c r="D2227" s="10"/>
      <c r="E2227" s="10"/>
      <c r="F2227" s="10"/>
      <c r="G2227" s="10"/>
      <c r="H2227" s="10"/>
      <c r="I2227" s="18" t="n">
        <v>2</v>
      </c>
      <c r="J2227" s="18"/>
      <c r="K2227" s="19"/>
      <c r="L2227" s="19"/>
      <c r="M2227" s="18"/>
      <c r="N2227" s="18"/>
      <c r="O2227" s="18"/>
      <c r="P2227" s="19"/>
      <c r="Q2227" s="19"/>
      <c r="R2227" s="18"/>
      <c r="S2227" s="18"/>
      <c r="T2227" s="18"/>
      <c r="U2227" s="20"/>
      <c r="V2227" s="21"/>
      <c r="W2227" s="16"/>
      <c r="X2227" s="16"/>
      <c r="Y2227" s="16"/>
    </row>
    <row r="2228" customFormat="false" ht="15.75" hidden="false" customHeight="false" outlineLevel="0" collapsed="false">
      <c r="A2228" s="9"/>
      <c r="B2228" s="10"/>
      <c r="C2228" s="10"/>
      <c r="D2228" s="10"/>
      <c r="E2228" s="10"/>
      <c r="F2228" s="10"/>
      <c r="G2228" s="10"/>
      <c r="H2228" s="10"/>
      <c r="I2228" s="22" t="n">
        <v>3</v>
      </c>
      <c r="J2228" s="22"/>
      <c r="K2228" s="23"/>
      <c r="L2228" s="23"/>
      <c r="M2228" s="22"/>
      <c r="N2228" s="22"/>
      <c r="O2228" s="22"/>
      <c r="P2228" s="23"/>
      <c r="Q2228" s="23"/>
      <c r="R2228" s="22"/>
      <c r="S2228" s="22"/>
      <c r="T2228" s="22"/>
      <c r="U2228" s="24"/>
      <c r="V2228" s="15"/>
      <c r="W2228" s="16"/>
      <c r="X2228" s="16"/>
      <c r="Y2228" s="16"/>
    </row>
    <row r="2229" customFormat="false" ht="15.75" hidden="false" customHeight="false" outlineLevel="0" collapsed="false">
      <c r="A2229" s="9"/>
      <c r="B2229" s="10"/>
      <c r="C2229" s="10"/>
      <c r="D2229" s="10"/>
      <c r="E2229" s="10"/>
      <c r="F2229" s="10"/>
      <c r="G2229" s="10"/>
      <c r="H2229" s="10"/>
      <c r="I2229" s="25" t="n">
        <v>4</v>
      </c>
      <c r="J2229" s="25"/>
      <c r="K2229" s="26"/>
      <c r="L2229" s="26"/>
      <c r="M2229" s="25"/>
      <c r="N2229" s="25"/>
      <c r="O2229" s="25"/>
      <c r="P2229" s="26"/>
      <c r="Q2229" s="26"/>
      <c r="R2229" s="25"/>
      <c r="S2229" s="25"/>
      <c r="T2229" s="25"/>
      <c r="U2229" s="27"/>
      <c r="V2229" s="21"/>
      <c r="W2229" s="16"/>
      <c r="X2229" s="16"/>
      <c r="Y2229" s="16"/>
    </row>
    <row r="2230" customFormat="false" ht="15.75" hidden="false" customHeight="false" outlineLevel="0" collapsed="false">
      <c r="A2230" s="9"/>
      <c r="B2230" s="10"/>
      <c r="C2230" s="11"/>
      <c r="D2230" s="10"/>
      <c r="E2230" s="10"/>
      <c r="F2230" s="10"/>
      <c r="G2230" s="10"/>
      <c r="H2230" s="10"/>
      <c r="I2230" s="12" t="n">
        <v>1</v>
      </c>
      <c r="J2230" s="12"/>
      <c r="K2230" s="13"/>
      <c r="L2230" s="13"/>
      <c r="M2230" s="12"/>
      <c r="N2230" s="12"/>
      <c r="O2230" s="12"/>
      <c r="P2230" s="13"/>
      <c r="Q2230" s="13"/>
      <c r="R2230" s="12"/>
      <c r="S2230" s="12"/>
      <c r="T2230" s="12"/>
      <c r="U2230" s="14"/>
      <c r="V2230" s="15"/>
      <c r="W2230" s="16" t="n">
        <f aca="false">A2230</f>
        <v>0</v>
      </c>
      <c r="X2230" s="17" t="e">
        <f aca="false">ifs(C2230="","",X2230="",NOW(),TRUE(),X2230)</f>
        <v>#VALUE!</v>
      </c>
      <c r="Y2230" s="17" t="e">
        <f aca="false">ifs(COUNTA(K2230:U2233)&lt;44,"",Y2230="",NOW(),TRUE(),Y2230)</f>
        <v>#VALUE!</v>
      </c>
    </row>
    <row r="2231" customFormat="false" ht="15.75" hidden="false" customHeight="false" outlineLevel="0" collapsed="false">
      <c r="A2231" s="9"/>
      <c r="B2231" s="10"/>
      <c r="C2231" s="10"/>
      <c r="D2231" s="10"/>
      <c r="E2231" s="10"/>
      <c r="F2231" s="10"/>
      <c r="G2231" s="10"/>
      <c r="H2231" s="10"/>
      <c r="I2231" s="18" t="n">
        <v>2</v>
      </c>
      <c r="J2231" s="18"/>
      <c r="K2231" s="19"/>
      <c r="L2231" s="19"/>
      <c r="M2231" s="18"/>
      <c r="N2231" s="18"/>
      <c r="O2231" s="18"/>
      <c r="P2231" s="19"/>
      <c r="Q2231" s="19"/>
      <c r="R2231" s="18"/>
      <c r="S2231" s="18"/>
      <c r="T2231" s="18"/>
      <c r="U2231" s="20"/>
      <c r="V2231" s="21"/>
      <c r="W2231" s="16"/>
      <c r="X2231" s="16"/>
      <c r="Y2231" s="16"/>
    </row>
    <row r="2232" customFormat="false" ht="15.75" hidden="false" customHeight="false" outlineLevel="0" collapsed="false">
      <c r="A2232" s="9"/>
      <c r="B2232" s="10"/>
      <c r="C2232" s="10"/>
      <c r="D2232" s="10"/>
      <c r="E2232" s="10"/>
      <c r="F2232" s="10"/>
      <c r="G2232" s="10"/>
      <c r="H2232" s="10"/>
      <c r="I2232" s="22" t="n">
        <v>3</v>
      </c>
      <c r="J2232" s="22"/>
      <c r="K2232" s="23"/>
      <c r="L2232" s="23"/>
      <c r="M2232" s="22"/>
      <c r="N2232" s="22"/>
      <c r="O2232" s="22"/>
      <c r="P2232" s="23"/>
      <c r="Q2232" s="23"/>
      <c r="R2232" s="22"/>
      <c r="S2232" s="22"/>
      <c r="T2232" s="22"/>
      <c r="U2232" s="24"/>
      <c r="V2232" s="15"/>
      <c r="W2232" s="16"/>
      <c r="X2232" s="16"/>
      <c r="Y2232" s="16"/>
    </row>
    <row r="2233" customFormat="false" ht="15.75" hidden="false" customHeight="false" outlineLevel="0" collapsed="false">
      <c r="A2233" s="9"/>
      <c r="B2233" s="10"/>
      <c r="C2233" s="10"/>
      <c r="D2233" s="10"/>
      <c r="E2233" s="10"/>
      <c r="F2233" s="10"/>
      <c r="G2233" s="10"/>
      <c r="H2233" s="10"/>
      <c r="I2233" s="25" t="n">
        <v>4</v>
      </c>
      <c r="J2233" s="25"/>
      <c r="K2233" s="26"/>
      <c r="L2233" s="26"/>
      <c r="M2233" s="25"/>
      <c r="N2233" s="25"/>
      <c r="O2233" s="25"/>
      <c r="P2233" s="26"/>
      <c r="Q2233" s="26"/>
      <c r="R2233" s="25"/>
      <c r="S2233" s="25"/>
      <c r="T2233" s="25"/>
      <c r="U2233" s="27"/>
      <c r="V2233" s="21"/>
      <c r="W2233" s="16"/>
      <c r="X2233" s="16"/>
      <c r="Y2233" s="16"/>
    </row>
    <row r="2234" customFormat="false" ht="15.75" hidden="false" customHeight="false" outlineLevel="0" collapsed="false">
      <c r="A2234" s="9"/>
      <c r="B2234" s="10"/>
      <c r="C2234" s="11"/>
      <c r="D2234" s="10"/>
      <c r="E2234" s="10"/>
      <c r="F2234" s="10"/>
      <c r="G2234" s="10"/>
      <c r="H2234" s="10"/>
      <c r="I2234" s="12" t="n">
        <v>1</v>
      </c>
      <c r="J2234" s="12"/>
      <c r="K2234" s="13"/>
      <c r="L2234" s="13"/>
      <c r="M2234" s="12"/>
      <c r="N2234" s="12"/>
      <c r="O2234" s="12"/>
      <c r="P2234" s="13"/>
      <c r="Q2234" s="13"/>
      <c r="R2234" s="12"/>
      <c r="S2234" s="12"/>
      <c r="T2234" s="12"/>
      <c r="U2234" s="14"/>
      <c r="V2234" s="15"/>
      <c r="W2234" s="16" t="n">
        <f aca="false">A2234</f>
        <v>0</v>
      </c>
      <c r="X2234" s="17" t="e">
        <f aca="false">ifs(C2234="","",X2234="",NOW(),TRUE(),X2234)</f>
        <v>#VALUE!</v>
      </c>
      <c r="Y2234" s="17" t="e">
        <f aca="false">ifs(COUNTA(K2234:U2237)&lt;44,"",Y2234="",NOW(),TRUE(),Y2234)</f>
        <v>#VALUE!</v>
      </c>
    </row>
    <row r="2235" customFormat="false" ht="15.75" hidden="false" customHeight="false" outlineLevel="0" collapsed="false">
      <c r="A2235" s="9"/>
      <c r="B2235" s="10"/>
      <c r="C2235" s="10"/>
      <c r="D2235" s="10"/>
      <c r="E2235" s="10"/>
      <c r="F2235" s="10"/>
      <c r="G2235" s="10"/>
      <c r="H2235" s="10"/>
      <c r="I2235" s="18" t="n">
        <v>2</v>
      </c>
      <c r="J2235" s="18"/>
      <c r="K2235" s="19"/>
      <c r="L2235" s="19"/>
      <c r="M2235" s="18"/>
      <c r="N2235" s="18"/>
      <c r="O2235" s="18"/>
      <c r="P2235" s="19"/>
      <c r="Q2235" s="19"/>
      <c r="R2235" s="18"/>
      <c r="S2235" s="18"/>
      <c r="T2235" s="18"/>
      <c r="U2235" s="20"/>
      <c r="V2235" s="21"/>
      <c r="W2235" s="16"/>
      <c r="X2235" s="16"/>
      <c r="Y2235" s="16"/>
    </row>
    <row r="2236" customFormat="false" ht="15.75" hidden="false" customHeight="false" outlineLevel="0" collapsed="false">
      <c r="A2236" s="9"/>
      <c r="B2236" s="10"/>
      <c r="C2236" s="10"/>
      <c r="D2236" s="10"/>
      <c r="E2236" s="10"/>
      <c r="F2236" s="10"/>
      <c r="G2236" s="10"/>
      <c r="H2236" s="10"/>
      <c r="I2236" s="22" t="n">
        <v>3</v>
      </c>
      <c r="J2236" s="22"/>
      <c r="K2236" s="23"/>
      <c r="L2236" s="23"/>
      <c r="M2236" s="22"/>
      <c r="N2236" s="22"/>
      <c r="O2236" s="22"/>
      <c r="P2236" s="23"/>
      <c r="Q2236" s="23"/>
      <c r="R2236" s="22"/>
      <c r="S2236" s="22"/>
      <c r="T2236" s="22"/>
      <c r="U2236" s="24"/>
      <c r="V2236" s="15"/>
      <c r="W2236" s="16"/>
      <c r="X2236" s="16"/>
      <c r="Y2236" s="16"/>
    </row>
    <row r="2237" customFormat="false" ht="15.75" hidden="false" customHeight="false" outlineLevel="0" collapsed="false">
      <c r="A2237" s="9"/>
      <c r="B2237" s="10"/>
      <c r="C2237" s="10"/>
      <c r="D2237" s="10"/>
      <c r="E2237" s="10"/>
      <c r="F2237" s="10"/>
      <c r="G2237" s="10"/>
      <c r="H2237" s="10"/>
      <c r="I2237" s="25" t="n">
        <v>4</v>
      </c>
      <c r="J2237" s="25"/>
      <c r="K2237" s="26"/>
      <c r="L2237" s="26"/>
      <c r="M2237" s="25"/>
      <c r="N2237" s="25"/>
      <c r="O2237" s="25"/>
      <c r="P2237" s="26"/>
      <c r="Q2237" s="26"/>
      <c r="R2237" s="25"/>
      <c r="S2237" s="25"/>
      <c r="T2237" s="25"/>
      <c r="U2237" s="27"/>
      <c r="V2237" s="21"/>
      <c r="W2237" s="16"/>
      <c r="X2237" s="16"/>
      <c r="Y2237" s="16"/>
    </row>
    <row r="2238" customFormat="false" ht="15.75" hidden="false" customHeight="false" outlineLevel="0" collapsed="false">
      <c r="A2238" s="9"/>
      <c r="B2238" s="10"/>
      <c r="C2238" s="11"/>
      <c r="D2238" s="10"/>
      <c r="E2238" s="10"/>
      <c r="F2238" s="10"/>
      <c r="G2238" s="10"/>
      <c r="H2238" s="10"/>
      <c r="I2238" s="12" t="n">
        <v>1</v>
      </c>
      <c r="J2238" s="12"/>
      <c r="K2238" s="13"/>
      <c r="L2238" s="13"/>
      <c r="M2238" s="12"/>
      <c r="N2238" s="12"/>
      <c r="O2238" s="12"/>
      <c r="P2238" s="13"/>
      <c r="Q2238" s="13"/>
      <c r="R2238" s="12"/>
      <c r="S2238" s="12"/>
      <c r="T2238" s="12"/>
      <c r="U2238" s="14"/>
      <c r="V2238" s="15"/>
      <c r="W2238" s="16" t="n">
        <f aca="false">A2238</f>
        <v>0</v>
      </c>
      <c r="X2238" s="17" t="e">
        <f aca="false">ifs(C2238="","",X2238="",NOW(),TRUE(),X2238)</f>
        <v>#VALUE!</v>
      </c>
      <c r="Y2238" s="17" t="e">
        <f aca="false">ifs(COUNTA(K2238:U2241)&lt;44,"",Y2238="",NOW(),TRUE(),Y2238)</f>
        <v>#VALUE!</v>
      </c>
    </row>
    <row r="2239" customFormat="false" ht="15.75" hidden="false" customHeight="false" outlineLevel="0" collapsed="false">
      <c r="A2239" s="9"/>
      <c r="B2239" s="10"/>
      <c r="C2239" s="10"/>
      <c r="D2239" s="10"/>
      <c r="E2239" s="10"/>
      <c r="F2239" s="10"/>
      <c r="G2239" s="10"/>
      <c r="H2239" s="10"/>
      <c r="I2239" s="18" t="n">
        <v>2</v>
      </c>
      <c r="J2239" s="18"/>
      <c r="K2239" s="19"/>
      <c r="L2239" s="19"/>
      <c r="M2239" s="18"/>
      <c r="N2239" s="18"/>
      <c r="O2239" s="18"/>
      <c r="P2239" s="19"/>
      <c r="Q2239" s="19"/>
      <c r="R2239" s="18"/>
      <c r="S2239" s="18"/>
      <c r="T2239" s="18"/>
      <c r="U2239" s="20"/>
      <c r="V2239" s="21"/>
      <c r="W2239" s="16"/>
      <c r="X2239" s="16"/>
      <c r="Y2239" s="16"/>
    </row>
    <row r="2240" customFormat="false" ht="15.75" hidden="false" customHeight="false" outlineLevel="0" collapsed="false">
      <c r="A2240" s="9"/>
      <c r="B2240" s="10"/>
      <c r="C2240" s="10"/>
      <c r="D2240" s="10"/>
      <c r="E2240" s="10"/>
      <c r="F2240" s="10"/>
      <c r="G2240" s="10"/>
      <c r="H2240" s="10"/>
      <c r="I2240" s="22" t="n">
        <v>3</v>
      </c>
      <c r="J2240" s="22"/>
      <c r="K2240" s="23"/>
      <c r="L2240" s="23"/>
      <c r="M2240" s="22"/>
      <c r="N2240" s="22"/>
      <c r="O2240" s="22"/>
      <c r="P2240" s="23"/>
      <c r="Q2240" s="23"/>
      <c r="R2240" s="22"/>
      <c r="S2240" s="22"/>
      <c r="T2240" s="22"/>
      <c r="U2240" s="24"/>
      <c r="V2240" s="15"/>
      <c r="W2240" s="16"/>
      <c r="X2240" s="16"/>
      <c r="Y2240" s="16"/>
    </row>
    <row r="2241" customFormat="false" ht="15.75" hidden="false" customHeight="false" outlineLevel="0" collapsed="false">
      <c r="A2241" s="9"/>
      <c r="B2241" s="10"/>
      <c r="C2241" s="10"/>
      <c r="D2241" s="10"/>
      <c r="E2241" s="10"/>
      <c r="F2241" s="10"/>
      <c r="G2241" s="10"/>
      <c r="H2241" s="10"/>
      <c r="I2241" s="25" t="n">
        <v>4</v>
      </c>
      <c r="J2241" s="25"/>
      <c r="K2241" s="26"/>
      <c r="L2241" s="26"/>
      <c r="M2241" s="25"/>
      <c r="N2241" s="25"/>
      <c r="O2241" s="25"/>
      <c r="P2241" s="26"/>
      <c r="Q2241" s="26"/>
      <c r="R2241" s="25"/>
      <c r="S2241" s="25"/>
      <c r="T2241" s="25"/>
      <c r="U2241" s="27"/>
      <c r="V2241" s="21"/>
      <c r="W2241" s="16"/>
      <c r="X2241" s="16"/>
      <c r="Y2241" s="16"/>
    </row>
    <row r="2242" customFormat="false" ht="15.75" hidden="false" customHeight="false" outlineLevel="0" collapsed="false">
      <c r="A2242" s="9"/>
      <c r="B2242" s="10"/>
      <c r="C2242" s="11"/>
      <c r="D2242" s="10"/>
      <c r="E2242" s="10"/>
      <c r="F2242" s="10"/>
      <c r="G2242" s="10"/>
      <c r="H2242" s="10"/>
      <c r="I2242" s="12" t="n">
        <v>1</v>
      </c>
      <c r="J2242" s="12"/>
      <c r="K2242" s="13"/>
      <c r="L2242" s="13"/>
      <c r="M2242" s="12"/>
      <c r="N2242" s="12"/>
      <c r="O2242" s="12"/>
      <c r="P2242" s="13"/>
      <c r="Q2242" s="13"/>
      <c r="R2242" s="12"/>
      <c r="S2242" s="12"/>
      <c r="T2242" s="12"/>
      <c r="U2242" s="14"/>
      <c r="V2242" s="15"/>
      <c r="W2242" s="16" t="n">
        <f aca="false">A2242</f>
        <v>0</v>
      </c>
      <c r="X2242" s="17" t="e">
        <f aca="false">ifs(C2242="","",X2242="",NOW(),TRUE(),X2242)</f>
        <v>#VALUE!</v>
      </c>
      <c r="Y2242" s="17" t="e">
        <f aca="false">ifs(COUNTA(K2242:U2245)&lt;44,"",Y2242="",NOW(),TRUE(),Y2242)</f>
        <v>#VALUE!</v>
      </c>
    </row>
    <row r="2243" customFormat="false" ht="15.75" hidden="false" customHeight="false" outlineLevel="0" collapsed="false">
      <c r="A2243" s="9"/>
      <c r="B2243" s="10"/>
      <c r="C2243" s="10"/>
      <c r="D2243" s="10"/>
      <c r="E2243" s="10"/>
      <c r="F2243" s="10"/>
      <c r="G2243" s="10"/>
      <c r="H2243" s="10"/>
      <c r="I2243" s="18" t="n">
        <v>2</v>
      </c>
      <c r="J2243" s="18"/>
      <c r="K2243" s="19"/>
      <c r="L2243" s="19"/>
      <c r="M2243" s="18"/>
      <c r="N2243" s="18"/>
      <c r="O2243" s="18"/>
      <c r="P2243" s="19"/>
      <c r="Q2243" s="19"/>
      <c r="R2243" s="18"/>
      <c r="S2243" s="18"/>
      <c r="T2243" s="18"/>
      <c r="U2243" s="20"/>
      <c r="V2243" s="21"/>
      <c r="W2243" s="16"/>
      <c r="X2243" s="16"/>
      <c r="Y2243" s="16"/>
    </row>
    <row r="2244" customFormat="false" ht="15.75" hidden="false" customHeight="false" outlineLevel="0" collapsed="false">
      <c r="A2244" s="9"/>
      <c r="B2244" s="10"/>
      <c r="C2244" s="10"/>
      <c r="D2244" s="10"/>
      <c r="E2244" s="10"/>
      <c r="F2244" s="10"/>
      <c r="G2244" s="10"/>
      <c r="H2244" s="10"/>
      <c r="I2244" s="22" t="n">
        <v>3</v>
      </c>
      <c r="J2244" s="22"/>
      <c r="K2244" s="23"/>
      <c r="L2244" s="23"/>
      <c r="M2244" s="22"/>
      <c r="N2244" s="22"/>
      <c r="O2244" s="22"/>
      <c r="P2244" s="23"/>
      <c r="Q2244" s="23"/>
      <c r="R2244" s="22"/>
      <c r="S2244" s="22"/>
      <c r="T2244" s="22"/>
      <c r="U2244" s="24"/>
      <c r="V2244" s="15"/>
      <c r="W2244" s="16"/>
      <c r="X2244" s="16"/>
      <c r="Y2244" s="16"/>
    </row>
    <row r="2245" customFormat="false" ht="15.75" hidden="false" customHeight="false" outlineLevel="0" collapsed="false">
      <c r="A2245" s="9"/>
      <c r="B2245" s="10"/>
      <c r="C2245" s="10"/>
      <c r="D2245" s="10"/>
      <c r="E2245" s="10"/>
      <c r="F2245" s="10"/>
      <c r="G2245" s="10"/>
      <c r="H2245" s="10"/>
      <c r="I2245" s="25" t="n">
        <v>4</v>
      </c>
      <c r="J2245" s="25"/>
      <c r="K2245" s="26"/>
      <c r="L2245" s="26"/>
      <c r="M2245" s="25"/>
      <c r="N2245" s="25"/>
      <c r="O2245" s="25"/>
      <c r="P2245" s="26"/>
      <c r="Q2245" s="26"/>
      <c r="R2245" s="25"/>
      <c r="S2245" s="25"/>
      <c r="T2245" s="25"/>
      <c r="U2245" s="27"/>
      <c r="V2245" s="21"/>
      <c r="W2245" s="16"/>
      <c r="X2245" s="16"/>
      <c r="Y2245" s="16"/>
    </row>
    <row r="2246" customFormat="false" ht="15.75" hidden="false" customHeight="false" outlineLevel="0" collapsed="false">
      <c r="A2246" s="9"/>
      <c r="B2246" s="10"/>
      <c r="C2246" s="11"/>
      <c r="D2246" s="10"/>
      <c r="E2246" s="10"/>
      <c r="F2246" s="10"/>
      <c r="G2246" s="10"/>
      <c r="H2246" s="10"/>
      <c r="I2246" s="12" t="n">
        <v>1</v>
      </c>
      <c r="J2246" s="12"/>
      <c r="K2246" s="13"/>
      <c r="L2246" s="13"/>
      <c r="M2246" s="12"/>
      <c r="N2246" s="12"/>
      <c r="O2246" s="12"/>
      <c r="P2246" s="13"/>
      <c r="Q2246" s="13"/>
      <c r="R2246" s="12"/>
      <c r="S2246" s="12"/>
      <c r="T2246" s="12"/>
      <c r="U2246" s="14"/>
      <c r="V2246" s="15"/>
      <c r="W2246" s="16" t="n">
        <f aca="false">A2246</f>
        <v>0</v>
      </c>
      <c r="X2246" s="17" t="e">
        <f aca="false">ifs(C2246="","",X2246="",NOW(),TRUE(),X2246)</f>
        <v>#VALUE!</v>
      </c>
      <c r="Y2246" s="17" t="e">
        <f aca="false">ifs(COUNTA(K2246:U2249)&lt;44,"",Y2246="",NOW(),TRUE(),Y2246)</f>
        <v>#VALUE!</v>
      </c>
    </row>
    <row r="2247" customFormat="false" ht="15.75" hidden="false" customHeight="false" outlineLevel="0" collapsed="false">
      <c r="A2247" s="9"/>
      <c r="B2247" s="10"/>
      <c r="C2247" s="10"/>
      <c r="D2247" s="10"/>
      <c r="E2247" s="10"/>
      <c r="F2247" s="10"/>
      <c r="G2247" s="10"/>
      <c r="H2247" s="10"/>
      <c r="I2247" s="18" t="n">
        <v>2</v>
      </c>
      <c r="J2247" s="18"/>
      <c r="K2247" s="19"/>
      <c r="L2247" s="19"/>
      <c r="M2247" s="18"/>
      <c r="N2247" s="18"/>
      <c r="O2247" s="18"/>
      <c r="P2247" s="19"/>
      <c r="Q2247" s="19"/>
      <c r="R2247" s="18"/>
      <c r="S2247" s="18"/>
      <c r="T2247" s="18"/>
      <c r="U2247" s="20"/>
      <c r="V2247" s="21"/>
      <c r="W2247" s="16"/>
      <c r="X2247" s="16"/>
      <c r="Y2247" s="16"/>
    </row>
    <row r="2248" customFormat="false" ht="15.75" hidden="false" customHeight="false" outlineLevel="0" collapsed="false">
      <c r="A2248" s="9"/>
      <c r="B2248" s="10"/>
      <c r="C2248" s="10"/>
      <c r="D2248" s="10"/>
      <c r="E2248" s="10"/>
      <c r="F2248" s="10"/>
      <c r="G2248" s="10"/>
      <c r="H2248" s="10"/>
      <c r="I2248" s="22" t="n">
        <v>3</v>
      </c>
      <c r="J2248" s="22"/>
      <c r="K2248" s="23"/>
      <c r="L2248" s="23"/>
      <c r="M2248" s="22"/>
      <c r="N2248" s="22"/>
      <c r="O2248" s="22"/>
      <c r="P2248" s="23"/>
      <c r="Q2248" s="23"/>
      <c r="R2248" s="22"/>
      <c r="S2248" s="22"/>
      <c r="T2248" s="22"/>
      <c r="U2248" s="24"/>
      <c r="V2248" s="15"/>
      <c r="W2248" s="16"/>
      <c r="X2248" s="16"/>
      <c r="Y2248" s="16"/>
    </row>
    <row r="2249" customFormat="false" ht="15.75" hidden="false" customHeight="false" outlineLevel="0" collapsed="false">
      <c r="A2249" s="9"/>
      <c r="B2249" s="10"/>
      <c r="C2249" s="10"/>
      <c r="D2249" s="10"/>
      <c r="E2249" s="10"/>
      <c r="F2249" s="10"/>
      <c r="G2249" s="10"/>
      <c r="H2249" s="10"/>
      <c r="I2249" s="25" t="n">
        <v>4</v>
      </c>
      <c r="J2249" s="25"/>
      <c r="K2249" s="26"/>
      <c r="L2249" s="26"/>
      <c r="M2249" s="25"/>
      <c r="N2249" s="25"/>
      <c r="O2249" s="25"/>
      <c r="P2249" s="26"/>
      <c r="Q2249" s="26"/>
      <c r="R2249" s="25"/>
      <c r="S2249" s="25"/>
      <c r="T2249" s="25"/>
      <c r="U2249" s="27"/>
      <c r="V2249" s="21"/>
      <c r="W2249" s="16"/>
      <c r="X2249" s="16"/>
      <c r="Y2249" s="16"/>
    </row>
    <row r="2250" customFormat="false" ht="15.75" hidden="false" customHeight="false" outlineLevel="0" collapsed="false">
      <c r="A2250" s="9"/>
      <c r="B2250" s="10"/>
      <c r="C2250" s="11"/>
      <c r="D2250" s="10"/>
      <c r="E2250" s="10"/>
      <c r="F2250" s="10"/>
      <c r="G2250" s="10"/>
      <c r="H2250" s="10"/>
      <c r="I2250" s="12" t="n">
        <v>1</v>
      </c>
      <c r="J2250" s="12"/>
      <c r="K2250" s="13"/>
      <c r="L2250" s="13"/>
      <c r="M2250" s="12"/>
      <c r="N2250" s="12"/>
      <c r="O2250" s="12"/>
      <c r="P2250" s="13"/>
      <c r="Q2250" s="13"/>
      <c r="R2250" s="12"/>
      <c r="S2250" s="12"/>
      <c r="T2250" s="12"/>
      <c r="U2250" s="14"/>
      <c r="V2250" s="15"/>
      <c r="W2250" s="16" t="n">
        <f aca="false">A2250</f>
        <v>0</v>
      </c>
      <c r="X2250" s="17" t="e">
        <f aca="false">ifs(C2250="","",X2250="",NOW(),TRUE(),X2250)</f>
        <v>#VALUE!</v>
      </c>
      <c r="Y2250" s="17" t="e">
        <f aca="false">ifs(COUNTA(K2250:U2253)&lt;44,"",Y2250="",NOW(),TRUE(),Y2250)</f>
        <v>#VALUE!</v>
      </c>
    </row>
    <row r="2251" customFormat="false" ht="15.75" hidden="false" customHeight="false" outlineLevel="0" collapsed="false">
      <c r="A2251" s="9"/>
      <c r="B2251" s="10"/>
      <c r="C2251" s="10"/>
      <c r="D2251" s="10"/>
      <c r="E2251" s="10"/>
      <c r="F2251" s="10"/>
      <c r="G2251" s="10"/>
      <c r="H2251" s="10"/>
      <c r="I2251" s="18" t="n">
        <v>2</v>
      </c>
      <c r="J2251" s="18"/>
      <c r="K2251" s="19"/>
      <c r="L2251" s="19"/>
      <c r="M2251" s="18"/>
      <c r="N2251" s="18"/>
      <c r="O2251" s="18"/>
      <c r="P2251" s="19"/>
      <c r="Q2251" s="19"/>
      <c r="R2251" s="18"/>
      <c r="S2251" s="18"/>
      <c r="T2251" s="18"/>
      <c r="U2251" s="20"/>
      <c r="V2251" s="21"/>
      <c r="W2251" s="16"/>
      <c r="X2251" s="16"/>
      <c r="Y2251" s="16"/>
    </row>
    <row r="2252" customFormat="false" ht="15.75" hidden="false" customHeight="false" outlineLevel="0" collapsed="false">
      <c r="A2252" s="9"/>
      <c r="B2252" s="10"/>
      <c r="C2252" s="10"/>
      <c r="D2252" s="10"/>
      <c r="E2252" s="10"/>
      <c r="F2252" s="10"/>
      <c r="G2252" s="10"/>
      <c r="H2252" s="10"/>
      <c r="I2252" s="22" t="n">
        <v>3</v>
      </c>
      <c r="J2252" s="22"/>
      <c r="K2252" s="23"/>
      <c r="L2252" s="23"/>
      <c r="M2252" s="22"/>
      <c r="N2252" s="22"/>
      <c r="O2252" s="22"/>
      <c r="P2252" s="23"/>
      <c r="Q2252" s="23"/>
      <c r="R2252" s="22"/>
      <c r="S2252" s="22"/>
      <c r="T2252" s="22"/>
      <c r="U2252" s="24"/>
      <c r="V2252" s="15"/>
      <c r="W2252" s="16"/>
      <c r="X2252" s="16"/>
      <c r="Y2252" s="16"/>
    </row>
    <row r="2253" customFormat="false" ht="15.75" hidden="false" customHeight="false" outlineLevel="0" collapsed="false">
      <c r="A2253" s="9"/>
      <c r="B2253" s="10"/>
      <c r="C2253" s="10"/>
      <c r="D2253" s="10"/>
      <c r="E2253" s="10"/>
      <c r="F2253" s="10"/>
      <c r="G2253" s="10"/>
      <c r="H2253" s="10"/>
      <c r="I2253" s="25" t="n">
        <v>4</v>
      </c>
      <c r="J2253" s="25"/>
      <c r="K2253" s="26"/>
      <c r="L2253" s="26"/>
      <c r="M2253" s="25"/>
      <c r="N2253" s="25"/>
      <c r="O2253" s="25"/>
      <c r="P2253" s="26"/>
      <c r="Q2253" s="26"/>
      <c r="R2253" s="25"/>
      <c r="S2253" s="25"/>
      <c r="T2253" s="25"/>
      <c r="U2253" s="27"/>
      <c r="V2253" s="21"/>
      <c r="W2253" s="16"/>
      <c r="X2253" s="16"/>
      <c r="Y2253" s="16"/>
    </row>
    <row r="2254" customFormat="false" ht="15.75" hidden="false" customHeight="false" outlineLevel="0" collapsed="false">
      <c r="A2254" s="9"/>
      <c r="B2254" s="10"/>
      <c r="C2254" s="11"/>
      <c r="D2254" s="10"/>
      <c r="E2254" s="10"/>
      <c r="F2254" s="10"/>
      <c r="G2254" s="10"/>
      <c r="H2254" s="10"/>
      <c r="I2254" s="12" t="n">
        <v>1</v>
      </c>
      <c r="J2254" s="12"/>
      <c r="K2254" s="13"/>
      <c r="L2254" s="13"/>
      <c r="M2254" s="12"/>
      <c r="N2254" s="12"/>
      <c r="O2254" s="12"/>
      <c r="P2254" s="13"/>
      <c r="Q2254" s="13"/>
      <c r="R2254" s="12"/>
      <c r="S2254" s="12"/>
      <c r="T2254" s="12"/>
      <c r="U2254" s="14"/>
      <c r="V2254" s="15"/>
      <c r="W2254" s="16" t="n">
        <f aca="false">A2254</f>
        <v>0</v>
      </c>
      <c r="X2254" s="17" t="e">
        <f aca="false">ifs(C2254="","",X2254="",NOW(),TRUE(),X2254)</f>
        <v>#VALUE!</v>
      </c>
      <c r="Y2254" s="17" t="e">
        <f aca="false">ifs(COUNTA(K2254:U2257)&lt;44,"",Y2254="",NOW(),TRUE(),Y2254)</f>
        <v>#VALUE!</v>
      </c>
    </row>
    <row r="2255" customFormat="false" ht="15.75" hidden="false" customHeight="false" outlineLevel="0" collapsed="false">
      <c r="A2255" s="9"/>
      <c r="B2255" s="10"/>
      <c r="C2255" s="10"/>
      <c r="D2255" s="10"/>
      <c r="E2255" s="10"/>
      <c r="F2255" s="10"/>
      <c r="G2255" s="10"/>
      <c r="H2255" s="10"/>
      <c r="I2255" s="18" t="n">
        <v>2</v>
      </c>
      <c r="J2255" s="18"/>
      <c r="K2255" s="19"/>
      <c r="L2255" s="19"/>
      <c r="M2255" s="18"/>
      <c r="N2255" s="18"/>
      <c r="O2255" s="18"/>
      <c r="P2255" s="19"/>
      <c r="Q2255" s="19"/>
      <c r="R2255" s="18"/>
      <c r="S2255" s="18"/>
      <c r="T2255" s="18"/>
      <c r="U2255" s="20"/>
      <c r="V2255" s="21"/>
      <c r="W2255" s="16"/>
      <c r="X2255" s="16"/>
      <c r="Y2255" s="16"/>
    </row>
    <row r="2256" customFormat="false" ht="15.75" hidden="false" customHeight="false" outlineLevel="0" collapsed="false">
      <c r="A2256" s="9"/>
      <c r="B2256" s="10"/>
      <c r="C2256" s="10"/>
      <c r="D2256" s="10"/>
      <c r="E2256" s="10"/>
      <c r="F2256" s="10"/>
      <c r="G2256" s="10"/>
      <c r="H2256" s="10"/>
      <c r="I2256" s="22" t="n">
        <v>3</v>
      </c>
      <c r="J2256" s="22"/>
      <c r="K2256" s="23"/>
      <c r="L2256" s="23"/>
      <c r="M2256" s="22"/>
      <c r="N2256" s="22"/>
      <c r="O2256" s="22"/>
      <c r="P2256" s="23"/>
      <c r="Q2256" s="23"/>
      <c r="R2256" s="22"/>
      <c r="S2256" s="22"/>
      <c r="T2256" s="22"/>
      <c r="U2256" s="24"/>
      <c r="V2256" s="15"/>
      <c r="W2256" s="16"/>
      <c r="X2256" s="16"/>
      <c r="Y2256" s="16"/>
    </row>
    <row r="2257" customFormat="false" ht="15.75" hidden="false" customHeight="false" outlineLevel="0" collapsed="false">
      <c r="A2257" s="9"/>
      <c r="B2257" s="10"/>
      <c r="C2257" s="10"/>
      <c r="D2257" s="10"/>
      <c r="E2257" s="10"/>
      <c r="F2257" s="10"/>
      <c r="G2257" s="10"/>
      <c r="H2257" s="10"/>
      <c r="I2257" s="25" t="n">
        <v>4</v>
      </c>
      <c r="J2257" s="25"/>
      <c r="K2257" s="26"/>
      <c r="L2257" s="26"/>
      <c r="M2257" s="25"/>
      <c r="N2257" s="25"/>
      <c r="O2257" s="25"/>
      <c r="P2257" s="26"/>
      <c r="Q2257" s="26"/>
      <c r="R2257" s="25"/>
      <c r="S2257" s="25"/>
      <c r="T2257" s="25"/>
      <c r="U2257" s="27"/>
      <c r="V2257" s="21"/>
      <c r="W2257" s="16"/>
      <c r="X2257" s="16"/>
      <c r="Y2257" s="16"/>
    </row>
    <row r="2258" customFormat="false" ht="15.75" hidden="false" customHeight="false" outlineLevel="0" collapsed="false">
      <c r="A2258" s="9"/>
      <c r="B2258" s="10"/>
      <c r="C2258" s="11"/>
      <c r="D2258" s="10"/>
      <c r="E2258" s="10"/>
      <c r="F2258" s="10"/>
      <c r="G2258" s="10"/>
      <c r="H2258" s="10"/>
      <c r="I2258" s="12" t="n">
        <v>1</v>
      </c>
      <c r="J2258" s="12"/>
      <c r="K2258" s="13"/>
      <c r="L2258" s="13"/>
      <c r="M2258" s="12"/>
      <c r="N2258" s="12"/>
      <c r="O2258" s="12"/>
      <c r="P2258" s="13"/>
      <c r="Q2258" s="13"/>
      <c r="R2258" s="12"/>
      <c r="S2258" s="12"/>
      <c r="T2258" s="12"/>
      <c r="U2258" s="14"/>
      <c r="V2258" s="15"/>
      <c r="W2258" s="16" t="n">
        <f aca="false">A2258</f>
        <v>0</v>
      </c>
      <c r="X2258" s="17" t="e">
        <f aca="false">ifs(C2258="","",X2258="",NOW(),TRUE(),X2258)</f>
        <v>#VALUE!</v>
      </c>
      <c r="Y2258" s="17" t="e">
        <f aca="false">ifs(COUNTA(K2258:U2261)&lt;44,"",Y2258="",NOW(),TRUE(),Y2258)</f>
        <v>#VALUE!</v>
      </c>
    </row>
    <row r="2259" customFormat="false" ht="15.75" hidden="false" customHeight="false" outlineLevel="0" collapsed="false">
      <c r="A2259" s="9"/>
      <c r="B2259" s="10"/>
      <c r="C2259" s="10"/>
      <c r="D2259" s="10"/>
      <c r="E2259" s="10"/>
      <c r="F2259" s="10"/>
      <c r="G2259" s="10"/>
      <c r="H2259" s="10"/>
      <c r="I2259" s="18" t="n">
        <v>2</v>
      </c>
      <c r="J2259" s="18"/>
      <c r="K2259" s="19"/>
      <c r="L2259" s="19"/>
      <c r="M2259" s="18"/>
      <c r="N2259" s="18"/>
      <c r="O2259" s="18"/>
      <c r="P2259" s="19"/>
      <c r="Q2259" s="19"/>
      <c r="R2259" s="18"/>
      <c r="S2259" s="18"/>
      <c r="T2259" s="18"/>
      <c r="U2259" s="20"/>
      <c r="V2259" s="21"/>
      <c r="W2259" s="16"/>
      <c r="X2259" s="16"/>
      <c r="Y2259" s="16"/>
    </row>
    <row r="2260" customFormat="false" ht="15.75" hidden="false" customHeight="false" outlineLevel="0" collapsed="false">
      <c r="A2260" s="9"/>
      <c r="B2260" s="10"/>
      <c r="C2260" s="10"/>
      <c r="D2260" s="10"/>
      <c r="E2260" s="10"/>
      <c r="F2260" s="10"/>
      <c r="G2260" s="10"/>
      <c r="H2260" s="10"/>
      <c r="I2260" s="22" t="n">
        <v>3</v>
      </c>
      <c r="J2260" s="22"/>
      <c r="K2260" s="23"/>
      <c r="L2260" s="23"/>
      <c r="M2260" s="22"/>
      <c r="N2260" s="22"/>
      <c r="O2260" s="22"/>
      <c r="P2260" s="23"/>
      <c r="Q2260" s="23"/>
      <c r="R2260" s="22"/>
      <c r="S2260" s="22"/>
      <c r="T2260" s="22"/>
      <c r="U2260" s="24"/>
      <c r="V2260" s="15"/>
      <c r="W2260" s="16"/>
      <c r="X2260" s="16"/>
      <c r="Y2260" s="16"/>
    </row>
    <row r="2261" customFormat="false" ht="15.75" hidden="false" customHeight="false" outlineLevel="0" collapsed="false">
      <c r="A2261" s="9"/>
      <c r="B2261" s="10"/>
      <c r="C2261" s="10"/>
      <c r="D2261" s="10"/>
      <c r="E2261" s="10"/>
      <c r="F2261" s="10"/>
      <c r="G2261" s="10"/>
      <c r="H2261" s="10"/>
      <c r="I2261" s="25" t="n">
        <v>4</v>
      </c>
      <c r="J2261" s="25"/>
      <c r="K2261" s="26"/>
      <c r="L2261" s="26"/>
      <c r="M2261" s="25"/>
      <c r="N2261" s="25"/>
      <c r="O2261" s="25"/>
      <c r="P2261" s="26"/>
      <c r="Q2261" s="26"/>
      <c r="R2261" s="25"/>
      <c r="S2261" s="25"/>
      <c r="T2261" s="25"/>
      <c r="U2261" s="27"/>
      <c r="V2261" s="21"/>
      <c r="W2261" s="16"/>
      <c r="X2261" s="16"/>
      <c r="Y2261" s="16"/>
    </row>
    <row r="2262" customFormat="false" ht="15.75" hidden="false" customHeight="false" outlineLevel="0" collapsed="false">
      <c r="A2262" s="9"/>
      <c r="B2262" s="10"/>
      <c r="C2262" s="11"/>
      <c r="D2262" s="10"/>
      <c r="E2262" s="10"/>
      <c r="F2262" s="10"/>
      <c r="G2262" s="10"/>
      <c r="H2262" s="10"/>
      <c r="I2262" s="12" t="n">
        <v>1</v>
      </c>
      <c r="J2262" s="12"/>
      <c r="K2262" s="13"/>
      <c r="L2262" s="13"/>
      <c r="M2262" s="12"/>
      <c r="N2262" s="12"/>
      <c r="O2262" s="12"/>
      <c r="P2262" s="13"/>
      <c r="Q2262" s="13"/>
      <c r="R2262" s="12"/>
      <c r="S2262" s="12"/>
      <c r="T2262" s="12"/>
      <c r="U2262" s="14"/>
      <c r="V2262" s="15"/>
      <c r="W2262" s="16" t="n">
        <f aca="false">A2262</f>
        <v>0</v>
      </c>
      <c r="X2262" s="17" t="e">
        <f aca="false">ifs(C2262="","",X2262="",NOW(),TRUE(),X2262)</f>
        <v>#VALUE!</v>
      </c>
      <c r="Y2262" s="17" t="e">
        <f aca="false">ifs(COUNTA(K2262:U2265)&lt;44,"",Y2262="",NOW(),TRUE(),Y2262)</f>
        <v>#VALUE!</v>
      </c>
    </row>
    <row r="2263" customFormat="false" ht="15.75" hidden="false" customHeight="false" outlineLevel="0" collapsed="false">
      <c r="A2263" s="9"/>
      <c r="B2263" s="10"/>
      <c r="C2263" s="10"/>
      <c r="D2263" s="10"/>
      <c r="E2263" s="10"/>
      <c r="F2263" s="10"/>
      <c r="G2263" s="10"/>
      <c r="H2263" s="10"/>
      <c r="I2263" s="18" t="n">
        <v>2</v>
      </c>
      <c r="J2263" s="18"/>
      <c r="K2263" s="19"/>
      <c r="L2263" s="19"/>
      <c r="M2263" s="18"/>
      <c r="N2263" s="18"/>
      <c r="O2263" s="18"/>
      <c r="P2263" s="19"/>
      <c r="Q2263" s="19"/>
      <c r="R2263" s="18"/>
      <c r="S2263" s="18"/>
      <c r="T2263" s="18"/>
      <c r="U2263" s="20"/>
      <c r="V2263" s="21"/>
      <c r="W2263" s="16"/>
      <c r="X2263" s="16"/>
      <c r="Y2263" s="16"/>
    </row>
    <row r="2264" customFormat="false" ht="15.75" hidden="false" customHeight="false" outlineLevel="0" collapsed="false">
      <c r="A2264" s="9"/>
      <c r="B2264" s="10"/>
      <c r="C2264" s="10"/>
      <c r="D2264" s="10"/>
      <c r="E2264" s="10"/>
      <c r="F2264" s="10"/>
      <c r="G2264" s="10"/>
      <c r="H2264" s="10"/>
      <c r="I2264" s="22" t="n">
        <v>3</v>
      </c>
      <c r="J2264" s="22"/>
      <c r="K2264" s="23"/>
      <c r="L2264" s="23"/>
      <c r="M2264" s="22"/>
      <c r="N2264" s="22"/>
      <c r="O2264" s="22"/>
      <c r="P2264" s="23"/>
      <c r="Q2264" s="23"/>
      <c r="R2264" s="22"/>
      <c r="S2264" s="22"/>
      <c r="T2264" s="22"/>
      <c r="U2264" s="24"/>
      <c r="V2264" s="15"/>
      <c r="W2264" s="16"/>
      <c r="X2264" s="16"/>
      <c r="Y2264" s="16"/>
    </row>
    <row r="2265" customFormat="false" ht="15.75" hidden="false" customHeight="false" outlineLevel="0" collapsed="false">
      <c r="A2265" s="9"/>
      <c r="B2265" s="10"/>
      <c r="C2265" s="10"/>
      <c r="D2265" s="10"/>
      <c r="E2265" s="10"/>
      <c r="F2265" s="10"/>
      <c r="G2265" s="10"/>
      <c r="H2265" s="10"/>
      <c r="I2265" s="25" t="n">
        <v>4</v>
      </c>
      <c r="J2265" s="25"/>
      <c r="K2265" s="26"/>
      <c r="L2265" s="26"/>
      <c r="M2265" s="25"/>
      <c r="N2265" s="25"/>
      <c r="O2265" s="25"/>
      <c r="P2265" s="26"/>
      <c r="Q2265" s="26"/>
      <c r="R2265" s="25"/>
      <c r="S2265" s="25"/>
      <c r="T2265" s="25"/>
      <c r="U2265" s="27"/>
      <c r="V2265" s="21"/>
      <c r="W2265" s="16"/>
      <c r="X2265" s="16"/>
      <c r="Y2265" s="16"/>
    </row>
    <row r="2266" customFormat="false" ht="15.75" hidden="false" customHeight="false" outlineLevel="0" collapsed="false">
      <c r="A2266" s="9"/>
      <c r="B2266" s="10"/>
      <c r="C2266" s="11"/>
      <c r="D2266" s="10"/>
      <c r="E2266" s="10"/>
      <c r="F2266" s="10"/>
      <c r="G2266" s="10"/>
      <c r="H2266" s="10"/>
      <c r="I2266" s="12" t="n">
        <v>1</v>
      </c>
      <c r="J2266" s="12"/>
      <c r="K2266" s="13"/>
      <c r="L2266" s="13"/>
      <c r="M2266" s="12"/>
      <c r="N2266" s="12"/>
      <c r="O2266" s="12"/>
      <c r="P2266" s="13"/>
      <c r="Q2266" s="13"/>
      <c r="R2266" s="12"/>
      <c r="S2266" s="12"/>
      <c r="T2266" s="12"/>
      <c r="U2266" s="14"/>
      <c r="V2266" s="15"/>
      <c r="W2266" s="16" t="n">
        <f aca="false">A2266</f>
        <v>0</v>
      </c>
      <c r="X2266" s="17" t="e">
        <f aca="false">ifs(C2266="","",X2266="",NOW(),TRUE(),X2266)</f>
        <v>#VALUE!</v>
      </c>
      <c r="Y2266" s="17" t="e">
        <f aca="false">ifs(COUNTA(K2266:U2269)&lt;44,"",Y2266="",NOW(),TRUE(),Y2266)</f>
        <v>#VALUE!</v>
      </c>
    </row>
    <row r="2267" customFormat="false" ht="15.75" hidden="false" customHeight="false" outlineLevel="0" collapsed="false">
      <c r="A2267" s="9"/>
      <c r="B2267" s="10"/>
      <c r="C2267" s="10"/>
      <c r="D2267" s="10"/>
      <c r="E2267" s="10"/>
      <c r="F2267" s="10"/>
      <c r="G2267" s="10"/>
      <c r="H2267" s="10"/>
      <c r="I2267" s="18" t="n">
        <v>2</v>
      </c>
      <c r="J2267" s="18"/>
      <c r="K2267" s="19"/>
      <c r="L2267" s="19"/>
      <c r="M2267" s="18"/>
      <c r="N2267" s="18"/>
      <c r="O2267" s="18"/>
      <c r="P2267" s="19"/>
      <c r="Q2267" s="19"/>
      <c r="R2267" s="18"/>
      <c r="S2267" s="18"/>
      <c r="T2267" s="18"/>
      <c r="U2267" s="20"/>
      <c r="V2267" s="21"/>
      <c r="W2267" s="16"/>
      <c r="X2267" s="16"/>
      <c r="Y2267" s="16"/>
    </row>
    <row r="2268" customFormat="false" ht="15.75" hidden="false" customHeight="false" outlineLevel="0" collapsed="false">
      <c r="A2268" s="9"/>
      <c r="B2268" s="10"/>
      <c r="C2268" s="10"/>
      <c r="D2268" s="10"/>
      <c r="E2268" s="10"/>
      <c r="F2268" s="10"/>
      <c r="G2268" s="10"/>
      <c r="H2268" s="10"/>
      <c r="I2268" s="22" t="n">
        <v>3</v>
      </c>
      <c r="J2268" s="22"/>
      <c r="K2268" s="23"/>
      <c r="L2268" s="23"/>
      <c r="M2268" s="22"/>
      <c r="N2268" s="22"/>
      <c r="O2268" s="22"/>
      <c r="P2268" s="23"/>
      <c r="Q2268" s="23"/>
      <c r="R2268" s="22"/>
      <c r="S2268" s="22"/>
      <c r="T2268" s="22"/>
      <c r="U2268" s="24"/>
      <c r="V2268" s="15"/>
      <c r="W2268" s="16"/>
      <c r="X2268" s="16"/>
      <c r="Y2268" s="16"/>
    </row>
    <row r="2269" customFormat="false" ht="15.75" hidden="false" customHeight="false" outlineLevel="0" collapsed="false">
      <c r="A2269" s="9"/>
      <c r="B2269" s="10"/>
      <c r="C2269" s="10"/>
      <c r="D2269" s="10"/>
      <c r="E2269" s="10"/>
      <c r="F2269" s="10"/>
      <c r="G2269" s="10"/>
      <c r="H2269" s="10"/>
      <c r="I2269" s="25" t="n">
        <v>4</v>
      </c>
      <c r="J2269" s="25"/>
      <c r="K2269" s="26"/>
      <c r="L2269" s="26"/>
      <c r="M2269" s="25"/>
      <c r="N2269" s="25"/>
      <c r="O2269" s="25"/>
      <c r="P2269" s="26"/>
      <c r="Q2269" s="26"/>
      <c r="R2269" s="25"/>
      <c r="S2269" s="25"/>
      <c r="T2269" s="25"/>
      <c r="U2269" s="27"/>
      <c r="V2269" s="21"/>
      <c r="W2269" s="16"/>
      <c r="X2269" s="16"/>
      <c r="Y2269" s="16"/>
    </row>
    <row r="2270" customFormat="false" ht="15.75" hidden="false" customHeight="false" outlineLevel="0" collapsed="false">
      <c r="A2270" s="9"/>
      <c r="B2270" s="10"/>
      <c r="C2270" s="11"/>
      <c r="D2270" s="10"/>
      <c r="E2270" s="10"/>
      <c r="F2270" s="10"/>
      <c r="G2270" s="10"/>
      <c r="H2270" s="10"/>
      <c r="I2270" s="12" t="n">
        <v>1</v>
      </c>
      <c r="J2270" s="12"/>
      <c r="K2270" s="13"/>
      <c r="L2270" s="13"/>
      <c r="M2270" s="12"/>
      <c r="N2270" s="12"/>
      <c r="O2270" s="12"/>
      <c r="P2270" s="13"/>
      <c r="Q2270" s="13"/>
      <c r="R2270" s="12"/>
      <c r="S2270" s="12"/>
      <c r="T2270" s="12"/>
      <c r="U2270" s="14"/>
      <c r="V2270" s="15"/>
      <c r="W2270" s="16" t="n">
        <f aca="false">A2270</f>
        <v>0</v>
      </c>
      <c r="X2270" s="17" t="e">
        <f aca="false">ifs(C2270="","",X2270="",NOW(),TRUE(),X2270)</f>
        <v>#VALUE!</v>
      </c>
      <c r="Y2270" s="17" t="e">
        <f aca="false">ifs(COUNTA(K2270:U2273)&lt;44,"",Y2270="",NOW(),TRUE(),Y2270)</f>
        <v>#VALUE!</v>
      </c>
    </row>
    <row r="2271" customFormat="false" ht="15.75" hidden="false" customHeight="false" outlineLevel="0" collapsed="false">
      <c r="A2271" s="9"/>
      <c r="B2271" s="10"/>
      <c r="C2271" s="10"/>
      <c r="D2271" s="10"/>
      <c r="E2271" s="10"/>
      <c r="F2271" s="10"/>
      <c r="G2271" s="10"/>
      <c r="H2271" s="10"/>
      <c r="I2271" s="18" t="n">
        <v>2</v>
      </c>
      <c r="J2271" s="18"/>
      <c r="K2271" s="19"/>
      <c r="L2271" s="19"/>
      <c r="M2271" s="18"/>
      <c r="N2271" s="18"/>
      <c r="O2271" s="18"/>
      <c r="P2271" s="19"/>
      <c r="Q2271" s="19"/>
      <c r="R2271" s="18"/>
      <c r="S2271" s="18"/>
      <c r="T2271" s="18"/>
      <c r="U2271" s="20"/>
      <c r="V2271" s="21"/>
      <c r="W2271" s="16"/>
      <c r="X2271" s="16"/>
      <c r="Y2271" s="16"/>
    </row>
    <row r="2272" customFormat="false" ht="15.75" hidden="false" customHeight="false" outlineLevel="0" collapsed="false">
      <c r="A2272" s="9"/>
      <c r="B2272" s="10"/>
      <c r="C2272" s="10"/>
      <c r="D2272" s="10"/>
      <c r="E2272" s="10"/>
      <c r="F2272" s="10"/>
      <c r="G2272" s="10"/>
      <c r="H2272" s="10"/>
      <c r="I2272" s="22" t="n">
        <v>3</v>
      </c>
      <c r="J2272" s="22"/>
      <c r="K2272" s="23"/>
      <c r="L2272" s="23"/>
      <c r="M2272" s="22"/>
      <c r="N2272" s="22"/>
      <c r="O2272" s="22"/>
      <c r="P2272" s="23"/>
      <c r="Q2272" s="23"/>
      <c r="R2272" s="22"/>
      <c r="S2272" s="22"/>
      <c r="T2272" s="22"/>
      <c r="U2272" s="24"/>
      <c r="V2272" s="15"/>
      <c r="W2272" s="16"/>
      <c r="X2272" s="16"/>
      <c r="Y2272" s="16"/>
    </row>
    <row r="2273" customFormat="false" ht="15.75" hidden="false" customHeight="false" outlineLevel="0" collapsed="false">
      <c r="A2273" s="9"/>
      <c r="B2273" s="10"/>
      <c r="C2273" s="10"/>
      <c r="D2273" s="10"/>
      <c r="E2273" s="10"/>
      <c r="F2273" s="10"/>
      <c r="G2273" s="10"/>
      <c r="H2273" s="10"/>
      <c r="I2273" s="25" t="n">
        <v>4</v>
      </c>
      <c r="J2273" s="25"/>
      <c r="K2273" s="26"/>
      <c r="L2273" s="26"/>
      <c r="M2273" s="25"/>
      <c r="N2273" s="25"/>
      <c r="O2273" s="25"/>
      <c r="P2273" s="26"/>
      <c r="Q2273" s="26"/>
      <c r="R2273" s="25"/>
      <c r="S2273" s="25"/>
      <c r="T2273" s="25"/>
      <c r="U2273" s="27"/>
      <c r="V2273" s="21"/>
      <c r="W2273" s="16"/>
      <c r="X2273" s="16"/>
      <c r="Y2273" s="16"/>
    </row>
    <row r="2274" customFormat="false" ht="15.75" hidden="false" customHeight="false" outlineLevel="0" collapsed="false">
      <c r="A2274" s="9"/>
      <c r="B2274" s="10"/>
      <c r="C2274" s="11"/>
      <c r="D2274" s="10"/>
      <c r="E2274" s="10"/>
      <c r="F2274" s="10"/>
      <c r="G2274" s="10"/>
      <c r="H2274" s="10"/>
      <c r="I2274" s="12" t="n">
        <v>1</v>
      </c>
      <c r="J2274" s="12"/>
      <c r="K2274" s="13"/>
      <c r="L2274" s="13"/>
      <c r="M2274" s="12"/>
      <c r="N2274" s="12"/>
      <c r="O2274" s="12"/>
      <c r="P2274" s="13"/>
      <c r="Q2274" s="13"/>
      <c r="R2274" s="12"/>
      <c r="S2274" s="12"/>
      <c r="T2274" s="12"/>
      <c r="U2274" s="14"/>
      <c r="V2274" s="15"/>
      <c r="W2274" s="16" t="n">
        <f aca="false">A2274</f>
        <v>0</v>
      </c>
      <c r="X2274" s="17" t="e">
        <f aca="false">ifs(C2274="","",X2274="",NOW(),TRUE(),X2274)</f>
        <v>#VALUE!</v>
      </c>
      <c r="Y2274" s="17" t="e">
        <f aca="false">ifs(COUNTA(K2274:U2277)&lt;44,"",Y2274="",NOW(),TRUE(),Y2274)</f>
        <v>#VALUE!</v>
      </c>
    </row>
    <row r="2275" customFormat="false" ht="15.75" hidden="false" customHeight="false" outlineLevel="0" collapsed="false">
      <c r="A2275" s="9"/>
      <c r="B2275" s="10"/>
      <c r="C2275" s="10"/>
      <c r="D2275" s="10"/>
      <c r="E2275" s="10"/>
      <c r="F2275" s="10"/>
      <c r="G2275" s="10"/>
      <c r="H2275" s="10"/>
      <c r="I2275" s="18" t="n">
        <v>2</v>
      </c>
      <c r="J2275" s="18"/>
      <c r="K2275" s="19"/>
      <c r="L2275" s="19"/>
      <c r="M2275" s="18"/>
      <c r="N2275" s="18"/>
      <c r="O2275" s="18"/>
      <c r="P2275" s="19"/>
      <c r="Q2275" s="19"/>
      <c r="R2275" s="18"/>
      <c r="S2275" s="18"/>
      <c r="T2275" s="18"/>
      <c r="U2275" s="20"/>
      <c r="V2275" s="21"/>
      <c r="W2275" s="16"/>
      <c r="X2275" s="16"/>
      <c r="Y2275" s="16"/>
    </row>
    <row r="2276" customFormat="false" ht="15.75" hidden="false" customHeight="false" outlineLevel="0" collapsed="false">
      <c r="A2276" s="9"/>
      <c r="B2276" s="10"/>
      <c r="C2276" s="10"/>
      <c r="D2276" s="10"/>
      <c r="E2276" s="10"/>
      <c r="F2276" s="10"/>
      <c r="G2276" s="10"/>
      <c r="H2276" s="10"/>
      <c r="I2276" s="22" t="n">
        <v>3</v>
      </c>
      <c r="J2276" s="22"/>
      <c r="K2276" s="23"/>
      <c r="L2276" s="23"/>
      <c r="M2276" s="22"/>
      <c r="N2276" s="22"/>
      <c r="O2276" s="22"/>
      <c r="P2276" s="23"/>
      <c r="Q2276" s="23"/>
      <c r="R2276" s="22"/>
      <c r="S2276" s="22"/>
      <c r="T2276" s="22"/>
      <c r="U2276" s="24"/>
      <c r="V2276" s="15"/>
      <c r="W2276" s="16"/>
      <c r="X2276" s="16"/>
      <c r="Y2276" s="16"/>
    </row>
    <row r="2277" customFormat="false" ht="15.75" hidden="false" customHeight="false" outlineLevel="0" collapsed="false">
      <c r="A2277" s="9"/>
      <c r="B2277" s="10"/>
      <c r="C2277" s="10"/>
      <c r="D2277" s="10"/>
      <c r="E2277" s="10"/>
      <c r="F2277" s="10"/>
      <c r="G2277" s="10"/>
      <c r="H2277" s="10"/>
      <c r="I2277" s="25" t="n">
        <v>4</v>
      </c>
      <c r="J2277" s="25"/>
      <c r="K2277" s="26"/>
      <c r="L2277" s="26"/>
      <c r="M2277" s="25"/>
      <c r="N2277" s="25"/>
      <c r="O2277" s="25"/>
      <c r="P2277" s="26"/>
      <c r="Q2277" s="26"/>
      <c r="R2277" s="25"/>
      <c r="S2277" s="25"/>
      <c r="T2277" s="25"/>
      <c r="U2277" s="27"/>
      <c r="V2277" s="21"/>
      <c r="W2277" s="16"/>
      <c r="X2277" s="16"/>
      <c r="Y2277" s="16"/>
    </row>
    <row r="2278" customFormat="false" ht="15.75" hidden="false" customHeight="false" outlineLevel="0" collapsed="false">
      <c r="A2278" s="9"/>
      <c r="B2278" s="10"/>
      <c r="C2278" s="11"/>
      <c r="D2278" s="10"/>
      <c r="E2278" s="10"/>
      <c r="F2278" s="10"/>
      <c r="G2278" s="10"/>
      <c r="H2278" s="10"/>
      <c r="I2278" s="12" t="n">
        <v>1</v>
      </c>
      <c r="J2278" s="12"/>
      <c r="K2278" s="13"/>
      <c r="L2278" s="13"/>
      <c r="M2278" s="12"/>
      <c r="N2278" s="12"/>
      <c r="O2278" s="12"/>
      <c r="P2278" s="13"/>
      <c r="Q2278" s="13"/>
      <c r="R2278" s="12"/>
      <c r="S2278" s="12"/>
      <c r="T2278" s="12"/>
      <c r="U2278" s="14"/>
      <c r="V2278" s="15"/>
      <c r="W2278" s="16" t="n">
        <f aca="false">A2278</f>
        <v>0</v>
      </c>
      <c r="X2278" s="17" t="e">
        <f aca="false">ifs(C2278="","",X2278="",NOW(),TRUE(),X2278)</f>
        <v>#VALUE!</v>
      </c>
      <c r="Y2278" s="17" t="e">
        <f aca="false">ifs(COUNTA(K2278:U2281)&lt;44,"",Y2278="",NOW(),TRUE(),Y2278)</f>
        <v>#VALUE!</v>
      </c>
    </row>
    <row r="2279" customFormat="false" ht="15.75" hidden="false" customHeight="false" outlineLevel="0" collapsed="false">
      <c r="A2279" s="9"/>
      <c r="B2279" s="10"/>
      <c r="C2279" s="10"/>
      <c r="D2279" s="10"/>
      <c r="E2279" s="10"/>
      <c r="F2279" s="10"/>
      <c r="G2279" s="10"/>
      <c r="H2279" s="10"/>
      <c r="I2279" s="18" t="n">
        <v>2</v>
      </c>
      <c r="J2279" s="18"/>
      <c r="K2279" s="19"/>
      <c r="L2279" s="19"/>
      <c r="M2279" s="18"/>
      <c r="N2279" s="18"/>
      <c r="O2279" s="18"/>
      <c r="P2279" s="19"/>
      <c r="Q2279" s="19"/>
      <c r="R2279" s="18"/>
      <c r="S2279" s="18"/>
      <c r="T2279" s="18"/>
      <c r="U2279" s="20"/>
      <c r="V2279" s="21"/>
      <c r="W2279" s="16"/>
      <c r="X2279" s="16"/>
      <c r="Y2279" s="16"/>
    </row>
    <row r="2280" customFormat="false" ht="15.75" hidden="false" customHeight="false" outlineLevel="0" collapsed="false">
      <c r="A2280" s="9"/>
      <c r="B2280" s="10"/>
      <c r="C2280" s="10"/>
      <c r="D2280" s="10"/>
      <c r="E2280" s="10"/>
      <c r="F2280" s="10"/>
      <c r="G2280" s="10"/>
      <c r="H2280" s="10"/>
      <c r="I2280" s="22" t="n">
        <v>3</v>
      </c>
      <c r="J2280" s="22"/>
      <c r="K2280" s="23"/>
      <c r="L2280" s="23"/>
      <c r="M2280" s="22"/>
      <c r="N2280" s="22"/>
      <c r="O2280" s="22"/>
      <c r="P2280" s="23"/>
      <c r="Q2280" s="23"/>
      <c r="R2280" s="22"/>
      <c r="S2280" s="22"/>
      <c r="T2280" s="22"/>
      <c r="U2280" s="24"/>
      <c r="V2280" s="15"/>
      <c r="W2280" s="16"/>
      <c r="X2280" s="16"/>
      <c r="Y2280" s="16"/>
    </row>
    <row r="2281" customFormat="false" ht="15.75" hidden="false" customHeight="false" outlineLevel="0" collapsed="false">
      <c r="A2281" s="9"/>
      <c r="B2281" s="10"/>
      <c r="C2281" s="10"/>
      <c r="D2281" s="10"/>
      <c r="E2281" s="10"/>
      <c r="F2281" s="10"/>
      <c r="G2281" s="10"/>
      <c r="H2281" s="10"/>
      <c r="I2281" s="25" t="n">
        <v>4</v>
      </c>
      <c r="J2281" s="25"/>
      <c r="K2281" s="26"/>
      <c r="L2281" s="26"/>
      <c r="M2281" s="25"/>
      <c r="N2281" s="25"/>
      <c r="O2281" s="25"/>
      <c r="P2281" s="26"/>
      <c r="Q2281" s="26"/>
      <c r="R2281" s="25"/>
      <c r="S2281" s="25"/>
      <c r="T2281" s="25"/>
      <c r="U2281" s="27"/>
      <c r="V2281" s="21"/>
      <c r="W2281" s="16"/>
      <c r="X2281" s="16"/>
      <c r="Y2281" s="16"/>
    </row>
    <row r="2282" customFormat="false" ht="15.75" hidden="false" customHeight="false" outlineLevel="0" collapsed="false">
      <c r="A2282" s="9"/>
      <c r="B2282" s="10"/>
      <c r="C2282" s="11"/>
      <c r="D2282" s="10"/>
      <c r="E2282" s="10"/>
      <c r="F2282" s="10"/>
      <c r="G2282" s="10"/>
      <c r="H2282" s="10"/>
      <c r="I2282" s="12" t="n">
        <v>1</v>
      </c>
      <c r="J2282" s="12"/>
      <c r="K2282" s="13"/>
      <c r="L2282" s="13"/>
      <c r="M2282" s="12"/>
      <c r="N2282" s="12"/>
      <c r="O2282" s="12"/>
      <c r="P2282" s="13"/>
      <c r="Q2282" s="13"/>
      <c r="R2282" s="12"/>
      <c r="S2282" s="12"/>
      <c r="T2282" s="12"/>
      <c r="U2282" s="14"/>
      <c r="V2282" s="15"/>
      <c r="W2282" s="16" t="n">
        <f aca="false">A2282</f>
        <v>0</v>
      </c>
      <c r="X2282" s="17" t="e">
        <f aca="false">ifs(C2282="","",X2282="",NOW(),TRUE(),X2282)</f>
        <v>#VALUE!</v>
      </c>
      <c r="Y2282" s="17" t="e">
        <f aca="false">ifs(COUNTA(K2282:U2285)&lt;44,"",Y2282="",NOW(),TRUE(),Y2282)</f>
        <v>#VALUE!</v>
      </c>
    </row>
    <row r="2283" customFormat="false" ht="15.75" hidden="false" customHeight="false" outlineLevel="0" collapsed="false">
      <c r="A2283" s="9"/>
      <c r="B2283" s="10"/>
      <c r="C2283" s="10"/>
      <c r="D2283" s="10"/>
      <c r="E2283" s="10"/>
      <c r="F2283" s="10"/>
      <c r="G2283" s="10"/>
      <c r="H2283" s="10"/>
      <c r="I2283" s="18" t="n">
        <v>2</v>
      </c>
      <c r="J2283" s="18"/>
      <c r="K2283" s="19"/>
      <c r="L2283" s="19"/>
      <c r="M2283" s="18"/>
      <c r="N2283" s="18"/>
      <c r="O2283" s="18"/>
      <c r="P2283" s="19"/>
      <c r="Q2283" s="19"/>
      <c r="R2283" s="18"/>
      <c r="S2283" s="18"/>
      <c r="T2283" s="18"/>
      <c r="U2283" s="20"/>
      <c r="V2283" s="21"/>
      <c r="W2283" s="16"/>
      <c r="X2283" s="16"/>
      <c r="Y2283" s="16"/>
    </row>
    <row r="2284" customFormat="false" ht="15.75" hidden="false" customHeight="false" outlineLevel="0" collapsed="false">
      <c r="A2284" s="9"/>
      <c r="B2284" s="10"/>
      <c r="C2284" s="10"/>
      <c r="D2284" s="10"/>
      <c r="E2284" s="10"/>
      <c r="F2284" s="10"/>
      <c r="G2284" s="10"/>
      <c r="H2284" s="10"/>
      <c r="I2284" s="22" t="n">
        <v>3</v>
      </c>
      <c r="J2284" s="22"/>
      <c r="K2284" s="23"/>
      <c r="L2284" s="23"/>
      <c r="M2284" s="22"/>
      <c r="N2284" s="22"/>
      <c r="O2284" s="22"/>
      <c r="P2284" s="23"/>
      <c r="Q2284" s="23"/>
      <c r="R2284" s="22"/>
      <c r="S2284" s="22"/>
      <c r="T2284" s="22"/>
      <c r="U2284" s="24"/>
      <c r="V2284" s="15"/>
      <c r="W2284" s="16"/>
      <c r="X2284" s="16"/>
      <c r="Y2284" s="16"/>
    </row>
    <row r="2285" customFormat="false" ht="15.75" hidden="false" customHeight="false" outlineLevel="0" collapsed="false">
      <c r="A2285" s="9"/>
      <c r="B2285" s="10"/>
      <c r="C2285" s="10"/>
      <c r="D2285" s="10"/>
      <c r="E2285" s="10"/>
      <c r="F2285" s="10"/>
      <c r="G2285" s="10"/>
      <c r="H2285" s="10"/>
      <c r="I2285" s="25" t="n">
        <v>4</v>
      </c>
      <c r="J2285" s="25"/>
      <c r="K2285" s="26"/>
      <c r="L2285" s="26"/>
      <c r="M2285" s="25"/>
      <c r="N2285" s="25"/>
      <c r="O2285" s="25"/>
      <c r="P2285" s="26"/>
      <c r="Q2285" s="26"/>
      <c r="R2285" s="25"/>
      <c r="S2285" s="25"/>
      <c r="T2285" s="25"/>
      <c r="U2285" s="27"/>
      <c r="V2285" s="21"/>
      <c r="W2285" s="16"/>
      <c r="X2285" s="16"/>
      <c r="Y2285" s="16"/>
    </row>
    <row r="2286" customFormat="false" ht="15.75" hidden="false" customHeight="false" outlineLevel="0" collapsed="false">
      <c r="A2286" s="9"/>
      <c r="B2286" s="10"/>
      <c r="C2286" s="11"/>
      <c r="D2286" s="10"/>
      <c r="E2286" s="10"/>
      <c r="F2286" s="10"/>
      <c r="G2286" s="10"/>
      <c r="H2286" s="10"/>
      <c r="I2286" s="12" t="n">
        <v>1</v>
      </c>
      <c r="J2286" s="12"/>
      <c r="K2286" s="13"/>
      <c r="L2286" s="13"/>
      <c r="M2286" s="12"/>
      <c r="N2286" s="12"/>
      <c r="O2286" s="12"/>
      <c r="P2286" s="13"/>
      <c r="Q2286" s="13"/>
      <c r="R2286" s="12"/>
      <c r="S2286" s="12"/>
      <c r="T2286" s="12"/>
      <c r="U2286" s="14"/>
      <c r="V2286" s="15"/>
      <c r="W2286" s="16" t="n">
        <f aca="false">A2286</f>
        <v>0</v>
      </c>
      <c r="X2286" s="17" t="e">
        <f aca="false">ifs(C2286="","",X2286="",NOW(),TRUE(),X2286)</f>
        <v>#VALUE!</v>
      </c>
      <c r="Y2286" s="17" t="e">
        <f aca="false">ifs(COUNTA(K2286:U2289)&lt;44,"",Y2286="",NOW(),TRUE(),Y2286)</f>
        <v>#VALUE!</v>
      </c>
    </row>
    <row r="2287" customFormat="false" ht="15.75" hidden="false" customHeight="false" outlineLevel="0" collapsed="false">
      <c r="A2287" s="9"/>
      <c r="B2287" s="10"/>
      <c r="C2287" s="10"/>
      <c r="D2287" s="10"/>
      <c r="E2287" s="10"/>
      <c r="F2287" s="10"/>
      <c r="G2287" s="10"/>
      <c r="H2287" s="10"/>
      <c r="I2287" s="18" t="n">
        <v>2</v>
      </c>
      <c r="J2287" s="18"/>
      <c r="K2287" s="19"/>
      <c r="L2287" s="19"/>
      <c r="M2287" s="18"/>
      <c r="N2287" s="18"/>
      <c r="O2287" s="18"/>
      <c r="P2287" s="19"/>
      <c r="Q2287" s="19"/>
      <c r="R2287" s="18"/>
      <c r="S2287" s="18"/>
      <c r="T2287" s="18"/>
      <c r="U2287" s="20"/>
      <c r="V2287" s="21"/>
      <c r="W2287" s="16"/>
      <c r="X2287" s="16"/>
      <c r="Y2287" s="16"/>
    </row>
    <row r="2288" customFormat="false" ht="15.75" hidden="false" customHeight="false" outlineLevel="0" collapsed="false">
      <c r="A2288" s="9"/>
      <c r="B2288" s="10"/>
      <c r="C2288" s="10"/>
      <c r="D2288" s="10"/>
      <c r="E2288" s="10"/>
      <c r="F2288" s="10"/>
      <c r="G2288" s="10"/>
      <c r="H2288" s="10"/>
      <c r="I2288" s="22" t="n">
        <v>3</v>
      </c>
      <c r="J2288" s="22"/>
      <c r="K2288" s="23"/>
      <c r="L2288" s="23"/>
      <c r="M2288" s="22"/>
      <c r="N2288" s="22"/>
      <c r="O2288" s="22"/>
      <c r="P2288" s="23"/>
      <c r="Q2288" s="23"/>
      <c r="R2288" s="22"/>
      <c r="S2288" s="22"/>
      <c r="T2288" s="22"/>
      <c r="U2288" s="24"/>
      <c r="V2288" s="15"/>
      <c r="W2288" s="16"/>
      <c r="X2288" s="16"/>
      <c r="Y2288" s="16"/>
    </row>
    <row r="2289" customFormat="false" ht="15.75" hidden="false" customHeight="false" outlineLevel="0" collapsed="false">
      <c r="A2289" s="9"/>
      <c r="B2289" s="10"/>
      <c r="C2289" s="10"/>
      <c r="D2289" s="10"/>
      <c r="E2289" s="10"/>
      <c r="F2289" s="10"/>
      <c r="G2289" s="10"/>
      <c r="H2289" s="10"/>
      <c r="I2289" s="25" t="n">
        <v>4</v>
      </c>
      <c r="J2289" s="25"/>
      <c r="K2289" s="26"/>
      <c r="L2289" s="26"/>
      <c r="M2289" s="25"/>
      <c r="N2289" s="25"/>
      <c r="O2289" s="25"/>
      <c r="P2289" s="26"/>
      <c r="Q2289" s="26"/>
      <c r="R2289" s="25"/>
      <c r="S2289" s="25"/>
      <c r="T2289" s="25"/>
      <c r="U2289" s="27"/>
      <c r="V2289" s="21"/>
      <c r="W2289" s="16"/>
      <c r="X2289" s="16"/>
      <c r="Y2289" s="16"/>
    </row>
    <row r="2290" customFormat="false" ht="15.75" hidden="false" customHeight="false" outlineLevel="0" collapsed="false">
      <c r="A2290" s="9"/>
      <c r="B2290" s="10"/>
      <c r="C2290" s="11"/>
      <c r="D2290" s="10"/>
      <c r="E2290" s="10"/>
      <c r="F2290" s="10"/>
      <c r="G2290" s="10"/>
      <c r="H2290" s="10"/>
      <c r="I2290" s="12" t="n">
        <v>1</v>
      </c>
      <c r="J2290" s="12"/>
      <c r="K2290" s="13"/>
      <c r="L2290" s="13"/>
      <c r="M2290" s="12"/>
      <c r="N2290" s="12"/>
      <c r="O2290" s="12"/>
      <c r="P2290" s="13"/>
      <c r="Q2290" s="13"/>
      <c r="R2290" s="12"/>
      <c r="S2290" s="12"/>
      <c r="T2290" s="12"/>
      <c r="U2290" s="14"/>
      <c r="V2290" s="15"/>
      <c r="W2290" s="16" t="n">
        <f aca="false">A2290</f>
        <v>0</v>
      </c>
      <c r="X2290" s="17" t="e">
        <f aca="false">ifs(C2290="","",X2290="",NOW(),TRUE(),X2290)</f>
        <v>#VALUE!</v>
      </c>
      <c r="Y2290" s="17" t="e">
        <f aca="false">ifs(COUNTA(K2290:U2293)&lt;44,"",Y2290="",NOW(),TRUE(),Y2290)</f>
        <v>#VALUE!</v>
      </c>
    </row>
    <row r="2291" customFormat="false" ht="15.75" hidden="false" customHeight="false" outlineLevel="0" collapsed="false">
      <c r="A2291" s="9"/>
      <c r="B2291" s="10"/>
      <c r="C2291" s="10"/>
      <c r="D2291" s="10"/>
      <c r="E2291" s="10"/>
      <c r="F2291" s="10"/>
      <c r="G2291" s="10"/>
      <c r="H2291" s="10"/>
      <c r="I2291" s="18" t="n">
        <v>2</v>
      </c>
      <c r="J2291" s="18"/>
      <c r="K2291" s="19"/>
      <c r="L2291" s="19"/>
      <c r="M2291" s="18"/>
      <c r="N2291" s="18"/>
      <c r="O2291" s="18"/>
      <c r="P2291" s="19"/>
      <c r="Q2291" s="19"/>
      <c r="R2291" s="18"/>
      <c r="S2291" s="18"/>
      <c r="T2291" s="18"/>
      <c r="U2291" s="20"/>
      <c r="V2291" s="21"/>
      <c r="W2291" s="16"/>
      <c r="X2291" s="16"/>
      <c r="Y2291" s="16"/>
    </row>
    <row r="2292" customFormat="false" ht="15.75" hidden="false" customHeight="false" outlineLevel="0" collapsed="false">
      <c r="A2292" s="9"/>
      <c r="B2292" s="10"/>
      <c r="C2292" s="10"/>
      <c r="D2292" s="10"/>
      <c r="E2292" s="10"/>
      <c r="F2292" s="10"/>
      <c r="G2292" s="10"/>
      <c r="H2292" s="10"/>
      <c r="I2292" s="22" t="n">
        <v>3</v>
      </c>
      <c r="J2292" s="22"/>
      <c r="K2292" s="23"/>
      <c r="L2292" s="23"/>
      <c r="M2292" s="22"/>
      <c r="N2292" s="22"/>
      <c r="O2292" s="22"/>
      <c r="P2292" s="23"/>
      <c r="Q2292" s="23"/>
      <c r="R2292" s="22"/>
      <c r="S2292" s="22"/>
      <c r="T2292" s="22"/>
      <c r="U2292" s="24"/>
      <c r="V2292" s="15"/>
      <c r="W2292" s="16"/>
      <c r="X2292" s="16"/>
      <c r="Y2292" s="16"/>
    </row>
    <row r="2293" customFormat="false" ht="15.75" hidden="false" customHeight="false" outlineLevel="0" collapsed="false">
      <c r="A2293" s="9"/>
      <c r="B2293" s="10"/>
      <c r="C2293" s="10"/>
      <c r="D2293" s="10"/>
      <c r="E2293" s="10"/>
      <c r="F2293" s="10"/>
      <c r="G2293" s="10"/>
      <c r="H2293" s="10"/>
      <c r="I2293" s="25" t="n">
        <v>4</v>
      </c>
      <c r="J2293" s="25"/>
      <c r="K2293" s="26"/>
      <c r="L2293" s="26"/>
      <c r="M2293" s="25"/>
      <c r="N2293" s="25"/>
      <c r="O2293" s="25"/>
      <c r="P2293" s="26"/>
      <c r="Q2293" s="26"/>
      <c r="R2293" s="25"/>
      <c r="S2293" s="25"/>
      <c r="T2293" s="25"/>
      <c r="U2293" s="27"/>
      <c r="V2293" s="21"/>
      <c r="W2293" s="16"/>
      <c r="X2293" s="16"/>
      <c r="Y2293" s="16"/>
    </row>
    <row r="2294" customFormat="false" ht="15.75" hidden="false" customHeight="false" outlineLevel="0" collapsed="false">
      <c r="A2294" s="9"/>
      <c r="B2294" s="10"/>
      <c r="C2294" s="11"/>
      <c r="D2294" s="10"/>
      <c r="E2294" s="10"/>
      <c r="F2294" s="10"/>
      <c r="G2294" s="10"/>
      <c r="H2294" s="10"/>
      <c r="I2294" s="12" t="n">
        <v>1</v>
      </c>
      <c r="J2294" s="12"/>
      <c r="K2294" s="13"/>
      <c r="L2294" s="13"/>
      <c r="M2294" s="12"/>
      <c r="N2294" s="12"/>
      <c r="O2294" s="12"/>
      <c r="P2294" s="13"/>
      <c r="Q2294" s="13"/>
      <c r="R2294" s="12"/>
      <c r="S2294" s="12"/>
      <c r="T2294" s="12"/>
      <c r="U2294" s="14"/>
      <c r="V2294" s="15"/>
      <c r="W2294" s="16" t="n">
        <f aca="false">A2294</f>
        <v>0</v>
      </c>
      <c r="X2294" s="17" t="e">
        <f aca="false">ifs(C2294="","",X2294="",NOW(),TRUE(),X2294)</f>
        <v>#VALUE!</v>
      </c>
      <c r="Y2294" s="17" t="e">
        <f aca="false">ifs(COUNTA(K2294:U2297)&lt;44,"",Y2294="",NOW(),TRUE(),Y2294)</f>
        <v>#VALUE!</v>
      </c>
    </row>
    <row r="2295" customFormat="false" ht="15.75" hidden="false" customHeight="false" outlineLevel="0" collapsed="false">
      <c r="A2295" s="9"/>
      <c r="B2295" s="10"/>
      <c r="C2295" s="10"/>
      <c r="D2295" s="10"/>
      <c r="E2295" s="10"/>
      <c r="F2295" s="10"/>
      <c r="G2295" s="10"/>
      <c r="H2295" s="10"/>
      <c r="I2295" s="18" t="n">
        <v>2</v>
      </c>
      <c r="J2295" s="18"/>
      <c r="K2295" s="19"/>
      <c r="L2295" s="19"/>
      <c r="M2295" s="18"/>
      <c r="N2295" s="18"/>
      <c r="O2295" s="18"/>
      <c r="P2295" s="19"/>
      <c r="Q2295" s="19"/>
      <c r="R2295" s="18"/>
      <c r="S2295" s="18"/>
      <c r="T2295" s="18"/>
      <c r="U2295" s="20"/>
      <c r="V2295" s="21"/>
      <c r="W2295" s="16"/>
      <c r="X2295" s="16"/>
      <c r="Y2295" s="16"/>
    </row>
    <row r="2296" customFormat="false" ht="15.75" hidden="false" customHeight="false" outlineLevel="0" collapsed="false">
      <c r="A2296" s="9"/>
      <c r="B2296" s="10"/>
      <c r="C2296" s="10"/>
      <c r="D2296" s="10"/>
      <c r="E2296" s="10"/>
      <c r="F2296" s="10"/>
      <c r="G2296" s="10"/>
      <c r="H2296" s="10"/>
      <c r="I2296" s="22" t="n">
        <v>3</v>
      </c>
      <c r="J2296" s="22"/>
      <c r="K2296" s="23"/>
      <c r="L2296" s="23"/>
      <c r="M2296" s="22"/>
      <c r="N2296" s="22"/>
      <c r="O2296" s="22"/>
      <c r="P2296" s="23"/>
      <c r="Q2296" s="23"/>
      <c r="R2296" s="22"/>
      <c r="S2296" s="22"/>
      <c r="T2296" s="22"/>
      <c r="U2296" s="24"/>
      <c r="V2296" s="15"/>
      <c r="W2296" s="16"/>
      <c r="X2296" s="16"/>
      <c r="Y2296" s="16"/>
    </row>
    <row r="2297" customFormat="false" ht="15.75" hidden="false" customHeight="false" outlineLevel="0" collapsed="false">
      <c r="A2297" s="9"/>
      <c r="B2297" s="10"/>
      <c r="C2297" s="10"/>
      <c r="D2297" s="10"/>
      <c r="E2297" s="10"/>
      <c r="F2297" s="10"/>
      <c r="G2297" s="10"/>
      <c r="H2297" s="10"/>
      <c r="I2297" s="25" t="n">
        <v>4</v>
      </c>
      <c r="J2297" s="25"/>
      <c r="K2297" s="26"/>
      <c r="L2297" s="26"/>
      <c r="M2297" s="25"/>
      <c r="N2297" s="25"/>
      <c r="O2297" s="25"/>
      <c r="P2297" s="26"/>
      <c r="Q2297" s="26"/>
      <c r="R2297" s="25"/>
      <c r="S2297" s="25"/>
      <c r="T2297" s="25"/>
      <c r="U2297" s="27"/>
      <c r="V2297" s="21"/>
      <c r="W2297" s="16"/>
      <c r="X2297" s="16"/>
      <c r="Y2297" s="16"/>
    </row>
    <row r="2298" customFormat="false" ht="15.75" hidden="false" customHeight="false" outlineLevel="0" collapsed="false">
      <c r="A2298" s="9"/>
      <c r="B2298" s="10"/>
      <c r="C2298" s="11"/>
      <c r="D2298" s="10"/>
      <c r="E2298" s="10"/>
      <c r="F2298" s="10"/>
      <c r="G2298" s="10"/>
      <c r="H2298" s="10"/>
      <c r="I2298" s="12" t="n">
        <v>1</v>
      </c>
      <c r="J2298" s="12"/>
      <c r="K2298" s="13"/>
      <c r="L2298" s="13"/>
      <c r="M2298" s="12"/>
      <c r="N2298" s="12"/>
      <c r="O2298" s="12"/>
      <c r="P2298" s="13"/>
      <c r="Q2298" s="13"/>
      <c r="R2298" s="12"/>
      <c r="S2298" s="12"/>
      <c r="T2298" s="12"/>
      <c r="U2298" s="14"/>
      <c r="V2298" s="15"/>
      <c r="W2298" s="16" t="n">
        <f aca="false">A2298</f>
        <v>0</v>
      </c>
      <c r="X2298" s="17" t="e">
        <f aca="false">ifs(C2298="","",X2298="",NOW(),TRUE(),X2298)</f>
        <v>#VALUE!</v>
      </c>
      <c r="Y2298" s="17" t="e">
        <f aca="false">ifs(COUNTA(K2298:U2301)&lt;44,"",Y2298="",NOW(),TRUE(),Y2298)</f>
        <v>#VALUE!</v>
      </c>
    </row>
    <row r="2299" customFormat="false" ht="15.75" hidden="false" customHeight="false" outlineLevel="0" collapsed="false">
      <c r="A2299" s="9"/>
      <c r="B2299" s="10"/>
      <c r="C2299" s="10"/>
      <c r="D2299" s="10"/>
      <c r="E2299" s="10"/>
      <c r="F2299" s="10"/>
      <c r="G2299" s="10"/>
      <c r="H2299" s="10"/>
      <c r="I2299" s="18" t="n">
        <v>2</v>
      </c>
      <c r="J2299" s="18"/>
      <c r="K2299" s="19"/>
      <c r="L2299" s="19"/>
      <c r="M2299" s="18"/>
      <c r="N2299" s="18"/>
      <c r="O2299" s="18"/>
      <c r="P2299" s="19"/>
      <c r="Q2299" s="19"/>
      <c r="R2299" s="18"/>
      <c r="S2299" s="18"/>
      <c r="T2299" s="18"/>
      <c r="U2299" s="20"/>
      <c r="V2299" s="21"/>
      <c r="W2299" s="16"/>
      <c r="X2299" s="16"/>
      <c r="Y2299" s="16"/>
    </row>
    <row r="2300" customFormat="false" ht="15.75" hidden="false" customHeight="false" outlineLevel="0" collapsed="false">
      <c r="A2300" s="9"/>
      <c r="B2300" s="10"/>
      <c r="C2300" s="10"/>
      <c r="D2300" s="10"/>
      <c r="E2300" s="10"/>
      <c r="F2300" s="10"/>
      <c r="G2300" s="10"/>
      <c r="H2300" s="10"/>
      <c r="I2300" s="22" t="n">
        <v>3</v>
      </c>
      <c r="J2300" s="22"/>
      <c r="K2300" s="23"/>
      <c r="L2300" s="23"/>
      <c r="M2300" s="22"/>
      <c r="N2300" s="22"/>
      <c r="O2300" s="22"/>
      <c r="P2300" s="23"/>
      <c r="Q2300" s="23"/>
      <c r="R2300" s="22"/>
      <c r="S2300" s="22"/>
      <c r="T2300" s="22"/>
      <c r="U2300" s="24"/>
      <c r="V2300" s="15"/>
      <c r="W2300" s="16"/>
      <c r="X2300" s="16"/>
      <c r="Y2300" s="16"/>
    </row>
    <row r="2301" customFormat="false" ht="15.75" hidden="false" customHeight="false" outlineLevel="0" collapsed="false">
      <c r="A2301" s="9"/>
      <c r="B2301" s="10"/>
      <c r="C2301" s="10"/>
      <c r="D2301" s="10"/>
      <c r="E2301" s="10"/>
      <c r="F2301" s="10"/>
      <c r="G2301" s="10"/>
      <c r="H2301" s="10"/>
      <c r="I2301" s="25" t="n">
        <v>4</v>
      </c>
      <c r="J2301" s="25"/>
      <c r="K2301" s="26"/>
      <c r="L2301" s="26"/>
      <c r="M2301" s="25"/>
      <c r="N2301" s="25"/>
      <c r="O2301" s="25"/>
      <c r="P2301" s="26"/>
      <c r="Q2301" s="26"/>
      <c r="R2301" s="25"/>
      <c r="S2301" s="25"/>
      <c r="T2301" s="25"/>
      <c r="U2301" s="27"/>
      <c r="V2301" s="21"/>
      <c r="W2301" s="16"/>
      <c r="X2301" s="16"/>
      <c r="Y2301" s="16"/>
    </row>
    <row r="2302" customFormat="false" ht="15.75" hidden="false" customHeight="false" outlineLevel="0" collapsed="false">
      <c r="A2302" s="9"/>
      <c r="B2302" s="10"/>
      <c r="C2302" s="11"/>
      <c r="D2302" s="10"/>
      <c r="E2302" s="10"/>
      <c r="F2302" s="10"/>
      <c r="G2302" s="10"/>
      <c r="H2302" s="10"/>
      <c r="I2302" s="12" t="n">
        <v>1</v>
      </c>
      <c r="J2302" s="12"/>
      <c r="K2302" s="13"/>
      <c r="L2302" s="13"/>
      <c r="M2302" s="12"/>
      <c r="N2302" s="12"/>
      <c r="O2302" s="12"/>
      <c r="P2302" s="13"/>
      <c r="Q2302" s="13"/>
      <c r="R2302" s="12"/>
      <c r="S2302" s="12"/>
      <c r="T2302" s="12"/>
      <c r="U2302" s="14"/>
      <c r="V2302" s="15"/>
      <c r="W2302" s="16" t="n">
        <f aca="false">A2302</f>
        <v>0</v>
      </c>
      <c r="X2302" s="17" t="e">
        <f aca="false">ifs(C2302="","",X2302="",NOW(),TRUE(),X2302)</f>
        <v>#VALUE!</v>
      </c>
      <c r="Y2302" s="17" t="e">
        <f aca="false">ifs(COUNTA(K2302:U2305)&lt;44,"",Y2302="",NOW(),TRUE(),Y2302)</f>
        <v>#VALUE!</v>
      </c>
    </row>
    <row r="2303" customFormat="false" ht="15.75" hidden="false" customHeight="false" outlineLevel="0" collapsed="false">
      <c r="A2303" s="9"/>
      <c r="B2303" s="10"/>
      <c r="C2303" s="10"/>
      <c r="D2303" s="10"/>
      <c r="E2303" s="10"/>
      <c r="F2303" s="10"/>
      <c r="G2303" s="10"/>
      <c r="H2303" s="10"/>
      <c r="I2303" s="18" t="n">
        <v>2</v>
      </c>
      <c r="J2303" s="18"/>
      <c r="K2303" s="19"/>
      <c r="L2303" s="19"/>
      <c r="M2303" s="18"/>
      <c r="N2303" s="18"/>
      <c r="O2303" s="18"/>
      <c r="P2303" s="19"/>
      <c r="Q2303" s="19"/>
      <c r="R2303" s="18"/>
      <c r="S2303" s="18"/>
      <c r="T2303" s="18"/>
      <c r="U2303" s="20"/>
      <c r="V2303" s="21"/>
      <c r="W2303" s="16"/>
      <c r="X2303" s="16"/>
      <c r="Y2303" s="16"/>
    </row>
    <row r="2304" customFormat="false" ht="15.75" hidden="false" customHeight="false" outlineLevel="0" collapsed="false">
      <c r="A2304" s="9"/>
      <c r="B2304" s="10"/>
      <c r="C2304" s="10"/>
      <c r="D2304" s="10"/>
      <c r="E2304" s="10"/>
      <c r="F2304" s="10"/>
      <c r="G2304" s="10"/>
      <c r="H2304" s="10"/>
      <c r="I2304" s="22" t="n">
        <v>3</v>
      </c>
      <c r="J2304" s="22"/>
      <c r="K2304" s="23"/>
      <c r="L2304" s="23"/>
      <c r="M2304" s="22"/>
      <c r="N2304" s="22"/>
      <c r="O2304" s="22"/>
      <c r="P2304" s="23"/>
      <c r="Q2304" s="23"/>
      <c r="R2304" s="22"/>
      <c r="S2304" s="22"/>
      <c r="T2304" s="22"/>
      <c r="U2304" s="24"/>
      <c r="V2304" s="15"/>
      <c r="W2304" s="16"/>
      <c r="X2304" s="16"/>
      <c r="Y2304" s="16"/>
    </row>
    <row r="2305" customFormat="false" ht="15.75" hidden="false" customHeight="false" outlineLevel="0" collapsed="false">
      <c r="A2305" s="9"/>
      <c r="B2305" s="10"/>
      <c r="C2305" s="10"/>
      <c r="D2305" s="10"/>
      <c r="E2305" s="10"/>
      <c r="F2305" s="10"/>
      <c r="G2305" s="10"/>
      <c r="H2305" s="10"/>
      <c r="I2305" s="25" t="n">
        <v>4</v>
      </c>
      <c r="J2305" s="25"/>
      <c r="K2305" s="26"/>
      <c r="L2305" s="26"/>
      <c r="M2305" s="25"/>
      <c r="N2305" s="25"/>
      <c r="O2305" s="25"/>
      <c r="P2305" s="26"/>
      <c r="Q2305" s="26"/>
      <c r="R2305" s="25"/>
      <c r="S2305" s="25"/>
      <c r="T2305" s="25"/>
      <c r="U2305" s="27"/>
      <c r="V2305" s="21"/>
      <c r="W2305" s="16"/>
      <c r="X2305" s="16"/>
      <c r="Y2305" s="16"/>
    </row>
    <row r="2306" customFormat="false" ht="15.75" hidden="false" customHeight="false" outlineLevel="0" collapsed="false">
      <c r="A2306" s="9"/>
      <c r="B2306" s="10"/>
      <c r="C2306" s="11"/>
      <c r="D2306" s="10"/>
      <c r="E2306" s="10"/>
      <c r="F2306" s="10"/>
      <c r="G2306" s="10"/>
      <c r="H2306" s="10"/>
      <c r="I2306" s="12" t="n">
        <v>1</v>
      </c>
      <c r="J2306" s="12"/>
      <c r="K2306" s="13"/>
      <c r="L2306" s="13"/>
      <c r="M2306" s="12"/>
      <c r="N2306" s="12"/>
      <c r="O2306" s="12"/>
      <c r="P2306" s="13"/>
      <c r="Q2306" s="13"/>
      <c r="R2306" s="12"/>
      <c r="S2306" s="12"/>
      <c r="T2306" s="12"/>
      <c r="U2306" s="14"/>
      <c r="V2306" s="15"/>
      <c r="W2306" s="16" t="n">
        <f aca="false">A2306</f>
        <v>0</v>
      </c>
      <c r="X2306" s="17" t="e">
        <f aca="false">ifs(C2306="","",X2306="",NOW(),TRUE(),X2306)</f>
        <v>#VALUE!</v>
      </c>
      <c r="Y2306" s="17" t="e">
        <f aca="false">ifs(COUNTA(K2306:U2309)&lt;44,"",Y2306="",NOW(),TRUE(),Y2306)</f>
        <v>#VALUE!</v>
      </c>
    </row>
    <row r="2307" customFormat="false" ht="15.75" hidden="false" customHeight="false" outlineLevel="0" collapsed="false">
      <c r="A2307" s="9"/>
      <c r="B2307" s="10"/>
      <c r="C2307" s="10"/>
      <c r="D2307" s="10"/>
      <c r="E2307" s="10"/>
      <c r="F2307" s="10"/>
      <c r="G2307" s="10"/>
      <c r="H2307" s="10"/>
      <c r="I2307" s="18" t="n">
        <v>2</v>
      </c>
      <c r="J2307" s="18"/>
      <c r="K2307" s="19"/>
      <c r="L2307" s="19"/>
      <c r="M2307" s="18"/>
      <c r="N2307" s="18"/>
      <c r="O2307" s="18"/>
      <c r="P2307" s="19"/>
      <c r="Q2307" s="19"/>
      <c r="R2307" s="18"/>
      <c r="S2307" s="18"/>
      <c r="T2307" s="18"/>
      <c r="U2307" s="20"/>
      <c r="V2307" s="21"/>
      <c r="W2307" s="16"/>
      <c r="X2307" s="16"/>
      <c r="Y2307" s="16"/>
    </row>
    <row r="2308" customFormat="false" ht="15.75" hidden="false" customHeight="false" outlineLevel="0" collapsed="false">
      <c r="A2308" s="9"/>
      <c r="B2308" s="10"/>
      <c r="C2308" s="10"/>
      <c r="D2308" s="10"/>
      <c r="E2308" s="10"/>
      <c r="F2308" s="10"/>
      <c r="G2308" s="10"/>
      <c r="H2308" s="10"/>
      <c r="I2308" s="22" t="n">
        <v>3</v>
      </c>
      <c r="J2308" s="22"/>
      <c r="K2308" s="23"/>
      <c r="L2308" s="23"/>
      <c r="M2308" s="22"/>
      <c r="N2308" s="22"/>
      <c r="O2308" s="22"/>
      <c r="P2308" s="23"/>
      <c r="Q2308" s="23"/>
      <c r="R2308" s="22"/>
      <c r="S2308" s="22"/>
      <c r="T2308" s="22"/>
      <c r="U2308" s="24"/>
      <c r="V2308" s="15"/>
      <c r="W2308" s="16"/>
      <c r="X2308" s="16"/>
      <c r="Y2308" s="16"/>
    </row>
    <row r="2309" customFormat="false" ht="15.75" hidden="false" customHeight="false" outlineLevel="0" collapsed="false">
      <c r="A2309" s="9"/>
      <c r="B2309" s="10"/>
      <c r="C2309" s="10"/>
      <c r="D2309" s="10"/>
      <c r="E2309" s="10"/>
      <c r="F2309" s="10"/>
      <c r="G2309" s="10"/>
      <c r="H2309" s="10"/>
      <c r="I2309" s="25" t="n">
        <v>4</v>
      </c>
      <c r="J2309" s="25"/>
      <c r="K2309" s="26"/>
      <c r="L2309" s="26"/>
      <c r="M2309" s="25"/>
      <c r="N2309" s="25"/>
      <c r="O2309" s="25"/>
      <c r="P2309" s="26"/>
      <c r="Q2309" s="26"/>
      <c r="R2309" s="25"/>
      <c r="S2309" s="25"/>
      <c r="T2309" s="25"/>
      <c r="U2309" s="27"/>
      <c r="V2309" s="21"/>
      <c r="W2309" s="16"/>
      <c r="X2309" s="16"/>
      <c r="Y2309" s="16"/>
    </row>
    <row r="2310" customFormat="false" ht="15.75" hidden="false" customHeight="false" outlineLevel="0" collapsed="false">
      <c r="A2310" s="9"/>
      <c r="B2310" s="10"/>
      <c r="C2310" s="11"/>
      <c r="D2310" s="10"/>
      <c r="E2310" s="10"/>
      <c r="F2310" s="10"/>
      <c r="G2310" s="10"/>
      <c r="H2310" s="10"/>
      <c r="I2310" s="12" t="n">
        <v>1</v>
      </c>
      <c r="J2310" s="12"/>
      <c r="K2310" s="13"/>
      <c r="L2310" s="13"/>
      <c r="M2310" s="12"/>
      <c r="N2310" s="12"/>
      <c r="O2310" s="12"/>
      <c r="P2310" s="13"/>
      <c r="Q2310" s="13"/>
      <c r="R2310" s="12"/>
      <c r="S2310" s="12"/>
      <c r="T2310" s="12"/>
      <c r="U2310" s="14"/>
      <c r="V2310" s="15"/>
      <c r="W2310" s="16" t="n">
        <f aca="false">A2310</f>
        <v>0</v>
      </c>
      <c r="X2310" s="17" t="e">
        <f aca="false">ifs(C2310="","",X2310="",NOW(),TRUE(),X2310)</f>
        <v>#VALUE!</v>
      </c>
      <c r="Y2310" s="17" t="e">
        <f aca="false">ifs(COUNTA(K2310:U2313)&lt;44,"",Y2310="",NOW(),TRUE(),Y2310)</f>
        <v>#VALUE!</v>
      </c>
    </row>
    <row r="2311" customFormat="false" ht="15.75" hidden="false" customHeight="false" outlineLevel="0" collapsed="false">
      <c r="A2311" s="9"/>
      <c r="B2311" s="10"/>
      <c r="C2311" s="10"/>
      <c r="D2311" s="10"/>
      <c r="E2311" s="10"/>
      <c r="F2311" s="10"/>
      <c r="G2311" s="10"/>
      <c r="H2311" s="10"/>
      <c r="I2311" s="18" t="n">
        <v>2</v>
      </c>
      <c r="J2311" s="18"/>
      <c r="K2311" s="19"/>
      <c r="L2311" s="19"/>
      <c r="M2311" s="18"/>
      <c r="N2311" s="18"/>
      <c r="O2311" s="18"/>
      <c r="P2311" s="19"/>
      <c r="Q2311" s="19"/>
      <c r="R2311" s="18"/>
      <c r="S2311" s="18"/>
      <c r="T2311" s="18"/>
      <c r="U2311" s="20"/>
      <c r="V2311" s="21"/>
      <c r="W2311" s="16"/>
      <c r="X2311" s="16"/>
      <c r="Y2311" s="16"/>
    </row>
    <row r="2312" customFormat="false" ht="15.75" hidden="false" customHeight="false" outlineLevel="0" collapsed="false">
      <c r="A2312" s="9"/>
      <c r="B2312" s="10"/>
      <c r="C2312" s="10"/>
      <c r="D2312" s="10"/>
      <c r="E2312" s="10"/>
      <c r="F2312" s="10"/>
      <c r="G2312" s="10"/>
      <c r="H2312" s="10"/>
      <c r="I2312" s="22" t="n">
        <v>3</v>
      </c>
      <c r="J2312" s="22"/>
      <c r="K2312" s="23"/>
      <c r="L2312" s="23"/>
      <c r="M2312" s="22"/>
      <c r="N2312" s="22"/>
      <c r="O2312" s="22"/>
      <c r="P2312" s="23"/>
      <c r="Q2312" s="23"/>
      <c r="R2312" s="22"/>
      <c r="S2312" s="22"/>
      <c r="T2312" s="22"/>
      <c r="U2312" s="24"/>
      <c r="V2312" s="15"/>
      <c r="W2312" s="16"/>
      <c r="X2312" s="16"/>
      <c r="Y2312" s="16"/>
    </row>
    <row r="2313" customFormat="false" ht="15.75" hidden="false" customHeight="false" outlineLevel="0" collapsed="false">
      <c r="A2313" s="9"/>
      <c r="B2313" s="10"/>
      <c r="C2313" s="10"/>
      <c r="D2313" s="10"/>
      <c r="E2313" s="10"/>
      <c r="F2313" s="10"/>
      <c r="G2313" s="10"/>
      <c r="H2313" s="10"/>
      <c r="I2313" s="25" t="n">
        <v>4</v>
      </c>
      <c r="J2313" s="25"/>
      <c r="K2313" s="26"/>
      <c r="L2313" s="26"/>
      <c r="M2313" s="25"/>
      <c r="N2313" s="25"/>
      <c r="O2313" s="25"/>
      <c r="P2313" s="26"/>
      <c r="Q2313" s="26"/>
      <c r="R2313" s="25"/>
      <c r="S2313" s="25"/>
      <c r="T2313" s="25"/>
      <c r="U2313" s="27"/>
      <c r="V2313" s="21"/>
      <c r="W2313" s="16"/>
      <c r="X2313" s="16"/>
      <c r="Y2313" s="16"/>
    </row>
    <row r="2314" customFormat="false" ht="15.75" hidden="false" customHeight="false" outlineLevel="0" collapsed="false">
      <c r="A2314" s="9"/>
      <c r="B2314" s="10"/>
      <c r="C2314" s="11"/>
      <c r="D2314" s="10"/>
      <c r="E2314" s="10"/>
      <c r="F2314" s="10"/>
      <c r="G2314" s="10"/>
      <c r="H2314" s="10"/>
      <c r="I2314" s="12" t="n">
        <v>1</v>
      </c>
      <c r="J2314" s="12"/>
      <c r="K2314" s="13"/>
      <c r="L2314" s="13"/>
      <c r="M2314" s="12"/>
      <c r="N2314" s="12"/>
      <c r="O2314" s="12"/>
      <c r="P2314" s="13"/>
      <c r="Q2314" s="13"/>
      <c r="R2314" s="12"/>
      <c r="S2314" s="12"/>
      <c r="T2314" s="12"/>
      <c r="U2314" s="14"/>
      <c r="V2314" s="15"/>
      <c r="W2314" s="16" t="n">
        <f aca="false">A2314</f>
        <v>0</v>
      </c>
      <c r="X2314" s="17" t="e">
        <f aca="false">ifs(C2314="","",X2314="",NOW(),TRUE(),X2314)</f>
        <v>#VALUE!</v>
      </c>
      <c r="Y2314" s="17" t="e">
        <f aca="false">ifs(COUNTA(K2314:U2317)&lt;44,"",Y2314="",NOW(),TRUE(),Y2314)</f>
        <v>#VALUE!</v>
      </c>
    </row>
    <row r="2315" customFormat="false" ht="15.75" hidden="false" customHeight="false" outlineLevel="0" collapsed="false">
      <c r="A2315" s="9"/>
      <c r="B2315" s="10"/>
      <c r="C2315" s="10"/>
      <c r="D2315" s="10"/>
      <c r="E2315" s="10"/>
      <c r="F2315" s="10"/>
      <c r="G2315" s="10"/>
      <c r="H2315" s="10"/>
      <c r="I2315" s="18" t="n">
        <v>2</v>
      </c>
      <c r="J2315" s="18"/>
      <c r="K2315" s="19"/>
      <c r="L2315" s="19"/>
      <c r="M2315" s="18"/>
      <c r="N2315" s="18"/>
      <c r="O2315" s="18"/>
      <c r="P2315" s="19"/>
      <c r="Q2315" s="19"/>
      <c r="R2315" s="18"/>
      <c r="S2315" s="18"/>
      <c r="T2315" s="18"/>
      <c r="U2315" s="20"/>
      <c r="V2315" s="21"/>
      <c r="W2315" s="16"/>
      <c r="X2315" s="16"/>
      <c r="Y2315" s="16"/>
    </row>
    <row r="2316" customFormat="false" ht="15.75" hidden="false" customHeight="false" outlineLevel="0" collapsed="false">
      <c r="A2316" s="9"/>
      <c r="B2316" s="10"/>
      <c r="C2316" s="10"/>
      <c r="D2316" s="10"/>
      <c r="E2316" s="10"/>
      <c r="F2316" s="10"/>
      <c r="G2316" s="10"/>
      <c r="H2316" s="10"/>
      <c r="I2316" s="22" t="n">
        <v>3</v>
      </c>
      <c r="J2316" s="22"/>
      <c r="K2316" s="23"/>
      <c r="L2316" s="23"/>
      <c r="M2316" s="22"/>
      <c r="N2316" s="22"/>
      <c r="O2316" s="22"/>
      <c r="P2316" s="23"/>
      <c r="Q2316" s="23"/>
      <c r="R2316" s="22"/>
      <c r="S2316" s="22"/>
      <c r="T2316" s="22"/>
      <c r="U2316" s="24"/>
      <c r="V2316" s="15"/>
      <c r="W2316" s="16"/>
      <c r="X2316" s="16"/>
      <c r="Y2316" s="16"/>
    </row>
    <row r="2317" customFormat="false" ht="15.75" hidden="false" customHeight="false" outlineLevel="0" collapsed="false">
      <c r="A2317" s="9"/>
      <c r="B2317" s="10"/>
      <c r="C2317" s="10"/>
      <c r="D2317" s="10"/>
      <c r="E2317" s="10"/>
      <c r="F2317" s="10"/>
      <c r="G2317" s="10"/>
      <c r="H2317" s="10"/>
      <c r="I2317" s="25" t="n">
        <v>4</v>
      </c>
      <c r="J2317" s="25"/>
      <c r="K2317" s="26"/>
      <c r="L2317" s="26"/>
      <c r="M2317" s="25"/>
      <c r="N2317" s="25"/>
      <c r="O2317" s="25"/>
      <c r="P2317" s="26"/>
      <c r="Q2317" s="26"/>
      <c r="R2317" s="25"/>
      <c r="S2317" s="25"/>
      <c r="T2317" s="25"/>
      <c r="U2317" s="27"/>
      <c r="V2317" s="21"/>
      <c r="W2317" s="16"/>
      <c r="X2317" s="16"/>
      <c r="Y2317" s="16"/>
    </row>
    <row r="2318" customFormat="false" ht="15.75" hidden="false" customHeight="false" outlineLevel="0" collapsed="false">
      <c r="A2318" s="9"/>
      <c r="B2318" s="10"/>
      <c r="C2318" s="11"/>
      <c r="D2318" s="10"/>
      <c r="E2318" s="10"/>
      <c r="F2318" s="10"/>
      <c r="G2318" s="10"/>
      <c r="H2318" s="10"/>
      <c r="I2318" s="12" t="n">
        <v>1</v>
      </c>
      <c r="J2318" s="12"/>
      <c r="K2318" s="13"/>
      <c r="L2318" s="13"/>
      <c r="M2318" s="12"/>
      <c r="N2318" s="12"/>
      <c r="O2318" s="12"/>
      <c r="P2318" s="13"/>
      <c r="Q2318" s="13"/>
      <c r="R2318" s="12"/>
      <c r="S2318" s="12"/>
      <c r="T2318" s="12"/>
      <c r="U2318" s="14"/>
      <c r="V2318" s="15"/>
      <c r="W2318" s="16" t="n">
        <f aca="false">A2318</f>
        <v>0</v>
      </c>
      <c r="X2318" s="17" t="e">
        <f aca="false">ifs(C2318="","",X2318="",NOW(),TRUE(),X2318)</f>
        <v>#VALUE!</v>
      </c>
      <c r="Y2318" s="17" t="e">
        <f aca="false">ifs(COUNTA(K2318:U2321)&lt;44,"",Y2318="",NOW(),TRUE(),Y2318)</f>
        <v>#VALUE!</v>
      </c>
    </row>
    <row r="2319" customFormat="false" ht="15.75" hidden="false" customHeight="false" outlineLevel="0" collapsed="false">
      <c r="A2319" s="9"/>
      <c r="B2319" s="10"/>
      <c r="C2319" s="10"/>
      <c r="D2319" s="10"/>
      <c r="E2319" s="10"/>
      <c r="F2319" s="10"/>
      <c r="G2319" s="10"/>
      <c r="H2319" s="10"/>
      <c r="I2319" s="18" t="n">
        <v>2</v>
      </c>
      <c r="J2319" s="18"/>
      <c r="K2319" s="19"/>
      <c r="L2319" s="19"/>
      <c r="M2319" s="18"/>
      <c r="N2319" s="18"/>
      <c r="O2319" s="18"/>
      <c r="P2319" s="19"/>
      <c r="Q2319" s="19"/>
      <c r="R2319" s="18"/>
      <c r="S2319" s="18"/>
      <c r="T2319" s="18"/>
      <c r="U2319" s="20"/>
      <c r="V2319" s="21"/>
      <c r="W2319" s="16"/>
      <c r="X2319" s="16"/>
      <c r="Y2319" s="16"/>
    </row>
    <row r="2320" customFormat="false" ht="15.75" hidden="false" customHeight="false" outlineLevel="0" collapsed="false">
      <c r="A2320" s="9"/>
      <c r="B2320" s="10"/>
      <c r="C2320" s="10"/>
      <c r="D2320" s="10"/>
      <c r="E2320" s="10"/>
      <c r="F2320" s="10"/>
      <c r="G2320" s="10"/>
      <c r="H2320" s="10"/>
      <c r="I2320" s="22" t="n">
        <v>3</v>
      </c>
      <c r="J2320" s="22"/>
      <c r="K2320" s="23"/>
      <c r="L2320" s="23"/>
      <c r="M2320" s="22"/>
      <c r="N2320" s="22"/>
      <c r="O2320" s="22"/>
      <c r="P2320" s="23"/>
      <c r="Q2320" s="23"/>
      <c r="R2320" s="22"/>
      <c r="S2320" s="22"/>
      <c r="T2320" s="22"/>
      <c r="U2320" s="24"/>
      <c r="V2320" s="15"/>
      <c r="W2320" s="16"/>
      <c r="X2320" s="16"/>
      <c r="Y2320" s="16"/>
    </row>
    <row r="2321" customFormat="false" ht="15.75" hidden="false" customHeight="false" outlineLevel="0" collapsed="false">
      <c r="A2321" s="9"/>
      <c r="B2321" s="10"/>
      <c r="C2321" s="10"/>
      <c r="D2321" s="10"/>
      <c r="E2321" s="10"/>
      <c r="F2321" s="10"/>
      <c r="G2321" s="10"/>
      <c r="H2321" s="10"/>
      <c r="I2321" s="25" t="n">
        <v>4</v>
      </c>
      <c r="J2321" s="25"/>
      <c r="K2321" s="26"/>
      <c r="L2321" s="26"/>
      <c r="M2321" s="25"/>
      <c r="N2321" s="25"/>
      <c r="O2321" s="25"/>
      <c r="P2321" s="26"/>
      <c r="Q2321" s="26"/>
      <c r="R2321" s="25"/>
      <c r="S2321" s="25"/>
      <c r="T2321" s="25"/>
      <c r="U2321" s="27"/>
      <c r="V2321" s="21"/>
      <c r="W2321" s="16"/>
      <c r="X2321" s="16"/>
      <c r="Y2321" s="16"/>
    </row>
    <row r="2322" customFormat="false" ht="15.75" hidden="false" customHeight="false" outlineLevel="0" collapsed="false">
      <c r="A2322" s="9"/>
      <c r="B2322" s="10"/>
      <c r="C2322" s="11"/>
      <c r="D2322" s="10"/>
      <c r="E2322" s="10"/>
      <c r="F2322" s="10"/>
      <c r="G2322" s="10"/>
      <c r="H2322" s="10"/>
      <c r="I2322" s="12" t="n">
        <v>1</v>
      </c>
      <c r="J2322" s="12"/>
      <c r="K2322" s="13"/>
      <c r="L2322" s="13"/>
      <c r="M2322" s="12"/>
      <c r="N2322" s="12"/>
      <c r="O2322" s="12"/>
      <c r="P2322" s="13"/>
      <c r="Q2322" s="13"/>
      <c r="R2322" s="12"/>
      <c r="S2322" s="12"/>
      <c r="T2322" s="12"/>
      <c r="U2322" s="14"/>
      <c r="V2322" s="15"/>
      <c r="W2322" s="16" t="n">
        <f aca="false">A2322</f>
        <v>0</v>
      </c>
      <c r="X2322" s="17" t="e">
        <f aca="false">ifs(C2322="","",X2322="",NOW(),TRUE(),X2322)</f>
        <v>#VALUE!</v>
      </c>
      <c r="Y2322" s="17" t="e">
        <f aca="false">ifs(COUNTA(K2322:U2325)&lt;44,"",Y2322="",NOW(),TRUE(),Y2322)</f>
        <v>#VALUE!</v>
      </c>
    </row>
    <row r="2323" customFormat="false" ht="15.75" hidden="false" customHeight="false" outlineLevel="0" collapsed="false">
      <c r="A2323" s="9"/>
      <c r="B2323" s="10"/>
      <c r="C2323" s="10"/>
      <c r="D2323" s="10"/>
      <c r="E2323" s="10"/>
      <c r="F2323" s="10"/>
      <c r="G2323" s="10"/>
      <c r="H2323" s="10"/>
      <c r="I2323" s="18" t="n">
        <v>2</v>
      </c>
      <c r="J2323" s="18"/>
      <c r="K2323" s="19"/>
      <c r="L2323" s="19"/>
      <c r="M2323" s="18"/>
      <c r="N2323" s="18"/>
      <c r="O2323" s="18"/>
      <c r="P2323" s="19"/>
      <c r="Q2323" s="19"/>
      <c r="R2323" s="18"/>
      <c r="S2323" s="18"/>
      <c r="T2323" s="18"/>
      <c r="U2323" s="20"/>
      <c r="V2323" s="21"/>
      <c r="W2323" s="16"/>
      <c r="X2323" s="16"/>
      <c r="Y2323" s="16"/>
    </row>
    <row r="2324" customFormat="false" ht="15.75" hidden="false" customHeight="false" outlineLevel="0" collapsed="false">
      <c r="A2324" s="9"/>
      <c r="B2324" s="10"/>
      <c r="C2324" s="10"/>
      <c r="D2324" s="10"/>
      <c r="E2324" s="10"/>
      <c r="F2324" s="10"/>
      <c r="G2324" s="10"/>
      <c r="H2324" s="10"/>
      <c r="I2324" s="22" t="n">
        <v>3</v>
      </c>
      <c r="J2324" s="22"/>
      <c r="K2324" s="23"/>
      <c r="L2324" s="23"/>
      <c r="M2324" s="22"/>
      <c r="N2324" s="22"/>
      <c r="O2324" s="22"/>
      <c r="P2324" s="23"/>
      <c r="Q2324" s="23"/>
      <c r="R2324" s="22"/>
      <c r="S2324" s="22"/>
      <c r="T2324" s="22"/>
      <c r="U2324" s="24"/>
      <c r="V2324" s="15"/>
      <c r="W2324" s="16"/>
      <c r="X2324" s="16"/>
      <c r="Y2324" s="16"/>
    </row>
    <row r="2325" customFormat="false" ht="15.75" hidden="false" customHeight="false" outlineLevel="0" collapsed="false">
      <c r="A2325" s="9"/>
      <c r="B2325" s="10"/>
      <c r="C2325" s="10"/>
      <c r="D2325" s="10"/>
      <c r="E2325" s="10"/>
      <c r="F2325" s="10"/>
      <c r="G2325" s="10"/>
      <c r="H2325" s="10"/>
      <c r="I2325" s="25" t="n">
        <v>4</v>
      </c>
      <c r="J2325" s="25"/>
      <c r="K2325" s="26"/>
      <c r="L2325" s="26"/>
      <c r="M2325" s="25"/>
      <c r="N2325" s="25"/>
      <c r="O2325" s="25"/>
      <c r="P2325" s="26"/>
      <c r="Q2325" s="26"/>
      <c r="R2325" s="25"/>
      <c r="S2325" s="25"/>
      <c r="T2325" s="25"/>
      <c r="U2325" s="27"/>
      <c r="V2325" s="21"/>
      <c r="W2325" s="16"/>
      <c r="X2325" s="16"/>
      <c r="Y2325" s="16"/>
    </row>
    <row r="2326" customFormat="false" ht="15.75" hidden="false" customHeight="false" outlineLevel="0" collapsed="false">
      <c r="A2326" s="9"/>
      <c r="B2326" s="10"/>
      <c r="C2326" s="11"/>
      <c r="D2326" s="10"/>
      <c r="E2326" s="10"/>
      <c r="F2326" s="10"/>
      <c r="G2326" s="10"/>
      <c r="H2326" s="10"/>
      <c r="I2326" s="12" t="n">
        <v>1</v>
      </c>
      <c r="J2326" s="12"/>
      <c r="K2326" s="13"/>
      <c r="L2326" s="13"/>
      <c r="M2326" s="12"/>
      <c r="N2326" s="12"/>
      <c r="O2326" s="12"/>
      <c r="P2326" s="13"/>
      <c r="Q2326" s="13"/>
      <c r="R2326" s="12"/>
      <c r="S2326" s="12"/>
      <c r="T2326" s="12"/>
      <c r="U2326" s="14"/>
      <c r="V2326" s="15"/>
      <c r="W2326" s="16" t="n">
        <f aca="false">A2326</f>
        <v>0</v>
      </c>
      <c r="X2326" s="17" t="e">
        <f aca="false">ifs(C2326="","",X2326="",NOW(),TRUE(),X2326)</f>
        <v>#VALUE!</v>
      </c>
      <c r="Y2326" s="17" t="e">
        <f aca="false">ifs(COUNTA(K2326:U2329)&lt;44,"",Y2326="",NOW(),TRUE(),Y2326)</f>
        <v>#VALUE!</v>
      </c>
    </row>
    <row r="2327" customFormat="false" ht="15.75" hidden="false" customHeight="false" outlineLevel="0" collapsed="false">
      <c r="A2327" s="9"/>
      <c r="B2327" s="10"/>
      <c r="C2327" s="10"/>
      <c r="D2327" s="10"/>
      <c r="E2327" s="10"/>
      <c r="F2327" s="10"/>
      <c r="G2327" s="10"/>
      <c r="H2327" s="10"/>
      <c r="I2327" s="18" t="n">
        <v>2</v>
      </c>
      <c r="J2327" s="18"/>
      <c r="K2327" s="19"/>
      <c r="L2327" s="19"/>
      <c r="M2327" s="18"/>
      <c r="N2327" s="18"/>
      <c r="O2327" s="18"/>
      <c r="P2327" s="19"/>
      <c r="Q2327" s="19"/>
      <c r="R2327" s="18"/>
      <c r="S2327" s="18"/>
      <c r="T2327" s="18"/>
      <c r="U2327" s="20"/>
      <c r="V2327" s="21"/>
      <c r="W2327" s="16"/>
      <c r="X2327" s="16"/>
      <c r="Y2327" s="16"/>
    </row>
    <row r="2328" customFormat="false" ht="15.75" hidden="false" customHeight="false" outlineLevel="0" collapsed="false">
      <c r="A2328" s="9"/>
      <c r="B2328" s="10"/>
      <c r="C2328" s="10"/>
      <c r="D2328" s="10"/>
      <c r="E2328" s="10"/>
      <c r="F2328" s="10"/>
      <c r="G2328" s="10"/>
      <c r="H2328" s="10"/>
      <c r="I2328" s="22" t="n">
        <v>3</v>
      </c>
      <c r="J2328" s="22"/>
      <c r="K2328" s="23"/>
      <c r="L2328" s="23"/>
      <c r="M2328" s="22"/>
      <c r="N2328" s="22"/>
      <c r="O2328" s="22"/>
      <c r="P2328" s="23"/>
      <c r="Q2328" s="23"/>
      <c r="R2328" s="22"/>
      <c r="S2328" s="22"/>
      <c r="T2328" s="22"/>
      <c r="U2328" s="24"/>
      <c r="V2328" s="15"/>
      <c r="W2328" s="16"/>
      <c r="X2328" s="16"/>
      <c r="Y2328" s="16"/>
    </row>
    <row r="2329" customFormat="false" ht="15.75" hidden="false" customHeight="false" outlineLevel="0" collapsed="false">
      <c r="A2329" s="9"/>
      <c r="B2329" s="10"/>
      <c r="C2329" s="10"/>
      <c r="D2329" s="10"/>
      <c r="E2329" s="10"/>
      <c r="F2329" s="10"/>
      <c r="G2329" s="10"/>
      <c r="H2329" s="10"/>
      <c r="I2329" s="25" t="n">
        <v>4</v>
      </c>
      <c r="J2329" s="25"/>
      <c r="K2329" s="26"/>
      <c r="L2329" s="26"/>
      <c r="M2329" s="25"/>
      <c r="N2329" s="25"/>
      <c r="O2329" s="25"/>
      <c r="P2329" s="26"/>
      <c r="Q2329" s="26"/>
      <c r="R2329" s="25"/>
      <c r="S2329" s="25"/>
      <c r="T2329" s="25"/>
      <c r="U2329" s="27"/>
      <c r="V2329" s="21"/>
      <c r="W2329" s="16"/>
      <c r="X2329" s="16"/>
      <c r="Y2329" s="16"/>
    </row>
    <row r="2330" customFormat="false" ht="15.75" hidden="false" customHeight="false" outlineLevel="0" collapsed="false">
      <c r="A2330" s="9"/>
      <c r="B2330" s="10"/>
      <c r="C2330" s="11"/>
      <c r="D2330" s="10"/>
      <c r="E2330" s="10"/>
      <c r="F2330" s="10"/>
      <c r="G2330" s="10"/>
      <c r="H2330" s="10"/>
      <c r="I2330" s="12" t="n">
        <v>1</v>
      </c>
      <c r="J2330" s="12"/>
      <c r="K2330" s="13"/>
      <c r="L2330" s="13"/>
      <c r="M2330" s="12"/>
      <c r="N2330" s="12"/>
      <c r="O2330" s="12"/>
      <c r="P2330" s="13"/>
      <c r="Q2330" s="13"/>
      <c r="R2330" s="12"/>
      <c r="S2330" s="12"/>
      <c r="T2330" s="12"/>
      <c r="U2330" s="14"/>
      <c r="V2330" s="15"/>
      <c r="W2330" s="16" t="n">
        <f aca="false">A2330</f>
        <v>0</v>
      </c>
      <c r="X2330" s="17" t="e">
        <f aca="false">ifs(C2330="","",X2330="",NOW(),TRUE(),X2330)</f>
        <v>#VALUE!</v>
      </c>
      <c r="Y2330" s="17" t="e">
        <f aca="false">ifs(COUNTA(K2330:U2333)&lt;44,"",Y2330="",NOW(),TRUE(),Y2330)</f>
        <v>#VALUE!</v>
      </c>
    </row>
    <row r="2331" customFormat="false" ht="15.75" hidden="false" customHeight="false" outlineLevel="0" collapsed="false">
      <c r="A2331" s="9"/>
      <c r="B2331" s="10"/>
      <c r="C2331" s="10"/>
      <c r="D2331" s="10"/>
      <c r="E2331" s="10"/>
      <c r="F2331" s="10"/>
      <c r="G2331" s="10"/>
      <c r="H2331" s="10"/>
      <c r="I2331" s="18" t="n">
        <v>2</v>
      </c>
      <c r="J2331" s="18"/>
      <c r="K2331" s="19"/>
      <c r="L2331" s="19"/>
      <c r="M2331" s="18"/>
      <c r="N2331" s="18"/>
      <c r="O2331" s="18"/>
      <c r="P2331" s="19"/>
      <c r="Q2331" s="19"/>
      <c r="R2331" s="18"/>
      <c r="S2331" s="18"/>
      <c r="T2331" s="18"/>
      <c r="U2331" s="20"/>
      <c r="V2331" s="21"/>
      <c r="W2331" s="16"/>
      <c r="X2331" s="16"/>
      <c r="Y2331" s="16"/>
    </row>
    <row r="2332" customFormat="false" ht="15.75" hidden="false" customHeight="false" outlineLevel="0" collapsed="false">
      <c r="A2332" s="9"/>
      <c r="B2332" s="10"/>
      <c r="C2332" s="10"/>
      <c r="D2332" s="10"/>
      <c r="E2332" s="10"/>
      <c r="F2332" s="10"/>
      <c r="G2332" s="10"/>
      <c r="H2332" s="10"/>
      <c r="I2332" s="22" t="n">
        <v>3</v>
      </c>
      <c r="J2332" s="22"/>
      <c r="K2332" s="23"/>
      <c r="L2332" s="23"/>
      <c r="M2332" s="22"/>
      <c r="N2332" s="22"/>
      <c r="O2332" s="22"/>
      <c r="P2332" s="23"/>
      <c r="Q2332" s="23"/>
      <c r="R2332" s="22"/>
      <c r="S2332" s="22"/>
      <c r="T2332" s="22"/>
      <c r="U2332" s="24"/>
      <c r="V2332" s="15"/>
      <c r="W2332" s="16"/>
      <c r="X2332" s="16"/>
      <c r="Y2332" s="16"/>
    </row>
    <row r="2333" customFormat="false" ht="15.75" hidden="false" customHeight="false" outlineLevel="0" collapsed="false">
      <c r="A2333" s="9"/>
      <c r="B2333" s="10"/>
      <c r="C2333" s="10"/>
      <c r="D2333" s="10"/>
      <c r="E2333" s="10"/>
      <c r="F2333" s="10"/>
      <c r="G2333" s="10"/>
      <c r="H2333" s="10"/>
      <c r="I2333" s="25" t="n">
        <v>4</v>
      </c>
      <c r="J2333" s="25"/>
      <c r="K2333" s="26"/>
      <c r="L2333" s="26"/>
      <c r="M2333" s="25"/>
      <c r="N2333" s="25"/>
      <c r="O2333" s="25"/>
      <c r="P2333" s="26"/>
      <c r="Q2333" s="26"/>
      <c r="R2333" s="25"/>
      <c r="S2333" s="25"/>
      <c r="T2333" s="25"/>
      <c r="U2333" s="27"/>
      <c r="V2333" s="21"/>
      <c r="W2333" s="16"/>
      <c r="X2333" s="16"/>
      <c r="Y2333" s="16"/>
    </row>
    <row r="2334" customFormat="false" ht="15.75" hidden="false" customHeight="false" outlineLevel="0" collapsed="false">
      <c r="A2334" s="9"/>
      <c r="B2334" s="10"/>
      <c r="C2334" s="11"/>
      <c r="D2334" s="10"/>
      <c r="E2334" s="10"/>
      <c r="F2334" s="10"/>
      <c r="G2334" s="10"/>
      <c r="H2334" s="10"/>
      <c r="I2334" s="12" t="n">
        <v>1</v>
      </c>
      <c r="J2334" s="12"/>
      <c r="K2334" s="13"/>
      <c r="L2334" s="13"/>
      <c r="M2334" s="12"/>
      <c r="N2334" s="12"/>
      <c r="O2334" s="12"/>
      <c r="P2334" s="13"/>
      <c r="Q2334" s="13"/>
      <c r="R2334" s="12"/>
      <c r="S2334" s="12"/>
      <c r="T2334" s="12"/>
      <c r="U2334" s="14"/>
      <c r="V2334" s="15"/>
      <c r="W2334" s="16" t="n">
        <f aca="false">A2334</f>
        <v>0</v>
      </c>
      <c r="X2334" s="17" t="e">
        <f aca="false">ifs(C2334="","",X2334="",NOW(),TRUE(),X2334)</f>
        <v>#VALUE!</v>
      </c>
      <c r="Y2334" s="17" t="e">
        <f aca="false">ifs(COUNTA(K2334:U2337)&lt;44,"",Y2334="",NOW(),TRUE(),Y2334)</f>
        <v>#VALUE!</v>
      </c>
    </row>
    <row r="2335" customFormat="false" ht="15.75" hidden="false" customHeight="false" outlineLevel="0" collapsed="false">
      <c r="A2335" s="9"/>
      <c r="B2335" s="10"/>
      <c r="C2335" s="10"/>
      <c r="D2335" s="10"/>
      <c r="E2335" s="10"/>
      <c r="F2335" s="10"/>
      <c r="G2335" s="10"/>
      <c r="H2335" s="10"/>
      <c r="I2335" s="18" t="n">
        <v>2</v>
      </c>
      <c r="J2335" s="18"/>
      <c r="K2335" s="19"/>
      <c r="L2335" s="19"/>
      <c r="M2335" s="18"/>
      <c r="N2335" s="18"/>
      <c r="O2335" s="18"/>
      <c r="P2335" s="19"/>
      <c r="Q2335" s="19"/>
      <c r="R2335" s="18"/>
      <c r="S2335" s="18"/>
      <c r="T2335" s="18"/>
      <c r="U2335" s="20"/>
      <c r="V2335" s="21"/>
      <c r="W2335" s="16"/>
      <c r="X2335" s="16"/>
      <c r="Y2335" s="16"/>
    </row>
    <row r="2336" customFormat="false" ht="15.75" hidden="false" customHeight="false" outlineLevel="0" collapsed="false">
      <c r="A2336" s="9"/>
      <c r="B2336" s="10"/>
      <c r="C2336" s="10"/>
      <c r="D2336" s="10"/>
      <c r="E2336" s="10"/>
      <c r="F2336" s="10"/>
      <c r="G2336" s="10"/>
      <c r="H2336" s="10"/>
      <c r="I2336" s="22" t="n">
        <v>3</v>
      </c>
      <c r="J2336" s="22"/>
      <c r="K2336" s="23"/>
      <c r="L2336" s="23"/>
      <c r="M2336" s="22"/>
      <c r="N2336" s="22"/>
      <c r="O2336" s="22"/>
      <c r="P2336" s="23"/>
      <c r="Q2336" s="23"/>
      <c r="R2336" s="22"/>
      <c r="S2336" s="22"/>
      <c r="T2336" s="22"/>
      <c r="U2336" s="24"/>
      <c r="V2336" s="15"/>
      <c r="W2336" s="16"/>
      <c r="X2336" s="16"/>
      <c r="Y2336" s="16"/>
    </row>
    <row r="2337" customFormat="false" ht="15.75" hidden="false" customHeight="false" outlineLevel="0" collapsed="false">
      <c r="A2337" s="9"/>
      <c r="B2337" s="10"/>
      <c r="C2337" s="10"/>
      <c r="D2337" s="10"/>
      <c r="E2337" s="10"/>
      <c r="F2337" s="10"/>
      <c r="G2337" s="10"/>
      <c r="H2337" s="10"/>
      <c r="I2337" s="25" t="n">
        <v>4</v>
      </c>
      <c r="J2337" s="25"/>
      <c r="K2337" s="26"/>
      <c r="L2337" s="26"/>
      <c r="M2337" s="25"/>
      <c r="N2337" s="25"/>
      <c r="O2337" s="25"/>
      <c r="P2337" s="26"/>
      <c r="Q2337" s="26"/>
      <c r="R2337" s="25"/>
      <c r="S2337" s="25"/>
      <c r="T2337" s="25"/>
      <c r="U2337" s="27"/>
      <c r="V2337" s="21"/>
      <c r="W2337" s="16"/>
      <c r="X2337" s="16"/>
      <c r="Y2337" s="16"/>
    </row>
    <row r="2338" customFormat="false" ht="15.75" hidden="false" customHeight="false" outlineLevel="0" collapsed="false">
      <c r="A2338" s="9"/>
      <c r="B2338" s="10"/>
      <c r="C2338" s="11"/>
      <c r="D2338" s="10"/>
      <c r="E2338" s="10"/>
      <c r="F2338" s="10"/>
      <c r="G2338" s="10"/>
      <c r="H2338" s="10"/>
      <c r="I2338" s="12" t="n">
        <v>1</v>
      </c>
      <c r="J2338" s="12"/>
      <c r="K2338" s="13"/>
      <c r="L2338" s="13"/>
      <c r="M2338" s="12"/>
      <c r="N2338" s="12"/>
      <c r="O2338" s="12"/>
      <c r="P2338" s="13"/>
      <c r="Q2338" s="13"/>
      <c r="R2338" s="12"/>
      <c r="S2338" s="12"/>
      <c r="T2338" s="12"/>
      <c r="U2338" s="14"/>
      <c r="V2338" s="15"/>
      <c r="W2338" s="16" t="n">
        <f aca="false">A2338</f>
        <v>0</v>
      </c>
      <c r="X2338" s="17" t="e">
        <f aca="false">ifs(C2338="","",X2338="",NOW(),TRUE(),X2338)</f>
        <v>#VALUE!</v>
      </c>
      <c r="Y2338" s="17" t="e">
        <f aca="false">ifs(COUNTA(K2338:U2341)&lt;44,"",Y2338="",NOW(),TRUE(),Y2338)</f>
        <v>#VALUE!</v>
      </c>
    </row>
    <row r="2339" customFormat="false" ht="15.75" hidden="false" customHeight="false" outlineLevel="0" collapsed="false">
      <c r="A2339" s="9"/>
      <c r="B2339" s="10"/>
      <c r="C2339" s="10"/>
      <c r="D2339" s="10"/>
      <c r="E2339" s="10"/>
      <c r="F2339" s="10"/>
      <c r="G2339" s="10"/>
      <c r="H2339" s="10"/>
      <c r="I2339" s="18" t="n">
        <v>2</v>
      </c>
      <c r="J2339" s="18"/>
      <c r="K2339" s="19"/>
      <c r="L2339" s="19"/>
      <c r="M2339" s="18"/>
      <c r="N2339" s="18"/>
      <c r="O2339" s="18"/>
      <c r="P2339" s="19"/>
      <c r="Q2339" s="19"/>
      <c r="R2339" s="18"/>
      <c r="S2339" s="18"/>
      <c r="T2339" s="18"/>
      <c r="U2339" s="20"/>
      <c r="V2339" s="21"/>
      <c r="W2339" s="16"/>
      <c r="X2339" s="16"/>
      <c r="Y2339" s="16"/>
    </row>
    <row r="2340" customFormat="false" ht="15.75" hidden="false" customHeight="false" outlineLevel="0" collapsed="false">
      <c r="A2340" s="9"/>
      <c r="B2340" s="10"/>
      <c r="C2340" s="10"/>
      <c r="D2340" s="10"/>
      <c r="E2340" s="10"/>
      <c r="F2340" s="10"/>
      <c r="G2340" s="10"/>
      <c r="H2340" s="10"/>
      <c r="I2340" s="22" t="n">
        <v>3</v>
      </c>
      <c r="J2340" s="22"/>
      <c r="K2340" s="23"/>
      <c r="L2340" s="23"/>
      <c r="M2340" s="22"/>
      <c r="N2340" s="22"/>
      <c r="O2340" s="22"/>
      <c r="P2340" s="23"/>
      <c r="Q2340" s="23"/>
      <c r="R2340" s="22"/>
      <c r="S2340" s="22"/>
      <c r="T2340" s="22"/>
      <c r="U2340" s="24"/>
      <c r="V2340" s="15"/>
      <c r="W2340" s="16"/>
      <c r="X2340" s="16"/>
      <c r="Y2340" s="16"/>
    </row>
    <row r="2341" customFormat="false" ht="15.75" hidden="false" customHeight="false" outlineLevel="0" collapsed="false">
      <c r="A2341" s="9"/>
      <c r="B2341" s="10"/>
      <c r="C2341" s="10"/>
      <c r="D2341" s="10"/>
      <c r="E2341" s="10"/>
      <c r="F2341" s="10"/>
      <c r="G2341" s="10"/>
      <c r="H2341" s="10"/>
      <c r="I2341" s="25" t="n">
        <v>4</v>
      </c>
      <c r="J2341" s="25"/>
      <c r="K2341" s="26"/>
      <c r="L2341" s="26"/>
      <c r="M2341" s="25"/>
      <c r="N2341" s="25"/>
      <c r="O2341" s="25"/>
      <c r="P2341" s="26"/>
      <c r="Q2341" s="26"/>
      <c r="R2341" s="25"/>
      <c r="S2341" s="25"/>
      <c r="T2341" s="25"/>
      <c r="U2341" s="27"/>
      <c r="V2341" s="21"/>
      <c r="W2341" s="16"/>
      <c r="X2341" s="16"/>
      <c r="Y2341" s="16"/>
    </row>
    <row r="2342" customFormat="false" ht="15.75" hidden="false" customHeight="false" outlineLevel="0" collapsed="false">
      <c r="A2342" s="9"/>
      <c r="B2342" s="10"/>
      <c r="C2342" s="11"/>
      <c r="D2342" s="10"/>
      <c r="E2342" s="10"/>
      <c r="F2342" s="10"/>
      <c r="G2342" s="10"/>
      <c r="H2342" s="10"/>
      <c r="I2342" s="12" t="n">
        <v>1</v>
      </c>
      <c r="J2342" s="12"/>
      <c r="K2342" s="13"/>
      <c r="L2342" s="13"/>
      <c r="M2342" s="12"/>
      <c r="N2342" s="12"/>
      <c r="O2342" s="12"/>
      <c r="P2342" s="13"/>
      <c r="Q2342" s="13"/>
      <c r="R2342" s="12"/>
      <c r="S2342" s="12"/>
      <c r="T2342" s="12"/>
      <c r="U2342" s="14"/>
      <c r="V2342" s="15"/>
      <c r="W2342" s="16" t="n">
        <f aca="false">A2342</f>
        <v>0</v>
      </c>
      <c r="X2342" s="17" t="e">
        <f aca="false">ifs(C2342="","",X2342="",NOW(),TRUE(),X2342)</f>
        <v>#VALUE!</v>
      </c>
      <c r="Y2342" s="17" t="e">
        <f aca="false">ifs(COUNTA(K2342:U2345)&lt;44,"",Y2342="",NOW(),TRUE(),Y2342)</f>
        <v>#VALUE!</v>
      </c>
    </row>
    <row r="2343" customFormat="false" ht="15.75" hidden="false" customHeight="false" outlineLevel="0" collapsed="false">
      <c r="A2343" s="9"/>
      <c r="B2343" s="10"/>
      <c r="C2343" s="10"/>
      <c r="D2343" s="10"/>
      <c r="E2343" s="10"/>
      <c r="F2343" s="10"/>
      <c r="G2343" s="10"/>
      <c r="H2343" s="10"/>
      <c r="I2343" s="18" t="n">
        <v>2</v>
      </c>
      <c r="J2343" s="18"/>
      <c r="K2343" s="19"/>
      <c r="L2343" s="19"/>
      <c r="M2343" s="18"/>
      <c r="N2343" s="18"/>
      <c r="O2343" s="18"/>
      <c r="P2343" s="19"/>
      <c r="Q2343" s="19"/>
      <c r="R2343" s="18"/>
      <c r="S2343" s="18"/>
      <c r="T2343" s="18"/>
      <c r="U2343" s="20"/>
      <c r="V2343" s="21"/>
      <c r="W2343" s="16"/>
      <c r="X2343" s="16"/>
      <c r="Y2343" s="16"/>
    </row>
    <row r="2344" customFormat="false" ht="15.75" hidden="false" customHeight="false" outlineLevel="0" collapsed="false">
      <c r="A2344" s="9"/>
      <c r="B2344" s="10"/>
      <c r="C2344" s="10"/>
      <c r="D2344" s="10"/>
      <c r="E2344" s="10"/>
      <c r="F2344" s="10"/>
      <c r="G2344" s="10"/>
      <c r="H2344" s="10"/>
      <c r="I2344" s="22" t="n">
        <v>3</v>
      </c>
      <c r="J2344" s="22"/>
      <c r="K2344" s="23"/>
      <c r="L2344" s="23"/>
      <c r="M2344" s="22"/>
      <c r="N2344" s="22"/>
      <c r="O2344" s="22"/>
      <c r="P2344" s="23"/>
      <c r="Q2344" s="23"/>
      <c r="R2344" s="22"/>
      <c r="S2344" s="22"/>
      <c r="T2344" s="22"/>
      <c r="U2344" s="24"/>
      <c r="V2344" s="15"/>
      <c r="W2344" s="16"/>
      <c r="X2344" s="16"/>
      <c r="Y2344" s="16"/>
    </row>
    <row r="2345" customFormat="false" ht="15.75" hidden="false" customHeight="false" outlineLevel="0" collapsed="false">
      <c r="A2345" s="9"/>
      <c r="B2345" s="10"/>
      <c r="C2345" s="10"/>
      <c r="D2345" s="10"/>
      <c r="E2345" s="10"/>
      <c r="F2345" s="10"/>
      <c r="G2345" s="10"/>
      <c r="H2345" s="10"/>
      <c r="I2345" s="25" t="n">
        <v>4</v>
      </c>
      <c r="J2345" s="25"/>
      <c r="K2345" s="26"/>
      <c r="L2345" s="26"/>
      <c r="M2345" s="25"/>
      <c r="N2345" s="25"/>
      <c r="O2345" s="25"/>
      <c r="P2345" s="26"/>
      <c r="Q2345" s="26"/>
      <c r="R2345" s="25"/>
      <c r="S2345" s="25"/>
      <c r="T2345" s="25"/>
      <c r="U2345" s="27"/>
      <c r="V2345" s="21"/>
      <c r="W2345" s="16"/>
      <c r="X2345" s="16"/>
      <c r="Y2345" s="16"/>
    </row>
    <row r="2346" customFormat="false" ht="15.75" hidden="false" customHeight="false" outlineLevel="0" collapsed="false">
      <c r="A2346" s="9"/>
      <c r="B2346" s="10"/>
      <c r="C2346" s="11"/>
      <c r="D2346" s="10"/>
      <c r="E2346" s="10"/>
      <c r="F2346" s="10"/>
      <c r="G2346" s="10"/>
      <c r="H2346" s="10"/>
      <c r="I2346" s="12" t="n">
        <v>1</v>
      </c>
      <c r="J2346" s="12"/>
      <c r="K2346" s="13"/>
      <c r="L2346" s="13"/>
      <c r="M2346" s="12"/>
      <c r="N2346" s="12"/>
      <c r="O2346" s="12"/>
      <c r="P2346" s="13"/>
      <c r="Q2346" s="13"/>
      <c r="R2346" s="12"/>
      <c r="S2346" s="12"/>
      <c r="T2346" s="12"/>
      <c r="U2346" s="14"/>
      <c r="V2346" s="15"/>
      <c r="W2346" s="16" t="n">
        <f aca="false">A2346</f>
        <v>0</v>
      </c>
      <c r="X2346" s="17" t="e">
        <f aca="false">ifs(C2346="","",X2346="",NOW(),TRUE(),X2346)</f>
        <v>#VALUE!</v>
      </c>
      <c r="Y2346" s="17" t="e">
        <f aca="false">ifs(COUNTA(K2346:U2349)&lt;44,"",Y2346="",NOW(),TRUE(),Y2346)</f>
        <v>#VALUE!</v>
      </c>
    </row>
    <row r="2347" customFormat="false" ht="15.75" hidden="false" customHeight="false" outlineLevel="0" collapsed="false">
      <c r="A2347" s="9"/>
      <c r="B2347" s="10"/>
      <c r="C2347" s="10"/>
      <c r="D2347" s="10"/>
      <c r="E2347" s="10"/>
      <c r="F2347" s="10"/>
      <c r="G2347" s="10"/>
      <c r="H2347" s="10"/>
      <c r="I2347" s="18" t="n">
        <v>2</v>
      </c>
      <c r="J2347" s="18"/>
      <c r="K2347" s="19"/>
      <c r="L2347" s="19"/>
      <c r="M2347" s="18"/>
      <c r="N2347" s="18"/>
      <c r="O2347" s="18"/>
      <c r="P2347" s="19"/>
      <c r="Q2347" s="19"/>
      <c r="R2347" s="18"/>
      <c r="S2347" s="18"/>
      <c r="T2347" s="18"/>
      <c r="U2347" s="20"/>
      <c r="V2347" s="21"/>
      <c r="W2347" s="16"/>
      <c r="X2347" s="16"/>
      <c r="Y2347" s="16"/>
    </row>
    <row r="2348" customFormat="false" ht="15.75" hidden="false" customHeight="false" outlineLevel="0" collapsed="false">
      <c r="A2348" s="9"/>
      <c r="B2348" s="10"/>
      <c r="C2348" s="10"/>
      <c r="D2348" s="10"/>
      <c r="E2348" s="10"/>
      <c r="F2348" s="10"/>
      <c r="G2348" s="10"/>
      <c r="H2348" s="10"/>
      <c r="I2348" s="22" t="n">
        <v>3</v>
      </c>
      <c r="J2348" s="22"/>
      <c r="K2348" s="23"/>
      <c r="L2348" s="23"/>
      <c r="M2348" s="22"/>
      <c r="N2348" s="22"/>
      <c r="O2348" s="22"/>
      <c r="P2348" s="23"/>
      <c r="Q2348" s="23"/>
      <c r="R2348" s="22"/>
      <c r="S2348" s="22"/>
      <c r="T2348" s="22"/>
      <c r="U2348" s="24"/>
      <c r="V2348" s="15"/>
      <c r="W2348" s="16"/>
      <c r="X2348" s="16"/>
      <c r="Y2348" s="16"/>
    </row>
    <row r="2349" customFormat="false" ht="15.75" hidden="false" customHeight="false" outlineLevel="0" collapsed="false">
      <c r="A2349" s="9"/>
      <c r="B2349" s="10"/>
      <c r="C2349" s="10"/>
      <c r="D2349" s="10"/>
      <c r="E2349" s="10"/>
      <c r="F2349" s="10"/>
      <c r="G2349" s="10"/>
      <c r="H2349" s="10"/>
      <c r="I2349" s="25" t="n">
        <v>4</v>
      </c>
      <c r="J2349" s="25"/>
      <c r="K2349" s="26"/>
      <c r="L2349" s="26"/>
      <c r="M2349" s="25"/>
      <c r="N2349" s="25"/>
      <c r="O2349" s="25"/>
      <c r="P2349" s="26"/>
      <c r="Q2349" s="26"/>
      <c r="R2349" s="25"/>
      <c r="S2349" s="25"/>
      <c r="T2349" s="25"/>
      <c r="U2349" s="27"/>
      <c r="V2349" s="21"/>
      <c r="W2349" s="16"/>
      <c r="X2349" s="16"/>
      <c r="Y2349" s="16"/>
    </row>
    <row r="2350" customFormat="false" ht="15.75" hidden="false" customHeight="false" outlineLevel="0" collapsed="false">
      <c r="A2350" s="9"/>
      <c r="B2350" s="10"/>
      <c r="C2350" s="11"/>
      <c r="D2350" s="10"/>
      <c r="E2350" s="10"/>
      <c r="F2350" s="10"/>
      <c r="G2350" s="10"/>
      <c r="H2350" s="10"/>
      <c r="I2350" s="12" t="n">
        <v>1</v>
      </c>
      <c r="J2350" s="12"/>
      <c r="K2350" s="13"/>
      <c r="L2350" s="13"/>
      <c r="M2350" s="12"/>
      <c r="N2350" s="12"/>
      <c r="O2350" s="12"/>
      <c r="P2350" s="13"/>
      <c r="Q2350" s="13"/>
      <c r="R2350" s="12"/>
      <c r="S2350" s="12"/>
      <c r="T2350" s="12"/>
      <c r="U2350" s="14"/>
      <c r="V2350" s="15"/>
      <c r="W2350" s="16" t="n">
        <f aca="false">A2350</f>
        <v>0</v>
      </c>
      <c r="X2350" s="17" t="e">
        <f aca="false">ifs(C2350="","",X2350="",NOW(),TRUE(),X2350)</f>
        <v>#VALUE!</v>
      </c>
      <c r="Y2350" s="17" t="e">
        <f aca="false">ifs(COUNTA(K2350:U2353)&lt;44,"",Y2350="",NOW(),TRUE(),Y2350)</f>
        <v>#VALUE!</v>
      </c>
    </row>
    <row r="2351" customFormat="false" ht="15.75" hidden="false" customHeight="false" outlineLevel="0" collapsed="false">
      <c r="A2351" s="9"/>
      <c r="B2351" s="10"/>
      <c r="C2351" s="10"/>
      <c r="D2351" s="10"/>
      <c r="E2351" s="10"/>
      <c r="F2351" s="10"/>
      <c r="G2351" s="10"/>
      <c r="H2351" s="10"/>
      <c r="I2351" s="18" t="n">
        <v>2</v>
      </c>
      <c r="J2351" s="18"/>
      <c r="K2351" s="19"/>
      <c r="L2351" s="19"/>
      <c r="M2351" s="18"/>
      <c r="N2351" s="18"/>
      <c r="O2351" s="18"/>
      <c r="P2351" s="19"/>
      <c r="Q2351" s="19"/>
      <c r="R2351" s="18"/>
      <c r="S2351" s="18"/>
      <c r="T2351" s="18"/>
      <c r="U2351" s="20"/>
      <c r="V2351" s="21"/>
      <c r="W2351" s="16"/>
      <c r="X2351" s="16"/>
      <c r="Y2351" s="16"/>
    </row>
    <row r="2352" customFormat="false" ht="15.75" hidden="false" customHeight="false" outlineLevel="0" collapsed="false">
      <c r="A2352" s="9"/>
      <c r="B2352" s="10"/>
      <c r="C2352" s="10"/>
      <c r="D2352" s="10"/>
      <c r="E2352" s="10"/>
      <c r="F2352" s="10"/>
      <c r="G2352" s="10"/>
      <c r="H2352" s="10"/>
      <c r="I2352" s="22" t="n">
        <v>3</v>
      </c>
      <c r="J2352" s="22"/>
      <c r="K2352" s="23"/>
      <c r="L2352" s="23"/>
      <c r="M2352" s="22"/>
      <c r="N2352" s="22"/>
      <c r="O2352" s="22"/>
      <c r="P2352" s="23"/>
      <c r="Q2352" s="23"/>
      <c r="R2352" s="22"/>
      <c r="S2352" s="22"/>
      <c r="T2352" s="22"/>
      <c r="U2352" s="24"/>
      <c r="V2352" s="15"/>
      <c r="W2352" s="16"/>
      <c r="X2352" s="16"/>
      <c r="Y2352" s="16"/>
    </row>
    <row r="2353" customFormat="false" ht="15.75" hidden="false" customHeight="false" outlineLevel="0" collapsed="false">
      <c r="A2353" s="9"/>
      <c r="B2353" s="10"/>
      <c r="C2353" s="10"/>
      <c r="D2353" s="10"/>
      <c r="E2353" s="10"/>
      <c r="F2353" s="10"/>
      <c r="G2353" s="10"/>
      <c r="H2353" s="10"/>
      <c r="I2353" s="25" t="n">
        <v>4</v>
      </c>
      <c r="J2353" s="25"/>
      <c r="K2353" s="26"/>
      <c r="L2353" s="26"/>
      <c r="M2353" s="25"/>
      <c r="N2353" s="25"/>
      <c r="O2353" s="25"/>
      <c r="P2353" s="26"/>
      <c r="Q2353" s="26"/>
      <c r="R2353" s="25"/>
      <c r="S2353" s="25"/>
      <c r="T2353" s="25"/>
      <c r="U2353" s="27"/>
      <c r="V2353" s="21"/>
      <c r="W2353" s="16"/>
      <c r="X2353" s="16"/>
      <c r="Y2353" s="16"/>
    </row>
    <row r="2354" customFormat="false" ht="15.75" hidden="false" customHeight="false" outlineLevel="0" collapsed="false">
      <c r="A2354" s="9"/>
      <c r="B2354" s="10"/>
      <c r="C2354" s="11"/>
      <c r="D2354" s="10"/>
      <c r="E2354" s="10"/>
      <c r="F2354" s="10"/>
      <c r="G2354" s="10"/>
      <c r="H2354" s="10"/>
      <c r="I2354" s="12" t="n">
        <v>1</v>
      </c>
      <c r="J2354" s="12"/>
      <c r="K2354" s="13"/>
      <c r="L2354" s="13"/>
      <c r="M2354" s="12"/>
      <c r="N2354" s="12"/>
      <c r="O2354" s="12"/>
      <c r="P2354" s="13"/>
      <c r="Q2354" s="13"/>
      <c r="R2354" s="12"/>
      <c r="S2354" s="12"/>
      <c r="T2354" s="12"/>
      <c r="U2354" s="14"/>
      <c r="V2354" s="15"/>
      <c r="W2354" s="16" t="n">
        <f aca="false">A2354</f>
        <v>0</v>
      </c>
      <c r="X2354" s="17" t="e">
        <f aca="false">ifs(C2354="","",X2354="",NOW(),TRUE(),X2354)</f>
        <v>#VALUE!</v>
      </c>
      <c r="Y2354" s="17" t="e">
        <f aca="false">ifs(COUNTA(K2354:U2357)&lt;44,"",Y2354="",NOW(),TRUE(),Y2354)</f>
        <v>#VALUE!</v>
      </c>
    </row>
    <row r="2355" customFormat="false" ht="15.75" hidden="false" customHeight="false" outlineLevel="0" collapsed="false">
      <c r="A2355" s="9"/>
      <c r="B2355" s="10"/>
      <c r="C2355" s="10"/>
      <c r="D2355" s="10"/>
      <c r="E2355" s="10"/>
      <c r="F2355" s="10"/>
      <c r="G2355" s="10"/>
      <c r="H2355" s="10"/>
      <c r="I2355" s="18" t="n">
        <v>2</v>
      </c>
      <c r="J2355" s="18"/>
      <c r="K2355" s="19"/>
      <c r="L2355" s="19"/>
      <c r="M2355" s="18"/>
      <c r="N2355" s="18"/>
      <c r="O2355" s="18"/>
      <c r="P2355" s="19"/>
      <c r="Q2355" s="19"/>
      <c r="R2355" s="18"/>
      <c r="S2355" s="18"/>
      <c r="T2355" s="18"/>
      <c r="U2355" s="20"/>
      <c r="V2355" s="21"/>
      <c r="W2355" s="16"/>
      <c r="X2355" s="16"/>
      <c r="Y2355" s="16"/>
    </row>
    <row r="2356" customFormat="false" ht="15.75" hidden="false" customHeight="false" outlineLevel="0" collapsed="false">
      <c r="A2356" s="9"/>
      <c r="B2356" s="10"/>
      <c r="C2356" s="10"/>
      <c r="D2356" s="10"/>
      <c r="E2356" s="10"/>
      <c r="F2356" s="10"/>
      <c r="G2356" s="10"/>
      <c r="H2356" s="10"/>
      <c r="I2356" s="22" t="n">
        <v>3</v>
      </c>
      <c r="J2356" s="22"/>
      <c r="K2356" s="23"/>
      <c r="L2356" s="23"/>
      <c r="M2356" s="22"/>
      <c r="N2356" s="22"/>
      <c r="O2356" s="22"/>
      <c r="P2356" s="23"/>
      <c r="Q2356" s="23"/>
      <c r="R2356" s="22"/>
      <c r="S2356" s="22"/>
      <c r="T2356" s="22"/>
      <c r="U2356" s="24"/>
      <c r="V2356" s="15"/>
      <c r="W2356" s="16"/>
      <c r="X2356" s="16"/>
      <c r="Y2356" s="16"/>
    </row>
    <row r="2357" customFormat="false" ht="15.75" hidden="false" customHeight="false" outlineLevel="0" collapsed="false">
      <c r="A2357" s="9"/>
      <c r="B2357" s="10"/>
      <c r="C2357" s="10"/>
      <c r="D2357" s="10"/>
      <c r="E2357" s="10"/>
      <c r="F2357" s="10"/>
      <c r="G2357" s="10"/>
      <c r="H2357" s="10"/>
      <c r="I2357" s="25" t="n">
        <v>4</v>
      </c>
      <c r="J2357" s="25"/>
      <c r="K2357" s="26"/>
      <c r="L2357" s="26"/>
      <c r="M2357" s="25"/>
      <c r="N2357" s="25"/>
      <c r="O2357" s="25"/>
      <c r="P2357" s="26"/>
      <c r="Q2357" s="26"/>
      <c r="R2357" s="25"/>
      <c r="S2357" s="25"/>
      <c r="T2357" s="25"/>
      <c r="U2357" s="27"/>
      <c r="V2357" s="21"/>
      <c r="W2357" s="16"/>
      <c r="X2357" s="16"/>
      <c r="Y2357" s="16"/>
    </row>
    <row r="2358" customFormat="false" ht="15.75" hidden="false" customHeight="false" outlineLevel="0" collapsed="false">
      <c r="A2358" s="9"/>
      <c r="B2358" s="10"/>
      <c r="C2358" s="11"/>
      <c r="D2358" s="10"/>
      <c r="E2358" s="10"/>
      <c r="F2358" s="10"/>
      <c r="G2358" s="10"/>
      <c r="H2358" s="10"/>
      <c r="I2358" s="12" t="n">
        <v>1</v>
      </c>
      <c r="J2358" s="12"/>
      <c r="K2358" s="13"/>
      <c r="L2358" s="13"/>
      <c r="M2358" s="12"/>
      <c r="N2358" s="12"/>
      <c r="O2358" s="12"/>
      <c r="P2358" s="13"/>
      <c r="Q2358" s="13"/>
      <c r="R2358" s="12"/>
      <c r="S2358" s="12"/>
      <c r="T2358" s="12"/>
      <c r="U2358" s="14"/>
      <c r="V2358" s="15"/>
      <c r="W2358" s="16" t="n">
        <f aca="false">A2358</f>
        <v>0</v>
      </c>
      <c r="X2358" s="17" t="e">
        <f aca="false">ifs(C2358="","",X2358="",NOW(),TRUE(),X2358)</f>
        <v>#VALUE!</v>
      </c>
      <c r="Y2358" s="17" t="e">
        <f aca="false">ifs(COUNTA(K2358:U2361)&lt;44,"",Y2358="",NOW(),TRUE(),Y2358)</f>
        <v>#VALUE!</v>
      </c>
    </row>
    <row r="2359" customFormat="false" ht="15.75" hidden="false" customHeight="false" outlineLevel="0" collapsed="false">
      <c r="A2359" s="9"/>
      <c r="B2359" s="10"/>
      <c r="C2359" s="10"/>
      <c r="D2359" s="10"/>
      <c r="E2359" s="10"/>
      <c r="F2359" s="10"/>
      <c r="G2359" s="10"/>
      <c r="H2359" s="10"/>
      <c r="I2359" s="18" t="n">
        <v>2</v>
      </c>
      <c r="J2359" s="18"/>
      <c r="K2359" s="19"/>
      <c r="L2359" s="19"/>
      <c r="M2359" s="18"/>
      <c r="N2359" s="18"/>
      <c r="O2359" s="18"/>
      <c r="P2359" s="19"/>
      <c r="Q2359" s="19"/>
      <c r="R2359" s="18"/>
      <c r="S2359" s="18"/>
      <c r="T2359" s="18"/>
      <c r="U2359" s="20"/>
      <c r="V2359" s="21"/>
      <c r="W2359" s="16"/>
      <c r="X2359" s="16"/>
      <c r="Y2359" s="16"/>
    </row>
    <row r="2360" customFormat="false" ht="15.75" hidden="false" customHeight="false" outlineLevel="0" collapsed="false">
      <c r="A2360" s="9"/>
      <c r="B2360" s="10"/>
      <c r="C2360" s="10"/>
      <c r="D2360" s="10"/>
      <c r="E2360" s="10"/>
      <c r="F2360" s="10"/>
      <c r="G2360" s="10"/>
      <c r="H2360" s="10"/>
      <c r="I2360" s="22" t="n">
        <v>3</v>
      </c>
      <c r="J2360" s="22"/>
      <c r="K2360" s="23"/>
      <c r="L2360" s="23"/>
      <c r="M2360" s="22"/>
      <c r="N2360" s="22"/>
      <c r="O2360" s="22"/>
      <c r="P2360" s="23"/>
      <c r="Q2360" s="23"/>
      <c r="R2360" s="22"/>
      <c r="S2360" s="22"/>
      <c r="T2360" s="22"/>
      <c r="U2360" s="24"/>
      <c r="V2360" s="15"/>
      <c r="W2360" s="16"/>
      <c r="X2360" s="16"/>
      <c r="Y2360" s="16"/>
    </row>
    <row r="2361" customFormat="false" ht="15.75" hidden="false" customHeight="false" outlineLevel="0" collapsed="false">
      <c r="A2361" s="9"/>
      <c r="B2361" s="10"/>
      <c r="C2361" s="10"/>
      <c r="D2361" s="10"/>
      <c r="E2361" s="10"/>
      <c r="F2361" s="10"/>
      <c r="G2361" s="10"/>
      <c r="H2361" s="10"/>
      <c r="I2361" s="25" t="n">
        <v>4</v>
      </c>
      <c r="J2361" s="25"/>
      <c r="K2361" s="26"/>
      <c r="L2361" s="26"/>
      <c r="M2361" s="25"/>
      <c r="N2361" s="25"/>
      <c r="O2361" s="25"/>
      <c r="P2361" s="26"/>
      <c r="Q2361" s="26"/>
      <c r="R2361" s="25"/>
      <c r="S2361" s="25"/>
      <c r="T2361" s="25"/>
      <c r="U2361" s="27"/>
      <c r="V2361" s="21"/>
      <c r="W2361" s="16"/>
      <c r="X2361" s="16"/>
      <c r="Y2361" s="16"/>
    </row>
    <row r="2362" customFormat="false" ht="15.75" hidden="false" customHeight="false" outlineLevel="0" collapsed="false">
      <c r="A2362" s="9"/>
      <c r="B2362" s="10"/>
      <c r="C2362" s="11"/>
      <c r="D2362" s="10"/>
      <c r="E2362" s="10"/>
      <c r="F2362" s="10"/>
      <c r="G2362" s="10"/>
      <c r="H2362" s="10"/>
      <c r="I2362" s="12" t="n">
        <v>1</v>
      </c>
      <c r="J2362" s="12"/>
      <c r="K2362" s="13"/>
      <c r="L2362" s="13"/>
      <c r="M2362" s="12"/>
      <c r="N2362" s="12"/>
      <c r="O2362" s="12"/>
      <c r="P2362" s="13"/>
      <c r="Q2362" s="13"/>
      <c r="R2362" s="12"/>
      <c r="S2362" s="12"/>
      <c r="T2362" s="12"/>
      <c r="U2362" s="14"/>
      <c r="V2362" s="15"/>
      <c r="W2362" s="16" t="n">
        <f aca="false">A2362</f>
        <v>0</v>
      </c>
      <c r="X2362" s="17" t="e">
        <f aca="false">ifs(C2362="","",X2362="",NOW(),TRUE(),X2362)</f>
        <v>#VALUE!</v>
      </c>
      <c r="Y2362" s="17" t="e">
        <f aca="false">ifs(COUNTA(K2362:U2365)&lt;44,"",Y2362="",NOW(),TRUE(),Y2362)</f>
        <v>#VALUE!</v>
      </c>
    </row>
    <row r="2363" customFormat="false" ht="15.75" hidden="false" customHeight="false" outlineLevel="0" collapsed="false">
      <c r="A2363" s="9"/>
      <c r="B2363" s="10"/>
      <c r="C2363" s="10"/>
      <c r="D2363" s="10"/>
      <c r="E2363" s="10"/>
      <c r="F2363" s="10"/>
      <c r="G2363" s="10"/>
      <c r="H2363" s="10"/>
      <c r="I2363" s="18" t="n">
        <v>2</v>
      </c>
      <c r="J2363" s="18"/>
      <c r="K2363" s="19"/>
      <c r="L2363" s="19"/>
      <c r="M2363" s="18"/>
      <c r="N2363" s="18"/>
      <c r="O2363" s="18"/>
      <c r="P2363" s="19"/>
      <c r="Q2363" s="19"/>
      <c r="R2363" s="18"/>
      <c r="S2363" s="18"/>
      <c r="T2363" s="18"/>
      <c r="U2363" s="20"/>
      <c r="V2363" s="21"/>
      <c r="W2363" s="16"/>
      <c r="X2363" s="16"/>
      <c r="Y2363" s="16"/>
    </row>
    <row r="2364" customFormat="false" ht="15.75" hidden="false" customHeight="false" outlineLevel="0" collapsed="false">
      <c r="A2364" s="9"/>
      <c r="B2364" s="10"/>
      <c r="C2364" s="10"/>
      <c r="D2364" s="10"/>
      <c r="E2364" s="10"/>
      <c r="F2364" s="10"/>
      <c r="G2364" s="10"/>
      <c r="H2364" s="10"/>
      <c r="I2364" s="22" t="n">
        <v>3</v>
      </c>
      <c r="J2364" s="22"/>
      <c r="K2364" s="23"/>
      <c r="L2364" s="23"/>
      <c r="M2364" s="22"/>
      <c r="N2364" s="22"/>
      <c r="O2364" s="22"/>
      <c r="P2364" s="23"/>
      <c r="Q2364" s="23"/>
      <c r="R2364" s="22"/>
      <c r="S2364" s="22"/>
      <c r="T2364" s="22"/>
      <c r="U2364" s="24"/>
      <c r="V2364" s="15"/>
      <c r="W2364" s="16"/>
      <c r="X2364" s="16"/>
      <c r="Y2364" s="16"/>
    </row>
    <row r="2365" customFormat="false" ht="15.75" hidden="false" customHeight="false" outlineLevel="0" collapsed="false">
      <c r="A2365" s="9"/>
      <c r="B2365" s="10"/>
      <c r="C2365" s="10"/>
      <c r="D2365" s="10"/>
      <c r="E2365" s="10"/>
      <c r="F2365" s="10"/>
      <c r="G2365" s="10"/>
      <c r="H2365" s="10"/>
      <c r="I2365" s="25" t="n">
        <v>4</v>
      </c>
      <c r="J2365" s="25"/>
      <c r="K2365" s="26"/>
      <c r="L2365" s="26"/>
      <c r="M2365" s="25"/>
      <c r="N2365" s="25"/>
      <c r="O2365" s="25"/>
      <c r="P2365" s="26"/>
      <c r="Q2365" s="26"/>
      <c r="R2365" s="25"/>
      <c r="S2365" s="25"/>
      <c r="T2365" s="25"/>
      <c r="U2365" s="27"/>
      <c r="V2365" s="21"/>
      <c r="W2365" s="16"/>
      <c r="X2365" s="16"/>
      <c r="Y2365" s="16"/>
    </row>
    <row r="2366" customFormat="false" ht="15.75" hidden="false" customHeight="false" outlineLevel="0" collapsed="false">
      <c r="A2366" s="9"/>
      <c r="B2366" s="10"/>
      <c r="C2366" s="11"/>
      <c r="D2366" s="10"/>
      <c r="E2366" s="10"/>
      <c r="F2366" s="10"/>
      <c r="G2366" s="10"/>
      <c r="H2366" s="10"/>
      <c r="I2366" s="12" t="n">
        <v>1</v>
      </c>
      <c r="J2366" s="12"/>
      <c r="K2366" s="13"/>
      <c r="L2366" s="13"/>
      <c r="M2366" s="12"/>
      <c r="N2366" s="12"/>
      <c r="O2366" s="12"/>
      <c r="P2366" s="13"/>
      <c r="Q2366" s="13"/>
      <c r="R2366" s="12"/>
      <c r="S2366" s="12"/>
      <c r="T2366" s="12"/>
      <c r="U2366" s="14"/>
      <c r="V2366" s="15"/>
      <c r="W2366" s="16" t="n">
        <f aca="false">A2366</f>
        <v>0</v>
      </c>
      <c r="X2366" s="17" t="e">
        <f aca="false">ifs(C2366="","",X2366="",NOW(),TRUE(),X2366)</f>
        <v>#VALUE!</v>
      </c>
      <c r="Y2366" s="17" t="e">
        <f aca="false">ifs(COUNTA(K2366:U2369)&lt;44,"",Y2366="",NOW(),TRUE(),Y2366)</f>
        <v>#VALUE!</v>
      </c>
    </row>
    <row r="2367" customFormat="false" ht="15.75" hidden="false" customHeight="false" outlineLevel="0" collapsed="false">
      <c r="A2367" s="9"/>
      <c r="B2367" s="10"/>
      <c r="C2367" s="10"/>
      <c r="D2367" s="10"/>
      <c r="E2367" s="10"/>
      <c r="F2367" s="10"/>
      <c r="G2367" s="10"/>
      <c r="H2367" s="10"/>
      <c r="I2367" s="18" t="n">
        <v>2</v>
      </c>
      <c r="J2367" s="18"/>
      <c r="K2367" s="19"/>
      <c r="L2367" s="19"/>
      <c r="M2367" s="18"/>
      <c r="N2367" s="18"/>
      <c r="O2367" s="18"/>
      <c r="P2367" s="19"/>
      <c r="Q2367" s="19"/>
      <c r="R2367" s="18"/>
      <c r="S2367" s="18"/>
      <c r="T2367" s="18"/>
      <c r="U2367" s="20"/>
      <c r="V2367" s="21"/>
      <c r="W2367" s="16"/>
      <c r="X2367" s="16"/>
      <c r="Y2367" s="16"/>
    </row>
    <row r="2368" customFormat="false" ht="15.75" hidden="false" customHeight="false" outlineLevel="0" collapsed="false">
      <c r="A2368" s="9"/>
      <c r="B2368" s="10"/>
      <c r="C2368" s="10"/>
      <c r="D2368" s="10"/>
      <c r="E2368" s="10"/>
      <c r="F2368" s="10"/>
      <c r="G2368" s="10"/>
      <c r="H2368" s="10"/>
      <c r="I2368" s="22" t="n">
        <v>3</v>
      </c>
      <c r="J2368" s="22"/>
      <c r="K2368" s="23"/>
      <c r="L2368" s="23"/>
      <c r="M2368" s="22"/>
      <c r="N2368" s="22"/>
      <c r="O2368" s="22"/>
      <c r="P2368" s="23"/>
      <c r="Q2368" s="23"/>
      <c r="R2368" s="22"/>
      <c r="S2368" s="22"/>
      <c r="T2368" s="22"/>
      <c r="U2368" s="24"/>
      <c r="V2368" s="15"/>
      <c r="W2368" s="16"/>
      <c r="X2368" s="16"/>
      <c r="Y2368" s="16"/>
    </row>
    <row r="2369" customFormat="false" ht="15.75" hidden="false" customHeight="false" outlineLevel="0" collapsed="false">
      <c r="A2369" s="9"/>
      <c r="B2369" s="10"/>
      <c r="C2369" s="10"/>
      <c r="D2369" s="10"/>
      <c r="E2369" s="10"/>
      <c r="F2369" s="10"/>
      <c r="G2369" s="10"/>
      <c r="H2369" s="10"/>
      <c r="I2369" s="25" t="n">
        <v>4</v>
      </c>
      <c r="J2369" s="25"/>
      <c r="K2369" s="26"/>
      <c r="L2369" s="26"/>
      <c r="M2369" s="25"/>
      <c r="N2369" s="25"/>
      <c r="O2369" s="25"/>
      <c r="P2369" s="26"/>
      <c r="Q2369" s="26"/>
      <c r="R2369" s="25"/>
      <c r="S2369" s="25"/>
      <c r="T2369" s="25"/>
      <c r="U2369" s="27"/>
      <c r="V2369" s="21"/>
      <c r="W2369" s="16"/>
      <c r="X2369" s="16"/>
      <c r="Y2369" s="16"/>
    </row>
    <row r="2370" customFormat="false" ht="15.75" hidden="false" customHeight="false" outlineLevel="0" collapsed="false">
      <c r="A2370" s="9"/>
      <c r="B2370" s="10"/>
      <c r="C2370" s="11"/>
      <c r="D2370" s="10"/>
      <c r="E2370" s="10"/>
      <c r="F2370" s="10"/>
      <c r="G2370" s="10"/>
      <c r="H2370" s="10"/>
      <c r="I2370" s="12" t="n">
        <v>1</v>
      </c>
      <c r="J2370" s="12"/>
      <c r="K2370" s="13"/>
      <c r="L2370" s="13"/>
      <c r="M2370" s="12"/>
      <c r="N2370" s="12"/>
      <c r="O2370" s="12"/>
      <c r="P2370" s="13"/>
      <c r="Q2370" s="13"/>
      <c r="R2370" s="12"/>
      <c r="S2370" s="12"/>
      <c r="T2370" s="12"/>
      <c r="U2370" s="14"/>
      <c r="V2370" s="15"/>
      <c r="W2370" s="16" t="n">
        <f aca="false">A2370</f>
        <v>0</v>
      </c>
      <c r="X2370" s="17" t="e">
        <f aca="false">ifs(C2370="","",X2370="",NOW(),TRUE(),X2370)</f>
        <v>#VALUE!</v>
      </c>
      <c r="Y2370" s="17" t="e">
        <f aca="false">ifs(COUNTA(K2370:U2373)&lt;44,"",Y2370="",NOW(),TRUE(),Y2370)</f>
        <v>#VALUE!</v>
      </c>
    </row>
    <row r="2371" customFormat="false" ht="15.75" hidden="false" customHeight="false" outlineLevel="0" collapsed="false">
      <c r="A2371" s="9"/>
      <c r="B2371" s="10"/>
      <c r="C2371" s="10"/>
      <c r="D2371" s="10"/>
      <c r="E2371" s="10"/>
      <c r="F2371" s="10"/>
      <c r="G2371" s="10"/>
      <c r="H2371" s="10"/>
      <c r="I2371" s="18" t="n">
        <v>2</v>
      </c>
      <c r="J2371" s="18"/>
      <c r="K2371" s="19"/>
      <c r="L2371" s="19"/>
      <c r="M2371" s="18"/>
      <c r="N2371" s="18"/>
      <c r="O2371" s="18"/>
      <c r="P2371" s="19"/>
      <c r="Q2371" s="19"/>
      <c r="R2371" s="18"/>
      <c r="S2371" s="18"/>
      <c r="T2371" s="18"/>
      <c r="U2371" s="20"/>
      <c r="V2371" s="21"/>
      <c r="W2371" s="16"/>
      <c r="X2371" s="16"/>
      <c r="Y2371" s="16"/>
    </row>
    <row r="2372" customFormat="false" ht="15.75" hidden="false" customHeight="false" outlineLevel="0" collapsed="false">
      <c r="A2372" s="9"/>
      <c r="B2372" s="10"/>
      <c r="C2372" s="10"/>
      <c r="D2372" s="10"/>
      <c r="E2372" s="10"/>
      <c r="F2372" s="10"/>
      <c r="G2372" s="10"/>
      <c r="H2372" s="10"/>
      <c r="I2372" s="22" t="n">
        <v>3</v>
      </c>
      <c r="J2372" s="22"/>
      <c r="K2372" s="23"/>
      <c r="L2372" s="23"/>
      <c r="M2372" s="22"/>
      <c r="N2372" s="22"/>
      <c r="O2372" s="22"/>
      <c r="P2372" s="23"/>
      <c r="Q2372" s="23"/>
      <c r="R2372" s="22"/>
      <c r="S2372" s="22"/>
      <c r="T2372" s="22"/>
      <c r="U2372" s="24"/>
      <c r="V2372" s="15"/>
      <c r="W2372" s="16"/>
      <c r="X2372" s="16"/>
      <c r="Y2372" s="16"/>
    </row>
    <row r="2373" customFormat="false" ht="15.75" hidden="false" customHeight="false" outlineLevel="0" collapsed="false">
      <c r="A2373" s="9"/>
      <c r="B2373" s="10"/>
      <c r="C2373" s="10"/>
      <c r="D2373" s="10"/>
      <c r="E2373" s="10"/>
      <c r="F2373" s="10"/>
      <c r="G2373" s="10"/>
      <c r="H2373" s="10"/>
      <c r="I2373" s="25" t="n">
        <v>4</v>
      </c>
      <c r="J2373" s="25"/>
      <c r="K2373" s="26"/>
      <c r="L2373" s="26"/>
      <c r="M2373" s="25"/>
      <c r="N2373" s="25"/>
      <c r="O2373" s="25"/>
      <c r="P2373" s="26"/>
      <c r="Q2373" s="26"/>
      <c r="R2373" s="25"/>
      <c r="S2373" s="25"/>
      <c r="T2373" s="25"/>
      <c r="U2373" s="27"/>
      <c r="V2373" s="21"/>
      <c r="W2373" s="16"/>
      <c r="X2373" s="16"/>
      <c r="Y2373" s="16"/>
    </row>
    <row r="2374" customFormat="false" ht="15.75" hidden="false" customHeight="false" outlineLevel="0" collapsed="false">
      <c r="A2374" s="9"/>
      <c r="B2374" s="10"/>
      <c r="C2374" s="11"/>
      <c r="D2374" s="10"/>
      <c r="E2374" s="10"/>
      <c r="F2374" s="10"/>
      <c r="G2374" s="10"/>
      <c r="H2374" s="10"/>
      <c r="I2374" s="12" t="n">
        <v>1</v>
      </c>
      <c r="J2374" s="12"/>
      <c r="K2374" s="13"/>
      <c r="L2374" s="13"/>
      <c r="M2374" s="12"/>
      <c r="N2374" s="12"/>
      <c r="O2374" s="12"/>
      <c r="P2374" s="13"/>
      <c r="Q2374" s="13"/>
      <c r="R2374" s="12"/>
      <c r="S2374" s="12"/>
      <c r="T2374" s="12"/>
      <c r="U2374" s="14"/>
      <c r="V2374" s="15"/>
      <c r="W2374" s="16" t="n">
        <f aca="false">A2374</f>
        <v>0</v>
      </c>
      <c r="X2374" s="17" t="e">
        <f aca="false">ifs(C2374="","",X2374="",NOW(),TRUE(),X2374)</f>
        <v>#VALUE!</v>
      </c>
      <c r="Y2374" s="17" t="e">
        <f aca="false">ifs(COUNTA(K2374:U2377)&lt;44,"",Y2374="",NOW(),TRUE(),Y2374)</f>
        <v>#VALUE!</v>
      </c>
    </row>
    <row r="2375" customFormat="false" ht="15.75" hidden="false" customHeight="false" outlineLevel="0" collapsed="false">
      <c r="A2375" s="9"/>
      <c r="B2375" s="10"/>
      <c r="C2375" s="10"/>
      <c r="D2375" s="10"/>
      <c r="E2375" s="10"/>
      <c r="F2375" s="10"/>
      <c r="G2375" s="10"/>
      <c r="H2375" s="10"/>
      <c r="I2375" s="18" t="n">
        <v>2</v>
      </c>
      <c r="J2375" s="18"/>
      <c r="K2375" s="19"/>
      <c r="L2375" s="19"/>
      <c r="M2375" s="18"/>
      <c r="N2375" s="18"/>
      <c r="O2375" s="18"/>
      <c r="P2375" s="19"/>
      <c r="Q2375" s="19"/>
      <c r="R2375" s="18"/>
      <c r="S2375" s="18"/>
      <c r="T2375" s="18"/>
      <c r="U2375" s="20"/>
      <c r="V2375" s="21"/>
      <c r="W2375" s="16"/>
      <c r="X2375" s="16"/>
      <c r="Y2375" s="16"/>
    </row>
    <row r="2376" customFormat="false" ht="15.75" hidden="false" customHeight="false" outlineLevel="0" collapsed="false">
      <c r="A2376" s="9"/>
      <c r="B2376" s="10"/>
      <c r="C2376" s="10"/>
      <c r="D2376" s="10"/>
      <c r="E2376" s="10"/>
      <c r="F2376" s="10"/>
      <c r="G2376" s="10"/>
      <c r="H2376" s="10"/>
      <c r="I2376" s="22" t="n">
        <v>3</v>
      </c>
      <c r="J2376" s="22"/>
      <c r="K2376" s="23"/>
      <c r="L2376" s="23"/>
      <c r="M2376" s="22"/>
      <c r="N2376" s="22"/>
      <c r="O2376" s="22"/>
      <c r="P2376" s="23"/>
      <c r="Q2376" s="23"/>
      <c r="R2376" s="22"/>
      <c r="S2376" s="22"/>
      <c r="T2376" s="22"/>
      <c r="U2376" s="24"/>
      <c r="V2376" s="15"/>
      <c r="W2376" s="16"/>
      <c r="X2376" s="16"/>
      <c r="Y2376" s="16"/>
    </row>
    <row r="2377" customFormat="false" ht="15.75" hidden="false" customHeight="false" outlineLevel="0" collapsed="false">
      <c r="A2377" s="9"/>
      <c r="B2377" s="10"/>
      <c r="C2377" s="10"/>
      <c r="D2377" s="10"/>
      <c r="E2377" s="10"/>
      <c r="F2377" s="10"/>
      <c r="G2377" s="10"/>
      <c r="H2377" s="10"/>
      <c r="I2377" s="25" t="n">
        <v>4</v>
      </c>
      <c r="J2377" s="25"/>
      <c r="K2377" s="26"/>
      <c r="L2377" s="26"/>
      <c r="M2377" s="25"/>
      <c r="N2377" s="25"/>
      <c r="O2377" s="25"/>
      <c r="P2377" s="26"/>
      <c r="Q2377" s="26"/>
      <c r="R2377" s="25"/>
      <c r="S2377" s="25"/>
      <c r="T2377" s="25"/>
      <c r="U2377" s="27"/>
      <c r="V2377" s="21"/>
      <c r="W2377" s="16"/>
      <c r="X2377" s="16"/>
      <c r="Y2377" s="16"/>
    </row>
    <row r="2378" customFormat="false" ht="15.75" hidden="false" customHeight="false" outlineLevel="0" collapsed="false">
      <c r="A2378" s="9"/>
      <c r="B2378" s="10"/>
      <c r="C2378" s="11"/>
      <c r="D2378" s="10"/>
      <c r="E2378" s="10"/>
      <c r="F2378" s="10"/>
      <c r="G2378" s="10"/>
      <c r="H2378" s="10"/>
      <c r="I2378" s="12" t="n">
        <v>1</v>
      </c>
      <c r="J2378" s="12"/>
      <c r="K2378" s="13"/>
      <c r="L2378" s="13"/>
      <c r="M2378" s="12"/>
      <c r="N2378" s="12"/>
      <c r="O2378" s="12"/>
      <c r="P2378" s="13"/>
      <c r="Q2378" s="13"/>
      <c r="R2378" s="12"/>
      <c r="S2378" s="12"/>
      <c r="T2378" s="12"/>
      <c r="U2378" s="14"/>
      <c r="V2378" s="15"/>
      <c r="W2378" s="16" t="n">
        <f aca="false">A2378</f>
        <v>0</v>
      </c>
      <c r="X2378" s="17" t="e">
        <f aca="false">ifs(C2378="","",X2378="",NOW(),TRUE(),X2378)</f>
        <v>#VALUE!</v>
      </c>
      <c r="Y2378" s="17" t="e">
        <f aca="false">ifs(COUNTA(K2378:U2381)&lt;44,"",Y2378="",NOW(),TRUE(),Y2378)</f>
        <v>#VALUE!</v>
      </c>
    </row>
    <row r="2379" customFormat="false" ht="15.75" hidden="false" customHeight="false" outlineLevel="0" collapsed="false">
      <c r="A2379" s="9"/>
      <c r="B2379" s="10"/>
      <c r="C2379" s="10"/>
      <c r="D2379" s="10"/>
      <c r="E2379" s="10"/>
      <c r="F2379" s="10"/>
      <c r="G2379" s="10"/>
      <c r="H2379" s="10"/>
      <c r="I2379" s="18" t="n">
        <v>2</v>
      </c>
      <c r="J2379" s="18"/>
      <c r="K2379" s="19"/>
      <c r="L2379" s="19"/>
      <c r="M2379" s="18"/>
      <c r="N2379" s="18"/>
      <c r="O2379" s="18"/>
      <c r="P2379" s="19"/>
      <c r="Q2379" s="19"/>
      <c r="R2379" s="18"/>
      <c r="S2379" s="18"/>
      <c r="T2379" s="18"/>
      <c r="U2379" s="20"/>
      <c r="V2379" s="21"/>
      <c r="W2379" s="16"/>
      <c r="X2379" s="16"/>
      <c r="Y2379" s="16"/>
    </row>
    <row r="2380" customFormat="false" ht="15.75" hidden="false" customHeight="false" outlineLevel="0" collapsed="false">
      <c r="A2380" s="9"/>
      <c r="B2380" s="10"/>
      <c r="C2380" s="10"/>
      <c r="D2380" s="10"/>
      <c r="E2380" s="10"/>
      <c r="F2380" s="10"/>
      <c r="G2380" s="10"/>
      <c r="H2380" s="10"/>
      <c r="I2380" s="22" t="n">
        <v>3</v>
      </c>
      <c r="J2380" s="22"/>
      <c r="K2380" s="23"/>
      <c r="L2380" s="23"/>
      <c r="M2380" s="22"/>
      <c r="N2380" s="22"/>
      <c r="O2380" s="22"/>
      <c r="P2380" s="23"/>
      <c r="Q2380" s="23"/>
      <c r="R2380" s="22"/>
      <c r="S2380" s="22"/>
      <c r="T2380" s="22"/>
      <c r="U2380" s="24"/>
      <c r="V2380" s="15"/>
      <c r="W2380" s="16"/>
      <c r="X2380" s="16"/>
      <c r="Y2380" s="16"/>
    </row>
    <row r="2381" customFormat="false" ht="15.75" hidden="false" customHeight="false" outlineLevel="0" collapsed="false">
      <c r="A2381" s="9"/>
      <c r="B2381" s="10"/>
      <c r="C2381" s="10"/>
      <c r="D2381" s="10"/>
      <c r="E2381" s="10"/>
      <c r="F2381" s="10"/>
      <c r="G2381" s="10"/>
      <c r="H2381" s="10"/>
      <c r="I2381" s="25" t="n">
        <v>4</v>
      </c>
      <c r="J2381" s="25"/>
      <c r="K2381" s="26"/>
      <c r="L2381" s="26"/>
      <c r="M2381" s="25"/>
      <c r="N2381" s="25"/>
      <c r="O2381" s="25"/>
      <c r="P2381" s="26"/>
      <c r="Q2381" s="26"/>
      <c r="R2381" s="25"/>
      <c r="S2381" s="25"/>
      <c r="T2381" s="25"/>
      <c r="U2381" s="27"/>
      <c r="V2381" s="21"/>
      <c r="W2381" s="16"/>
      <c r="X2381" s="16"/>
      <c r="Y2381" s="16"/>
    </row>
    <row r="2382" customFormat="false" ht="15.75" hidden="false" customHeight="false" outlineLevel="0" collapsed="false">
      <c r="A2382" s="9"/>
      <c r="B2382" s="10"/>
      <c r="C2382" s="11"/>
      <c r="D2382" s="10"/>
      <c r="E2382" s="10"/>
      <c r="F2382" s="10"/>
      <c r="G2382" s="10"/>
      <c r="H2382" s="10"/>
      <c r="I2382" s="12" t="n">
        <v>1</v>
      </c>
      <c r="J2382" s="12"/>
      <c r="K2382" s="13"/>
      <c r="L2382" s="13"/>
      <c r="M2382" s="12"/>
      <c r="N2382" s="12"/>
      <c r="O2382" s="12"/>
      <c r="P2382" s="13"/>
      <c r="Q2382" s="13"/>
      <c r="R2382" s="12"/>
      <c r="S2382" s="12"/>
      <c r="T2382" s="12"/>
      <c r="U2382" s="14"/>
      <c r="V2382" s="15"/>
      <c r="W2382" s="16" t="n">
        <f aca="false">A2382</f>
        <v>0</v>
      </c>
      <c r="X2382" s="17" t="e">
        <f aca="false">ifs(C2382="","",X2382="",NOW(),TRUE(),X2382)</f>
        <v>#VALUE!</v>
      </c>
      <c r="Y2382" s="17" t="e">
        <f aca="false">ifs(COUNTA(K2382:U2385)&lt;44,"",Y2382="",NOW(),TRUE(),Y2382)</f>
        <v>#VALUE!</v>
      </c>
    </row>
    <row r="2383" customFormat="false" ht="15.75" hidden="false" customHeight="false" outlineLevel="0" collapsed="false">
      <c r="A2383" s="9"/>
      <c r="B2383" s="10"/>
      <c r="C2383" s="10"/>
      <c r="D2383" s="10"/>
      <c r="E2383" s="10"/>
      <c r="F2383" s="10"/>
      <c r="G2383" s="10"/>
      <c r="H2383" s="10"/>
      <c r="I2383" s="18" t="n">
        <v>2</v>
      </c>
      <c r="J2383" s="18"/>
      <c r="K2383" s="19"/>
      <c r="L2383" s="19"/>
      <c r="M2383" s="18"/>
      <c r="N2383" s="18"/>
      <c r="O2383" s="18"/>
      <c r="P2383" s="19"/>
      <c r="Q2383" s="19"/>
      <c r="R2383" s="18"/>
      <c r="S2383" s="18"/>
      <c r="T2383" s="18"/>
      <c r="U2383" s="20"/>
      <c r="V2383" s="21"/>
      <c r="W2383" s="16"/>
      <c r="X2383" s="16"/>
      <c r="Y2383" s="16"/>
    </row>
    <row r="2384" customFormat="false" ht="15.75" hidden="false" customHeight="false" outlineLevel="0" collapsed="false">
      <c r="A2384" s="9"/>
      <c r="B2384" s="10"/>
      <c r="C2384" s="10"/>
      <c r="D2384" s="10"/>
      <c r="E2384" s="10"/>
      <c r="F2384" s="10"/>
      <c r="G2384" s="10"/>
      <c r="H2384" s="10"/>
      <c r="I2384" s="22" t="n">
        <v>3</v>
      </c>
      <c r="J2384" s="22"/>
      <c r="K2384" s="23"/>
      <c r="L2384" s="23"/>
      <c r="M2384" s="22"/>
      <c r="N2384" s="22"/>
      <c r="O2384" s="22"/>
      <c r="P2384" s="23"/>
      <c r="Q2384" s="23"/>
      <c r="R2384" s="22"/>
      <c r="S2384" s="22"/>
      <c r="T2384" s="22"/>
      <c r="U2384" s="24"/>
      <c r="V2384" s="15"/>
      <c r="W2384" s="16"/>
      <c r="X2384" s="16"/>
      <c r="Y2384" s="16"/>
    </row>
    <row r="2385" customFormat="false" ht="15.75" hidden="false" customHeight="false" outlineLevel="0" collapsed="false">
      <c r="A2385" s="9"/>
      <c r="B2385" s="10"/>
      <c r="C2385" s="10"/>
      <c r="D2385" s="10"/>
      <c r="E2385" s="10"/>
      <c r="F2385" s="10"/>
      <c r="G2385" s="10"/>
      <c r="H2385" s="10"/>
      <c r="I2385" s="25" t="n">
        <v>4</v>
      </c>
      <c r="J2385" s="25"/>
      <c r="K2385" s="26"/>
      <c r="L2385" s="26"/>
      <c r="M2385" s="25"/>
      <c r="N2385" s="25"/>
      <c r="O2385" s="25"/>
      <c r="P2385" s="26"/>
      <c r="Q2385" s="26"/>
      <c r="R2385" s="25"/>
      <c r="S2385" s="25"/>
      <c r="T2385" s="25"/>
      <c r="U2385" s="27"/>
      <c r="V2385" s="21"/>
      <c r="W2385" s="16"/>
      <c r="X2385" s="16"/>
      <c r="Y2385" s="16"/>
    </row>
    <row r="2386" customFormat="false" ht="15.75" hidden="false" customHeight="false" outlineLevel="0" collapsed="false">
      <c r="A2386" s="9"/>
      <c r="B2386" s="10"/>
      <c r="C2386" s="11"/>
      <c r="D2386" s="10"/>
      <c r="E2386" s="10"/>
      <c r="F2386" s="10"/>
      <c r="G2386" s="10"/>
      <c r="H2386" s="10"/>
      <c r="I2386" s="12" t="n">
        <v>1</v>
      </c>
      <c r="J2386" s="12"/>
      <c r="K2386" s="13"/>
      <c r="L2386" s="13"/>
      <c r="M2386" s="12"/>
      <c r="N2386" s="12"/>
      <c r="O2386" s="12"/>
      <c r="P2386" s="13"/>
      <c r="Q2386" s="13"/>
      <c r="R2386" s="12"/>
      <c r="S2386" s="12"/>
      <c r="T2386" s="12"/>
      <c r="U2386" s="14"/>
      <c r="V2386" s="15"/>
      <c r="W2386" s="16" t="n">
        <f aca="false">A2386</f>
        <v>0</v>
      </c>
      <c r="X2386" s="17" t="e">
        <f aca="false">ifs(C2386="","",X2386="",NOW(),TRUE(),X2386)</f>
        <v>#VALUE!</v>
      </c>
      <c r="Y2386" s="17" t="e">
        <f aca="false">ifs(COUNTA(K2386:U2389)&lt;44,"",Y2386="",NOW(),TRUE(),Y2386)</f>
        <v>#VALUE!</v>
      </c>
    </row>
    <row r="2387" customFormat="false" ht="15.75" hidden="false" customHeight="false" outlineLevel="0" collapsed="false">
      <c r="A2387" s="9"/>
      <c r="B2387" s="10"/>
      <c r="C2387" s="10"/>
      <c r="D2387" s="10"/>
      <c r="E2387" s="10"/>
      <c r="F2387" s="10"/>
      <c r="G2387" s="10"/>
      <c r="H2387" s="10"/>
      <c r="I2387" s="18" t="n">
        <v>2</v>
      </c>
      <c r="J2387" s="18"/>
      <c r="K2387" s="19"/>
      <c r="L2387" s="19"/>
      <c r="M2387" s="18"/>
      <c r="N2387" s="18"/>
      <c r="O2387" s="18"/>
      <c r="P2387" s="19"/>
      <c r="Q2387" s="19"/>
      <c r="R2387" s="18"/>
      <c r="S2387" s="18"/>
      <c r="T2387" s="18"/>
      <c r="U2387" s="20"/>
      <c r="V2387" s="21"/>
      <c r="W2387" s="16"/>
      <c r="X2387" s="16"/>
      <c r="Y2387" s="16"/>
    </row>
    <row r="2388" customFormat="false" ht="15.75" hidden="false" customHeight="false" outlineLevel="0" collapsed="false">
      <c r="A2388" s="9"/>
      <c r="B2388" s="10"/>
      <c r="C2388" s="10"/>
      <c r="D2388" s="10"/>
      <c r="E2388" s="10"/>
      <c r="F2388" s="10"/>
      <c r="G2388" s="10"/>
      <c r="H2388" s="10"/>
      <c r="I2388" s="22" t="n">
        <v>3</v>
      </c>
      <c r="J2388" s="22"/>
      <c r="K2388" s="23"/>
      <c r="L2388" s="23"/>
      <c r="M2388" s="22"/>
      <c r="N2388" s="22"/>
      <c r="O2388" s="22"/>
      <c r="P2388" s="23"/>
      <c r="Q2388" s="23"/>
      <c r="R2388" s="22"/>
      <c r="S2388" s="22"/>
      <c r="T2388" s="22"/>
      <c r="U2388" s="24"/>
      <c r="V2388" s="15"/>
      <c r="W2388" s="16"/>
      <c r="X2388" s="16"/>
      <c r="Y2388" s="16"/>
    </row>
    <row r="2389" customFormat="false" ht="15.75" hidden="false" customHeight="false" outlineLevel="0" collapsed="false">
      <c r="A2389" s="9"/>
      <c r="B2389" s="10"/>
      <c r="C2389" s="10"/>
      <c r="D2389" s="10"/>
      <c r="E2389" s="10"/>
      <c r="F2389" s="10"/>
      <c r="G2389" s="10"/>
      <c r="H2389" s="10"/>
      <c r="I2389" s="25" t="n">
        <v>4</v>
      </c>
      <c r="J2389" s="25"/>
      <c r="K2389" s="26"/>
      <c r="L2389" s="26"/>
      <c r="M2389" s="25"/>
      <c r="N2389" s="25"/>
      <c r="O2389" s="25"/>
      <c r="P2389" s="26"/>
      <c r="Q2389" s="26"/>
      <c r="R2389" s="25"/>
      <c r="S2389" s="25"/>
      <c r="T2389" s="25"/>
      <c r="U2389" s="27"/>
      <c r="V2389" s="21"/>
      <c r="W2389" s="16"/>
      <c r="X2389" s="16"/>
      <c r="Y2389" s="16"/>
    </row>
    <row r="2390" customFormat="false" ht="15.75" hidden="false" customHeight="false" outlineLevel="0" collapsed="false">
      <c r="A2390" s="9"/>
      <c r="B2390" s="10"/>
      <c r="C2390" s="11"/>
      <c r="D2390" s="10"/>
      <c r="E2390" s="10"/>
      <c r="F2390" s="10"/>
      <c r="G2390" s="10"/>
      <c r="H2390" s="10"/>
      <c r="I2390" s="12" t="n">
        <v>1</v>
      </c>
      <c r="J2390" s="12"/>
      <c r="K2390" s="13"/>
      <c r="L2390" s="13"/>
      <c r="M2390" s="12"/>
      <c r="N2390" s="12"/>
      <c r="O2390" s="12"/>
      <c r="P2390" s="13"/>
      <c r="Q2390" s="13"/>
      <c r="R2390" s="12"/>
      <c r="S2390" s="12"/>
      <c r="T2390" s="12"/>
      <c r="U2390" s="14"/>
      <c r="V2390" s="15"/>
      <c r="W2390" s="16" t="n">
        <f aca="false">A2390</f>
        <v>0</v>
      </c>
      <c r="X2390" s="17" t="e">
        <f aca="false">ifs(C2390="","",X2390="",NOW(),TRUE(),X2390)</f>
        <v>#VALUE!</v>
      </c>
      <c r="Y2390" s="17" t="e">
        <f aca="false">ifs(COUNTA(K2390:U2393)&lt;44,"",Y2390="",NOW(),TRUE(),Y2390)</f>
        <v>#VALUE!</v>
      </c>
    </row>
    <row r="2391" customFormat="false" ht="15.75" hidden="false" customHeight="false" outlineLevel="0" collapsed="false">
      <c r="A2391" s="9"/>
      <c r="B2391" s="10"/>
      <c r="C2391" s="10"/>
      <c r="D2391" s="10"/>
      <c r="E2391" s="10"/>
      <c r="F2391" s="10"/>
      <c r="G2391" s="10"/>
      <c r="H2391" s="10"/>
      <c r="I2391" s="18" t="n">
        <v>2</v>
      </c>
      <c r="J2391" s="18"/>
      <c r="K2391" s="19"/>
      <c r="L2391" s="19"/>
      <c r="M2391" s="18"/>
      <c r="N2391" s="18"/>
      <c r="O2391" s="18"/>
      <c r="P2391" s="19"/>
      <c r="Q2391" s="19"/>
      <c r="R2391" s="18"/>
      <c r="S2391" s="18"/>
      <c r="T2391" s="18"/>
      <c r="U2391" s="20"/>
      <c r="V2391" s="21"/>
      <c r="W2391" s="16"/>
      <c r="X2391" s="16"/>
      <c r="Y2391" s="16"/>
    </row>
    <row r="2392" customFormat="false" ht="15.75" hidden="false" customHeight="false" outlineLevel="0" collapsed="false">
      <c r="A2392" s="9"/>
      <c r="B2392" s="10"/>
      <c r="C2392" s="10"/>
      <c r="D2392" s="10"/>
      <c r="E2392" s="10"/>
      <c r="F2392" s="10"/>
      <c r="G2392" s="10"/>
      <c r="H2392" s="10"/>
      <c r="I2392" s="22" t="n">
        <v>3</v>
      </c>
      <c r="J2392" s="22"/>
      <c r="K2392" s="23"/>
      <c r="L2392" s="23"/>
      <c r="M2392" s="22"/>
      <c r="N2392" s="22"/>
      <c r="O2392" s="22"/>
      <c r="P2392" s="23"/>
      <c r="Q2392" s="23"/>
      <c r="R2392" s="22"/>
      <c r="S2392" s="22"/>
      <c r="T2392" s="22"/>
      <c r="U2392" s="24"/>
      <c r="V2392" s="15"/>
      <c r="W2392" s="16"/>
      <c r="X2392" s="16"/>
      <c r="Y2392" s="16"/>
    </row>
    <row r="2393" customFormat="false" ht="15.75" hidden="false" customHeight="false" outlineLevel="0" collapsed="false">
      <c r="A2393" s="9"/>
      <c r="B2393" s="10"/>
      <c r="C2393" s="10"/>
      <c r="D2393" s="10"/>
      <c r="E2393" s="10"/>
      <c r="F2393" s="10"/>
      <c r="G2393" s="10"/>
      <c r="H2393" s="10"/>
      <c r="I2393" s="25" t="n">
        <v>4</v>
      </c>
      <c r="J2393" s="25"/>
      <c r="K2393" s="26"/>
      <c r="L2393" s="26"/>
      <c r="M2393" s="25"/>
      <c r="N2393" s="25"/>
      <c r="O2393" s="25"/>
      <c r="P2393" s="26"/>
      <c r="Q2393" s="26"/>
      <c r="R2393" s="25"/>
      <c r="S2393" s="25"/>
      <c r="T2393" s="25"/>
      <c r="U2393" s="27"/>
      <c r="V2393" s="21"/>
      <c r="W2393" s="16"/>
      <c r="X2393" s="16"/>
      <c r="Y2393" s="16"/>
    </row>
    <row r="2394" customFormat="false" ht="15.75" hidden="false" customHeight="false" outlineLevel="0" collapsed="false">
      <c r="A2394" s="9"/>
      <c r="B2394" s="10"/>
      <c r="C2394" s="11"/>
      <c r="D2394" s="10"/>
      <c r="E2394" s="10"/>
      <c r="F2394" s="10"/>
      <c r="G2394" s="10"/>
      <c r="H2394" s="10"/>
      <c r="I2394" s="12" t="n">
        <v>1</v>
      </c>
      <c r="J2394" s="12"/>
      <c r="K2394" s="13"/>
      <c r="L2394" s="13"/>
      <c r="M2394" s="12"/>
      <c r="N2394" s="12"/>
      <c r="O2394" s="12"/>
      <c r="P2394" s="13"/>
      <c r="Q2394" s="13"/>
      <c r="R2394" s="12"/>
      <c r="S2394" s="12"/>
      <c r="T2394" s="12"/>
      <c r="U2394" s="14"/>
      <c r="V2394" s="15"/>
      <c r="W2394" s="16" t="n">
        <f aca="false">A2394</f>
        <v>0</v>
      </c>
      <c r="X2394" s="17" t="e">
        <f aca="false">ifs(C2394="","",X2394="",NOW(),TRUE(),X2394)</f>
        <v>#VALUE!</v>
      </c>
      <c r="Y2394" s="17" t="e">
        <f aca="false">ifs(COUNTA(K2394:U2397)&lt;44,"",Y2394="",NOW(),TRUE(),Y2394)</f>
        <v>#VALUE!</v>
      </c>
    </row>
    <row r="2395" customFormat="false" ht="15.75" hidden="false" customHeight="false" outlineLevel="0" collapsed="false">
      <c r="A2395" s="9"/>
      <c r="B2395" s="10"/>
      <c r="C2395" s="10"/>
      <c r="D2395" s="10"/>
      <c r="E2395" s="10"/>
      <c r="F2395" s="10"/>
      <c r="G2395" s="10"/>
      <c r="H2395" s="10"/>
      <c r="I2395" s="18" t="n">
        <v>2</v>
      </c>
      <c r="J2395" s="18"/>
      <c r="K2395" s="19"/>
      <c r="L2395" s="19"/>
      <c r="M2395" s="18"/>
      <c r="N2395" s="18"/>
      <c r="O2395" s="18"/>
      <c r="P2395" s="19"/>
      <c r="Q2395" s="19"/>
      <c r="R2395" s="18"/>
      <c r="S2395" s="18"/>
      <c r="T2395" s="18"/>
      <c r="U2395" s="20"/>
      <c r="V2395" s="21"/>
      <c r="W2395" s="16"/>
      <c r="X2395" s="16"/>
      <c r="Y2395" s="16"/>
    </row>
    <row r="2396" customFormat="false" ht="15.75" hidden="false" customHeight="false" outlineLevel="0" collapsed="false">
      <c r="A2396" s="9"/>
      <c r="B2396" s="10"/>
      <c r="C2396" s="10"/>
      <c r="D2396" s="10"/>
      <c r="E2396" s="10"/>
      <c r="F2396" s="10"/>
      <c r="G2396" s="10"/>
      <c r="H2396" s="10"/>
      <c r="I2396" s="22" t="n">
        <v>3</v>
      </c>
      <c r="J2396" s="22"/>
      <c r="K2396" s="23"/>
      <c r="L2396" s="23"/>
      <c r="M2396" s="22"/>
      <c r="N2396" s="22"/>
      <c r="O2396" s="22"/>
      <c r="P2396" s="23"/>
      <c r="Q2396" s="23"/>
      <c r="R2396" s="22"/>
      <c r="S2396" s="22"/>
      <c r="T2396" s="22"/>
      <c r="U2396" s="24"/>
      <c r="V2396" s="15"/>
      <c r="W2396" s="16"/>
      <c r="X2396" s="16"/>
      <c r="Y2396" s="16"/>
    </row>
    <row r="2397" customFormat="false" ht="15.75" hidden="false" customHeight="false" outlineLevel="0" collapsed="false">
      <c r="A2397" s="9"/>
      <c r="B2397" s="10"/>
      <c r="C2397" s="10"/>
      <c r="D2397" s="10"/>
      <c r="E2397" s="10"/>
      <c r="F2397" s="10"/>
      <c r="G2397" s="10"/>
      <c r="H2397" s="10"/>
      <c r="I2397" s="25" t="n">
        <v>4</v>
      </c>
      <c r="J2397" s="25"/>
      <c r="K2397" s="26"/>
      <c r="L2397" s="26"/>
      <c r="M2397" s="25"/>
      <c r="N2397" s="25"/>
      <c r="O2397" s="25"/>
      <c r="P2397" s="26"/>
      <c r="Q2397" s="26"/>
      <c r="R2397" s="25"/>
      <c r="S2397" s="25"/>
      <c r="T2397" s="25"/>
      <c r="U2397" s="27"/>
      <c r="V2397" s="21"/>
      <c r="W2397" s="16"/>
      <c r="X2397" s="16"/>
      <c r="Y2397" s="16"/>
    </row>
    <row r="2398" customFormat="false" ht="15.75" hidden="false" customHeight="false" outlineLevel="0" collapsed="false">
      <c r="A2398" s="9"/>
      <c r="B2398" s="10"/>
      <c r="C2398" s="11"/>
      <c r="D2398" s="10"/>
      <c r="E2398" s="10"/>
      <c r="F2398" s="10"/>
      <c r="G2398" s="10"/>
      <c r="H2398" s="10"/>
      <c r="I2398" s="12" t="n">
        <v>1</v>
      </c>
      <c r="J2398" s="12"/>
      <c r="K2398" s="13"/>
      <c r="L2398" s="13"/>
      <c r="M2398" s="12"/>
      <c r="N2398" s="12"/>
      <c r="O2398" s="12"/>
      <c r="P2398" s="13"/>
      <c r="Q2398" s="13"/>
      <c r="R2398" s="12"/>
      <c r="S2398" s="12"/>
      <c r="T2398" s="12"/>
      <c r="U2398" s="14"/>
      <c r="V2398" s="15"/>
      <c r="W2398" s="16" t="n">
        <f aca="false">A2398</f>
        <v>0</v>
      </c>
      <c r="X2398" s="17" t="e">
        <f aca="false">ifs(C2398="","",X2398="",NOW(),TRUE(),X2398)</f>
        <v>#VALUE!</v>
      </c>
      <c r="Y2398" s="17" t="e">
        <f aca="false">ifs(COUNTA(K2398:U2401)&lt;44,"",Y2398="",NOW(),TRUE(),Y2398)</f>
        <v>#VALUE!</v>
      </c>
    </row>
    <row r="2399" customFormat="false" ht="15.75" hidden="false" customHeight="false" outlineLevel="0" collapsed="false">
      <c r="A2399" s="9"/>
      <c r="B2399" s="10"/>
      <c r="C2399" s="10"/>
      <c r="D2399" s="10"/>
      <c r="E2399" s="10"/>
      <c r="F2399" s="10"/>
      <c r="G2399" s="10"/>
      <c r="H2399" s="10"/>
      <c r="I2399" s="18" t="n">
        <v>2</v>
      </c>
      <c r="J2399" s="18"/>
      <c r="K2399" s="19"/>
      <c r="L2399" s="19"/>
      <c r="M2399" s="18"/>
      <c r="N2399" s="18"/>
      <c r="O2399" s="18"/>
      <c r="P2399" s="19"/>
      <c r="Q2399" s="19"/>
      <c r="R2399" s="18"/>
      <c r="S2399" s="18"/>
      <c r="T2399" s="18"/>
      <c r="U2399" s="20"/>
      <c r="V2399" s="21"/>
      <c r="W2399" s="16"/>
      <c r="X2399" s="16"/>
      <c r="Y2399" s="16"/>
    </row>
    <row r="2400" customFormat="false" ht="15.75" hidden="false" customHeight="false" outlineLevel="0" collapsed="false">
      <c r="A2400" s="9"/>
      <c r="B2400" s="10"/>
      <c r="C2400" s="10"/>
      <c r="D2400" s="10"/>
      <c r="E2400" s="10"/>
      <c r="F2400" s="10"/>
      <c r="G2400" s="10"/>
      <c r="H2400" s="10"/>
      <c r="I2400" s="22" t="n">
        <v>3</v>
      </c>
      <c r="J2400" s="22"/>
      <c r="K2400" s="23"/>
      <c r="L2400" s="23"/>
      <c r="M2400" s="22"/>
      <c r="N2400" s="22"/>
      <c r="O2400" s="22"/>
      <c r="P2400" s="23"/>
      <c r="Q2400" s="23"/>
      <c r="R2400" s="22"/>
      <c r="S2400" s="22"/>
      <c r="T2400" s="22"/>
      <c r="U2400" s="24"/>
      <c r="V2400" s="15"/>
      <c r="W2400" s="16"/>
      <c r="X2400" s="16"/>
      <c r="Y2400" s="16"/>
    </row>
    <row r="2401" customFormat="false" ht="15.75" hidden="false" customHeight="false" outlineLevel="0" collapsed="false">
      <c r="A2401" s="9"/>
      <c r="B2401" s="10"/>
      <c r="C2401" s="10"/>
      <c r="D2401" s="10"/>
      <c r="E2401" s="10"/>
      <c r="F2401" s="10"/>
      <c r="G2401" s="10"/>
      <c r="H2401" s="10"/>
      <c r="I2401" s="25" t="n">
        <v>4</v>
      </c>
      <c r="J2401" s="25"/>
      <c r="K2401" s="26"/>
      <c r="L2401" s="26"/>
      <c r="M2401" s="25"/>
      <c r="N2401" s="25"/>
      <c r="O2401" s="25"/>
      <c r="P2401" s="26"/>
      <c r="Q2401" s="26"/>
      <c r="R2401" s="25"/>
      <c r="S2401" s="25"/>
      <c r="T2401" s="25"/>
      <c r="U2401" s="27"/>
      <c r="V2401" s="21"/>
      <c r="W2401" s="16"/>
      <c r="X2401" s="16"/>
      <c r="Y2401" s="16"/>
    </row>
    <row r="2402" customFormat="false" ht="15.75" hidden="false" customHeight="false" outlineLevel="0" collapsed="false">
      <c r="A2402" s="9"/>
      <c r="B2402" s="10"/>
      <c r="C2402" s="11"/>
      <c r="D2402" s="10"/>
      <c r="E2402" s="10"/>
      <c r="F2402" s="10"/>
      <c r="G2402" s="10"/>
      <c r="H2402" s="10"/>
      <c r="I2402" s="12" t="n">
        <v>1</v>
      </c>
      <c r="J2402" s="12"/>
      <c r="K2402" s="13"/>
      <c r="L2402" s="13"/>
      <c r="M2402" s="12"/>
      <c r="N2402" s="12"/>
      <c r="O2402" s="12"/>
      <c r="P2402" s="13"/>
      <c r="Q2402" s="13"/>
      <c r="R2402" s="12"/>
      <c r="S2402" s="12"/>
      <c r="T2402" s="12"/>
      <c r="U2402" s="14"/>
      <c r="V2402" s="15"/>
      <c r="W2402" s="16" t="n">
        <f aca="false">A2402</f>
        <v>0</v>
      </c>
      <c r="X2402" s="17" t="e">
        <f aca="false">ifs(C2402="","",X2402="",NOW(),TRUE(),X2402)</f>
        <v>#VALUE!</v>
      </c>
      <c r="Y2402" s="17" t="e">
        <f aca="false">ifs(COUNTA(K2402:U2405)&lt;44,"",Y2402="",NOW(),TRUE(),Y2402)</f>
        <v>#VALUE!</v>
      </c>
    </row>
    <row r="2403" customFormat="false" ht="15.75" hidden="false" customHeight="false" outlineLevel="0" collapsed="false">
      <c r="A2403" s="9"/>
      <c r="B2403" s="10"/>
      <c r="C2403" s="10"/>
      <c r="D2403" s="10"/>
      <c r="E2403" s="10"/>
      <c r="F2403" s="10"/>
      <c r="G2403" s="10"/>
      <c r="H2403" s="10"/>
      <c r="I2403" s="18" t="n">
        <v>2</v>
      </c>
      <c r="J2403" s="18"/>
      <c r="K2403" s="19"/>
      <c r="L2403" s="19"/>
      <c r="M2403" s="18"/>
      <c r="N2403" s="18"/>
      <c r="O2403" s="18"/>
      <c r="P2403" s="19"/>
      <c r="Q2403" s="19"/>
      <c r="R2403" s="18"/>
      <c r="S2403" s="18"/>
      <c r="T2403" s="18"/>
      <c r="U2403" s="20"/>
      <c r="V2403" s="21"/>
      <c r="W2403" s="16"/>
      <c r="X2403" s="16"/>
      <c r="Y2403" s="16"/>
    </row>
    <row r="2404" customFormat="false" ht="15.75" hidden="false" customHeight="false" outlineLevel="0" collapsed="false">
      <c r="A2404" s="9"/>
      <c r="B2404" s="10"/>
      <c r="C2404" s="10"/>
      <c r="D2404" s="10"/>
      <c r="E2404" s="10"/>
      <c r="F2404" s="10"/>
      <c r="G2404" s="10"/>
      <c r="H2404" s="10"/>
      <c r="I2404" s="22" t="n">
        <v>3</v>
      </c>
      <c r="J2404" s="22"/>
      <c r="K2404" s="23"/>
      <c r="L2404" s="23"/>
      <c r="M2404" s="22"/>
      <c r="N2404" s="22"/>
      <c r="O2404" s="22"/>
      <c r="P2404" s="23"/>
      <c r="Q2404" s="23"/>
      <c r="R2404" s="22"/>
      <c r="S2404" s="22"/>
      <c r="T2404" s="22"/>
      <c r="U2404" s="24"/>
      <c r="V2404" s="15"/>
      <c r="W2404" s="16"/>
      <c r="X2404" s="16"/>
      <c r="Y2404" s="16"/>
    </row>
    <row r="2405" customFormat="false" ht="15.75" hidden="false" customHeight="false" outlineLevel="0" collapsed="false">
      <c r="A2405" s="9"/>
      <c r="B2405" s="10"/>
      <c r="C2405" s="10"/>
      <c r="D2405" s="10"/>
      <c r="E2405" s="10"/>
      <c r="F2405" s="10"/>
      <c r="G2405" s="10"/>
      <c r="H2405" s="10"/>
      <c r="I2405" s="25" t="n">
        <v>4</v>
      </c>
      <c r="J2405" s="25"/>
      <c r="K2405" s="26"/>
      <c r="L2405" s="26"/>
      <c r="M2405" s="25"/>
      <c r="N2405" s="25"/>
      <c r="O2405" s="25"/>
      <c r="P2405" s="26"/>
      <c r="Q2405" s="26"/>
      <c r="R2405" s="25"/>
      <c r="S2405" s="25"/>
      <c r="T2405" s="25"/>
      <c r="U2405" s="27"/>
      <c r="V2405" s="21"/>
      <c r="W2405" s="16"/>
      <c r="X2405" s="16"/>
      <c r="Y2405" s="16"/>
    </row>
    <row r="2406" customFormat="false" ht="15.75" hidden="false" customHeight="false" outlineLevel="0" collapsed="false">
      <c r="A2406" s="9"/>
      <c r="B2406" s="10"/>
      <c r="C2406" s="11"/>
      <c r="D2406" s="10"/>
      <c r="E2406" s="10"/>
      <c r="F2406" s="10"/>
      <c r="G2406" s="10"/>
      <c r="H2406" s="10"/>
      <c r="I2406" s="12" t="n">
        <v>1</v>
      </c>
      <c r="J2406" s="12"/>
      <c r="K2406" s="13"/>
      <c r="L2406" s="13"/>
      <c r="M2406" s="12"/>
      <c r="N2406" s="12"/>
      <c r="O2406" s="12"/>
      <c r="P2406" s="13"/>
      <c r="Q2406" s="13"/>
      <c r="R2406" s="12"/>
      <c r="S2406" s="12"/>
      <c r="T2406" s="12"/>
      <c r="U2406" s="14"/>
      <c r="V2406" s="15"/>
      <c r="W2406" s="16" t="n">
        <f aca="false">A2406</f>
        <v>0</v>
      </c>
      <c r="X2406" s="17" t="e">
        <f aca="false">ifs(C2406="","",X2406="",NOW(),TRUE(),X2406)</f>
        <v>#VALUE!</v>
      </c>
      <c r="Y2406" s="17" t="e">
        <f aca="false">ifs(COUNTA(K2406:U2409)&lt;44,"",Y2406="",NOW(),TRUE(),Y2406)</f>
        <v>#VALUE!</v>
      </c>
    </row>
    <row r="2407" customFormat="false" ht="15.75" hidden="false" customHeight="false" outlineLevel="0" collapsed="false">
      <c r="A2407" s="9"/>
      <c r="B2407" s="10"/>
      <c r="C2407" s="10"/>
      <c r="D2407" s="10"/>
      <c r="E2407" s="10"/>
      <c r="F2407" s="10"/>
      <c r="G2407" s="10"/>
      <c r="H2407" s="10"/>
      <c r="I2407" s="18" t="n">
        <v>2</v>
      </c>
      <c r="J2407" s="18"/>
      <c r="K2407" s="19"/>
      <c r="L2407" s="19"/>
      <c r="M2407" s="18"/>
      <c r="N2407" s="18"/>
      <c r="O2407" s="18"/>
      <c r="P2407" s="19"/>
      <c r="Q2407" s="19"/>
      <c r="R2407" s="18"/>
      <c r="S2407" s="18"/>
      <c r="T2407" s="18"/>
      <c r="U2407" s="20"/>
      <c r="V2407" s="21"/>
      <c r="W2407" s="16"/>
      <c r="X2407" s="16"/>
      <c r="Y2407" s="16"/>
    </row>
    <row r="2408" customFormat="false" ht="15.75" hidden="false" customHeight="false" outlineLevel="0" collapsed="false">
      <c r="A2408" s="9"/>
      <c r="B2408" s="10"/>
      <c r="C2408" s="10"/>
      <c r="D2408" s="10"/>
      <c r="E2408" s="10"/>
      <c r="F2408" s="10"/>
      <c r="G2408" s="10"/>
      <c r="H2408" s="10"/>
      <c r="I2408" s="22" t="n">
        <v>3</v>
      </c>
      <c r="J2408" s="22"/>
      <c r="K2408" s="23"/>
      <c r="L2408" s="23"/>
      <c r="M2408" s="22"/>
      <c r="N2408" s="22"/>
      <c r="O2408" s="22"/>
      <c r="P2408" s="23"/>
      <c r="Q2408" s="23"/>
      <c r="R2408" s="22"/>
      <c r="S2408" s="22"/>
      <c r="T2408" s="22"/>
      <c r="U2408" s="24"/>
      <c r="V2408" s="15"/>
      <c r="W2408" s="16"/>
      <c r="X2408" s="16"/>
      <c r="Y2408" s="16"/>
    </row>
    <row r="2409" customFormat="false" ht="15.75" hidden="false" customHeight="false" outlineLevel="0" collapsed="false">
      <c r="A2409" s="9"/>
      <c r="B2409" s="10"/>
      <c r="C2409" s="10"/>
      <c r="D2409" s="10"/>
      <c r="E2409" s="10"/>
      <c r="F2409" s="10"/>
      <c r="G2409" s="10"/>
      <c r="H2409" s="10"/>
      <c r="I2409" s="25" t="n">
        <v>4</v>
      </c>
      <c r="J2409" s="25"/>
      <c r="K2409" s="26"/>
      <c r="L2409" s="26"/>
      <c r="M2409" s="25"/>
      <c r="N2409" s="25"/>
      <c r="O2409" s="25"/>
      <c r="P2409" s="26"/>
      <c r="Q2409" s="26"/>
      <c r="R2409" s="25"/>
      <c r="S2409" s="25"/>
      <c r="T2409" s="25"/>
      <c r="U2409" s="27"/>
      <c r="V2409" s="21"/>
      <c r="W2409" s="16"/>
      <c r="X2409" s="16"/>
      <c r="Y2409" s="16"/>
    </row>
    <row r="2410" customFormat="false" ht="15.75" hidden="false" customHeight="false" outlineLevel="0" collapsed="false">
      <c r="A2410" s="9"/>
      <c r="B2410" s="10"/>
      <c r="C2410" s="11"/>
      <c r="D2410" s="10"/>
      <c r="E2410" s="10"/>
      <c r="F2410" s="10"/>
      <c r="G2410" s="10"/>
      <c r="H2410" s="10"/>
      <c r="I2410" s="12" t="n">
        <v>1</v>
      </c>
      <c r="J2410" s="12"/>
      <c r="K2410" s="13"/>
      <c r="L2410" s="13"/>
      <c r="M2410" s="12"/>
      <c r="N2410" s="12"/>
      <c r="O2410" s="12"/>
      <c r="P2410" s="13"/>
      <c r="Q2410" s="13"/>
      <c r="R2410" s="12"/>
      <c r="S2410" s="12"/>
      <c r="T2410" s="12"/>
      <c r="U2410" s="14"/>
      <c r="V2410" s="15"/>
      <c r="W2410" s="16" t="n">
        <f aca="false">A2410</f>
        <v>0</v>
      </c>
      <c r="X2410" s="17" t="e">
        <f aca="false">ifs(C2410="","",X2410="",NOW(),TRUE(),X2410)</f>
        <v>#VALUE!</v>
      </c>
      <c r="Y2410" s="17" t="e">
        <f aca="false">ifs(COUNTA(K2410:U2413)&lt;44,"",Y2410="",NOW(),TRUE(),Y2410)</f>
        <v>#VALUE!</v>
      </c>
    </row>
    <row r="2411" customFormat="false" ht="15.75" hidden="false" customHeight="false" outlineLevel="0" collapsed="false">
      <c r="A2411" s="9"/>
      <c r="B2411" s="10"/>
      <c r="C2411" s="10"/>
      <c r="D2411" s="10"/>
      <c r="E2411" s="10"/>
      <c r="F2411" s="10"/>
      <c r="G2411" s="10"/>
      <c r="H2411" s="10"/>
      <c r="I2411" s="18" t="n">
        <v>2</v>
      </c>
      <c r="J2411" s="18"/>
      <c r="K2411" s="19"/>
      <c r="L2411" s="19"/>
      <c r="M2411" s="18"/>
      <c r="N2411" s="18"/>
      <c r="O2411" s="18"/>
      <c r="P2411" s="19"/>
      <c r="Q2411" s="19"/>
      <c r="R2411" s="18"/>
      <c r="S2411" s="18"/>
      <c r="T2411" s="18"/>
      <c r="U2411" s="20"/>
      <c r="V2411" s="21"/>
      <c r="W2411" s="16"/>
      <c r="X2411" s="16"/>
      <c r="Y2411" s="16"/>
    </row>
    <row r="2412" customFormat="false" ht="15.75" hidden="false" customHeight="false" outlineLevel="0" collapsed="false">
      <c r="A2412" s="9"/>
      <c r="B2412" s="10"/>
      <c r="C2412" s="10"/>
      <c r="D2412" s="10"/>
      <c r="E2412" s="10"/>
      <c r="F2412" s="10"/>
      <c r="G2412" s="10"/>
      <c r="H2412" s="10"/>
      <c r="I2412" s="22" t="n">
        <v>3</v>
      </c>
      <c r="J2412" s="22"/>
      <c r="K2412" s="23"/>
      <c r="L2412" s="23"/>
      <c r="M2412" s="22"/>
      <c r="N2412" s="22"/>
      <c r="O2412" s="22"/>
      <c r="P2412" s="23"/>
      <c r="Q2412" s="23"/>
      <c r="R2412" s="22"/>
      <c r="S2412" s="22"/>
      <c r="T2412" s="22"/>
      <c r="U2412" s="24"/>
      <c r="V2412" s="15"/>
      <c r="W2412" s="16"/>
      <c r="X2412" s="16"/>
      <c r="Y2412" s="16"/>
    </row>
    <row r="2413" customFormat="false" ht="15.75" hidden="false" customHeight="false" outlineLevel="0" collapsed="false">
      <c r="A2413" s="9"/>
      <c r="B2413" s="10"/>
      <c r="C2413" s="10"/>
      <c r="D2413" s="10"/>
      <c r="E2413" s="10"/>
      <c r="F2413" s="10"/>
      <c r="G2413" s="10"/>
      <c r="H2413" s="10"/>
      <c r="I2413" s="25" t="n">
        <v>4</v>
      </c>
      <c r="J2413" s="25"/>
      <c r="K2413" s="26"/>
      <c r="L2413" s="26"/>
      <c r="M2413" s="25"/>
      <c r="N2413" s="25"/>
      <c r="O2413" s="25"/>
      <c r="P2413" s="26"/>
      <c r="Q2413" s="26"/>
      <c r="R2413" s="25"/>
      <c r="S2413" s="25"/>
      <c r="T2413" s="25"/>
      <c r="U2413" s="27"/>
      <c r="V2413" s="21"/>
      <c r="W2413" s="16"/>
      <c r="X2413" s="16"/>
      <c r="Y2413" s="16"/>
    </row>
    <row r="2414" customFormat="false" ht="15.75" hidden="false" customHeight="false" outlineLevel="0" collapsed="false">
      <c r="A2414" s="9"/>
      <c r="B2414" s="10"/>
      <c r="C2414" s="11"/>
      <c r="D2414" s="10"/>
      <c r="E2414" s="10"/>
      <c r="F2414" s="10"/>
      <c r="G2414" s="10"/>
      <c r="H2414" s="10"/>
      <c r="I2414" s="12" t="n">
        <v>1</v>
      </c>
      <c r="J2414" s="12"/>
      <c r="K2414" s="13"/>
      <c r="L2414" s="13"/>
      <c r="M2414" s="12"/>
      <c r="N2414" s="12"/>
      <c r="O2414" s="12"/>
      <c r="P2414" s="13"/>
      <c r="Q2414" s="13"/>
      <c r="R2414" s="12"/>
      <c r="S2414" s="12"/>
      <c r="T2414" s="12"/>
      <c r="U2414" s="14"/>
      <c r="V2414" s="15"/>
      <c r="W2414" s="16" t="n">
        <f aca="false">A2414</f>
        <v>0</v>
      </c>
      <c r="X2414" s="17" t="e">
        <f aca="false">ifs(C2414="","",X2414="",NOW(),TRUE(),X2414)</f>
        <v>#VALUE!</v>
      </c>
      <c r="Y2414" s="17" t="e">
        <f aca="false">ifs(COUNTA(K2414:U2417)&lt;44,"",Y2414="",NOW(),TRUE(),Y2414)</f>
        <v>#VALUE!</v>
      </c>
    </row>
    <row r="2415" customFormat="false" ht="15.75" hidden="false" customHeight="false" outlineLevel="0" collapsed="false">
      <c r="A2415" s="9"/>
      <c r="B2415" s="10"/>
      <c r="C2415" s="10"/>
      <c r="D2415" s="10"/>
      <c r="E2415" s="10"/>
      <c r="F2415" s="10"/>
      <c r="G2415" s="10"/>
      <c r="H2415" s="10"/>
      <c r="I2415" s="18" t="n">
        <v>2</v>
      </c>
      <c r="J2415" s="18"/>
      <c r="K2415" s="19"/>
      <c r="L2415" s="19"/>
      <c r="M2415" s="18"/>
      <c r="N2415" s="18"/>
      <c r="O2415" s="18"/>
      <c r="P2415" s="19"/>
      <c r="Q2415" s="19"/>
      <c r="R2415" s="18"/>
      <c r="S2415" s="18"/>
      <c r="T2415" s="18"/>
      <c r="U2415" s="20"/>
      <c r="V2415" s="21"/>
      <c r="W2415" s="16"/>
      <c r="X2415" s="16"/>
      <c r="Y2415" s="16"/>
    </row>
    <row r="2416" customFormat="false" ht="15.75" hidden="false" customHeight="false" outlineLevel="0" collapsed="false">
      <c r="A2416" s="9"/>
      <c r="B2416" s="10"/>
      <c r="C2416" s="10"/>
      <c r="D2416" s="10"/>
      <c r="E2416" s="10"/>
      <c r="F2416" s="10"/>
      <c r="G2416" s="10"/>
      <c r="H2416" s="10"/>
      <c r="I2416" s="22" t="n">
        <v>3</v>
      </c>
      <c r="J2416" s="22"/>
      <c r="K2416" s="23"/>
      <c r="L2416" s="23"/>
      <c r="M2416" s="22"/>
      <c r="N2416" s="22"/>
      <c r="O2416" s="22"/>
      <c r="P2416" s="23"/>
      <c r="Q2416" s="23"/>
      <c r="R2416" s="22"/>
      <c r="S2416" s="22"/>
      <c r="T2416" s="22"/>
      <c r="U2416" s="24"/>
      <c r="V2416" s="15"/>
      <c r="W2416" s="16"/>
      <c r="X2416" s="16"/>
      <c r="Y2416" s="16"/>
    </row>
    <row r="2417" customFormat="false" ht="15.75" hidden="false" customHeight="false" outlineLevel="0" collapsed="false">
      <c r="A2417" s="9"/>
      <c r="B2417" s="10"/>
      <c r="C2417" s="10"/>
      <c r="D2417" s="10"/>
      <c r="E2417" s="10"/>
      <c r="F2417" s="10"/>
      <c r="G2417" s="10"/>
      <c r="H2417" s="10"/>
      <c r="I2417" s="25" t="n">
        <v>4</v>
      </c>
      <c r="J2417" s="25"/>
      <c r="K2417" s="26"/>
      <c r="L2417" s="26"/>
      <c r="M2417" s="25"/>
      <c r="N2417" s="25"/>
      <c r="O2417" s="25"/>
      <c r="P2417" s="26"/>
      <c r="Q2417" s="26"/>
      <c r="R2417" s="25"/>
      <c r="S2417" s="25"/>
      <c r="T2417" s="25"/>
      <c r="U2417" s="27"/>
      <c r="V2417" s="21"/>
      <c r="W2417" s="16"/>
      <c r="X2417" s="16"/>
      <c r="Y2417" s="16"/>
    </row>
    <row r="2418" customFormat="false" ht="15.75" hidden="false" customHeight="false" outlineLevel="0" collapsed="false">
      <c r="A2418" s="9"/>
      <c r="B2418" s="10"/>
      <c r="C2418" s="11"/>
      <c r="D2418" s="10"/>
      <c r="E2418" s="10"/>
      <c r="F2418" s="10"/>
      <c r="G2418" s="10"/>
      <c r="H2418" s="10"/>
      <c r="I2418" s="12" t="n">
        <v>1</v>
      </c>
      <c r="J2418" s="12"/>
      <c r="K2418" s="13"/>
      <c r="L2418" s="13"/>
      <c r="M2418" s="12"/>
      <c r="N2418" s="12"/>
      <c r="O2418" s="12"/>
      <c r="P2418" s="13"/>
      <c r="Q2418" s="13"/>
      <c r="R2418" s="12"/>
      <c r="S2418" s="12"/>
      <c r="T2418" s="12"/>
      <c r="U2418" s="14"/>
      <c r="V2418" s="15"/>
      <c r="W2418" s="16" t="n">
        <f aca="false">A2418</f>
        <v>0</v>
      </c>
      <c r="X2418" s="17" t="e">
        <f aca="false">ifs(C2418="","",X2418="",NOW(),TRUE(),X2418)</f>
        <v>#VALUE!</v>
      </c>
      <c r="Y2418" s="17" t="e">
        <f aca="false">ifs(COUNTA(K2418:U2421)&lt;44,"",Y2418="",NOW(),TRUE(),Y2418)</f>
        <v>#VALUE!</v>
      </c>
    </row>
    <row r="2419" customFormat="false" ht="15.75" hidden="false" customHeight="false" outlineLevel="0" collapsed="false">
      <c r="A2419" s="9"/>
      <c r="B2419" s="10"/>
      <c r="C2419" s="10"/>
      <c r="D2419" s="10"/>
      <c r="E2419" s="10"/>
      <c r="F2419" s="10"/>
      <c r="G2419" s="10"/>
      <c r="H2419" s="10"/>
      <c r="I2419" s="18" t="n">
        <v>2</v>
      </c>
      <c r="J2419" s="18"/>
      <c r="K2419" s="19"/>
      <c r="L2419" s="19"/>
      <c r="M2419" s="18"/>
      <c r="N2419" s="18"/>
      <c r="O2419" s="18"/>
      <c r="P2419" s="19"/>
      <c r="Q2419" s="19"/>
      <c r="R2419" s="18"/>
      <c r="S2419" s="18"/>
      <c r="T2419" s="18"/>
      <c r="U2419" s="20"/>
      <c r="V2419" s="21"/>
      <c r="W2419" s="16"/>
      <c r="X2419" s="16"/>
      <c r="Y2419" s="16"/>
    </row>
    <row r="2420" customFormat="false" ht="15.75" hidden="false" customHeight="false" outlineLevel="0" collapsed="false">
      <c r="A2420" s="9"/>
      <c r="B2420" s="10"/>
      <c r="C2420" s="10"/>
      <c r="D2420" s="10"/>
      <c r="E2420" s="10"/>
      <c r="F2420" s="10"/>
      <c r="G2420" s="10"/>
      <c r="H2420" s="10"/>
      <c r="I2420" s="22" t="n">
        <v>3</v>
      </c>
      <c r="J2420" s="22"/>
      <c r="K2420" s="23"/>
      <c r="L2420" s="23"/>
      <c r="M2420" s="22"/>
      <c r="N2420" s="22"/>
      <c r="O2420" s="22"/>
      <c r="P2420" s="23"/>
      <c r="Q2420" s="23"/>
      <c r="R2420" s="22"/>
      <c r="S2420" s="22"/>
      <c r="T2420" s="22"/>
      <c r="U2420" s="24"/>
      <c r="V2420" s="15"/>
      <c r="W2420" s="16"/>
      <c r="X2420" s="16"/>
      <c r="Y2420" s="16"/>
    </row>
    <row r="2421" customFormat="false" ht="15.75" hidden="false" customHeight="false" outlineLevel="0" collapsed="false">
      <c r="A2421" s="9"/>
      <c r="B2421" s="10"/>
      <c r="C2421" s="10"/>
      <c r="D2421" s="10"/>
      <c r="E2421" s="10"/>
      <c r="F2421" s="10"/>
      <c r="G2421" s="10"/>
      <c r="H2421" s="10"/>
      <c r="I2421" s="25" t="n">
        <v>4</v>
      </c>
      <c r="J2421" s="25"/>
      <c r="K2421" s="26"/>
      <c r="L2421" s="26"/>
      <c r="M2421" s="25"/>
      <c r="N2421" s="25"/>
      <c r="O2421" s="25"/>
      <c r="P2421" s="26"/>
      <c r="Q2421" s="26"/>
      <c r="R2421" s="25"/>
      <c r="S2421" s="25"/>
      <c r="T2421" s="25"/>
      <c r="U2421" s="27"/>
      <c r="V2421" s="21"/>
      <c r="W2421" s="16"/>
      <c r="X2421" s="16"/>
      <c r="Y2421" s="16"/>
    </row>
    <row r="2422" customFormat="false" ht="15.75" hidden="false" customHeight="false" outlineLevel="0" collapsed="false">
      <c r="A2422" s="9"/>
      <c r="B2422" s="10"/>
      <c r="C2422" s="11"/>
      <c r="D2422" s="10"/>
      <c r="E2422" s="10"/>
      <c r="F2422" s="10"/>
      <c r="G2422" s="10"/>
      <c r="H2422" s="10"/>
      <c r="I2422" s="12" t="n">
        <v>1</v>
      </c>
      <c r="J2422" s="12"/>
      <c r="K2422" s="13"/>
      <c r="L2422" s="13"/>
      <c r="M2422" s="12"/>
      <c r="N2422" s="12"/>
      <c r="O2422" s="12"/>
      <c r="P2422" s="13"/>
      <c r="Q2422" s="13"/>
      <c r="R2422" s="12"/>
      <c r="S2422" s="12"/>
      <c r="T2422" s="12"/>
      <c r="U2422" s="14"/>
      <c r="V2422" s="15"/>
      <c r="W2422" s="16" t="n">
        <f aca="false">A2422</f>
        <v>0</v>
      </c>
      <c r="X2422" s="17" t="e">
        <f aca="false">ifs(C2422="","",X2422="",NOW(),TRUE(),X2422)</f>
        <v>#VALUE!</v>
      </c>
      <c r="Y2422" s="17" t="e">
        <f aca="false">ifs(COUNTA(K2422:U2425)&lt;44,"",Y2422="",NOW(),TRUE(),Y2422)</f>
        <v>#VALUE!</v>
      </c>
    </row>
    <row r="2423" customFormat="false" ht="15.75" hidden="false" customHeight="false" outlineLevel="0" collapsed="false">
      <c r="A2423" s="9"/>
      <c r="B2423" s="10"/>
      <c r="C2423" s="10"/>
      <c r="D2423" s="10"/>
      <c r="E2423" s="10"/>
      <c r="F2423" s="10"/>
      <c r="G2423" s="10"/>
      <c r="H2423" s="10"/>
      <c r="I2423" s="18" t="n">
        <v>2</v>
      </c>
      <c r="J2423" s="18"/>
      <c r="K2423" s="19"/>
      <c r="L2423" s="19"/>
      <c r="M2423" s="18"/>
      <c r="N2423" s="18"/>
      <c r="O2423" s="18"/>
      <c r="P2423" s="19"/>
      <c r="Q2423" s="19"/>
      <c r="R2423" s="18"/>
      <c r="S2423" s="18"/>
      <c r="T2423" s="18"/>
      <c r="U2423" s="20"/>
      <c r="V2423" s="21"/>
      <c r="W2423" s="16"/>
      <c r="X2423" s="16"/>
      <c r="Y2423" s="16"/>
    </row>
    <row r="2424" customFormat="false" ht="15.75" hidden="false" customHeight="false" outlineLevel="0" collapsed="false">
      <c r="A2424" s="9"/>
      <c r="B2424" s="10"/>
      <c r="C2424" s="10"/>
      <c r="D2424" s="10"/>
      <c r="E2424" s="10"/>
      <c r="F2424" s="10"/>
      <c r="G2424" s="10"/>
      <c r="H2424" s="10"/>
      <c r="I2424" s="22" t="n">
        <v>3</v>
      </c>
      <c r="J2424" s="22"/>
      <c r="K2424" s="23"/>
      <c r="L2424" s="23"/>
      <c r="M2424" s="22"/>
      <c r="N2424" s="22"/>
      <c r="O2424" s="22"/>
      <c r="P2424" s="23"/>
      <c r="Q2424" s="23"/>
      <c r="R2424" s="22"/>
      <c r="S2424" s="22"/>
      <c r="T2424" s="22"/>
      <c r="U2424" s="24"/>
      <c r="V2424" s="15"/>
      <c r="W2424" s="16"/>
      <c r="X2424" s="16"/>
      <c r="Y2424" s="16"/>
    </row>
    <row r="2425" customFormat="false" ht="15.75" hidden="false" customHeight="false" outlineLevel="0" collapsed="false">
      <c r="A2425" s="9"/>
      <c r="B2425" s="10"/>
      <c r="C2425" s="10"/>
      <c r="D2425" s="10"/>
      <c r="E2425" s="10"/>
      <c r="F2425" s="10"/>
      <c r="G2425" s="10"/>
      <c r="H2425" s="10"/>
      <c r="I2425" s="25" t="n">
        <v>4</v>
      </c>
      <c r="J2425" s="25"/>
      <c r="K2425" s="26"/>
      <c r="L2425" s="26"/>
      <c r="M2425" s="25"/>
      <c r="N2425" s="25"/>
      <c r="O2425" s="25"/>
      <c r="P2425" s="26"/>
      <c r="Q2425" s="26"/>
      <c r="R2425" s="25"/>
      <c r="S2425" s="25"/>
      <c r="T2425" s="25"/>
      <c r="U2425" s="27"/>
      <c r="V2425" s="21"/>
      <c r="W2425" s="16"/>
      <c r="X2425" s="16"/>
      <c r="Y2425" s="16"/>
    </row>
    <row r="2426" customFormat="false" ht="15.75" hidden="false" customHeight="false" outlineLevel="0" collapsed="false">
      <c r="A2426" s="9"/>
      <c r="B2426" s="10"/>
      <c r="C2426" s="11"/>
      <c r="D2426" s="10"/>
      <c r="E2426" s="10"/>
      <c r="F2426" s="10"/>
      <c r="G2426" s="10"/>
      <c r="H2426" s="10"/>
      <c r="I2426" s="12" t="n">
        <v>1</v>
      </c>
      <c r="J2426" s="12"/>
      <c r="K2426" s="13"/>
      <c r="L2426" s="13"/>
      <c r="M2426" s="12"/>
      <c r="N2426" s="12"/>
      <c r="O2426" s="12"/>
      <c r="P2426" s="13"/>
      <c r="Q2426" s="13"/>
      <c r="R2426" s="12"/>
      <c r="S2426" s="12"/>
      <c r="T2426" s="12"/>
      <c r="U2426" s="14"/>
      <c r="V2426" s="15"/>
      <c r="W2426" s="16" t="n">
        <f aca="false">A2426</f>
        <v>0</v>
      </c>
      <c r="X2426" s="17" t="e">
        <f aca="false">ifs(C2426="","",X2426="",NOW(),TRUE(),X2426)</f>
        <v>#VALUE!</v>
      </c>
      <c r="Y2426" s="17" t="e">
        <f aca="false">ifs(COUNTA(K2426:U2429)&lt;44,"",Y2426="",NOW(),TRUE(),Y2426)</f>
        <v>#VALUE!</v>
      </c>
    </row>
    <row r="2427" customFormat="false" ht="15.75" hidden="false" customHeight="false" outlineLevel="0" collapsed="false">
      <c r="A2427" s="9"/>
      <c r="B2427" s="10"/>
      <c r="C2427" s="10"/>
      <c r="D2427" s="10"/>
      <c r="E2427" s="10"/>
      <c r="F2427" s="10"/>
      <c r="G2427" s="10"/>
      <c r="H2427" s="10"/>
      <c r="I2427" s="18" t="n">
        <v>2</v>
      </c>
      <c r="J2427" s="18"/>
      <c r="K2427" s="19"/>
      <c r="L2427" s="19"/>
      <c r="M2427" s="18"/>
      <c r="N2427" s="18"/>
      <c r="O2427" s="18"/>
      <c r="P2427" s="19"/>
      <c r="Q2427" s="19"/>
      <c r="R2427" s="18"/>
      <c r="S2427" s="18"/>
      <c r="T2427" s="18"/>
      <c r="U2427" s="20"/>
      <c r="V2427" s="21"/>
      <c r="W2427" s="16"/>
      <c r="X2427" s="16"/>
      <c r="Y2427" s="16"/>
    </row>
    <row r="2428" customFormat="false" ht="15.75" hidden="false" customHeight="false" outlineLevel="0" collapsed="false">
      <c r="A2428" s="9"/>
      <c r="B2428" s="10"/>
      <c r="C2428" s="10"/>
      <c r="D2428" s="10"/>
      <c r="E2428" s="10"/>
      <c r="F2428" s="10"/>
      <c r="G2428" s="10"/>
      <c r="H2428" s="10"/>
      <c r="I2428" s="22" t="n">
        <v>3</v>
      </c>
      <c r="J2428" s="22"/>
      <c r="K2428" s="23"/>
      <c r="L2428" s="23"/>
      <c r="M2428" s="22"/>
      <c r="N2428" s="22"/>
      <c r="O2428" s="22"/>
      <c r="P2428" s="23"/>
      <c r="Q2428" s="23"/>
      <c r="R2428" s="22"/>
      <c r="S2428" s="22"/>
      <c r="T2428" s="22"/>
      <c r="U2428" s="24"/>
      <c r="V2428" s="15"/>
      <c r="W2428" s="16"/>
      <c r="X2428" s="16"/>
      <c r="Y2428" s="16"/>
    </row>
    <row r="2429" customFormat="false" ht="15.75" hidden="false" customHeight="false" outlineLevel="0" collapsed="false">
      <c r="A2429" s="9"/>
      <c r="B2429" s="10"/>
      <c r="C2429" s="10"/>
      <c r="D2429" s="10"/>
      <c r="E2429" s="10"/>
      <c r="F2429" s="10"/>
      <c r="G2429" s="10"/>
      <c r="H2429" s="10"/>
      <c r="I2429" s="25" t="n">
        <v>4</v>
      </c>
      <c r="J2429" s="25"/>
      <c r="K2429" s="26"/>
      <c r="L2429" s="26"/>
      <c r="M2429" s="25"/>
      <c r="N2429" s="25"/>
      <c r="O2429" s="25"/>
      <c r="P2429" s="26"/>
      <c r="Q2429" s="26"/>
      <c r="R2429" s="25"/>
      <c r="S2429" s="25"/>
      <c r="T2429" s="25"/>
      <c r="U2429" s="27"/>
      <c r="V2429" s="21"/>
      <c r="W2429" s="16"/>
      <c r="X2429" s="16"/>
      <c r="Y2429" s="16"/>
    </row>
    <row r="2430" customFormat="false" ht="15.75" hidden="false" customHeight="false" outlineLevel="0" collapsed="false">
      <c r="A2430" s="9"/>
      <c r="B2430" s="10"/>
      <c r="C2430" s="11"/>
      <c r="D2430" s="10"/>
      <c r="E2430" s="10"/>
      <c r="F2430" s="10"/>
      <c r="G2430" s="10"/>
      <c r="H2430" s="10"/>
      <c r="I2430" s="12" t="n">
        <v>1</v>
      </c>
      <c r="J2430" s="12"/>
      <c r="K2430" s="13"/>
      <c r="L2430" s="13"/>
      <c r="M2430" s="12"/>
      <c r="N2430" s="12"/>
      <c r="O2430" s="12"/>
      <c r="P2430" s="13"/>
      <c r="Q2430" s="13"/>
      <c r="R2430" s="12"/>
      <c r="S2430" s="12"/>
      <c r="T2430" s="12"/>
      <c r="U2430" s="14"/>
      <c r="V2430" s="15"/>
      <c r="W2430" s="16" t="n">
        <f aca="false">A2430</f>
        <v>0</v>
      </c>
      <c r="X2430" s="17" t="e">
        <f aca="false">ifs(C2430="","",X2430="",NOW(),TRUE(),X2430)</f>
        <v>#VALUE!</v>
      </c>
      <c r="Y2430" s="17" t="e">
        <f aca="false">ifs(COUNTA(K2430:U2433)&lt;44,"",Y2430="",NOW(),TRUE(),Y2430)</f>
        <v>#VALUE!</v>
      </c>
    </row>
    <row r="2431" customFormat="false" ht="15.75" hidden="false" customHeight="false" outlineLevel="0" collapsed="false">
      <c r="A2431" s="9"/>
      <c r="B2431" s="10"/>
      <c r="C2431" s="10"/>
      <c r="D2431" s="10"/>
      <c r="E2431" s="10"/>
      <c r="F2431" s="10"/>
      <c r="G2431" s="10"/>
      <c r="H2431" s="10"/>
      <c r="I2431" s="18" t="n">
        <v>2</v>
      </c>
      <c r="J2431" s="18"/>
      <c r="K2431" s="19"/>
      <c r="L2431" s="19"/>
      <c r="M2431" s="18"/>
      <c r="N2431" s="18"/>
      <c r="O2431" s="18"/>
      <c r="P2431" s="19"/>
      <c r="Q2431" s="19"/>
      <c r="R2431" s="18"/>
      <c r="S2431" s="18"/>
      <c r="T2431" s="18"/>
      <c r="U2431" s="20"/>
      <c r="V2431" s="21"/>
      <c r="W2431" s="16"/>
      <c r="X2431" s="16"/>
      <c r="Y2431" s="16"/>
    </row>
    <row r="2432" customFormat="false" ht="15.75" hidden="false" customHeight="false" outlineLevel="0" collapsed="false">
      <c r="A2432" s="9"/>
      <c r="B2432" s="10"/>
      <c r="C2432" s="10"/>
      <c r="D2432" s="10"/>
      <c r="E2432" s="10"/>
      <c r="F2432" s="10"/>
      <c r="G2432" s="10"/>
      <c r="H2432" s="10"/>
      <c r="I2432" s="22" t="n">
        <v>3</v>
      </c>
      <c r="J2432" s="22"/>
      <c r="K2432" s="23"/>
      <c r="L2432" s="23"/>
      <c r="M2432" s="22"/>
      <c r="N2432" s="22"/>
      <c r="O2432" s="22"/>
      <c r="P2432" s="23"/>
      <c r="Q2432" s="23"/>
      <c r="R2432" s="22"/>
      <c r="S2432" s="22"/>
      <c r="T2432" s="22"/>
      <c r="U2432" s="24"/>
      <c r="V2432" s="15"/>
      <c r="W2432" s="16"/>
      <c r="X2432" s="16"/>
      <c r="Y2432" s="16"/>
    </row>
    <row r="2433" customFormat="false" ht="15.75" hidden="false" customHeight="false" outlineLevel="0" collapsed="false">
      <c r="A2433" s="9"/>
      <c r="B2433" s="10"/>
      <c r="C2433" s="10"/>
      <c r="D2433" s="10"/>
      <c r="E2433" s="10"/>
      <c r="F2433" s="10"/>
      <c r="G2433" s="10"/>
      <c r="H2433" s="10"/>
      <c r="I2433" s="25" t="n">
        <v>4</v>
      </c>
      <c r="J2433" s="25"/>
      <c r="K2433" s="26"/>
      <c r="L2433" s="26"/>
      <c r="M2433" s="25"/>
      <c r="N2433" s="25"/>
      <c r="O2433" s="25"/>
      <c r="P2433" s="26"/>
      <c r="Q2433" s="26"/>
      <c r="R2433" s="25"/>
      <c r="S2433" s="25"/>
      <c r="T2433" s="25"/>
      <c r="U2433" s="27"/>
      <c r="V2433" s="21"/>
      <c r="W2433" s="16"/>
      <c r="X2433" s="16"/>
      <c r="Y2433" s="16"/>
    </row>
    <row r="2434" customFormat="false" ht="15.75" hidden="false" customHeight="false" outlineLevel="0" collapsed="false">
      <c r="A2434" s="9"/>
      <c r="B2434" s="10"/>
      <c r="C2434" s="11"/>
      <c r="D2434" s="10"/>
      <c r="E2434" s="10"/>
      <c r="F2434" s="10"/>
      <c r="G2434" s="10"/>
      <c r="H2434" s="10"/>
      <c r="I2434" s="12" t="n">
        <v>1</v>
      </c>
      <c r="J2434" s="12"/>
      <c r="K2434" s="13"/>
      <c r="L2434" s="13"/>
      <c r="M2434" s="12"/>
      <c r="N2434" s="12"/>
      <c r="O2434" s="12"/>
      <c r="P2434" s="13"/>
      <c r="Q2434" s="13"/>
      <c r="R2434" s="12"/>
      <c r="S2434" s="12"/>
      <c r="T2434" s="12"/>
      <c r="U2434" s="14"/>
      <c r="V2434" s="15"/>
      <c r="W2434" s="16" t="n">
        <f aca="false">A2434</f>
        <v>0</v>
      </c>
      <c r="X2434" s="17" t="e">
        <f aca="false">ifs(C2434="","",X2434="",NOW(),TRUE(),X2434)</f>
        <v>#VALUE!</v>
      </c>
      <c r="Y2434" s="17" t="e">
        <f aca="false">ifs(COUNTA(K2434:U2437)&lt;44,"",Y2434="",NOW(),TRUE(),Y2434)</f>
        <v>#VALUE!</v>
      </c>
    </row>
    <row r="2435" customFormat="false" ht="15.75" hidden="false" customHeight="false" outlineLevel="0" collapsed="false">
      <c r="A2435" s="9"/>
      <c r="B2435" s="10"/>
      <c r="C2435" s="10"/>
      <c r="D2435" s="10"/>
      <c r="E2435" s="10"/>
      <c r="F2435" s="10"/>
      <c r="G2435" s="10"/>
      <c r="H2435" s="10"/>
      <c r="I2435" s="18" t="n">
        <v>2</v>
      </c>
      <c r="J2435" s="18"/>
      <c r="K2435" s="19"/>
      <c r="L2435" s="19"/>
      <c r="M2435" s="18"/>
      <c r="N2435" s="18"/>
      <c r="O2435" s="18"/>
      <c r="P2435" s="19"/>
      <c r="Q2435" s="19"/>
      <c r="R2435" s="18"/>
      <c r="S2435" s="18"/>
      <c r="T2435" s="18"/>
      <c r="U2435" s="20"/>
      <c r="V2435" s="21"/>
      <c r="W2435" s="16"/>
      <c r="X2435" s="16"/>
      <c r="Y2435" s="16"/>
    </row>
    <row r="2436" customFormat="false" ht="15.75" hidden="false" customHeight="false" outlineLevel="0" collapsed="false">
      <c r="A2436" s="9"/>
      <c r="B2436" s="10"/>
      <c r="C2436" s="10"/>
      <c r="D2436" s="10"/>
      <c r="E2436" s="10"/>
      <c r="F2436" s="10"/>
      <c r="G2436" s="10"/>
      <c r="H2436" s="10"/>
      <c r="I2436" s="22" t="n">
        <v>3</v>
      </c>
      <c r="J2436" s="22"/>
      <c r="K2436" s="23"/>
      <c r="L2436" s="23"/>
      <c r="M2436" s="22"/>
      <c r="N2436" s="22"/>
      <c r="O2436" s="22"/>
      <c r="P2436" s="23"/>
      <c r="Q2436" s="23"/>
      <c r="R2436" s="22"/>
      <c r="S2436" s="22"/>
      <c r="T2436" s="22"/>
      <c r="U2436" s="24"/>
      <c r="V2436" s="15"/>
      <c r="W2436" s="16"/>
      <c r="X2436" s="16"/>
      <c r="Y2436" s="16"/>
    </row>
    <row r="2437" customFormat="false" ht="15.75" hidden="false" customHeight="false" outlineLevel="0" collapsed="false">
      <c r="A2437" s="9"/>
      <c r="B2437" s="10"/>
      <c r="C2437" s="10"/>
      <c r="D2437" s="10"/>
      <c r="E2437" s="10"/>
      <c r="F2437" s="10"/>
      <c r="G2437" s="10"/>
      <c r="H2437" s="10"/>
      <c r="I2437" s="25" t="n">
        <v>4</v>
      </c>
      <c r="J2437" s="25"/>
      <c r="K2437" s="26"/>
      <c r="L2437" s="26"/>
      <c r="M2437" s="25"/>
      <c r="N2437" s="25"/>
      <c r="O2437" s="25"/>
      <c r="P2437" s="26"/>
      <c r="Q2437" s="26"/>
      <c r="R2437" s="25"/>
      <c r="S2437" s="25"/>
      <c r="T2437" s="25"/>
      <c r="U2437" s="27"/>
      <c r="V2437" s="21"/>
      <c r="W2437" s="16"/>
      <c r="X2437" s="16"/>
      <c r="Y2437" s="16"/>
    </row>
    <row r="2438" customFormat="false" ht="15.75" hidden="false" customHeight="false" outlineLevel="0" collapsed="false">
      <c r="A2438" s="9"/>
      <c r="B2438" s="10"/>
      <c r="C2438" s="11"/>
      <c r="D2438" s="10"/>
      <c r="E2438" s="10"/>
      <c r="F2438" s="10"/>
      <c r="G2438" s="10"/>
      <c r="H2438" s="10"/>
      <c r="I2438" s="12" t="n">
        <v>1</v>
      </c>
      <c r="J2438" s="12"/>
      <c r="K2438" s="13"/>
      <c r="L2438" s="13"/>
      <c r="M2438" s="12"/>
      <c r="N2438" s="12"/>
      <c r="O2438" s="12"/>
      <c r="P2438" s="13"/>
      <c r="Q2438" s="13"/>
      <c r="R2438" s="12"/>
      <c r="S2438" s="12"/>
      <c r="T2438" s="12"/>
      <c r="U2438" s="14"/>
      <c r="V2438" s="15"/>
      <c r="W2438" s="16" t="n">
        <f aca="false">A2438</f>
        <v>0</v>
      </c>
      <c r="X2438" s="17" t="e">
        <f aca="false">ifs(C2438="","",X2438="",NOW(),TRUE(),X2438)</f>
        <v>#VALUE!</v>
      </c>
      <c r="Y2438" s="17" t="e">
        <f aca="false">ifs(COUNTA(K2438:U2441)&lt;44,"",Y2438="",NOW(),TRUE(),Y2438)</f>
        <v>#VALUE!</v>
      </c>
    </row>
    <row r="2439" customFormat="false" ht="15.75" hidden="false" customHeight="false" outlineLevel="0" collapsed="false">
      <c r="A2439" s="9"/>
      <c r="B2439" s="10"/>
      <c r="C2439" s="10"/>
      <c r="D2439" s="10"/>
      <c r="E2439" s="10"/>
      <c r="F2439" s="10"/>
      <c r="G2439" s="10"/>
      <c r="H2439" s="10"/>
      <c r="I2439" s="18" t="n">
        <v>2</v>
      </c>
      <c r="J2439" s="18"/>
      <c r="K2439" s="19"/>
      <c r="L2439" s="19"/>
      <c r="M2439" s="18"/>
      <c r="N2439" s="18"/>
      <c r="O2439" s="18"/>
      <c r="P2439" s="19"/>
      <c r="Q2439" s="19"/>
      <c r="R2439" s="18"/>
      <c r="S2439" s="18"/>
      <c r="T2439" s="18"/>
      <c r="U2439" s="20"/>
      <c r="V2439" s="21"/>
      <c r="W2439" s="16"/>
      <c r="X2439" s="16"/>
      <c r="Y2439" s="16"/>
    </row>
    <row r="2440" customFormat="false" ht="15.75" hidden="false" customHeight="false" outlineLevel="0" collapsed="false">
      <c r="A2440" s="9"/>
      <c r="B2440" s="10"/>
      <c r="C2440" s="10"/>
      <c r="D2440" s="10"/>
      <c r="E2440" s="10"/>
      <c r="F2440" s="10"/>
      <c r="G2440" s="10"/>
      <c r="H2440" s="10"/>
      <c r="I2440" s="22" t="n">
        <v>3</v>
      </c>
      <c r="J2440" s="22"/>
      <c r="K2440" s="23"/>
      <c r="L2440" s="23"/>
      <c r="M2440" s="22"/>
      <c r="N2440" s="22"/>
      <c r="O2440" s="22"/>
      <c r="P2440" s="23"/>
      <c r="Q2440" s="23"/>
      <c r="R2440" s="22"/>
      <c r="S2440" s="22"/>
      <c r="T2440" s="22"/>
      <c r="U2440" s="24"/>
      <c r="V2440" s="15"/>
      <c r="W2440" s="16"/>
      <c r="X2440" s="16"/>
      <c r="Y2440" s="16"/>
    </row>
    <row r="2441" customFormat="false" ht="15.75" hidden="false" customHeight="false" outlineLevel="0" collapsed="false">
      <c r="A2441" s="9"/>
      <c r="B2441" s="10"/>
      <c r="C2441" s="10"/>
      <c r="D2441" s="10"/>
      <c r="E2441" s="10"/>
      <c r="F2441" s="10"/>
      <c r="G2441" s="10"/>
      <c r="H2441" s="10"/>
      <c r="I2441" s="25" t="n">
        <v>4</v>
      </c>
      <c r="J2441" s="25"/>
      <c r="K2441" s="26"/>
      <c r="L2441" s="26"/>
      <c r="M2441" s="25"/>
      <c r="N2441" s="25"/>
      <c r="O2441" s="25"/>
      <c r="P2441" s="26"/>
      <c r="Q2441" s="26"/>
      <c r="R2441" s="25"/>
      <c r="S2441" s="25"/>
      <c r="T2441" s="25"/>
      <c r="U2441" s="27"/>
      <c r="V2441" s="21"/>
      <c r="W2441" s="16"/>
      <c r="X2441" s="16"/>
      <c r="Y2441" s="16"/>
    </row>
    <row r="2442" customFormat="false" ht="15.75" hidden="false" customHeight="false" outlineLevel="0" collapsed="false">
      <c r="A2442" s="9"/>
      <c r="B2442" s="10"/>
      <c r="C2442" s="11"/>
      <c r="D2442" s="10"/>
      <c r="E2442" s="10"/>
      <c r="F2442" s="10"/>
      <c r="G2442" s="10"/>
      <c r="H2442" s="10"/>
      <c r="I2442" s="12" t="n">
        <v>1</v>
      </c>
      <c r="J2442" s="12"/>
      <c r="K2442" s="13"/>
      <c r="L2442" s="13"/>
      <c r="M2442" s="12"/>
      <c r="N2442" s="12"/>
      <c r="O2442" s="12"/>
      <c r="P2442" s="13"/>
      <c r="Q2442" s="13"/>
      <c r="R2442" s="12"/>
      <c r="S2442" s="12"/>
      <c r="T2442" s="12"/>
      <c r="U2442" s="14"/>
      <c r="V2442" s="15"/>
      <c r="W2442" s="16" t="n">
        <f aca="false">A2442</f>
        <v>0</v>
      </c>
      <c r="X2442" s="17" t="e">
        <f aca="false">ifs(C2442="","",X2442="",NOW(),TRUE(),X2442)</f>
        <v>#VALUE!</v>
      </c>
      <c r="Y2442" s="17" t="e">
        <f aca="false">ifs(COUNTA(K2442:U2445)&lt;44,"",Y2442="",NOW(),TRUE(),Y2442)</f>
        <v>#VALUE!</v>
      </c>
    </row>
    <row r="2443" customFormat="false" ht="15.75" hidden="false" customHeight="false" outlineLevel="0" collapsed="false">
      <c r="A2443" s="9"/>
      <c r="B2443" s="10"/>
      <c r="C2443" s="10"/>
      <c r="D2443" s="10"/>
      <c r="E2443" s="10"/>
      <c r="F2443" s="10"/>
      <c r="G2443" s="10"/>
      <c r="H2443" s="10"/>
      <c r="I2443" s="18" t="n">
        <v>2</v>
      </c>
      <c r="J2443" s="18"/>
      <c r="K2443" s="19"/>
      <c r="L2443" s="19"/>
      <c r="M2443" s="18"/>
      <c r="N2443" s="18"/>
      <c r="O2443" s="18"/>
      <c r="P2443" s="19"/>
      <c r="Q2443" s="19"/>
      <c r="R2443" s="18"/>
      <c r="S2443" s="18"/>
      <c r="T2443" s="18"/>
      <c r="U2443" s="20"/>
      <c r="V2443" s="21"/>
      <c r="W2443" s="16"/>
      <c r="X2443" s="16"/>
      <c r="Y2443" s="16"/>
    </row>
    <row r="2444" customFormat="false" ht="15.75" hidden="false" customHeight="false" outlineLevel="0" collapsed="false">
      <c r="A2444" s="9"/>
      <c r="B2444" s="10"/>
      <c r="C2444" s="10"/>
      <c r="D2444" s="10"/>
      <c r="E2444" s="10"/>
      <c r="F2444" s="10"/>
      <c r="G2444" s="10"/>
      <c r="H2444" s="10"/>
      <c r="I2444" s="22" t="n">
        <v>3</v>
      </c>
      <c r="J2444" s="22"/>
      <c r="K2444" s="23"/>
      <c r="L2444" s="23"/>
      <c r="M2444" s="22"/>
      <c r="N2444" s="22"/>
      <c r="O2444" s="22"/>
      <c r="P2444" s="23"/>
      <c r="Q2444" s="23"/>
      <c r="R2444" s="22"/>
      <c r="S2444" s="22"/>
      <c r="T2444" s="22"/>
      <c r="U2444" s="24"/>
      <c r="V2444" s="15"/>
      <c r="W2444" s="16"/>
      <c r="X2444" s="16"/>
      <c r="Y2444" s="16"/>
    </row>
    <row r="2445" customFormat="false" ht="15.75" hidden="false" customHeight="false" outlineLevel="0" collapsed="false">
      <c r="A2445" s="9"/>
      <c r="B2445" s="10"/>
      <c r="C2445" s="10"/>
      <c r="D2445" s="10"/>
      <c r="E2445" s="10"/>
      <c r="F2445" s="10"/>
      <c r="G2445" s="10"/>
      <c r="H2445" s="10"/>
      <c r="I2445" s="25" t="n">
        <v>4</v>
      </c>
      <c r="J2445" s="25"/>
      <c r="K2445" s="26"/>
      <c r="L2445" s="26"/>
      <c r="M2445" s="25"/>
      <c r="N2445" s="25"/>
      <c r="O2445" s="25"/>
      <c r="P2445" s="26"/>
      <c r="Q2445" s="26"/>
      <c r="R2445" s="25"/>
      <c r="S2445" s="25"/>
      <c r="T2445" s="25"/>
      <c r="U2445" s="27"/>
      <c r="V2445" s="21"/>
      <c r="W2445" s="16"/>
      <c r="X2445" s="16"/>
      <c r="Y2445" s="16"/>
    </row>
    <row r="2446" customFormat="false" ht="15.75" hidden="false" customHeight="false" outlineLevel="0" collapsed="false">
      <c r="A2446" s="9"/>
      <c r="B2446" s="10"/>
      <c r="C2446" s="11"/>
      <c r="D2446" s="10"/>
      <c r="E2446" s="10"/>
      <c r="F2446" s="10"/>
      <c r="G2446" s="10"/>
      <c r="H2446" s="10"/>
      <c r="I2446" s="12" t="n">
        <v>1</v>
      </c>
      <c r="J2446" s="12"/>
      <c r="K2446" s="13"/>
      <c r="L2446" s="13"/>
      <c r="M2446" s="12"/>
      <c r="N2446" s="12"/>
      <c r="O2446" s="12"/>
      <c r="P2446" s="13"/>
      <c r="Q2446" s="13"/>
      <c r="R2446" s="12"/>
      <c r="S2446" s="12"/>
      <c r="T2446" s="12"/>
      <c r="U2446" s="14"/>
      <c r="V2446" s="15"/>
      <c r="W2446" s="16" t="n">
        <f aca="false">A2446</f>
        <v>0</v>
      </c>
      <c r="X2446" s="17" t="e">
        <f aca="false">ifs(C2446="","",X2446="",NOW(),TRUE(),X2446)</f>
        <v>#VALUE!</v>
      </c>
      <c r="Y2446" s="17" t="e">
        <f aca="false">ifs(COUNTA(K2446:U2449)&lt;44,"",Y2446="",NOW(),TRUE(),Y2446)</f>
        <v>#VALUE!</v>
      </c>
    </row>
    <row r="2447" customFormat="false" ht="15.75" hidden="false" customHeight="false" outlineLevel="0" collapsed="false">
      <c r="A2447" s="9"/>
      <c r="B2447" s="10"/>
      <c r="C2447" s="10"/>
      <c r="D2447" s="10"/>
      <c r="E2447" s="10"/>
      <c r="F2447" s="10"/>
      <c r="G2447" s="10"/>
      <c r="H2447" s="10"/>
      <c r="I2447" s="18" t="n">
        <v>2</v>
      </c>
      <c r="J2447" s="18"/>
      <c r="K2447" s="19"/>
      <c r="L2447" s="19"/>
      <c r="M2447" s="18"/>
      <c r="N2447" s="18"/>
      <c r="O2447" s="18"/>
      <c r="P2447" s="19"/>
      <c r="Q2447" s="19"/>
      <c r="R2447" s="18"/>
      <c r="S2447" s="18"/>
      <c r="T2447" s="18"/>
      <c r="U2447" s="20"/>
      <c r="V2447" s="21"/>
      <c r="W2447" s="16"/>
      <c r="X2447" s="16"/>
      <c r="Y2447" s="16"/>
    </row>
    <row r="2448" customFormat="false" ht="15.75" hidden="false" customHeight="false" outlineLevel="0" collapsed="false">
      <c r="A2448" s="9"/>
      <c r="B2448" s="10"/>
      <c r="C2448" s="10"/>
      <c r="D2448" s="10"/>
      <c r="E2448" s="10"/>
      <c r="F2448" s="10"/>
      <c r="G2448" s="10"/>
      <c r="H2448" s="10"/>
      <c r="I2448" s="22" t="n">
        <v>3</v>
      </c>
      <c r="J2448" s="22"/>
      <c r="K2448" s="23"/>
      <c r="L2448" s="23"/>
      <c r="M2448" s="22"/>
      <c r="N2448" s="22"/>
      <c r="O2448" s="22"/>
      <c r="P2448" s="23"/>
      <c r="Q2448" s="23"/>
      <c r="R2448" s="22"/>
      <c r="S2448" s="22"/>
      <c r="T2448" s="22"/>
      <c r="U2448" s="24"/>
      <c r="V2448" s="15"/>
      <c r="W2448" s="16"/>
      <c r="X2448" s="16"/>
      <c r="Y2448" s="16"/>
    </row>
    <row r="2449" customFormat="false" ht="15.75" hidden="false" customHeight="false" outlineLevel="0" collapsed="false">
      <c r="A2449" s="9"/>
      <c r="B2449" s="10"/>
      <c r="C2449" s="10"/>
      <c r="D2449" s="10"/>
      <c r="E2449" s="10"/>
      <c r="F2449" s="10"/>
      <c r="G2449" s="10"/>
      <c r="H2449" s="10"/>
      <c r="I2449" s="25" t="n">
        <v>4</v>
      </c>
      <c r="J2449" s="25"/>
      <c r="K2449" s="26"/>
      <c r="L2449" s="26"/>
      <c r="M2449" s="25"/>
      <c r="N2449" s="25"/>
      <c r="O2449" s="25"/>
      <c r="P2449" s="26"/>
      <c r="Q2449" s="26"/>
      <c r="R2449" s="25"/>
      <c r="S2449" s="25"/>
      <c r="T2449" s="25"/>
      <c r="U2449" s="27"/>
      <c r="V2449" s="21"/>
      <c r="W2449" s="16"/>
      <c r="X2449" s="16"/>
      <c r="Y2449" s="16"/>
    </row>
    <row r="2450" customFormat="false" ht="15.75" hidden="false" customHeight="false" outlineLevel="0" collapsed="false">
      <c r="A2450" s="9"/>
      <c r="B2450" s="10"/>
      <c r="C2450" s="11"/>
      <c r="D2450" s="10"/>
      <c r="E2450" s="10"/>
      <c r="F2450" s="10"/>
      <c r="G2450" s="10"/>
      <c r="H2450" s="10"/>
      <c r="I2450" s="12" t="n">
        <v>1</v>
      </c>
      <c r="J2450" s="12"/>
      <c r="K2450" s="13"/>
      <c r="L2450" s="13"/>
      <c r="M2450" s="12"/>
      <c r="N2450" s="12"/>
      <c r="O2450" s="12"/>
      <c r="P2450" s="13"/>
      <c r="Q2450" s="13"/>
      <c r="R2450" s="12"/>
      <c r="S2450" s="12"/>
      <c r="T2450" s="12"/>
      <c r="U2450" s="14"/>
      <c r="V2450" s="15"/>
      <c r="W2450" s="16" t="n">
        <f aca="false">A2450</f>
        <v>0</v>
      </c>
      <c r="X2450" s="17" t="e">
        <f aca="false">ifs(C2450="","",X2450="",NOW(),TRUE(),X2450)</f>
        <v>#VALUE!</v>
      </c>
      <c r="Y2450" s="17" t="e">
        <f aca="false">ifs(COUNTA(K2450:U2453)&lt;44,"",Y2450="",NOW(),TRUE(),Y2450)</f>
        <v>#VALUE!</v>
      </c>
    </row>
    <row r="2451" customFormat="false" ht="15.75" hidden="false" customHeight="false" outlineLevel="0" collapsed="false">
      <c r="A2451" s="9"/>
      <c r="B2451" s="10"/>
      <c r="C2451" s="10"/>
      <c r="D2451" s="10"/>
      <c r="E2451" s="10"/>
      <c r="F2451" s="10"/>
      <c r="G2451" s="10"/>
      <c r="H2451" s="10"/>
      <c r="I2451" s="18" t="n">
        <v>2</v>
      </c>
      <c r="J2451" s="18"/>
      <c r="K2451" s="19"/>
      <c r="L2451" s="19"/>
      <c r="M2451" s="18"/>
      <c r="N2451" s="18"/>
      <c r="O2451" s="18"/>
      <c r="P2451" s="19"/>
      <c r="Q2451" s="19"/>
      <c r="R2451" s="18"/>
      <c r="S2451" s="18"/>
      <c r="T2451" s="18"/>
      <c r="U2451" s="20"/>
      <c r="V2451" s="21"/>
      <c r="W2451" s="16"/>
      <c r="X2451" s="16"/>
      <c r="Y2451" s="16"/>
    </row>
    <row r="2452" customFormat="false" ht="15.75" hidden="false" customHeight="false" outlineLevel="0" collapsed="false">
      <c r="A2452" s="9"/>
      <c r="B2452" s="10"/>
      <c r="C2452" s="10"/>
      <c r="D2452" s="10"/>
      <c r="E2452" s="10"/>
      <c r="F2452" s="10"/>
      <c r="G2452" s="10"/>
      <c r="H2452" s="10"/>
      <c r="I2452" s="22" t="n">
        <v>3</v>
      </c>
      <c r="J2452" s="22"/>
      <c r="K2452" s="23"/>
      <c r="L2452" s="23"/>
      <c r="M2452" s="22"/>
      <c r="N2452" s="22"/>
      <c r="O2452" s="22"/>
      <c r="P2452" s="23"/>
      <c r="Q2452" s="23"/>
      <c r="R2452" s="22"/>
      <c r="S2452" s="22"/>
      <c r="T2452" s="22"/>
      <c r="U2452" s="24"/>
      <c r="V2452" s="15"/>
      <c r="W2452" s="16"/>
      <c r="X2452" s="16"/>
      <c r="Y2452" s="16"/>
    </row>
    <row r="2453" customFormat="false" ht="15.75" hidden="false" customHeight="false" outlineLevel="0" collapsed="false">
      <c r="A2453" s="9"/>
      <c r="B2453" s="10"/>
      <c r="C2453" s="10"/>
      <c r="D2453" s="10"/>
      <c r="E2453" s="10"/>
      <c r="F2453" s="10"/>
      <c r="G2453" s="10"/>
      <c r="H2453" s="10"/>
      <c r="I2453" s="25" t="n">
        <v>4</v>
      </c>
      <c r="J2453" s="25"/>
      <c r="K2453" s="26"/>
      <c r="L2453" s="26"/>
      <c r="M2453" s="25"/>
      <c r="N2453" s="25"/>
      <c r="O2453" s="25"/>
      <c r="P2453" s="26"/>
      <c r="Q2453" s="26"/>
      <c r="R2453" s="25"/>
      <c r="S2453" s="25"/>
      <c r="T2453" s="25"/>
      <c r="U2453" s="27"/>
      <c r="V2453" s="21"/>
      <c r="W2453" s="16"/>
      <c r="X2453" s="16"/>
      <c r="Y2453" s="16"/>
    </row>
    <row r="2454" customFormat="false" ht="15.75" hidden="false" customHeight="false" outlineLevel="0" collapsed="false">
      <c r="A2454" s="9"/>
      <c r="B2454" s="10"/>
      <c r="C2454" s="11"/>
      <c r="D2454" s="10"/>
      <c r="E2454" s="10"/>
      <c r="F2454" s="10"/>
      <c r="G2454" s="10"/>
      <c r="H2454" s="10"/>
      <c r="I2454" s="12" t="n">
        <v>1</v>
      </c>
      <c r="J2454" s="12"/>
      <c r="K2454" s="13"/>
      <c r="L2454" s="13"/>
      <c r="M2454" s="12"/>
      <c r="N2454" s="12"/>
      <c r="O2454" s="12"/>
      <c r="P2454" s="13"/>
      <c r="Q2454" s="13"/>
      <c r="R2454" s="12"/>
      <c r="S2454" s="12"/>
      <c r="T2454" s="12"/>
      <c r="U2454" s="14"/>
      <c r="V2454" s="15"/>
      <c r="W2454" s="16" t="n">
        <f aca="false">A2454</f>
        <v>0</v>
      </c>
      <c r="X2454" s="17" t="e">
        <f aca="false">ifs(C2454="","",X2454="",NOW(),TRUE(),X2454)</f>
        <v>#VALUE!</v>
      </c>
      <c r="Y2454" s="17" t="e">
        <f aca="false">ifs(COUNTA(K2454:U2457)&lt;44,"",Y2454="",NOW(),TRUE(),Y2454)</f>
        <v>#VALUE!</v>
      </c>
    </row>
    <row r="2455" customFormat="false" ht="15.75" hidden="false" customHeight="false" outlineLevel="0" collapsed="false">
      <c r="A2455" s="9"/>
      <c r="B2455" s="10"/>
      <c r="C2455" s="10"/>
      <c r="D2455" s="10"/>
      <c r="E2455" s="10"/>
      <c r="F2455" s="10"/>
      <c r="G2455" s="10"/>
      <c r="H2455" s="10"/>
      <c r="I2455" s="18" t="n">
        <v>2</v>
      </c>
      <c r="J2455" s="18"/>
      <c r="K2455" s="19"/>
      <c r="L2455" s="19"/>
      <c r="M2455" s="18"/>
      <c r="N2455" s="18"/>
      <c r="O2455" s="18"/>
      <c r="P2455" s="19"/>
      <c r="Q2455" s="19"/>
      <c r="R2455" s="18"/>
      <c r="S2455" s="18"/>
      <c r="T2455" s="18"/>
      <c r="U2455" s="20"/>
      <c r="V2455" s="21"/>
      <c r="W2455" s="16"/>
      <c r="X2455" s="16"/>
      <c r="Y2455" s="16"/>
    </row>
    <row r="2456" customFormat="false" ht="15.75" hidden="false" customHeight="false" outlineLevel="0" collapsed="false">
      <c r="A2456" s="9"/>
      <c r="B2456" s="10"/>
      <c r="C2456" s="10"/>
      <c r="D2456" s="10"/>
      <c r="E2456" s="10"/>
      <c r="F2456" s="10"/>
      <c r="G2456" s="10"/>
      <c r="H2456" s="10"/>
      <c r="I2456" s="22" t="n">
        <v>3</v>
      </c>
      <c r="J2456" s="22"/>
      <c r="K2456" s="23"/>
      <c r="L2456" s="23"/>
      <c r="M2456" s="22"/>
      <c r="N2456" s="22"/>
      <c r="O2456" s="22"/>
      <c r="P2456" s="23"/>
      <c r="Q2456" s="23"/>
      <c r="R2456" s="22"/>
      <c r="S2456" s="22"/>
      <c r="T2456" s="22"/>
      <c r="U2456" s="24"/>
      <c r="V2456" s="15"/>
      <c r="W2456" s="16"/>
      <c r="X2456" s="16"/>
      <c r="Y2456" s="16"/>
    </row>
    <row r="2457" customFormat="false" ht="15.75" hidden="false" customHeight="false" outlineLevel="0" collapsed="false">
      <c r="A2457" s="9"/>
      <c r="B2457" s="10"/>
      <c r="C2457" s="10"/>
      <c r="D2457" s="10"/>
      <c r="E2457" s="10"/>
      <c r="F2457" s="10"/>
      <c r="G2457" s="10"/>
      <c r="H2457" s="10"/>
      <c r="I2457" s="25" t="n">
        <v>4</v>
      </c>
      <c r="J2457" s="25"/>
      <c r="K2457" s="26"/>
      <c r="L2457" s="26"/>
      <c r="M2457" s="25"/>
      <c r="N2457" s="25"/>
      <c r="O2457" s="25"/>
      <c r="P2457" s="26"/>
      <c r="Q2457" s="26"/>
      <c r="R2457" s="25"/>
      <c r="S2457" s="25"/>
      <c r="T2457" s="25"/>
      <c r="U2457" s="27"/>
      <c r="V2457" s="21"/>
      <c r="W2457" s="16"/>
      <c r="X2457" s="16"/>
      <c r="Y2457" s="16"/>
    </row>
    <row r="2458" customFormat="false" ht="15.75" hidden="false" customHeight="false" outlineLevel="0" collapsed="false">
      <c r="A2458" s="9"/>
      <c r="B2458" s="10"/>
      <c r="C2458" s="11"/>
      <c r="D2458" s="10"/>
      <c r="E2458" s="10"/>
      <c r="F2458" s="10"/>
      <c r="G2458" s="10"/>
      <c r="H2458" s="10"/>
      <c r="I2458" s="12" t="n">
        <v>1</v>
      </c>
      <c r="J2458" s="12"/>
      <c r="K2458" s="13"/>
      <c r="L2458" s="13"/>
      <c r="M2458" s="12"/>
      <c r="N2458" s="12"/>
      <c r="O2458" s="12"/>
      <c r="P2458" s="13"/>
      <c r="Q2458" s="13"/>
      <c r="R2458" s="12"/>
      <c r="S2458" s="12"/>
      <c r="T2458" s="12"/>
      <c r="U2458" s="14"/>
      <c r="V2458" s="15"/>
      <c r="W2458" s="16" t="n">
        <f aca="false">A2458</f>
        <v>0</v>
      </c>
      <c r="X2458" s="17" t="e">
        <f aca="false">ifs(C2458="","",X2458="",NOW(),TRUE(),X2458)</f>
        <v>#VALUE!</v>
      </c>
      <c r="Y2458" s="17" t="e">
        <f aca="false">ifs(COUNTA(K2458:U2461)&lt;44,"",Y2458="",NOW(),TRUE(),Y2458)</f>
        <v>#VALUE!</v>
      </c>
    </row>
    <row r="2459" customFormat="false" ht="15.75" hidden="false" customHeight="false" outlineLevel="0" collapsed="false">
      <c r="A2459" s="9"/>
      <c r="B2459" s="10"/>
      <c r="C2459" s="10"/>
      <c r="D2459" s="10"/>
      <c r="E2459" s="10"/>
      <c r="F2459" s="10"/>
      <c r="G2459" s="10"/>
      <c r="H2459" s="10"/>
      <c r="I2459" s="18" t="n">
        <v>2</v>
      </c>
      <c r="J2459" s="18"/>
      <c r="K2459" s="19"/>
      <c r="L2459" s="19"/>
      <c r="M2459" s="18"/>
      <c r="N2459" s="18"/>
      <c r="O2459" s="18"/>
      <c r="P2459" s="19"/>
      <c r="Q2459" s="19"/>
      <c r="R2459" s="18"/>
      <c r="S2459" s="18"/>
      <c r="T2459" s="18"/>
      <c r="U2459" s="20"/>
      <c r="V2459" s="21"/>
      <c r="W2459" s="16"/>
      <c r="X2459" s="16"/>
      <c r="Y2459" s="16"/>
    </row>
    <row r="2460" customFormat="false" ht="15.75" hidden="false" customHeight="false" outlineLevel="0" collapsed="false">
      <c r="A2460" s="9"/>
      <c r="B2460" s="10"/>
      <c r="C2460" s="10"/>
      <c r="D2460" s="10"/>
      <c r="E2460" s="10"/>
      <c r="F2460" s="10"/>
      <c r="G2460" s="10"/>
      <c r="H2460" s="10"/>
      <c r="I2460" s="22" t="n">
        <v>3</v>
      </c>
      <c r="J2460" s="22"/>
      <c r="K2460" s="23"/>
      <c r="L2460" s="23"/>
      <c r="M2460" s="22"/>
      <c r="N2460" s="22"/>
      <c r="O2460" s="22"/>
      <c r="P2460" s="23"/>
      <c r="Q2460" s="23"/>
      <c r="R2460" s="22"/>
      <c r="S2460" s="22"/>
      <c r="T2460" s="22"/>
      <c r="U2460" s="24"/>
      <c r="V2460" s="15"/>
      <c r="W2460" s="16"/>
      <c r="X2460" s="16"/>
      <c r="Y2460" s="16"/>
    </row>
    <row r="2461" customFormat="false" ht="15.75" hidden="false" customHeight="false" outlineLevel="0" collapsed="false">
      <c r="A2461" s="9"/>
      <c r="B2461" s="10"/>
      <c r="C2461" s="10"/>
      <c r="D2461" s="10"/>
      <c r="E2461" s="10"/>
      <c r="F2461" s="10"/>
      <c r="G2461" s="10"/>
      <c r="H2461" s="10"/>
      <c r="I2461" s="25" t="n">
        <v>4</v>
      </c>
      <c r="J2461" s="25"/>
      <c r="K2461" s="26"/>
      <c r="L2461" s="26"/>
      <c r="M2461" s="25"/>
      <c r="N2461" s="25"/>
      <c r="O2461" s="25"/>
      <c r="P2461" s="26"/>
      <c r="Q2461" s="26"/>
      <c r="R2461" s="25"/>
      <c r="S2461" s="25"/>
      <c r="T2461" s="25"/>
      <c r="U2461" s="27"/>
      <c r="V2461" s="21"/>
      <c r="W2461" s="16"/>
      <c r="X2461" s="16"/>
      <c r="Y2461" s="16"/>
    </row>
    <row r="2462" customFormat="false" ht="15.75" hidden="false" customHeight="false" outlineLevel="0" collapsed="false">
      <c r="A2462" s="9"/>
      <c r="B2462" s="10"/>
      <c r="C2462" s="11"/>
      <c r="D2462" s="10"/>
      <c r="E2462" s="10"/>
      <c r="F2462" s="10"/>
      <c r="G2462" s="10"/>
      <c r="H2462" s="10"/>
      <c r="I2462" s="12" t="n">
        <v>1</v>
      </c>
      <c r="J2462" s="12"/>
      <c r="K2462" s="13"/>
      <c r="L2462" s="13"/>
      <c r="M2462" s="12"/>
      <c r="N2462" s="12"/>
      <c r="O2462" s="12"/>
      <c r="P2462" s="13"/>
      <c r="Q2462" s="13"/>
      <c r="R2462" s="12"/>
      <c r="S2462" s="12"/>
      <c r="T2462" s="12"/>
      <c r="U2462" s="14"/>
      <c r="V2462" s="15"/>
      <c r="W2462" s="16" t="n">
        <f aca="false">A2462</f>
        <v>0</v>
      </c>
      <c r="X2462" s="17" t="e">
        <f aca="false">ifs(C2462="","",X2462="",NOW(),TRUE(),X2462)</f>
        <v>#VALUE!</v>
      </c>
      <c r="Y2462" s="17" t="e">
        <f aca="false">ifs(COUNTA(K2462:U2465)&lt;44,"",Y2462="",NOW(),TRUE(),Y2462)</f>
        <v>#VALUE!</v>
      </c>
    </row>
    <row r="2463" customFormat="false" ht="15.75" hidden="false" customHeight="false" outlineLevel="0" collapsed="false">
      <c r="A2463" s="9"/>
      <c r="B2463" s="10"/>
      <c r="C2463" s="10"/>
      <c r="D2463" s="10"/>
      <c r="E2463" s="10"/>
      <c r="F2463" s="10"/>
      <c r="G2463" s="10"/>
      <c r="H2463" s="10"/>
      <c r="I2463" s="18" t="n">
        <v>2</v>
      </c>
      <c r="J2463" s="18"/>
      <c r="K2463" s="19"/>
      <c r="L2463" s="19"/>
      <c r="M2463" s="18"/>
      <c r="N2463" s="18"/>
      <c r="O2463" s="18"/>
      <c r="P2463" s="19"/>
      <c r="Q2463" s="19"/>
      <c r="R2463" s="18"/>
      <c r="S2463" s="18"/>
      <c r="T2463" s="18"/>
      <c r="U2463" s="20"/>
      <c r="V2463" s="21"/>
      <c r="W2463" s="16"/>
      <c r="X2463" s="16"/>
      <c r="Y2463" s="16"/>
    </row>
    <row r="2464" customFormat="false" ht="15.75" hidden="false" customHeight="false" outlineLevel="0" collapsed="false">
      <c r="A2464" s="9"/>
      <c r="B2464" s="10"/>
      <c r="C2464" s="10"/>
      <c r="D2464" s="10"/>
      <c r="E2464" s="10"/>
      <c r="F2464" s="10"/>
      <c r="G2464" s="10"/>
      <c r="H2464" s="10"/>
      <c r="I2464" s="22" t="n">
        <v>3</v>
      </c>
      <c r="J2464" s="22"/>
      <c r="K2464" s="23"/>
      <c r="L2464" s="23"/>
      <c r="M2464" s="22"/>
      <c r="N2464" s="22"/>
      <c r="O2464" s="22"/>
      <c r="P2464" s="23"/>
      <c r="Q2464" s="23"/>
      <c r="R2464" s="22"/>
      <c r="S2464" s="22"/>
      <c r="T2464" s="22"/>
      <c r="U2464" s="24"/>
      <c r="V2464" s="15"/>
      <c r="W2464" s="16"/>
      <c r="X2464" s="16"/>
      <c r="Y2464" s="16"/>
    </row>
    <row r="2465" customFormat="false" ht="15.75" hidden="false" customHeight="false" outlineLevel="0" collapsed="false">
      <c r="A2465" s="9"/>
      <c r="B2465" s="10"/>
      <c r="C2465" s="10"/>
      <c r="D2465" s="10"/>
      <c r="E2465" s="10"/>
      <c r="F2465" s="10"/>
      <c r="G2465" s="10"/>
      <c r="H2465" s="10"/>
      <c r="I2465" s="25" t="n">
        <v>4</v>
      </c>
      <c r="J2465" s="25"/>
      <c r="K2465" s="26"/>
      <c r="L2465" s="26"/>
      <c r="M2465" s="25"/>
      <c r="N2465" s="25"/>
      <c r="O2465" s="25"/>
      <c r="P2465" s="26"/>
      <c r="Q2465" s="26"/>
      <c r="R2465" s="25"/>
      <c r="S2465" s="25"/>
      <c r="T2465" s="25"/>
      <c r="U2465" s="27"/>
      <c r="V2465" s="21"/>
      <c r="W2465" s="16"/>
      <c r="X2465" s="16"/>
      <c r="Y2465" s="16"/>
    </row>
    <row r="2466" customFormat="false" ht="15.75" hidden="false" customHeight="false" outlineLevel="0" collapsed="false">
      <c r="A2466" s="9"/>
      <c r="B2466" s="10"/>
      <c r="C2466" s="11"/>
      <c r="D2466" s="10"/>
      <c r="E2466" s="10"/>
      <c r="F2466" s="10"/>
      <c r="G2466" s="10"/>
      <c r="H2466" s="10"/>
      <c r="I2466" s="12" t="n">
        <v>1</v>
      </c>
      <c r="J2466" s="12"/>
      <c r="K2466" s="13"/>
      <c r="L2466" s="13"/>
      <c r="M2466" s="12"/>
      <c r="N2466" s="12"/>
      <c r="O2466" s="12"/>
      <c r="P2466" s="13"/>
      <c r="Q2466" s="13"/>
      <c r="R2466" s="12"/>
      <c r="S2466" s="12"/>
      <c r="T2466" s="12"/>
      <c r="U2466" s="14"/>
      <c r="V2466" s="15"/>
      <c r="W2466" s="16" t="n">
        <f aca="false">A2466</f>
        <v>0</v>
      </c>
      <c r="X2466" s="17" t="e">
        <f aca="false">ifs(C2466="","",X2466="",NOW(),TRUE(),X2466)</f>
        <v>#VALUE!</v>
      </c>
      <c r="Y2466" s="17" t="e">
        <f aca="false">ifs(COUNTA(K2466:U2469)&lt;44,"",Y2466="",NOW(),TRUE(),Y2466)</f>
        <v>#VALUE!</v>
      </c>
    </row>
    <row r="2467" customFormat="false" ht="15.75" hidden="false" customHeight="false" outlineLevel="0" collapsed="false">
      <c r="A2467" s="9"/>
      <c r="B2467" s="10"/>
      <c r="C2467" s="10"/>
      <c r="D2467" s="10"/>
      <c r="E2467" s="10"/>
      <c r="F2467" s="10"/>
      <c r="G2467" s="10"/>
      <c r="H2467" s="10"/>
      <c r="I2467" s="18" t="n">
        <v>2</v>
      </c>
      <c r="J2467" s="18"/>
      <c r="K2467" s="19"/>
      <c r="L2467" s="19"/>
      <c r="M2467" s="18"/>
      <c r="N2467" s="18"/>
      <c r="O2467" s="18"/>
      <c r="P2467" s="19"/>
      <c r="Q2467" s="19"/>
      <c r="R2467" s="18"/>
      <c r="S2467" s="18"/>
      <c r="T2467" s="18"/>
      <c r="U2467" s="20"/>
      <c r="V2467" s="21"/>
      <c r="W2467" s="16"/>
      <c r="X2467" s="16"/>
      <c r="Y2467" s="16"/>
    </row>
    <row r="2468" customFormat="false" ht="15.75" hidden="false" customHeight="false" outlineLevel="0" collapsed="false">
      <c r="A2468" s="9"/>
      <c r="B2468" s="10"/>
      <c r="C2468" s="10"/>
      <c r="D2468" s="10"/>
      <c r="E2468" s="10"/>
      <c r="F2468" s="10"/>
      <c r="G2468" s="10"/>
      <c r="H2468" s="10"/>
      <c r="I2468" s="22" t="n">
        <v>3</v>
      </c>
      <c r="J2468" s="22"/>
      <c r="K2468" s="23"/>
      <c r="L2468" s="23"/>
      <c r="M2468" s="22"/>
      <c r="N2468" s="22"/>
      <c r="O2468" s="22"/>
      <c r="P2468" s="23"/>
      <c r="Q2468" s="23"/>
      <c r="R2468" s="22"/>
      <c r="S2468" s="22"/>
      <c r="T2468" s="22"/>
      <c r="U2468" s="24"/>
      <c r="V2468" s="15"/>
      <c r="W2468" s="16"/>
      <c r="X2468" s="16"/>
      <c r="Y2468" s="16"/>
    </row>
    <row r="2469" customFormat="false" ht="15.75" hidden="false" customHeight="false" outlineLevel="0" collapsed="false">
      <c r="A2469" s="9"/>
      <c r="B2469" s="10"/>
      <c r="C2469" s="10"/>
      <c r="D2469" s="10"/>
      <c r="E2469" s="10"/>
      <c r="F2469" s="10"/>
      <c r="G2469" s="10"/>
      <c r="H2469" s="10"/>
      <c r="I2469" s="25" t="n">
        <v>4</v>
      </c>
      <c r="J2469" s="25"/>
      <c r="K2469" s="26"/>
      <c r="L2469" s="26"/>
      <c r="M2469" s="25"/>
      <c r="N2469" s="25"/>
      <c r="O2469" s="25"/>
      <c r="P2469" s="26"/>
      <c r="Q2469" s="26"/>
      <c r="R2469" s="25"/>
      <c r="S2469" s="25"/>
      <c r="T2469" s="25"/>
      <c r="U2469" s="27"/>
      <c r="V2469" s="21"/>
      <c r="W2469" s="16"/>
      <c r="X2469" s="16"/>
      <c r="Y2469" s="16"/>
    </row>
    <row r="2470" customFormat="false" ht="15.75" hidden="false" customHeight="false" outlineLevel="0" collapsed="false">
      <c r="A2470" s="9"/>
      <c r="B2470" s="10"/>
      <c r="C2470" s="11"/>
      <c r="D2470" s="10"/>
      <c r="E2470" s="10"/>
      <c r="F2470" s="10"/>
      <c r="G2470" s="10"/>
      <c r="H2470" s="10"/>
      <c r="I2470" s="12" t="n">
        <v>1</v>
      </c>
      <c r="J2470" s="12"/>
      <c r="K2470" s="13"/>
      <c r="L2470" s="13"/>
      <c r="M2470" s="12"/>
      <c r="N2470" s="12"/>
      <c r="O2470" s="12"/>
      <c r="P2470" s="13"/>
      <c r="Q2470" s="13"/>
      <c r="R2470" s="12"/>
      <c r="S2470" s="12"/>
      <c r="T2470" s="12"/>
      <c r="U2470" s="14"/>
      <c r="V2470" s="15"/>
      <c r="W2470" s="16" t="n">
        <f aca="false">A2470</f>
        <v>0</v>
      </c>
      <c r="X2470" s="17" t="e">
        <f aca="false">ifs(C2470="","",X2470="",NOW(),TRUE(),X2470)</f>
        <v>#VALUE!</v>
      </c>
      <c r="Y2470" s="17" t="e">
        <f aca="false">ifs(COUNTA(K2470:U2473)&lt;44,"",Y2470="",NOW(),TRUE(),Y2470)</f>
        <v>#VALUE!</v>
      </c>
    </row>
    <row r="2471" customFormat="false" ht="15.75" hidden="false" customHeight="false" outlineLevel="0" collapsed="false">
      <c r="A2471" s="9"/>
      <c r="B2471" s="10"/>
      <c r="C2471" s="10"/>
      <c r="D2471" s="10"/>
      <c r="E2471" s="10"/>
      <c r="F2471" s="10"/>
      <c r="G2471" s="10"/>
      <c r="H2471" s="10"/>
      <c r="I2471" s="18" t="n">
        <v>2</v>
      </c>
      <c r="J2471" s="18"/>
      <c r="K2471" s="19"/>
      <c r="L2471" s="19"/>
      <c r="M2471" s="18"/>
      <c r="N2471" s="18"/>
      <c r="O2471" s="18"/>
      <c r="P2471" s="19"/>
      <c r="Q2471" s="19"/>
      <c r="R2471" s="18"/>
      <c r="S2471" s="18"/>
      <c r="T2471" s="18"/>
      <c r="U2471" s="20"/>
      <c r="V2471" s="21"/>
      <c r="W2471" s="16"/>
      <c r="X2471" s="16"/>
      <c r="Y2471" s="16"/>
    </row>
    <row r="2472" customFormat="false" ht="15.75" hidden="false" customHeight="false" outlineLevel="0" collapsed="false">
      <c r="A2472" s="9"/>
      <c r="B2472" s="10"/>
      <c r="C2472" s="10"/>
      <c r="D2472" s="10"/>
      <c r="E2472" s="10"/>
      <c r="F2472" s="10"/>
      <c r="G2472" s="10"/>
      <c r="H2472" s="10"/>
      <c r="I2472" s="22" t="n">
        <v>3</v>
      </c>
      <c r="J2472" s="22"/>
      <c r="K2472" s="23"/>
      <c r="L2472" s="23"/>
      <c r="M2472" s="22"/>
      <c r="N2472" s="22"/>
      <c r="O2472" s="22"/>
      <c r="P2472" s="23"/>
      <c r="Q2472" s="23"/>
      <c r="R2472" s="22"/>
      <c r="S2472" s="22"/>
      <c r="T2472" s="22"/>
      <c r="U2472" s="24"/>
      <c r="V2472" s="15"/>
      <c r="W2472" s="16"/>
      <c r="X2472" s="16"/>
      <c r="Y2472" s="16"/>
    </row>
    <row r="2473" customFormat="false" ht="15.75" hidden="false" customHeight="false" outlineLevel="0" collapsed="false">
      <c r="A2473" s="9"/>
      <c r="B2473" s="10"/>
      <c r="C2473" s="10"/>
      <c r="D2473" s="10"/>
      <c r="E2473" s="10"/>
      <c r="F2473" s="10"/>
      <c r="G2473" s="10"/>
      <c r="H2473" s="10"/>
      <c r="I2473" s="25" t="n">
        <v>4</v>
      </c>
      <c r="J2473" s="25"/>
      <c r="K2473" s="26"/>
      <c r="L2473" s="26"/>
      <c r="M2473" s="25"/>
      <c r="N2473" s="25"/>
      <c r="O2473" s="25"/>
      <c r="P2473" s="26"/>
      <c r="Q2473" s="26"/>
      <c r="R2473" s="25"/>
      <c r="S2473" s="25"/>
      <c r="T2473" s="25"/>
      <c r="U2473" s="27"/>
      <c r="V2473" s="21"/>
      <c r="W2473" s="16"/>
      <c r="X2473" s="16"/>
      <c r="Y2473" s="16"/>
    </row>
    <row r="2474" customFormat="false" ht="15.75" hidden="false" customHeight="false" outlineLevel="0" collapsed="false">
      <c r="A2474" s="9"/>
      <c r="B2474" s="10"/>
      <c r="C2474" s="11"/>
      <c r="D2474" s="10"/>
      <c r="E2474" s="10"/>
      <c r="F2474" s="10"/>
      <c r="G2474" s="10"/>
      <c r="H2474" s="10"/>
      <c r="I2474" s="12" t="n">
        <v>1</v>
      </c>
      <c r="J2474" s="12"/>
      <c r="K2474" s="13"/>
      <c r="L2474" s="13"/>
      <c r="M2474" s="12"/>
      <c r="N2474" s="12"/>
      <c r="O2474" s="12"/>
      <c r="P2474" s="13"/>
      <c r="Q2474" s="13"/>
      <c r="R2474" s="12"/>
      <c r="S2474" s="12"/>
      <c r="T2474" s="12"/>
      <c r="U2474" s="14"/>
      <c r="V2474" s="15"/>
      <c r="W2474" s="16" t="n">
        <f aca="false">A2474</f>
        <v>0</v>
      </c>
      <c r="X2474" s="17" t="e">
        <f aca="false">ifs(C2474="","",X2474="",NOW(),TRUE(),X2474)</f>
        <v>#VALUE!</v>
      </c>
      <c r="Y2474" s="17" t="e">
        <f aca="false">ifs(COUNTA(K2474:U2477)&lt;44,"",Y2474="",NOW(),TRUE(),Y2474)</f>
        <v>#VALUE!</v>
      </c>
    </row>
    <row r="2475" customFormat="false" ht="15.75" hidden="false" customHeight="false" outlineLevel="0" collapsed="false">
      <c r="A2475" s="9"/>
      <c r="B2475" s="10"/>
      <c r="C2475" s="10"/>
      <c r="D2475" s="10"/>
      <c r="E2475" s="10"/>
      <c r="F2475" s="10"/>
      <c r="G2475" s="10"/>
      <c r="H2475" s="10"/>
      <c r="I2475" s="18" t="n">
        <v>2</v>
      </c>
      <c r="J2475" s="18"/>
      <c r="K2475" s="19"/>
      <c r="L2475" s="19"/>
      <c r="M2475" s="18"/>
      <c r="N2475" s="18"/>
      <c r="O2475" s="18"/>
      <c r="P2475" s="19"/>
      <c r="Q2475" s="19"/>
      <c r="R2475" s="18"/>
      <c r="S2475" s="18"/>
      <c r="T2475" s="18"/>
      <c r="U2475" s="20"/>
      <c r="V2475" s="21"/>
      <c r="W2475" s="16"/>
      <c r="X2475" s="16"/>
      <c r="Y2475" s="16"/>
    </row>
    <row r="2476" customFormat="false" ht="15.75" hidden="false" customHeight="false" outlineLevel="0" collapsed="false">
      <c r="A2476" s="9"/>
      <c r="B2476" s="10"/>
      <c r="C2476" s="10"/>
      <c r="D2476" s="10"/>
      <c r="E2476" s="10"/>
      <c r="F2476" s="10"/>
      <c r="G2476" s="10"/>
      <c r="H2476" s="10"/>
      <c r="I2476" s="22" t="n">
        <v>3</v>
      </c>
      <c r="J2476" s="22"/>
      <c r="K2476" s="23"/>
      <c r="L2476" s="23"/>
      <c r="M2476" s="22"/>
      <c r="N2476" s="22"/>
      <c r="O2476" s="22"/>
      <c r="P2476" s="23"/>
      <c r="Q2476" s="23"/>
      <c r="R2476" s="22"/>
      <c r="S2476" s="22"/>
      <c r="T2476" s="22"/>
      <c r="U2476" s="24"/>
      <c r="V2476" s="15"/>
      <c r="W2476" s="16"/>
      <c r="X2476" s="16"/>
      <c r="Y2476" s="16"/>
    </row>
    <row r="2477" customFormat="false" ht="15.75" hidden="false" customHeight="false" outlineLevel="0" collapsed="false">
      <c r="A2477" s="9"/>
      <c r="B2477" s="10"/>
      <c r="C2477" s="10"/>
      <c r="D2477" s="10"/>
      <c r="E2477" s="10"/>
      <c r="F2477" s="10"/>
      <c r="G2477" s="10"/>
      <c r="H2477" s="10"/>
      <c r="I2477" s="25" t="n">
        <v>4</v>
      </c>
      <c r="J2477" s="25"/>
      <c r="K2477" s="26"/>
      <c r="L2477" s="26"/>
      <c r="M2477" s="25"/>
      <c r="N2477" s="25"/>
      <c r="O2477" s="25"/>
      <c r="P2477" s="26"/>
      <c r="Q2477" s="26"/>
      <c r="R2477" s="25"/>
      <c r="S2477" s="25"/>
      <c r="T2477" s="25"/>
      <c r="U2477" s="27"/>
      <c r="V2477" s="21"/>
      <c r="W2477" s="16"/>
      <c r="X2477" s="16"/>
      <c r="Y2477" s="16"/>
    </row>
    <row r="2478" customFormat="false" ht="15.75" hidden="false" customHeight="false" outlineLevel="0" collapsed="false">
      <c r="A2478" s="9"/>
      <c r="B2478" s="10"/>
      <c r="C2478" s="11"/>
      <c r="D2478" s="10"/>
      <c r="E2478" s="10"/>
      <c r="F2478" s="10"/>
      <c r="G2478" s="10"/>
      <c r="H2478" s="10"/>
      <c r="I2478" s="12" t="n">
        <v>1</v>
      </c>
      <c r="J2478" s="12"/>
      <c r="K2478" s="13"/>
      <c r="L2478" s="13"/>
      <c r="M2478" s="12"/>
      <c r="N2478" s="12"/>
      <c r="O2478" s="12"/>
      <c r="P2478" s="13"/>
      <c r="Q2478" s="13"/>
      <c r="R2478" s="12"/>
      <c r="S2478" s="12"/>
      <c r="T2478" s="12"/>
      <c r="U2478" s="14"/>
      <c r="V2478" s="15"/>
      <c r="W2478" s="16" t="n">
        <f aca="false">A2478</f>
        <v>0</v>
      </c>
      <c r="X2478" s="17" t="e">
        <f aca="false">ifs(C2478="","",X2478="",NOW(),TRUE(),X2478)</f>
        <v>#VALUE!</v>
      </c>
      <c r="Y2478" s="17" t="e">
        <f aca="false">ifs(COUNTA(K2478:U2481)&lt;44,"",Y2478="",NOW(),TRUE(),Y2478)</f>
        <v>#VALUE!</v>
      </c>
    </row>
    <row r="2479" customFormat="false" ht="15.75" hidden="false" customHeight="false" outlineLevel="0" collapsed="false">
      <c r="A2479" s="9"/>
      <c r="B2479" s="10"/>
      <c r="C2479" s="10"/>
      <c r="D2479" s="10"/>
      <c r="E2479" s="10"/>
      <c r="F2479" s="10"/>
      <c r="G2479" s="10"/>
      <c r="H2479" s="10"/>
      <c r="I2479" s="18" t="n">
        <v>2</v>
      </c>
      <c r="J2479" s="18"/>
      <c r="K2479" s="19"/>
      <c r="L2479" s="19"/>
      <c r="M2479" s="18"/>
      <c r="N2479" s="18"/>
      <c r="O2479" s="18"/>
      <c r="P2479" s="19"/>
      <c r="Q2479" s="19"/>
      <c r="R2479" s="18"/>
      <c r="S2479" s="18"/>
      <c r="T2479" s="18"/>
      <c r="U2479" s="20"/>
      <c r="V2479" s="21"/>
      <c r="W2479" s="16"/>
      <c r="X2479" s="16"/>
      <c r="Y2479" s="16"/>
    </row>
    <row r="2480" customFormat="false" ht="15.75" hidden="false" customHeight="false" outlineLevel="0" collapsed="false">
      <c r="A2480" s="9"/>
      <c r="B2480" s="10"/>
      <c r="C2480" s="10"/>
      <c r="D2480" s="10"/>
      <c r="E2480" s="10"/>
      <c r="F2480" s="10"/>
      <c r="G2480" s="10"/>
      <c r="H2480" s="10"/>
      <c r="I2480" s="22" t="n">
        <v>3</v>
      </c>
      <c r="J2480" s="22"/>
      <c r="K2480" s="23"/>
      <c r="L2480" s="23"/>
      <c r="M2480" s="22"/>
      <c r="N2480" s="22"/>
      <c r="O2480" s="22"/>
      <c r="P2480" s="23"/>
      <c r="Q2480" s="23"/>
      <c r="R2480" s="22"/>
      <c r="S2480" s="22"/>
      <c r="T2480" s="22"/>
      <c r="U2480" s="24"/>
      <c r="V2480" s="15"/>
      <c r="W2480" s="16"/>
      <c r="X2480" s="16"/>
      <c r="Y2480" s="16"/>
    </row>
    <row r="2481" customFormat="false" ht="15.75" hidden="false" customHeight="false" outlineLevel="0" collapsed="false">
      <c r="A2481" s="9"/>
      <c r="B2481" s="10"/>
      <c r="C2481" s="10"/>
      <c r="D2481" s="10"/>
      <c r="E2481" s="10"/>
      <c r="F2481" s="10"/>
      <c r="G2481" s="10"/>
      <c r="H2481" s="10"/>
      <c r="I2481" s="25" t="n">
        <v>4</v>
      </c>
      <c r="J2481" s="25"/>
      <c r="K2481" s="26"/>
      <c r="L2481" s="26"/>
      <c r="M2481" s="25"/>
      <c r="N2481" s="25"/>
      <c r="O2481" s="25"/>
      <c r="P2481" s="26"/>
      <c r="Q2481" s="26"/>
      <c r="R2481" s="25"/>
      <c r="S2481" s="25"/>
      <c r="T2481" s="25"/>
      <c r="U2481" s="27"/>
      <c r="V2481" s="21"/>
      <c r="W2481" s="16"/>
      <c r="X2481" s="16"/>
      <c r="Y2481" s="16"/>
    </row>
    <row r="2482" customFormat="false" ht="15.75" hidden="false" customHeight="false" outlineLevel="0" collapsed="false">
      <c r="A2482" s="9"/>
      <c r="B2482" s="10"/>
      <c r="C2482" s="11"/>
      <c r="D2482" s="10"/>
      <c r="E2482" s="10"/>
      <c r="F2482" s="10"/>
      <c r="G2482" s="10"/>
      <c r="H2482" s="10"/>
      <c r="I2482" s="12" t="n">
        <v>1</v>
      </c>
      <c r="J2482" s="12"/>
      <c r="K2482" s="13"/>
      <c r="L2482" s="13"/>
      <c r="M2482" s="12"/>
      <c r="N2482" s="12"/>
      <c r="O2482" s="12"/>
      <c r="P2482" s="13"/>
      <c r="Q2482" s="13"/>
      <c r="R2482" s="12"/>
      <c r="S2482" s="12"/>
      <c r="T2482" s="12"/>
      <c r="U2482" s="14"/>
      <c r="V2482" s="15"/>
      <c r="W2482" s="16" t="n">
        <f aca="false">A2482</f>
        <v>0</v>
      </c>
      <c r="X2482" s="17" t="e">
        <f aca="false">ifs(C2482="","",X2482="",NOW(),TRUE(),X2482)</f>
        <v>#VALUE!</v>
      </c>
      <c r="Y2482" s="17" t="e">
        <f aca="false">ifs(COUNTA(K2482:U2485)&lt;44,"",Y2482="",NOW(),TRUE(),Y2482)</f>
        <v>#VALUE!</v>
      </c>
    </row>
    <row r="2483" customFormat="false" ht="15.75" hidden="false" customHeight="false" outlineLevel="0" collapsed="false">
      <c r="A2483" s="9"/>
      <c r="B2483" s="10"/>
      <c r="C2483" s="10"/>
      <c r="D2483" s="10"/>
      <c r="E2483" s="10"/>
      <c r="F2483" s="10"/>
      <c r="G2483" s="10"/>
      <c r="H2483" s="10"/>
      <c r="I2483" s="18" t="n">
        <v>2</v>
      </c>
      <c r="J2483" s="18"/>
      <c r="K2483" s="19"/>
      <c r="L2483" s="19"/>
      <c r="M2483" s="18"/>
      <c r="N2483" s="18"/>
      <c r="O2483" s="18"/>
      <c r="P2483" s="19"/>
      <c r="Q2483" s="19"/>
      <c r="R2483" s="18"/>
      <c r="S2483" s="18"/>
      <c r="T2483" s="18"/>
      <c r="U2483" s="20"/>
      <c r="V2483" s="21"/>
      <c r="W2483" s="16"/>
      <c r="X2483" s="16"/>
      <c r="Y2483" s="16"/>
    </row>
    <row r="2484" customFormat="false" ht="15.75" hidden="false" customHeight="false" outlineLevel="0" collapsed="false">
      <c r="A2484" s="9"/>
      <c r="B2484" s="10"/>
      <c r="C2484" s="10"/>
      <c r="D2484" s="10"/>
      <c r="E2484" s="10"/>
      <c r="F2484" s="10"/>
      <c r="G2484" s="10"/>
      <c r="H2484" s="10"/>
      <c r="I2484" s="22" t="n">
        <v>3</v>
      </c>
      <c r="J2484" s="22"/>
      <c r="K2484" s="23"/>
      <c r="L2484" s="23"/>
      <c r="M2484" s="22"/>
      <c r="N2484" s="22"/>
      <c r="O2484" s="22"/>
      <c r="P2484" s="23"/>
      <c r="Q2484" s="23"/>
      <c r="R2484" s="22"/>
      <c r="S2484" s="22"/>
      <c r="T2484" s="22"/>
      <c r="U2484" s="24"/>
      <c r="V2484" s="15"/>
      <c r="W2484" s="16"/>
      <c r="X2484" s="16"/>
      <c r="Y2484" s="16"/>
    </row>
    <row r="2485" customFormat="false" ht="15.75" hidden="false" customHeight="false" outlineLevel="0" collapsed="false">
      <c r="A2485" s="9"/>
      <c r="B2485" s="10"/>
      <c r="C2485" s="10"/>
      <c r="D2485" s="10"/>
      <c r="E2485" s="10"/>
      <c r="F2485" s="10"/>
      <c r="G2485" s="10"/>
      <c r="H2485" s="10"/>
      <c r="I2485" s="25" t="n">
        <v>4</v>
      </c>
      <c r="J2485" s="25"/>
      <c r="K2485" s="26"/>
      <c r="L2485" s="26"/>
      <c r="M2485" s="25"/>
      <c r="N2485" s="25"/>
      <c r="O2485" s="25"/>
      <c r="P2485" s="26"/>
      <c r="Q2485" s="26"/>
      <c r="R2485" s="25"/>
      <c r="S2485" s="25"/>
      <c r="T2485" s="25"/>
      <c r="U2485" s="27"/>
      <c r="V2485" s="21"/>
      <c r="W2485" s="16"/>
      <c r="X2485" s="16"/>
      <c r="Y2485" s="16"/>
    </row>
    <row r="2486" customFormat="false" ht="15.75" hidden="false" customHeight="false" outlineLevel="0" collapsed="false">
      <c r="A2486" s="9"/>
      <c r="B2486" s="10"/>
      <c r="C2486" s="11"/>
      <c r="D2486" s="10"/>
      <c r="E2486" s="10"/>
      <c r="F2486" s="10"/>
      <c r="G2486" s="10"/>
      <c r="H2486" s="10"/>
      <c r="I2486" s="12" t="n">
        <v>1</v>
      </c>
      <c r="J2486" s="12"/>
      <c r="K2486" s="13"/>
      <c r="L2486" s="13"/>
      <c r="M2486" s="12"/>
      <c r="N2486" s="12"/>
      <c r="O2486" s="12"/>
      <c r="P2486" s="13"/>
      <c r="Q2486" s="13"/>
      <c r="R2486" s="12"/>
      <c r="S2486" s="12"/>
      <c r="T2486" s="12"/>
      <c r="U2486" s="14"/>
      <c r="V2486" s="15"/>
      <c r="W2486" s="16" t="n">
        <f aca="false">A2486</f>
        <v>0</v>
      </c>
      <c r="X2486" s="17" t="e">
        <f aca="false">ifs(C2486="","",X2486="",NOW(),TRUE(),X2486)</f>
        <v>#VALUE!</v>
      </c>
      <c r="Y2486" s="17" t="e">
        <f aca="false">ifs(COUNTA(K2486:U2489)&lt;44,"",Y2486="",NOW(),TRUE(),Y2486)</f>
        <v>#VALUE!</v>
      </c>
    </row>
    <row r="2487" customFormat="false" ht="15.75" hidden="false" customHeight="false" outlineLevel="0" collapsed="false">
      <c r="A2487" s="9"/>
      <c r="B2487" s="10"/>
      <c r="C2487" s="10"/>
      <c r="D2487" s="10"/>
      <c r="E2487" s="10"/>
      <c r="F2487" s="10"/>
      <c r="G2487" s="10"/>
      <c r="H2487" s="10"/>
      <c r="I2487" s="18" t="n">
        <v>2</v>
      </c>
      <c r="J2487" s="18"/>
      <c r="K2487" s="19"/>
      <c r="L2487" s="19"/>
      <c r="M2487" s="18"/>
      <c r="N2487" s="18"/>
      <c r="O2487" s="18"/>
      <c r="P2487" s="19"/>
      <c r="Q2487" s="19"/>
      <c r="R2487" s="18"/>
      <c r="S2487" s="18"/>
      <c r="T2487" s="18"/>
      <c r="U2487" s="20"/>
      <c r="V2487" s="21"/>
      <c r="W2487" s="16"/>
      <c r="X2487" s="16"/>
      <c r="Y2487" s="16"/>
    </row>
    <row r="2488" customFormat="false" ht="15.75" hidden="false" customHeight="false" outlineLevel="0" collapsed="false">
      <c r="A2488" s="9"/>
      <c r="B2488" s="10"/>
      <c r="C2488" s="10"/>
      <c r="D2488" s="10"/>
      <c r="E2488" s="10"/>
      <c r="F2488" s="10"/>
      <c r="G2488" s="10"/>
      <c r="H2488" s="10"/>
      <c r="I2488" s="22" t="n">
        <v>3</v>
      </c>
      <c r="J2488" s="22"/>
      <c r="K2488" s="23"/>
      <c r="L2488" s="23"/>
      <c r="M2488" s="22"/>
      <c r="N2488" s="22"/>
      <c r="O2488" s="22"/>
      <c r="P2488" s="23"/>
      <c r="Q2488" s="23"/>
      <c r="R2488" s="22"/>
      <c r="S2488" s="22"/>
      <c r="T2488" s="22"/>
      <c r="U2488" s="24"/>
      <c r="V2488" s="15"/>
      <c r="W2488" s="16"/>
      <c r="X2488" s="16"/>
      <c r="Y2488" s="16"/>
    </row>
    <row r="2489" customFormat="false" ht="15.75" hidden="false" customHeight="false" outlineLevel="0" collapsed="false">
      <c r="A2489" s="9"/>
      <c r="B2489" s="10"/>
      <c r="C2489" s="10"/>
      <c r="D2489" s="10"/>
      <c r="E2489" s="10"/>
      <c r="F2489" s="10"/>
      <c r="G2489" s="10"/>
      <c r="H2489" s="10"/>
      <c r="I2489" s="25" t="n">
        <v>4</v>
      </c>
      <c r="J2489" s="25"/>
      <c r="K2489" s="26"/>
      <c r="L2489" s="26"/>
      <c r="M2489" s="25"/>
      <c r="N2489" s="25"/>
      <c r="O2489" s="25"/>
      <c r="P2489" s="26"/>
      <c r="Q2489" s="26"/>
      <c r="R2489" s="25"/>
      <c r="S2489" s="25"/>
      <c r="T2489" s="25"/>
      <c r="U2489" s="27"/>
      <c r="V2489" s="21"/>
      <c r="W2489" s="16"/>
      <c r="X2489" s="16"/>
      <c r="Y2489" s="16"/>
    </row>
    <row r="2490" customFormat="false" ht="15.75" hidden="false" customHeight="false" outlineLevel="0" collapsed="false">
      <c r="A2490" s="9"/>
      <c r="B2490" s="10"/>
      <c r="C2490" s="11"/>
      <c r="D2490" s="10"/>
      <c r="E2490" s="10"/>
      <c r="F2490" s="10"/>
      <c r="G2490" s="10"/>
      <c r="H2490" s="10"/>
      <c r="I2490" s="12" t="n">
        <v>1</v>
      </c>
      <c r="J2490" s="12"/>
      <c r="K2490" s="13"/>
      <c r="L2490" s="13"/>
      <c r="M2490" s="12"/>
      <c r="N2490" s="12"/>
      <c r="O2490" s="12"/>
      <c r="P2490" s="13"/>
      <c r="Q2490" s="13"/>
      <c r="R2490" s="12"/>
      <c r="S2490" s="12"/>
      <c r="T2490" s="12"/>
      <c r="U2490" s="14"/>
      <c r="V2490" s="15"/>
      <c r="W2490" s="16" t="n">
        <f aca="false">A2490</f>
        <v>0</v>
      </c>
      <c r="X2490" s="17" t="e">
        <f aca="false">ifs(C2490="","",X2490="",NOW(),TRUE(),X2490)</f>
        <v>#VALUE!</v>
      </c>
      <c r="Y2490" s="17" t="e">
        <f aca="false">ifs(COUNTA(K2490:U2493)&lt;44,"",Y2490="",NOW(),TRUE(),Y2490)</f>
        <v>#VALUE!</v>
      </c>
    </row>
    <row r="2491" customFormat="false" ht="15.75" hidden="false" customHeight="false" outlineLevel="0" collapsed="false">
      <c r="A2491" s="9"/>
      <c r="B2491" s="10"/>
      <c r="C2491" s="10"/>
      <c r="D2491" s="10"/>
      <c r="E2491" s="10"/>
      <c r="F2491" s="10"/>
      <c r="G2491" s="10"/>
      <c r="H2491" s="10"/>
      <c r="I2491" s="18" t="n">
        <v>2</v>
      </c>
      <c r="J2491" s="18"/>
      <c r="K2491" s="19"/>
      <c r="L2491" s="19"/>
      <c r="M2491" s="18"/>
      <c r="N2491" s="18"/>
      <c r="O2491" s="18"/>
      <c r="P2491" s="19"/>
      <c r="Q2491" s="19"/>
      <c r="R2491" s="18"/>
      <c r="S2491" s="18"/>
      <c r="T2491" s="18"/>
      <c r="U2491" s="20"/>
      <c r="V2491" s="21"/>
      <c r="W2491" s="16"/>
      <c r="X2491" s="16"/>
      <c r="Y2491" s="16"/>
    </row>
    <row r="2492" customFormat="false" ht="15.75" hidden="false" customHeight="false" outlineLevel="0" collapsed="false">
      <c r="A2492" s="9"/>
      <c r="B2492" s="10"/>
      <c r="C2492" s="10"/>
      <c r="D2492" s="10"/>
      <c r="E2492" s="10"/>
      <c r="F2492" s="10"/>
      <c r="G2492" s="10"/>
      <c r="H2492" s="10"/>
      <c r="I2492" s="22" t="n">
        <v>3</v>
      </c>
      <c r="J2492" s="22"/>
      <c r="K2492" s="23"/>
      <c r="L2492" s="23"/>
      <c r="M2492" s="22"/>
      <c r="N2492" s="22"/>
      <c r="O2492" s="22"/>
      <c r="P2492" s="23"/>
      <c r="Q2492" s="23"/>
      <c r="R2492" s="22"/>
      <c r="S2492" s="22"/>
      <c r="T2492" s="22"/>
      <c r="U2492" s="24"/>
      <c r="V2492" s="15"/>
      <c r="W2492" s="16"/>
      <c r="X2492" s="16"/>
      <c r="Y2492" s="16"/>
    </row>
    <row r="2493" customFormat="false" ht="15.75" hidden="false" customHeight="false" outlineLevel="0" collapsed="false">
      <c r="A2493" s="9"/>
      <c r="B2493" s="10"/>
      <c r="C2493" s="10"/>
      <c r="D2493" s="10"/>
      <c r="E2493" s="10"/>
      <c r="F2493" s="10"/>
      <c r="G2493" s="10"/>
      <c r="H2493" s="10"/>
      <c r="I2493" s="25" t="n">
        <v>4</v>
      </c>
      <c r="J2493" s="25"/>
      <c r="K2493" s="26"/>
      <c r="L2493" s="26"/>
      <c r="M2493" s="25"/>
      <c r="N2493" s="25"/>
      <c r="O2493" s="25"/>
      <c r="P2493" s="26"/>
      <c r="Q2493" s="26"/>
      <c r="R2493" s="25"/>
      <c r="S2493" s="25"/>
      <c r="T2493" s="25"/>
      <c r="U2493" s="27"/>
      <c r="V2493" s="21"/>
      <c r="W2493" s="16"/>
      <c r="X2493" s="16"/>
      <c r="Y2493" s="16"/>
    </row>
    <row r="2494" customFormat="false" ht="15.75" hidden="false" customHeight="false" outlineLevel="0" collapsed="false">
      <c r="A2494" s="9"/>
      <c r="B2494" s="10"/>
      <c r="C2494" s="11"/>
      <c r="D2494" s="10"/>
      <c r="E2494" s="10"/>
      <c r="F2494" s="10"/>
      <c r="G2494" s="10"/>
      <c r="H2494" s="10"/>
      <c r="I2494" s="12" t="n">
        <v>1</v>
      </c>
      <c r="J2494" s="12"/>
      <c r="K2494" s="13"/>
      <c r="L2494" s="13"/>
      <c r="M2494" s="12"/>
      <c r="N2494" s="12"/>
      <c r="O2494" s="12"/>
      <c r="P2494" s="13"/>
      <c r="Q2494" s="13"/>
      <c r="R2494" s="12"/>
      <c r="S2494" s="12"/>
      <c r="T2494" s="12"/>
      <c r="U2494" s="14"/>
      <c r="V2494" s="15"/>
      <c r="W2494" s="16" t="n">
        <f aca="false">A2494</f>
        <v>0</v>
      </c>
      <c r="X2494" s="17" t="e">
        <f aca="false">ifs(C2494="","",X2494="",NOW(),TRUE(),X2494)</f>
        <v>#VALUE!</v>
      </c>
      <c r="Y2494" s="17" t="e">
        <f aca="false">ifs(COUNTA(K2494:U2497)&lt;44,"",Y2494="",NOW(),TRUE(),Y2494)</f>
        <v>#VALUE!</v>
      </c>
    </row>
    <row r="2495" customFormat="false" ht="15.75" hidden="false" customHeight="false" outlineLevel="0" collapsed="false">
      <c r="A2495" s="9"/>
      <c r="B2495" s="10"/>
      <c r="C2495" s="10"/>
      <c r="D2495" s="10"/>
      <c r="E2495" s="10"/>
      <c r="F2495" s="10"/>
      <c r="G2495" s="10"/>
      <c r="H2495" s="10"/>
      <c r="I2495" s="18" t="n">
        <v>2</v>
      </c>
      <c r="J2495" s="18"/>
      <c r="K2495" s="19"/>
      <c r="L2495" s="19"/>
      <c r="M2495" s="18"/>
      <c r="N2495" s="18"/>
      <c r="O2495" s="18"/>
      <c r="P2495" s="19"/>
      <c r="Q2495" s="19"/>
      <c r="R2495" s="18"/>
      <c r="S2495" s="18"/>
      <c r="T2495" s="18"/>
      <c r="U2495" s="20"/>
      <c r="V2495" s="21"/>
      <c r="W2495" s="16"/>
      <c r="X2495" s="16"/>
      <c r="Y2495" s="16"/>
    </row>
    <row r="2496" customFormat="false" ht="15.75" hidden="false" customHeight="false" outlineLevel="0" collapsed="false">
      <c r="A2496" s="9"/>
      <c r="B2496" s="10"/>
      <c r="C2496" s="10"/>
      <c r="D2496" s="10"/>
      <c r="E2496" s="10"/>
      <c r="F2496" s="10"/>
      <c r="G2496" s="10"/>
      <c r="H2496" s="10"/>
      <c r="I2496" s="22" t="n">
        <v>3</v>
      </c>
      <c r="J2496" s="22"/>
      <c r="K2496" s="23"/>
      <c r="L2496" s="23"/>
      <c r="M2496" s="22"/>
      <c r="N2496" s="22"/>
      <c r="O2496" s="22"/>
      <c r="P2496" s="23"/>
      <c r="Q2496" s="23"/>
      <c r="R2496" s="22"/>
      <c r="S2496" s="22"/>
      <c r="T2496" s="22"/>
      <c r="U2496" s="24"/>
      <c r="V2496" s="15"/>
      <c r="W2496" s="16"/>
      <c r="X2496" s="16"/>
      <c r="Y2496" s="16"/>
    </row>
    <row r="2497" customFormat="false" ht="15.75" hidden="false" customHeight="false" outlineLevel="0" collapsed="false">
      <c r="A2497" s="9"/>
      <c r="B2497" s="10"/>
      <c r="C2497" s="10"/>
      <c r="D2497" s="10"/>
      <c r="E2497" s="10"/>
      <c r="F2497" s="10"/>
      <c r="G2497" s="10"/>
      <c r="H2497" s="10"/>
      <c r="I2497" s="25" t="n">
        <v>4</v>
      </c>
      <c r="J2497" s="25"/>
      <c r="K2497" s="26"/>
      <c r="L2497" s="26"/>
      <c r="M2497" s="25"/>
      <c r="N2497" s="25"/>
      <c r="O2497" s="25"/>
      <c r="P2497" s="26"/>
      <c r="Q2497" s="26"/>
      <c r="R2497" s="25"/>
      <c r="S2497" s="25"/>
      <c r="T2497" s="25"/>
      <c r="U2497" s="27"/>
      <c r="V2497" s="21"/>
      <c r="W2497" s="16"/>
      <c r="X2497" s="16"/>
      <c r="Y2497" s="16"/>
    </row>
    <row r="2498" customFormat="false" ht="15.75" hidden="false" customHeight="false" outlineLevel="0" collapsed="false">
      <c r="A2498" s="9"/>
      <c r="B2498" s="10"/>
      <c r="C2498" s="11"/>
      <c r="D2498" s="10"/>
      <c r="E2498" s="10"/>
      <c r="F2498" s="10"/>
      <c r="G2498" s="10"/>
      <c r="H2498" s="10"/>
      <c r="I2498" s="12" t="n">
        <v>1</v>
      </c>
      <c r="J2498" s="12"/>
      <c r="K2498" s="13"/>
      <c r="L2498" s="13"/>
      <c r="M2498" s="12"/>
      <c r="N2498" s="12"/>
      <c r="O2498" s="12"/>
      <c r="P2498" s="13"/>
      <c r="Q2498" s="13"/>
      <c r="R2498" s="12"/>
      <c r="S2498" s="12"/>
      <c r="T2498" s="12"/>
      <c r="U2498" s="14"/>
      <c r="V2498" s="15"/>
      <c r="W2498" s="16" t="n">
        <f aca="false">A2498</f>
        <v>0</v>
      </c>
      <c r="X2498" s="17" t="e">
        <f aca="false">ifs(C2498="","",X2498="",NOW(),TRUE(),X2498)</f>
        <v>#VALUE!</v>
      </c>
      <c r="Y2498" s="17" t="e">
        <f aca="false">ifs(COUNTA(K2498:U2501)&lt;44,"",Y2498="",NOW(),TRUE(),Y2498)</f>
        <v>#VALUE!</v>
      </c>
    </row>
    <row r="2499" customFormat="false" ht="15.75" hidden="false" customHeight="false" outlineLevel="0" collapsed="false">
      <c r="A2499" s="9"/>
      <c r="B2499" s="10"/>
      <c r="C2499" s="10"/>
      <c r="D2499" s="10"/>
      <c r="E2499" s="10"/>
      <c r="F2499" s="10"/>
      <c r="G2499" s="10"/>
      <c r="H2499" s="10"/>
      <c r="I2499" s="18" t="n">
        <v>2</v>
      </c>
      <c r="J2499" s="18"/>
      <c r="K2499" s="19"/>
      <c r="L2499" s="19"/>
      <c r="M2499" s="18"/>
      <c r="N2499" s="18"/>
      <c r="O2499" s="18"/>
      <c r="P2499" s="19"/>
      <c r="Q2499" s="19"/>
      <c r="R2499" s="18"/>
      <c r="S2499" s="18"/>
      <c r="T2499" s="18"/>
      <c r="U2499" s="20"/>
      <c r="V2499" s="21"/>
      <c r="W2499" s="16"/>
      <c r="X2499" s="16"/>
      <c r="Y2499" s="16"/>
    </row>
    <row r="2500" customFormat="false" ht="15.75" hidden="false" customHeight="false" outlineLevel="0" collapsed="false">
      <c r="A2500" s="9"/>
      <c r="B2500" s="10"/>
      <c r="C2500" s="10"/>
      <c r="D2500" s="10"/>
      <c r="E2500" s="10"/>
      <c r="F2500" s="10"/>
      <c r="G2500" s="10"/>
      <c r="H2500" s="10"/>
      <c r="I2500" s="22" t="n">
        <v>3</v>
      </c>
      <c r="J2500" s="22"/>
      <c r="K2500" s="23"/>
      <c r="L2500" s="23"/>
      <c r="M2500" s="22"/>
      <c r="N2500" s="22"/>
      <c r="O2500" s="22"/>
      <c r="P2500" s="23"/>
      <c r="Q2500" s="23"/>
      <c r="R2500" s="22"/>
      <c r="S2500" s="22"/>
      <c r="T2500" s="22"/>
      <c r="U2500" s="24"/>
      <c r="V2500" s="15"/>
      <c r="W2500" s="16"/>
      <c r="X2500" s="16"/>
      <c r="Y2500" s="16"/>
    </row>
    <row r="2501" customFormat="false" ht="15.75" hidden="false" customHeight="false" outlineLevel="0" collapsed="false">
      <c r="A2501" s="9"/>
      <c r="B2501" s="10"/>
      <c r="C2501" s="10"/>
      <c r="D2501" s="10"/>
      <c r="E2501" s="10"/>
      <c r="F2501" s="10"/>
      <c r="G2501" s="10"/>
      <c r="H2501" s="10"/>
      <c r="I2501" s="25" t="n">
        <v>4</v>
      </c>
      <c r="J2501" s="25"/>
      <c r="K2501" s="26"/>
      <c r="L2501" s="26"/>
      <c r="M2501" s="25"/>
      <c r="N2501" s="25"/>
      <c r="O2501" s="25"/>
      <c r="P2501" s="26"/>
      <c r="Q2501" s="26"/>
      <c r="R2501" s="25"/>
      <c r="S2501" s="25"/>
      <c r="T2501" s="25"/>
      <c r="U2501" s="27"/>
      <c r="V2501" s="21"/>
      <c r="W2501" s="16"/>
      <c r="X2501" s="16"/>
      <c r="Y2501" s="16"/>
    </row>
    <row r="2502" customFormat="false" ht="15.75" hidden="false" customHeight="false" outlineLevel="0" collapsed="false">
      <c r="A2502" s="9"/>
      <c r="B2502" s="10"/>
      <c r="C2502" s="11"/>
      <c r="D2502" s="10"/>
      <c r="E2502" s="10"/>
      <c r="F2502" s="10"/>
      <c r="G2502" s="10"/>
      <c r="H2502" s="10"/>
      <c r="I2502" s="12" t="n">
        <v>1</v>
      </c>
      <c r="J2502" s="12"/>
      <c r="K2502" s="13"/>
      <c r="L2502" s="13"/>
      <c r="M2502" s="12"/>
      <c r="N2502" s="12"/>
      <c r="O2502" s="12"/>
      <c r="P2502" s="13"/>
      <c r="Q2502" s="13"/>
      <c r="R2502" s="12"/>
      <c r="S2502" s="12"/>
      <c r="T2502" s="12"/>
      <c r="U2502" s="14"/>
      <c r="V2502" s="15"/>
      <c r="W2502" s="16" t="n">
        <f aca="false">A2502</f>
        <v>0</v>
      </c>
      <c r="X2502" s="17" t="e">
        <f aca="false">ifs(C2502="","",X2502="",NOW(),TRUE(),X2502)</f>
        <v>#VALUE!</v>
      </c>
      <c r="Y2502" s="17" t="e">
        <f aca="false">ifs(COUNTA(K2502:U2505)&lt;44,"",Y2502="",NOW(),TRUE(),Y2502)</f>
        <v>#VALUE!</v>
      </c>
    </row>
    <row r="2503" customFormat="false" ht="15.75" hidden="false" customHeight="false" outlineLevel="0" collapsed="false">
      <c r="A2503" s="9"/>
      <c r="B2503" s="10"/>
      <c r="C2503" s="10"/>
      <c r="D2503" s="10"/>
      <c r="E2503" s="10"/>
      <c r="F2503" s="10"/>
      <c r="G2503" s="10"/>
      <c r="H2503" s="10"/>
      <c r="I2503" s="18" t="n">
        <v>2</v>
      </c>
      <c r="J2503" s="18"/>
      <c r="K2503" s="19"/>
      <c r="L2503" s="19"/>
      <c r="M2503" s="18"/>
      <c r="N2503" s="18"/>
      <c r="O2503" s="18"/>
      <c r="P2503" s="19"/>
      <c r="Q2503" s="19"/>
      <c r="R2503" s="18"/>
      <c r="S2503" s="18"/>
      <c r="T2503" s="18"/>
      <c r="U2503" s="20"/>
      <c r="V2503" s="21"/>
      <c r="W2503" s="16"/>
      <c r="X2503" s="16"/>
      <c r="Y2503" s="16"/>
    </row>
    <row r="2504" customFormat="false" ht="15.75" hidden="false" customHeight="false" outlineLevel="0" collapsed="false">
      <c r="A2504" s="9"/>
      <c r="B2504" s="10"/>
      <c r="C2504" s="10"/>
      <c r="D2504" s="10"/>
      <c r="E2504" s="10"/>
      <c r="F2504" s="10"/>
      <c r="G2504" s="10"/>
      <c r="H2504" s="10"/>
      <c r="I2504" s="22" t="n">
        <v>3</v>
      </c>
      <c r="J2504" s="22"/>
      <c r="K2504" s="23"/>
      <c r="L2504" s="23"/>
      <c r="M2504" s="22"/>
      <c r="N2504" s="22"/>
      <c r="O2504" s="22"/>
      <c r="P2504" s="23"/>
      <c r="Q2504" s="23"/>
      <c r="R2504" s="22"/>
      <c r="S2504" s="22"/>
      <c r="T2504" s="22"/>
      <c r="U2504" s="24"/>
      <c r="V2504" s="15"/>
      <c r="W2504" s="16"/>
      <c r="X2504" s="16"/>
      <c r="Y2504" s="16"/>
    </row>
    <row r="2505" customFormat="false" ht="15.75" hidden="false" customHeight="false" outlineLevel="0" collapsed="false">
      <c r="A2505" s="9"/>
      <c r="B2505" s="10"/>
      <c r="C2505" s="10"/>
      <c r="D2505" s="10"/>
      <c r="E2505" s="10"/>
      <c r="F2505" s="10"/>
      <c r="G2505" s="10"/>
      <c r="H2505" s="10"/>
      <c r="I2505" s="25" t="n">
        <v>4</v>
      </c>
      <c r="J2505" s="25"/>
      <c r="K2505" s="26"/>
      <c r="L2505" s="26"/>
      <c r="M2505" s="25"/>
      <c r="N2505" s="25"/>
      <c r="O2505" s="25"/>
      <c r="P2505" s="26"/>
      <c r="Q2505" s="26"/>
      <c r="R2505" s="25"/>
      <c r="S2505" s="25"/>
      <c r="T2505" s="25"/>
      <c r="U2505" s="27"/>
      <c r="V2505" s="21"/>
      <c r="W2505" s="16"/>
      <c r="X2505" s="16"/>
      <c r="Y2505" s="16"/>
    </row>
    <row r="2506" customFormat="false" ht="15.75" hidden="false" customHeight="false" outlineLevel="0" collapsed="false">
      <c r="A2506" s="9"/>
      <c r="B2506" s="10"/>
      <c r="C2506" s="11"/>
      <c r="D2506" s="10"/>
      <c r="E2506" s="10"/>
      <c r="F2506" s="10"/>
      <c r="G2506" s="10"/>
      <c r="H2506" s="10"/>
      <c r="I2506" s="12" t="n">
        <v>1</v>
      </c>
      <c r="J2506" s="12"/>
      <c r="K2506" s="13"/>
      <c r="L2506" s="13"/>
      <c r="M2506" s="12"/>
      <c r="N2506" s="12"/>
      <c r="O2506" s="12"/>
      <c r="P2506" s="13"/>
      <c r="Q2506" s="13"/>
      <c r="R2506" s="12"/>
      <c r="S2506" s="12"/>
      <c r="T2506" s="12"/>
      <c r="U2506" s="14"/>
      <c r="V2506" s="15"/>
      <c r="W2506" s="16" t="n">
        <f aca="false">A2506</f>
        <v>0</v>
      </c>
      <c r="X2506" s="17" t="e">
        <f aca="false">ifs(C2506="","",X2506="",NOW(),TRUE(),X2506)</f>
        <v>#VALUE!</v>
      </c>
      <c r="Y2506" s="17" t="e">
        <f aca="false">ifs(COUNTA(K2506:U2509)&lt;44,"",Y2506="",NOW(),TRUE(),Y2506)</f>
        <v>#VALUE!</v>
      </c>
    </row>
    <row r="2507" customFormat="false" ht="15.75" hidden="false" customHeight="false" outlineLevel="0" collapsed="false">
      <c r="A2507" s="9"/>
      <c r="B2507" s="10"/>
      <c r="C2507" s="10"/>
      <c r="D2507" s="10"/>
      <c r="E2507" s="10"/>
      <c r="F2507" s="10"/>
      <c r="G2507" s="10"/>
      <c r="H2507" s="10"/>
      <c r="I2507" s="18" t="n">
        <v>2</v>
      </c>
      <c r="J2507" s="18"/>
      <c r="K2507" s="19"/>
      <c r="L2507" s="19"/>
      <c r="M2507" s="18"/>
      <c r="N2507" s="18"/>
      <c r="O2507" s="18"/>
      <c r="P2507" s="19"/>
      <c r="Q2507" s="19"/>
      <c r="R2507" s="18"/>
      <c r="S2507" s="18"/>
      <c r="T2507" s="18"/>
      <c r="U2507" s="20"/>
      <c r="V2507" s="21"/>
      <c r="W2507" s="16"/>
      <c r="X2507" s="16"/>
      <c r="Y2507" s="16"/>
    </row>
    <row r="2508" customFormat="false" ht="15.75" hidden="false" customHeight="false" outlineLevel="0" collapsed="false">
      <c r="A2508" s="9"/>
      <c r="B2508" s="10"/>
      <c r="C2508" s="10"/>
      <c r="D2508" s="10"/>
      <c r="E2508" s="10"/>
      <c r="F2508" s="10"/>
      <c r="G2508" s="10"/>
      <c r="H2508" s="10"/>
      <c r="I2508" s="22" t="n">
        <v>3</v>
      </c>
      <c r="J2508" s="22"/>
      <c r="K2508" s="23"/>
      <c r="L2508" s="23"/>
      <c r="M2508" s="22"/>
      <c r="N2508" s="22"/>
      <c r="O2508" s="22"/>
      <c r="P2508" s="23"/>
      <c r="Q2508" s="23"/>
      <c r="R2508" s="22"/>
      <c r="S2508" s="22"/>
      <c r="T2508" s="22"/>
      <c r="U2508" s="24"/>
      <c r="V2508" s="15"/>
      <c r="W2508" s="16"/>
      <c r="X2508" s="16"/>
      <c r="Y2508" s="16"/>
    </row>
    <row r="2509" customFormat="false" ht="15.75" hidden="false" customHeight="false" outlineLevel="0" collapsed="false">
      <c r="A2509" s="9"/>
      <c r="B2509" s="10"/>
      <c r="C2509" s="10"/>
      <c r="D2509" s="10"/>
      <c r="E2509" s="10"/>
      <c r="F2509" s="10"/>
      <c r="G2509" s="10"/>
      <c r="H2509" s="10"/>
      <c r="I2509" s="25" t="n">
        <v>4</v>
      </c>
      <c r="J2509" s="25"/>
      <c r="K2509" s="26"/>
      <c r="L2509" s="26"/>
      <c r="M2509" s="25"/>
      <c r="N2509" s="25"/>
      <c r="O2509" s="25"/>
      <c r="P2509" s="26"/>
      <c r="Q2509" s="26"/>
      <c r="R2509" s="25"/>
      <c r="S2509" s="25"/>
      <c r="T2509" s="25"/>
      <c r="U2509" s="27"/>
      <c r="V2509" s="21"/>
      <c r="W2509" s="16"/>
      <c r="X2509" s="16"/>
      <c r="Y2509" s="16"/>
    </row>
    <row r="2510" customFormat="false" ht="15.75" hidden="false" customHeight="false" outlineLevel="0" collapsed="false">
      <c r="A2510" s="9"/>
      <c r="B2510" s="10"/>
      <c r="C2510" s="11"/>
      <c r="D2510" s="10"/>
      <c r="E2510" s="10"/>
      <c r="F2510" s="10"/>
      <c r="G2510" s="10"/>
      <c r="H2510" s="10"/>
      <c r="I2510" s="12" t="n">
        <v>1</v>
      </c>
      <c r="J2510" s="12"/>
      <c r="K2510" s="13"/>
      <c r="L2510" s="13"/>
      <c r="M2510" s="12"/>
      <c r="N2510" s="12"/>
      <c r="O2510" s="12"/>
      <c r="P2510" s="13"/>
      <c r="Q2510" s="13"/>
      <c r="R2510" s="12"/>
      <c r="S2510" s="12"/>
      <c r="T2510" s="12"/>
      <c r="U2510" s="14"/>
      <c r="V2510" s="15"/>
      <c r="W2510" s="16" t="n">
        <f aca="false">A2510</f>
        <v>0</v>
      </c>
      <c r="X2510" s="17" t="e">
        <f aca="false">ifs(C2510="","",X2510="",NOW(),TRUE(),X2510)</f>
        <v>#VALUE!</v>
      </c>
      <c r="Y2510" s="17" t="e">
        <f aca="false">ifs(COUNTA(K2510:U2513)&lt;44,"",Y2510="",NOW(),TRUE(),Y2510)</f>
        <v>#VALUE!</v>
      </c>
    </row>
    <row r="2511" customFormat="false" ht="15.75" hidden="false" customHeight="false" outlineLevel="0" collapsed="false">
      <c r="A2511" s="9"/>
      <c r="B2511" s="10"/>
      <c r="C2511" s="10"/>
      <c r="D2511" s="10"/>
      <c r="E2511" s="10"/>
      <c r="F2511" s="10"/>
      <c r="G2511" s="10"/>
      <c r="H2511" s="10"/>
      <c r="I2511" s="18" t="n">
        <v>2</v>
      </c>
      <c r="J2511" s="18"/>
      <c r="K2511" s="19"/>
      <c r="L2511" s="19"/>
      <c r="M2511" s="18"/>
      <c r="N2511" s="18"/>
      <c r="O2511" s="18"/>
      <c r="P2511" s="19"/>
      <c r="Q2511" s="19"/>
      <c r="R2511" s="18"/>
      <c r="S2511" s="18"/>
      <c r="T2511" s="18"/>
      <c r="U2511" s="20"/>
      <c r="V2511" s="21"/>
      <c r="W2511" s="16"/>
      <c r="X2511" s="16"/>
      <c r="Y2511" s="16"/>
    </row>
    <row r="2512" customFormat="false" ht="15.75" hidden="false" customHeight="false" outlineLevel="0" collapsed="false">
      <c r="A2512" s="9"/>
      <c r="B2512" s="10"/>
      <c r="C2512" s="10"/>
      <c r="D2512" s="10"/>
      <c r="E2512" s="10"/>
      <c r="F2512" s="10"/>
      <c r="G2512" s="10"/>
      <c r="H2512" s="10"/>
      <c r="I2512" s="22" t="n">
        <v>3</v>
      </c>
      <c r="J2512" s="22"/>
      <c r="K2512" s="23"/>
      <c r="L2512" s="23"/>
      <c r="M2512" s="22"/>
      <c r="N2512" s="22"/>
      <c r="O2512" s="22"/>
      <c r="P2512" s="23"/>
      <c r="Q2512" s="23"/>
      <c r="R2512" s="22"/>
      <c r="S2512" s="22"/>
      <c r="T2512" s="22"/>
      <c r="U2512" s="24"/>
      <c r="V2512" s="15"/>
      <c r="W2512" s="16"/>
      <c r="X2512" s="16"/>
      <c r="Y2512" s="16"/>
    </row>
    <row r="2513" customFormat="false" ht="15.75" hidden="false" customHeight="false" outlineLevel="0" collapsed="false">
      <c r="A2513" s="9"/>
      <c r="B2513" s="10"/>
      <c r="C2513" s="10"/>
      <c r="D2513" s="10"/>
      <c r="E2513" s="10"/>
      <c r="F2513" s="10"/>
      <c r="G2513" s="10"/>
      <c r="H2513" s="10"/>
      <c r="I2513" s="25" t="n">
        <v>4</v>
      </c>
      <c r="J2513" s="25"/>
      <c r="K2513" s="26"/>
      <c r="L2513" s="26"/>
      <c r="M2513" s="25"/>
      <c r="N2513" s="25"/>
      <c r="O2513" s="25"/>
      <c r="P2513" s="26"/>
      <c r="Q2513" s="26"/>
      <c r="R2513" s="25"/>
      <c r="S2513" s="25"/>
      <c r="T2513" s="25"/>
      <c r="U2513" s="27"/>
      <c r="V2513" s="21"/>
      <c r="W2513" s="16"/>
      <c r="X2513" s="16"/>
      <c r="Y2513" s="16"/>
    </row>
    <row r="2514" customFormat="false" ht="15.75" hidden="false" customHeight="false" outlineLevel="0" collapsed="false">
      <c r="A2514" s="9"/>
      <c r="B2514" s="10"/>
      <c r="C2514" s="11"/>
      <c r="D2514" s="10"/>
      <c r="E2514" s="10"/>
      <c r="F2514" s="10"/>
      <c r="G2514" s="10"/>
      <c r="H2514" s="10"/>
      <c r="I2514" s="12" t="n">
        <v>1</v>
      </c>
      <c r="J2514" s="12"/>
      <c r="K2514" s="13"/>
      <c r="L2514" s="13"/>
      <c r="M2514" s="12"/>
      <c r="N2514" s="12"/>
      <c r="O2514" s="12"/>
      <c r="P2514" s="13"/>
      <c r="Q2514" s="13"/>
      <c r="R2514" s="12"/>
      <c r="S2514" s="12"/>
      <c r="T2514" s="12"/>
      <c r="U2514" s="14"/>
      <c r="V2514" s="15"/>
      <c r="W2514" s="16" t="n">
        <f aca="false">A2514</f>
        <v>0</v>
      </c>
      <c r="X2514" s="17" t="e">
        <f aca="false">ifs(C2514="","",X2514="",NOW(),TRUE(),X2514)</f>
        <v>#VALUE!</v>
      </c>
      <c r="Y2514" s="17" t="e">
        <f aca="false">ifs(COUNTA(K2514:U2517)&lt;44,"",Y2514="",NOW(),TRUE(),Y2514)</f>
        <v>#VALUE!</v>
      </c>
    </row>
    <row r="2515" customFormat="false" ht="15.75" hidden="false" customHeight="false" outlineLevel="0" collapsed="false">
      <c r="A2515" s="9"/>
      <c r="B2515" s="10"/>
      <c r="C2515" s="10"/>
      <c r="D2515" s="10"/>
      <c r="E2515" s="10"/>
      <c r="F2515" s="10"/>
      <c r="G2515" s="10"/>
      <c r="H2515" s="10"/>
      <c r="I2515" s="18" t="n">
        <v>2</v>
      </c>
      <c r="J2515" s="18"/>
      <c r="K2515" s="19"/>
      <c r="L2515" s="19"/>
      <c r="M2515" s="18"/>
      <c r="N2515" s="18"/>
      <c r="O2515" s="18"/>
      <c r="P2515" s="19"/>
      <c r="Q2515" s="19"/>
      <c r="R2515" s="18"/>
      <c r="S2515" s="18"/>
      <c r="T2515" s="18"/>
      <c r="U2515" s="20"/>
      <c r="V2515" s="21"/>
      <c r="W2515" s="16"/>
      <c r="X2515" s="16"/>
      <c r="Y2515" s="16"/>
    </row>
    <row r="2516" customFormat="false" ht="15.75" hidden="false" customHeight="false" outlineLevel="0" collapsed="false">
      <c r="A2516" s="9"/>
      <c r="B2516" s="10"/>
      <c r="C2516" s="10"/>
      <c r="D2516" s="10"/>
      <c r="E2516" s="10"/>
      <c r="F2516" s="10"/>
      <c r="G2516" s="10"/>
      <c r="H2516" s="10"/>
      <c r="I2516" s="22" t="n">
        <v>3</v>
      </c>
      <c r="J2516" s="22"/>
      <c r="K2516" s="23"/>
      <c r="L2516" s="23"/>
      <c r="M2516" s="22"/>
      <c r="N2516" s="22"/>
      <c r="O2516" s="22"/>
      <c r="P2516" s="23"/>
      <c r="Q2516" s="23"/>
      <c r="R2516" s="22"/>
      <c r="S2516" s="22"/>
      <c r="T2516" s="22"/>
      <c r="U2516" s="24"/>
      <c r="V2516" s="15"/>
      <c r="W2516" s="16"/>
      <c r="X2516" s="16"/>
      <c r="Y2516" s="16"/>
    </row>
    <row r="2517" customFormat="false" ht="15.75" hidden="false" customHeight="false" outlineLevel="0" collapsed="false">
      <c r="A2517" s="9"/>
      <c r="B2517" s="10"/>
      <c r="C2517" s="10"/>
      <c r="D2517" s="10"/>
      <c r="E2517" s="10"/>
      <c r="F2517" s="10"/>
      <c r="G2517" s="10"/>
      <c r="H2517" s="10"/>
      <c r="I2517" s="25" t="n">
        <v>4</v>
      </c>
      <c r="J2517" s="25"/>
      <c r="K2517" s="26"/>
      <c r="L2517" s="26"/>
      <c r="M2517" s="25"/>
      <c r="N2517" s="25"/>
      <c r="O2517" s="25"/>
      <c r="P2517" s="26"/>
      <c r="Q2517" s="26"/>
      <c r="R2517" s="25"/>
      <c r="S2517" s="25"/>
      <c r="T2517" s="25"/>
      <c r="U2517" s="27"/>
      <c r="V2517" s="21"/>
      <c r="W2517" s="16"/>
      <c r="X2517" s="16"/>
      <c r="Y2517" s="16"/>
    </row>
    <row r="2518" customFormat="false" ht="15.75" hidden="false" customHeight="false" outlineLevel="0" collapsed="false">
      <c r="A2518" s="9"/>
      <c r="B2518" s="10"/>
      <c r="C2518" s="11"/>
      <c r="D2518" s="10"/>
      <c r="E2518" s="10"/>
      <c r="F2518" s="10"/>
      <c r="G2518" s="10"/>
      <c r="H2518" s="10"/>
      <c r="I2518" s="12" t="n">
        <v>1</v>
      </c>
      <c r="J2518" s="12"/>
      <c r="K2518" s="13"/>
      <c r="L2518" s="13"/>
      <c r="M2518" s="12"/>
      <c r="N2518" s="12"/>
      <c r="O2518" s="12"/>
      <c r="P2518" s="13"/>
      <c r="Q2518" s="13"/>
      <c r="R2518" s="12"/>
      <c r="S2518" s="12"/>
      <c r="T2518" s="12"/>
      <c r="U2518" s="14"/>
      <c r="V2518" s="15"/>
      <c r="W2518" s="16" t="n">
        <f aca="false">A2518</f>
        <v>0</v>
      </c>
      <c r="X2518" s="17" t="e">
        <f aca="false">ifs(C2518="","",X2518="",NOW(),TRUE(),X2518)</f>
        <v>#VALUE!</v>
      </c>
      <c r="Y2518" s="17" t="e">
        <f aca="false">ifs(COUNTA(K2518:U2521)&lt;44,"",Y2518="",NOW(),TRUE(),Y2518)</f>
        <v>#VALUE!</v>
      </c>
    </row>
    <row r="2519" customFormat="false" ht="15.75" hidden="false" customHeight="false" outlineLevel="0" collapsed="false">
      <c r="A2519" s="9"/>
      <c r="B2519" s="10"/>
      <c r="C2519" s="10"/>
      <c r="D2519" s="10"/>
      <c r="E2519" s="10"/>
      <c r="F2519" s="10"/>
      <c r="G2519" s="10"/>
      <c r="H2519" s="10"/>
      <c r="I2519" s="18" t="n">
        <v>2</v>
      </c>
      <c r="J2519" s="18"/>
      <c r="K2519" s="19"/>
      <c r="L2519" s="19"/>
      <c r="M2519" s="18"/>
      <c r="N2519" s="18"/>
      <c r="O2519" s="18"/>
      <c r="P2519" s="19"/>
      <c r="Q2519" s="19"/>
      <c r="R2519" s="18"/>
      <c r="S2519" s="18"/>
      <c r="T2519" s="18"/>
      <c r="U2519" s="20"/>
      <c r="V2519" s="21"/>
      <c r="W2519" s="16"/>
      <c r="X2519" s="16"/>
      <c r="Y2519" s="16"/>
    </row>
    <row r="2520" customFormat="false" ht="15.75" hidden="false" customHeight="false" outlineLevel="0" collapsed="false">
      <c r="A2520" s="9"/>
      <c r="B2520" s="10"/>
      <c r="C2520" s="10"/>
      <c r="D2520" s="10"/>
      <c r="E2520" s="10"/>
      <c r="F2520" s="10"/>
      <c r="G2520" s="10"/>
      <c r="H2520" s="10"/>
      <c r="I2520" s="22" t="n">
        <v>3</v>
      </c>
      <c r="J2520" s="22"/>
      <c r="K2520" s="23"/>
      <c r="L2520" s="23"/>
      <c r="M2520" s="22"/>
      <c r="N2520" s="22"/>
      <c r="O2520" s="22"/>
      <c r="P2520" s="23"/>
      <c r="Q2520" s="23"/>
      <c r="R2520" s="22"/>
      <c r="S2520" s="22"/>
      <c r="T2520" s="22"/>
      <c r="U2520" s="24"/>
      <c r="V2520" s="15"/>
      <c r="W2520" s="16"/>
      <c r="X2520" s="16"/>
      <c r="Y2520" s="16"/>
    </row>
    <row r="2521" customFormat="false" ht="15.75" hidden="false" customHeight="false" outlineLevel="0" collapsed="false">
      <c r="A2521" s="9"/>
      <c r="B2521" s="10"/>
      <c r="C2521" s="10"/>
      <c r="D2521" s="10"/>
      <c r="E2521" s="10"/>
      <c r="F2521" s="10"/>
      <c r="G2521" s="10"/>
      <c r="H2521" s="10"/>
      <c r="I2521" s="25" t="n">
        <v>4</v>
      </c>
      <c r="J2521" s="25"/>
      <c r="K2521" s="26"/>
      <c r="L2521" s="26"/>
      <c r="M2521" s="25"/>
      <c r="N2521" s="25"/>
      <c r="O2521" s="25"/>
      <c r="P2521" s="26"/>
      <c r="Q2521" s="26"/>
      <c r="R2521" s="25"/>
      <c r="S2521" s="25"/>
      <c r="T2521" s="25"/>
      <c r="U2521" s="27"/>
      <c r="V2521" s="21"/>
      <c r="W2521" s="16"/>
      <c r="X2521" s="16"/>
      <c r="Y2521" s="16"/>
    </row>
    <row r="2522" customFormat="false" ht="15.75" hidden="false" customHeight="false" outlineLevel="0" collapsed="false">
      <c r="A2522" s="9"/>
      <c r="B2522" s="10"/>
      <c r="C2522" s="11"/>
      <c r="D2522" s="10"/>
      <c r="E2522" s="10"/>
      <c r="F2522" s="10"/>
      <c r="G2522" s="10"/>
      <c r="H2522" s="10"/>
      <c r="I2522" s="12" t="n">
        <v>1</v>
      </c>
      <c r="J2522" s="12"/>
      <c r="K2522" s="13"/>
      <c r="L2522" s="13"/>
      <c r="M2522" s="12"/>
      <c r="N2522" s="12"/>
      <c r="O2522" s="12"/>
      <c r="P2522" s="13"/>
      <c r="Q2522" s="13"/>
      <c r="R2522" s="12"/>
      <c r="S2522" s="12"/>
      <c r="T2522" s="12"/>
      <c r="U2522" s="14"/>
      <c r="V2522" s="15"/>
      <c r="W2522" s="16" t="n">
        <f aca="false">A2522</f>
        <v>0</v>
      </c>
      <c r="X2522" s="17" t="e">
        <f aca="false">ifs(C2522="","",X2522="",NOW(),TRUE(),X2522)</f>
        <v>#VALUE!</v>
      </c>
      <c r="Y2522" s="17" t="e">
        <f aca="false">ifs(COUNTA(K2522:U2525)&lt;44,"",Y2522="",NOW(),TRUE(),Y2522)</f>
        <v>#VALUE!</v>
      </c>
    </row>
    <row r="2523" customFormat="false" ht="15.75" hidden="false" customHeight="false" outlineLevel="0" collapsed="false">
      <c r="A2523" s="9"/>
      <c r="B2523" s="10"/>
      <c r="C2523" s="10"/>
      <c r="D2523" s="10"/>
      <c r="E2523" s="10"/>
      <c r="F2523" s="10"/>
      <c r="G2523" s="10"/>
      <c r="H2523" s="10"/>
      <c r="I2523" s="18" t="n">
        <v>2</v>
      </c>
      <c r="J2523" s="18"/>
      <c r="K2523" s="19"/>
      <c r="L2523" s="19"/>
      <c r="M2523" s="18"/>
      <c r="N2523" s="18"/>
      <c r="O2523" s="18"/>
      <c r="P2523" s="19"/>
      <c r="Q2523" s="19"/>
      <c r="R2523" s="18"/>
      <c r="S2523" s="18"/>
      <c r="T2523" s="18"/>
      <c r="U2523" s="20"/>
      <c r="V2523" s="21"/>
      <c r="W2523" s="16"/>
      <c r="X2523" s="16"/>
      <c r="Y2523" s="16"/>
    </row>
    <row r="2524" customFormat="false" ht="15.75" hidden="false" customHeight="false" outlineLevel="0" collapsed="false">
      <c r="A2524" s="9"/>
      <c r="B2524" s="10"/>
      <c r="C2524" s="10"/>
      <c r="D2524" s="10"/>
      <c r="E2524" s="10"/>
      <c r="F2524" s="10"/>
      <c r="G2524" s="10"/>
      <c r="H2524" s="10"/>
      <c r="I2524" s="22" t="n">
        <v>3</v>
      </c>
      <c r="J2524" s="22"/>
      <c r="K2524" s="23"/>
      <c r="L2524" s="23"/>
      <c r="M2524" s="22"/>
      <c r="N2524" s="22"/>
      <c r="O2524" s="22"/>
      <c r="P2524" s="23"/>
      <c r="Q2524" s="23"/>
      <c r="R2524" s="22"/>
      <c r="S2524" s="22"/>
      <c r="T2524" s="22"/>
      <c r="U2524" s="24"/>
      <c r="V2524" s="15"/>
      <c r="W2524" s="16"/>
      <c r="X2524" s="16"/>
      <c r="Y2524" s="16"/>
    </row>
    <row r="2525" customFormat="false" ht="15.75" hidden="false" customHeight="false" outlineLevel="0" collapsed="false">
      <c r="A2525" s="9"/>
      <c r="B2525" s="10"/>
      <c r="C2525" s="10"/>
      <c r="D2525" s="10"/>
      <c r="E2525" s="10"/>
      <c r="F2525" s="10"/>
      <c r="G2525" s="10"/>
      <c r="H2525" s="10"/>
      <c r="I2525" s="25" t="n">
        <v>4</v>
      </c>
      <c r="J2525" s="25"/>
      <c r="K2525" s="26"/>
      <c r="L2525" s="26"/>
      <c r="M2525" s="25"/>
      <c r="N2525" s="25"/>
      <c r="O2525" s="25"/>
      <c r="P2525" s="26"/>
      <c r="Q2525" s="26"/>
      <c r="R2525" s="25"/>
      <c r="S2525" s="25"/>
      <c r="T2525" s="25"/>
      <c r="U2525" s="27"/>
      <c r="V2525" s="21"/>
      <c r="W2525" s="16"/>
      <c r="X2525" s="16"/>
      <c r="Y2525" s="16"/>
    </row>
    <row r="2526" customFormat="false" ht="15.75" hidden="false" customHeight="false" outlineLevel="0" collapsed="false">
      <c r="A2526" s="9"/>
      <c r="B2526" s="10"/>
      <c r="C2526" s="11"/>
      <c r="D2526" s="10"/>
      <c r="E2526" s="10"/>
      <c r="F2526" s="10"/>
      <c r="G2526" s="10"/>
      <c r="H2526" s="10"/>
      <c r="I2526" s="12" t="n">
        <v>1</v>
      </c>
      <c r="J2526" s="12"/>
      <c r="K2526" s="13"/>
      <c r="L2526" s="13"/>
      <c r="M2526" s="12"/>
      <c r="N2526" s="12"/>
      <c r="O2526" s="12"/>
      <c r="P2526" s="13"/>
      <c r="Q2526" s="13"/>
      <c r="R2526" s="12"/>
      <c r="S2526" s="12"/>
      <c r="T2526" s="12"/>
      <c r="U2526" s="14"/>
      <c r="V2526" s="15"/>
      <c r="W2526" s="16" t="n">
        <f aca="false">A2526</f>
        <v>0</v>
      </c>
      <c r="X2526" s="17" t="e">
        <f aca="false">ifs(C2526="","",X2526="",NOW(),TRUE(),X2526)</f>
        <v>#VALUE!</v>
      </c>
      <c r="Y2526" s="17" t="e">
        <f aca="false">ifs(COUNTA(K2526:U2529)&lt;44,"",Y2526="",NOW(),TRUE(),Y2526)</f>
        <v>#VALUE!</v>
      </c>
    </row>
    <row r="2527" customFormat="false" ht="15.75" hidden="false" customHeight="false" outlineLevel="0" collapsed="false">
      <c r="A2527" s="9"/>
      <c r="B2527" s="10"/>
      <c r="C2527" s="10"/>
      <c r="D2527" s="10"/>
      <c r="E2527" s="10"/>
      <c r="F2527" s="10"/>
      <c r="G2527" s="10"/>
      <c r="H2527" s="10"/>
      <c r="I2527" s="18" t="n">
        <v>2</v>
      </c>
      <c r="J2527" s="18"/>
      <c r="K2527" s="19"/>
      <c r="L2527" s="19"/>
      <c r="M2527" s="18"/>
      <c r="N2527" s="18"/>
      <c r="O2527" s="18"/>
      <c r="P2527" s="19"/>
      <c r="Q2527" s="19"/>
      <c r="R2527" s="18"/>
      <c r="S2527" s="18"/>
      <c r="T2527" s="18"/>
      <c r="U2527" s="20"/>
      <c r="V2527" s="21"/>
      <c r="W2527" s="16"/>
      <c r="X2527" s="16"/>
      <c r="Y2527" s="16"/>
    </row>
    <row r="2528" customFormat="false" ht="15.75" hidden="false" customHeight="false" outlineLevel="0" collapsed="false">
      <c r="A2528" s="9"/>
      <c r="B2528" s="10"/>
      <c r="C2528" s="10"/>
      <c r="D2528" s="10"/>
      <c r="E2528" s="10"/>
      <c r="F2528" s="10"/>
      <c r="G2528" s="10"/>
      <c r="H2528" s="10"/>
      <c r="I2528" s="22" t="n">
        <v>3</v>
      </c>
      <c r="J2528" s="22"/>
      <c r="K2528" s="23"/>
      <c r="L2528" s="23"/>
      <c r="M2528" s="22"/>
      <c r="N2528" s="22"/>
      <c r="O2528" s="22"/>
      <c r="P2528" s="23"/>
      <c r="Q2528" s="23"/>
      <c r="R2528" s="22"/>
      <c r="S2528" s="22"/>
      <c r="T2528" s="22"/>
      <c r="U2528" s="24"/>
      <c r="V2528" s="15"/>
      <c r="W2528" s="16"/>
      <c r="X2528" s="16"/>
      <c r="Y2528" s="16"/>
    </row>
    <row r="2529" customFormat="false" ht="15.75" hidden="false" customHeight="false" outlineLevel="0" collapsed="false">
      <c r="A2529" s="9"/>
      <c r="B2529" s="10"/>
      <c r="C2529" s="10"/>
      <c r="D2529" s="10"/>
      <c r="E2529" s="10"/>
      <c r="F2529" s="10"/>
      <c r="G2529" s="10"/>
      <c r="H2529" s="10"/>
      <c r="I2529" s="25" t="n">
        <v>4</v>
      </c>
      <c r="J2529" s="25"/>
      <c r="K2529" s="26"/>
      <c r="L2529" s="26"/>
      <c r="M2529" s="25"/>
      <c r="N2529" s="25"/>
      <c r="O2529" s="25"/>
      <c r="P2529" s="26"/>
      <c r="Q2529" s="26"/>
      <c r="R2529" s="25"/>
      <c r="S2529" s="25"/>
      <c r="T2529" s="25"/>
      <c r="U2529" s="27"/>
      <c r="V2529" s="21"/>
      <c r="W2529" s="16"/>
      <c r="X2529" s="16"/>
      <c r="Y2529" s="16"/>
    </row>
    <row r="2530" customFormat="false" ht="15.75" hidden="false" customHeight="false" outlineLevel="0" collapsed="false">
      <c r="A2530" s="9"/>
      <c r="B2530" s="10"/>
      <c r="C2530" s="11"/>
      <c r="D2530" s="10"/>
      <c r="E2530" s="10"/>
      <c r="F2530" s="10"/>
      <c r="G2530" s="10"/>
      <c r="H2530" s="10"/>
      <c r="I2530" s="12" t="n">
        <v>1</v>
      </c>
      <c r="J2530" s="12"/>
      <c r="K2530" s="13"/>
      <c r="L2530" s="13"/>
      <c r="M2530" s="12"/>
      <c r="N2530" s="12"/>
      <c r="O2530" s="12"/>
      <c r="P2530" s="13"/>
      <c r="Q2530" s="13"/>
      <c r="R2530" s="12"/>
      <c r="S2530" s="12"/>
      <c r="T2530" s="12"/>
      <c r="U2530" s="14"/>
      <c r="V2530" s="15"/>
      <c r="W2530" s="16" t="n">
        <f aca="false">A2530</f>
        <v>0</v>
      </c>
      <c r="X2530" s="17" t="e">
        <f aca="false">ifs(C2530="","",X2530="",NOW(),TRUE(),X2530)</f>
        <v>#VALUE!</v>
      </c>
      <c r="Y2530" s="17" t="e">
        <f aca="false">ifs(COUNTA(K2530:U2533)&lt;44,"",Y2530="",NOW(),TRUE(),Y2530)</f>
        <v>#VALUE!</v>
      </c>
    </row>
    <row r="2531" customFormat="false" ht="15.75" hidden="false" customHeight="false" outlineLevel="0" collapsed="false">
      <c r="A2531" s="9"/>
      <c r="B2531" s="10"/>
      <c r="C2531" s="10"/>
      <c r="D2531" s="10"/>
      <c r="E2531" s="10"/>
      <c r="F2531" s="10"/>
      <c r="G2531" s="10"/>
      <c r="H2531" s="10"/>
      <c r="I2531" s="18" t="n">
        <v>2</v>
      </c>
      <c r="J2531" s="18"/>
      <c r="K2531" s="19"/>
      <c r="L2531" s="19"/>
      <c r="M2531" s="18"/>
      <c r="N2531" s="18"/>
      <c r="O2531" s="18"/>
      <c r="P2531" s="19"/>
      <c r="Q2531" s="19"/>
      <c r="R2531" s="18"/>
      <c r="S2531" s="18"/>
      <c r="T2531" s="18"/>
      <c r="U2531" s="20"/>
      <c r="V2531" s="21"/>
      <c r="W2531" s="16"/>
      <c r="X2531" s="16"/>
      <c r="Y2531" s="16"/>
    </row>
    <row r="2532" customFormat="false" ht="15.75" hidden="false" customHeight="false" outlineLevel="0" collapsed="false">
      <c r="A2532" s="9"/>
      <c r="B2532" s="10"/>
      <c r="C2532" s="10"/>
      <c r="D2532" s="10"/>
      <c r="E2532" s="10"/>
      <c r="F2532" s="10"/>
      <c r="G2532" s="10"/>
      <c r="H2532" s="10"/>
      <c r="I2532" s="22" t="n">
        <v>3</v>
      </c>
      <c r="J2532" s="22"/>
      <c r="K2532" s="23"/>
      <c r="L2532" s="23"/>
      <c r="M2532" s="22"/>
      <c r="N2532" s="22"/>
      <c r="O2532" s="22"/>
      <c r="P2532" s="23"/>
      <c r="Q2532" s="23"/>
      <c r="R2532" s="22"/>
      <c r="S2532" s="22"/>
      <c r="T2532" s="22"/>
      <c r="U2532" s="24"/>
      <c r="V2532" s="15"/>
      <c r="W2532" s="16"/>
      <c r="X2532" s="16"/>
      <c r="Y2532" s="16"/>
    </row>
    <row r="2533" customFormat="false" ht="15.75" hidden="false" customHeight="false" outlineLevel="0" collapsed="false">
      <c r="A2533" s="9"/>
      <c r="B2533" s="10"/>
      <c r="C2533" s="10"/>
      <c r="D2533" s="10"/>
      <c r="E2533" s="10"/>
      <c r="F2533" s="10"/>
      <c r="G2533" s="10"/>
      <c r="H2533" s="10"/>
      <c r="I2533" s="25" t="n">
        <v>4</v>
      </c>
      <c r="J2533" s="25"/>
      <c r="K2533" s="26"/>
      <c r="L2533" s="26"/>
      <c r="M2533" s="25"/>
      <c r="N2533" s="25"/>
      <c r="O2533" s="25"/>
      <c r="P2533" s="26"/>
      <c r="Q2533" s="26"/>
      <c r="R2533" s="25"/>
      <c r="S2533" s="25"/>
      <c r="T2533" s="25"/>
      <c r="U2533" s="27"/>
      <c r="V2533" s="21"/>
      <c r="W2533" s="16"/>
      <c r="X2533" s="16"/>
      <c r="Y2533" s="16"/>
    </row>
    <row r="2534" customFormat="false" ht="15.75" hidden="false" customHeight="false" outlineLevel="0" collapsed="false">
      <c r="A2534" s="9"/>
      <c r="B2534" s="10"/>
      <c r="C2534" s="11"/>
      <c r="D2534" s="10"/>
      <c r="E2534" s="10"/>
      <c r="F2534" s="10"/>
      <c r="G2534" s="10"/>
      <c r="H2534" s="10"/>
      <c r="I2534" s="12" t="n">
        <v>1</v>
      </c>
      <c r="J2534" s="12"/>
      <c r="K2534" s="13"/>
      <c r="L2534" s="13"/>
      <c r="M2534" s="12"/>
      <c r="N2534" s="12"/>
      <c r="O2534" s="12"/>
      <c r="P2534" s="13"/>
      <c r="Q2534" s="13"/>
      <c r="R2534" s="12"/>
      <c r="S2534" s="12"/>
      <c r="T2534" s="12"/>
      <c r="U2534" s="14"/>
      <c r="V2534" s="15"/>
      <c r="W2534" s="16" t="n">
        <f aca="false">A2534</f>
        <v>0</v>
      </c>
      <c r="X2534" s="17" t="e">
        <f aca="false">ifs(C2534="","",X2534="",NOW(),TRUE(),X2534)</f>
        <v>#VALUE!</v>
      </c>
      <c r="Y2534" s="17" t="e">
        <f aca="false">ifs(COUNTA(K2534:U2537)&lt;44,"",Y2534="",NOW(),TRUE(),Y2534)</f>
        <v>#VALUE!</v>
      </c>
    </row>
    <row r="2535" customFormat="false" ht="15.75" hidden="false" customHeight="false" outlineLevel="0" collapsed="false">
      <c r="A2535" s="9"/>
      <c r="B2535" s="10"/>
      <c r="C2535" s="10"/>
      <c r="D2535" s="10"/>
      <c r="E2535" s="10"/>
      <c r="F2535" s="10"/>
      <c r="G2535" s="10"/>
      <c r="H2535" s="10"/>
      <c r="I2535" s="18" t="n">
        <v>2</v>
      </c>
      <c r="J2535" s="18"/>
      <c r="K2535" s="19"/>
      <c r="L2535" s="19"/>
      <c r="M2535" s="18"/>
      <c r="N2535" s="18"/>
      <c r="O2535" s="18"/>
      <c r="P2535" s="19"/>
      <c r="Q2535" s="19"/>
      <c r="R2535" s="18"/>
      <c r="S2535" s="18"/>
      <c r="T2535" s="18"/>
      <c r="U2535" s="20"/>
      <c r="V2535" s="21"/>
      <c r="W2535" s="16"/>
      <c r="X2535" s="16"/>
      <c r="Y2535" s="16"/>
    </row>
    <row r="2536" customFormat="false" ht="15.75" hidden="false" customHeight="false" outlineLevel="0" collapsed="false">
      <c r="A2536" s="9"/>
      <c r="B2536" s="10"/>
      <c r="C2536" s="10"/>
      <c r="D2536" s="10"/>
      <c r="E2536" s="10"/>
      <c r="F2536" s="10"/>
      <c r="G2536" s="10"/>
      <c r="H2536" s="10"/>
      <c r="I2536" s="22" t="n">
        <v>3</v>
      </c>
      <c r="J2536" s="22"/>
      <c r="K2536" s="23"/>
      <c r="L2536" s="23"/>
      <c r="M2536" s="22"/>
      <c r="N2536" s="22"/>
      <c r="O2536" s="22"/>
      <c r="P2536" s="23"/>
      <c r="Q2536" s="23"/>
      <c r="R2536" s="22"/>
      <c r="S2536" s="22"/>
      <c r="T2536" s="22"/>
      <c r="U2536" s="24"/>
      <c r="V2536" s="15"/>
      <c r="W2536" s="16"/>
      <c r="X2536" s="16"/>
      <c r="Y2536" s="16"/>
    </row>
    <row r="2537" customFormat="false" ht="15.75" hidden="false" customHeight="false" outlineLevel="0" collapsed="false">
      <c r="A2537" s="9"/>
      <c r="B2537" s="10"/>
      <c r="C2537" s="10"/>
      <c r="D2537" s="10"/>
      <c r="E2537" s="10"/>
      <c r="F2537" s="10"/>
      <c r="G2537" s="10"/>
      <c r="H2537" s="10"/>
      <c r="I2537" s="25" t="n">
        <v>4</v>
      </c>
      <c r="J2537" s="25"/>
      <c r="K2537" s="26"/>
      <c r="L2537" s="26"/>
      <c r="M2537" s="25"/>
      <c r="N2537" s="25"/>
      <c r="O2537" s="25"/>
      <c r="P2537" s="26"/>
      <c r="Q2537" s="26"/>
      <c r="R2537" s="25"/>
      <c r="S2537" s="25"/>
      <c r="T2537" s="25"/>
      <c r="U2537" s="27"/>
      <c r="V2537" s="21"/>
      <c r="W2537" s="16"/>
      <c r="X2537" s="16"/>
      <c r="Y2537" s="16"/>
    </row>
    <row r="2538" customFormat="false" ht="15.75" hidden="false" customHeight="false" outlineLevel="0" collapsed="false">
      <c r="A2538" s="9"/>
      <c r="B2538" s="10"/>
      <c r="C2538" s="11"/>
      <c r="D2538" s="10"/>
      <c r="E2538" s="10"/>
      <c r="F2538" s="10"/>
      <c r="G2538" s="10"/>
      <c r="H2538" s="10"/>
      <c r="I2538" s="12" t="n">
        <v>1</v>
      </c>
      <c r="J2538" s="12"/>
      <c r="K2538" s="13"/>
      <c r="L2538" s="13"/>
      <c r="M2538" s="12"/>
      <c r="N2538" s="12"/>
      <c r="O2538" s="12"/>
      <c r="P2538" s="13"/>
      <c r="Q2538" s="13"/>
      <c r="R2538" s="12"/>
      <c r="S2538" s="12"/>
      <c r="T2538" s="12"/>
      <c r="U2538" s="14"/>
      <c r="V2538" s="15"/>
      <c r="W2538" s="16" t="n">
        <f aca="false">A2538</f>
        <v>0</v>
      </c>
      <c r="X2538" s="17" t="e">
        <f aca="false">ifs(C2538="","",X2538="",NOW(),TRUE(),X2538)</f>
        <v>#VALUE!</v>
      </c>
      <c r="Y2538" s="17" t="e">
        <f aca="false">ifs(COUNTA(K2538:U2541)&lt;44,"",Y2538="",NOW(),TRUE(),Y2538)</f>
        <v>#VALUE!</v>
      </c>
    </row>
    <row r="2539" customFormat="false" ht="15.75" hidden="false" customHeight="false" outlineLevel="0" collapsed="false">
      <c r="A2539" s="9"/>
      <c r="B2539" s="10"/>
      <c r="C2539" s="10"/>
      <c r="D2539" s="10"/>
      <c r="E2539" s="10"/>
      <c r="F2539" s="10"/>
      <c r="G2539" s="10"/>
      <c r="H2539" s="10"/>
      <c r="I2539" s="18" t="n">
        <v>2</v>
      </c>
      <c r="J2539" s="18"/>
      <c r="K2539" s="19"/>
      <c r="L2539" s="19"/>
      <c r="M2539" s="18"/>
      <c r="N2539" s="18"/>
      <c r="O2539" s="18"/>
      <c r="P2539" s="19"/>
      <c r="Q2539" s="19"/>
      <c r="R2539" s="18"/>
      <c r="S2539" s="18"/>
      <c r="T2539" s="18"/>
      <c r="U2539" s="20"/>
      <c r="V2539" s="21"/>
      <c r="W2539" s="16"/>
      <c r="X2539" s="16"/>
      <c r="Y2539" s="16"/>
    </row>
    <row r="2540" customFormat="false" ht="15.75" hidden="false" customHeight="false" outlineLevel="0" collapsed="false">
      <c r="A2540" s="9"/>
      <c r="B2540" s="10"/>
      <c r="C2540" s="10"/>
      <c r="D2540" s="10"/>
      <c r="E2540" s="10"/>
      <c r="F2540" s="10"/>
      <c r="G2540" s="10"/>
      <c r="H2540" s="10"/>
      <c r="I2540" s="22" t="n">
        <v>3</v>
      </c>
      <c r="J2540" s="22"/>
      <c r="K2540" s="23"/>
      <c r="L2540" s="23"/>
      <c r="M2540" s="22"/>
      <c r="N2540" s="22"/>
      <c r="O2540" s="22"/>
      <c r="P2540" s="23"/>
      <c r="Q2540" s="23"/>
      <c r="R2540" s="22"/>
      <c r="S2540" s="22"/>
      <c r="T2540" s="22"/>
      <c r="U2540" s="24"/>
      <c r="V2540" s="15"/>
      <c r="W2540" s="16"/>
      <c r="X2540" s="16"/>
      <c r="Y2540" s="16"/>
    </row>
    <row r="2541" customFormat="false" ht="15.75" hidden="false" customHeight="false" outlineLevel="0" collapsed="false">
      <c r="A2541" s="9"/>
      <c r="B2541" s="10"/>
      <c r="C2541" s="10"/>
      <c r="D2541" s="10"/>
      <c r="E2541" s="10"/>
      <c r="F2541" s="10"/>
      <c r="G2541" s="10"/>
      <c r="H2541" s="10"/>
      <c r="I2541" s="25" t="n">
        <v>4</v>
      </c>
      <c r="J2541" s="25"/>
      <c r="K2541" s="26"/>
      <c r="L2541" s="26"/>
      <c r="M2541" s="25"/>
      <c r="N2541" s="25"/>
      <c r="O2541" s="25"/>
      <c r="P2541" s="26"/>
      <c r="Q2541" s="26"/>
      <c r="R2541" s="25"/>
      <c r="S2541" s="25"/>
      <c r="T2541" s="25"/>
      <c r="U2541" s="27"/>
      <c r="V2541" s="21"/>
      <c r="W2541" s="16"/>
      <c r="X2541" s="16"/>
      <c r="Y2541" s="16"/>
    </row>
    <row r="2542" customFormat="false" ht="15.75" hidden="false" customHeight="false" outlineLevel="0" collapsed="false">
      <c r="A2542" s="9"/>
      <c r="B2542" s="10"/>
      <c r="C2542" s="11"/>
      <c r="D2542" s="10"/>
      <c r="E2542" s="10"/>
      <c r="F2542" s="10"/>
      <c r="G2542" s="10"/>
      <c r="H2542" s="10"/>
      <c r="I2542" s="12" t="n">
        <v>1</v>
      </c>
      <c r="J2542" s="12"/>
      <c r="K2542" s="13"/>
      <c r="L2542" s="13"/>
      <c r="M2542" s="12"/>
      <c r="N2542" s="12"/>
      <c r="O2542" s="12"/>
      <c r="P2542" s="13"/>
      <c r="Q2542" s="13"/>
      <c r="R2542" s="12"/>
      <c r="S2542" s="12"/>
      <c r="T2542" s="12"/>
      <c r="U2542" s="14"/>
      <c r="V2542" s="15"/>
      <c r="W2542" s="16" t="n">
        <f aca="false">A2542</f>
        <v>0</v>
      </c>
      <c r="X2542" s="17" t="e">
        <f aca="false">ifs(C2542="","",X2542="",NOW(),TRUE(),X2542)</f>
        <v>#VALUE!</v>
      </c>
      <c r="Y2542" s="17" t="e">
        <f aca="false">ifs(COUNTA(K2542:U2545)&lt;44,"",Y2542="",NOW(),TRUE(),Y2542)</f>
        <v>#VALUE!</v>
      </c>
    </row>
    <row r="2543" customFormat="false" ht="15.75" hidden="false" customHeight="false" outlineLevel="0" collapsed="false">
      <c r="A2543" s="9"/>
      <c r="B2543" s="10"/>
      <c r="C2543" s="10"/>
      <c r="D2543" s="10"/>
      <c r="E2543" s="10"/>
      <c r="F2543" s="10"/>
      <c r="G2543" s="10"/>
      <c r="H2543" s="10"/>
      <c r="I2543" s="18" t="n">
        <v>2</v>
      </c>
      <c r="J2543" s="18"/>
      <c r="K2543" s="19"/>
      <c r="L2543" s="19"/>
      <c r="M2543" s="18"/>
      <c r="N2543" s="18"/>
      <c r="O2543" s="18"/>
      <c r="P2543" s="19"/>
      <c r="Q2543" s="19"/>
      <c r="R2543" s="18"/>
      <c r="S2543" s="18"/>
      <c r="T2543" s="18"/>
      <c r="U2543" s="20"/>
      <c r="V2543" s="21"/>
      <c r="W2543" s="16"/>
      <c r="X2543" s="16"/>
      <c r="Y2543" s="16"/>
    </row>
    <row r="2544" customFormat="false" ht="15.75" hidden="false" customHeight="false" outlineLevel="0" collapsed="false">
      <c r="A2544" s="9"/>
      <c r="B2544" s="10"/>
      <c r="C2544" s="10"/>
      <c r="D2544" s="10"/>
      <c r="E2544" s="10"/>
      <c r="F2544" s="10"/>
      <c r="G2544" s="10"/>
      <c r="H2544" s="10"/>
      <c r="I2544" s="22" t="n">
        <v>3</v>
      </c>
      <c r="J2544" s="22"/>
      <c r="K2544" s="23"/>
      <c r="L2544" s="23"/>
      <c r="M2544" s="22"/>
      <c r="N2544" s="22"/>
      <c r="O2544" s="22"/>
      <c r="P2544" s="23"/>
      <c r="Q2544" s="23"/>
      <c r="R2544" s="22"/>
      <c r="S2544" s="22"/>
      <c r="T2544" s="22"/>
      <c r="U2544" s="24"/>
      <c r="V2544" s="15"/>
      <c r="W2544" s="16"/>
      <c r="X2544" s="16"/>
      <c r="Y2544" s="16"/>
    </row>
    <row r="2545" customFormat="false" ht="15.75" hidden="false" customHeight="false" outlineLevel="0" collapsed="false">
      <c r="A2545" s="9"/>
      <c r="B2545" s="10"/>
      <c r="C2545" s="10"/>
      <c r="D2545" s="10"/>
      <c r="E2545" s="10"/>
      <c r="F2545" s="10"/>
      <c r="G2545" s="10"/>
      <c r="H2545" s="10"/>
      <c r="I2545" s="25" t="n">
        <v>4</v>
      </c>
      <c r="J2545" s="25"/>
      <c r="K2545" s="26"/>
      <c r="L2545" s="26"/>
      <c r="M2545" s="25"/>
      <c r="N2545" s="25"/>
      <c r="O2545" s="25"/>
      <c r="P2545" s="26"/>
      <c r="Q2545" s="26"/>
      <c r="R2545" s="25"/>
      <c r="S2545" s="25"/>
      <c r="T2545" s="25"/>
      <c r="U2545" s="27"/>
      <c r="V2545" s="21"/>
      <c r="W2545" s="16"/>
      <c r="X2545" s="16"/>
      <c r="Y2545" s="16"/>
    </row>
    <row r="2546" customFormat="false" ht="15.75" hidden="false" customHeight="false" outlineLevel="0" collapsed="false">
      <c r="A2546" s="9"/>
      <c r="B2546" s="10"/>
      <c r="C2546" s="11"/>
      <c r="D2546" s="10"/>
      <c r="E2546" s="10"/>
      <c r="F2546" s="10"/>
      <c r="G2546" s="10"/>
      <c r="H2546" s="10"/>
      <c r="I2546" s="12" t="n">
        <v>1</v>
      </c>
      <c r="J2546" s="12"/>
      <c r="K2546" s="13"/>
      <c r="L2546" s="13"/>
      <c r="M2546" s="12"/>
      <c r="N2546" s="12"/>
      <c r="O2546" s="12"/>
      <c r="P2546" s="13"/>
      <c r="Q2546" s="13"/>
      <c r="R2546" s="12"/>
      <c r="S2546" s="12"/>
      <c r="T2546" s="12"/>
      <c r="U2546" s="14"/>
      <c r="V2546" s="15"/>
      <c r="W2546" s="16" t="n">
        <f aca="false">A2546</f>
        <v>0</v>
      </c>
      <c r="X2546" s="17" t="e">
        <f aca="false">ifs(C2546="","",X2546="",NOW(),TRUE(),X2546)</f>
        <v>#VALUE!</v>
      </c>
      <c r="Y2546" s="17" t="e">
        <f aca="false">ifs(COUNTA(K2546:U2549)&lt;44,"",Y2546="",NOW(),TRUE(),Y2546)</f>
        <v>#VALUE!</v>
      </c>
    </row>
    <row r="2547" customFormat="false" ht="15.75" hidden="false" customHeight="false" outlineLevel="0" collapsed="false">
      <c r="A2547" s="9"/>
      <c r="B2547" s="10"/>
      <c r="C2547" s="10"/>
      <c r="D2547" s="10"/>
      <c r="E2547" s="10"/>
      <c r="F2547" s="10"/>
      <c r="G2547" s="10"/>
      <c r="H2547" s="10"/>
      <c r="I2547" s="18" t="n">
        <v>2</v>
      </c>
      <c r="J2547" s="18"/>
      <c r="K2547" s="19"/>
      <c r="L2547" s="19"/>
      <c r="M2547" s="18"/>
      <c r="N2547" s="18"/>
      <c r="O2547" s="18"/>
      <c r="P2547" s="19"/>
      <c r="Q2547" s="19"/>
      <c r="R2547" s="18"/>
      <c r="S2547" s="18"/>
      <c r="T2547" s="18"/>
      <c r="U2547" s="20"/>
      <c r="V2547" s="21"/>
      <c r="W2547" s="16"/>
      <c r="X2547" s="16"/>
      <c r="Y2547" s="16"/>
    </row>
    <row r="2548" customFormat="false" ht="15.75" hidden="false" customHeight="false" outlineLevel="0" collapsed="false">
      <c r="A2548" s="9"/>
      <c r="B2548" s="10"/>
      <c r="C2548" s="10"/>
      <c r="D2548" s="10"/>
      <c r="E2548" s="10"/>
      <c r="F2548" s="10"/>
      <c r="G2548" s="10"/>
      <c r="H2548" s="10"/>
      <c r="I2548" s="22" t="n">
        <v>3</v>
      </c>
      <c r="J2548" s="22"/>
      <c r="K2548" s="23"/>
      <c r="L2548" s="23"/>
      <c r="M2548" s="22"/>
      <c r="N2548" s="22"/>
      <c r="O2548" s="22"/>
      <c r="P2548" s="23"/>
      <c r="Q2548" s="23"/>
      <c r="R2548" s="22"/>
      <c r="S2548" s="22"/>
      <c r="T2548" s="22"/>
      <c r="U2548" s="24"/>
      <c r="V2548" s="15"/>
      <c r="W2548" s="16"/>
      <c r="X2548" s="16"/>
      <c r="Y2548" s="16"/>
    </row>
    <row r="2549" customFormat="false" ht="15.75" hidden="false" customHeight="false" outlineLevel="0" collapsed="false">
      <c r="A2549" s="9"/>
      <c r="B2549" s="10"/>
      <c r="C2549" s="10"/>
      <c r="D2549" s="10"/>
      <c r="E2549" s="10"/>
      <c r="F2549" s="10"/>
      <c r="G2549" s="10"/>
      <c r="H2549" s="10"/>
      <c r="I2549" s="25" t="n">
        <v>4</v>
      </c>
      <c r="J2549" s="25"/>
      <c r="K2549" s="26"/>
      <c r="L2549" s="26"/>
      <c r="M2549" s="25"/>
      <c r="N2549" s="25"/>
      <c r="O2549" s="25"/>
      <c r="P2549" s="26"/>
      <c r="Q2549" s="26"/>
      <c r="R2549" s="25"/>
      <c r="S2549" s="25"/>
      <c r="T2549" s="25"/>
      <c r="U2549" s="27"/>
      <c r="V2549" s="21"/>
      <c r="W2549" s="16"/>
      <c r="X2549" s="16"/>
      <c r="Y2549" s="16"/>
    </row>
    <row r="2550" customFormat="false" ht="15.75" hidden="false" customHeight="false" outlineLevel="0" collapsed="false">
      <c r="A2550" s="9"/>
      <c r="B2550" s="10"/>
      <c r="C2550" s="11"/>
      <c r="D2550" s="10"/>
      <c r="E2550" s="10"/>
      <c r="F2550" s="10"/>
      <c r="G2550" s="10"/>
      <c r="H2550" s="10"/>
      <c r="I2550" s="12" t="n">
        <v>1</v>
      </c>
      <c r="J2550" s="12"/>
      <c r="K2550" s="13"/>
      <c r="L2550" s="13"/>
      <c r="M2550" s="12"/>
      <c r="N2550" s="12"/>
      <c r="O2550" s="12"/>
      <c r="P2550" s="13"/>
      <c r="Q2550" s="13"/>
      <c r="R2550" s="12"/>
      <c r="S2550" s="12"/>
      <c r="T2550" s="12"/>
      <c r="U2550" s="14"/>
      <c r="V2550" s="15"/>
      <c r="W2550" s="16" t="n">
        <f aca="false">A2550</f>
        <v>0</v>
      </c>
      <c r="X2550" s="17" t="e">
        <f aca="false">ifs(C2550="","",X2550="",NOW(),TRUE(),X2550)</f>
        <v>#VALUE!</v>
      </c>
      <c r="Y2550" s="17" t="e">
        <f aca="false">ifs(COUNTA(K2550:U2553)&lt;44,"",Y2550="",NOW(),TRUE(),Y2550)</f>
        <v>#VALUE!</v>
      </c>
    </row>
    <row r="2551" customFormat="false" ht="15.75" hidden="false" customHeight="false" outlineLevel="0" collapsed="false">
      <c r="A2551" s="9"/>
      <c r="B2551" s="10"/>
      <c r="C2551" s="10"/>
      <c r="D2551" s="10"/>
      <c r="E2551" s="10"/>
      <c r="F2551" s="10"/>
      <c r="G2551" s="10"/>
      <c r="H2551" s="10"/>
      <c r="I2551" s="18" t="n">
        <v>2</v>
      </c>
      <c r="J2551" s="18"/>
      <c r="K2551" s="19"/>
      <c r="L2551" s="19"/>
      <c r="M2551" s="18"/>
      <c r="N2551" s="18"/>
      <c r="O2551" s="18"/>
      <c r="P2551" s="19"/>
      <c r="Q2551" s="19"/>
      <c r="R2551" s="18"/>
      <c r="S2551" s="18"/>
      <c r="T2551" s="18"/>
      <c r="U2551" s="20"/>
      <c r="V2551" s="21"/>
      <c r="W2551" s="16"/>
      <c r="X2551" s="16"/>
      <c r="Y2551" s="16"/>
    </row>
    <row r="2552" customFormat="false" ht="15.75" hidden="false" customHeight="false" outlineLevel="0" collapsed="false">
      <c r="A2552" s="9"/>
      <c r="B2552" s="10"/>
      <c r="C2552" s="10"/>
      <c r="D2552" s="10"/>
      <c r="E2552" s="10"/>
      <c r="F2552" s="10"/>
      <c r="G2552" s="10"/>
      <c r="H2552" s="10"/>
      <c r="I2552" s="22" t="n">
        <v>3</v>
      </c>
      <c r="J2552" s="22"/>
      <c r="K2552" s="23"/>
      <c r="L2552" s="23"/>
      <c r="M2552" s="22"/>
      <c r="N2552" s="22"/>
      <c r="O2552" s="22"/>
      <c r="P2552" s="23"/>
      <c r="Q2552" s="23"/>
      <c r="R2552" s="22"/>
      <c r="S2552" s="22"/>
      <c r="T2552" s="22"/>
      <c r="U2552" s="24"/>
      <c r="V2552" s="15"/>
      <c r="W2552" s="16"/>
      <c r="X2552" s="16"/>
      <c r="Y2552" s="16"/>
    </row>
    <row r="2553" customFormat="false" ht="15.75" hidden="false" customHeight="false" outlineLevel="0" collapsed="false">
      <c r="A2553" s="9"/>
      <c r="B2553" s="10"/>
      <c r="C2553" s="10"/>
      <c r="D2553" s="10"/>
      <c r="E2553" s="10"/>
      <c r="F2553" s="10"/>
      <c r="G2553" s="10"/>
      <c r="H2553" s="10"/>
      <c r="I2553" s="25" t="n">
        <v>4</v>
      </c>
      <c r="J2553" s="25"/>
      <c r="K2553" s="26"/>
      <c r="L2553" s="26"/>
      <c r="M2553" s="25"/>
      <c r="N2553" s="25"/>
      <c r="O2553" s="25"/>
      <c r="P2553" s="26"/>
      <c r="Q2553" s="26"/>
      <c r="R2553" s="25"/>
      <c r="S2553" s="25"/>
      <c r="T2553" s="25"/>
      <c r="U2553" s="27"/>
      <c r="V2553" s="21"/>
      <c r="W2553" s="16"/>
      <c r="X2553" s="16"/>
      <c r="Y2553" s="16"/>
    </row>
    <row r="2554" customFormat="false" ht="15.75" hidden="false" customHeight="false" outlineLevel="0" collapsed="false">
      <c r="A2554" s="9"/>
      <c r="B2554" s="10"/>
      <c r="C2554" s="11"/>
      <c r="D2554" s="10"/>
      <c r="E2554" s="10"/>
      <c r="F2554" s="10"/>
      <c r="G2554" s="10"/>
      <c r="H2554" s="10"/>
      <c r="I2554" s="12" t="n">
        <v>1</v>
      </c>
      <c r="J2554" s="12"/>
      <c r="K2554" s="13"/>
      <c r="L2554" s="13"/>
      <c r="M2554" s="12"/>
      <c r="N2554" s="12"/>
      <c r="O2554" s="12"/>
      <c r="P2554" s="13"/>
      <c r="Q2554" s="13"/>
      <c r="R2554" s="12"/>
      <c r="S2554" s="12"/>
      <c r="T2554" s="12"/>
      <c r="U2554" s="14"/>
      <c r="V2554" s="15"/>
      <c r="W2554" s="16" t="n">
        <f aca="false">A2554</f>
        <v>0</v>
      </c>
      <c r="X2554" s="17" t="e">
        <f aca="false">ifs(C2554="","",X2554="",NOW(),TRUE(),X2554)</f>
        <v>#VALUE!</v>
      </c>
      <c r="Y2554" s="17" t="e">
        <f aca="false">ifs(COUNTA(K2554:U2557)&lt;44,"",Y2554="",NOW(),TRUE(),Y2554)</f>
        <v>#VALUE!</v>
      </c>
    </row>
    <row r="2555" customFormat="false" ht="15.75" hidden="false" customHeight="false" outlineLevel="0" collapsed="false">
      <c r="A2555" s="9"/>
      <c r="B2555" s="10"/>
      <c r="C2555" s="10"/>
      <c r="D2555" s="10"/>
      <c r="E2555" s="10"/>
      <c r="F2555" s="10"/>
      <c r="G2555" s="10"/>
      <c r="H2555" s="10"/>
      <c r="I2555" s="18" t="n">
        <v>2</v>
      </c>
      <c r="J2555" s="18"/>
      <c r="K2555" s="19"/>
      <c r="L2555" s="19"/>
      <c r="M2555" s="18"/>
      <c r="N2555" s="18"/>
      <c r="O2555" s="18"/>
      <c r="P2555" s="19"/>
      <c r="Q2555" s="19"/>
      <c r="R2555" s="18"/>
      <c r="S2555" s="18"/>
      <c r="T2555" s="18"/>
      <c r="U2555" s="20"/>
      <c r="V2555" s="21"/>
      <c r="W2555" s="16"/>
      <c r="X2555" s="16"/>
      <c r="Y2555" s="16"/>
    </row>
    <row r="2556" customFormat="false" ht="15.75" hidden="false" customHeight="false" outlineLevel="0" collapsed="false">
      <c r="A2556" s="9"/>
      <c r="B2556" s="10"/>
      <c r="C2556" s="10"/>
      <c r="D2556" s="10"/>
      <c r="E2556" s="10"/>
      <c r="F2556" s="10"/>
      <c r="G2556" s="10"/>
      <c r="H2556" s="10"/>
      <c r="I2556" s="22" t="n">
        <v>3</v>
      </c>
      <c r="J2556" s="22"/>
      <c r="K2556" s="23"/>
      <c r="L2556" s="23"/>
      <c r="M2556" s="22"/>
      <c r="N2556" s="22"/>
      <c r="O2556" s="22"/>
      <c r="P2556" s="23"/>
      <c r="Q2556" s="23"/>
      <c r="R2556" s="22"/>
      <c r="S2556" s="22"/>
      <c r="T2556" s="22"/>
      <c r="U2556" s="24"/>
      <c r="V2556" s="15"/>
      <c r="W2556" s="16"/>
      <c r="X2556" s="16"/>
      <c r="Y2556" s="16"/>
    </row>
    <row r="2557" customFormat="false" ht="15.75" hidden="false" customHeight="false" outlineLevel="0" collapsed="false">
      <c r="A2557" s="9"/>
      <c r="B2557" s="10"/>
      <c r="C2557" s="10"/>
      <c r="D2557" s="10"/>
      <c r="E2557" s="10"/>
      <c r="F2557" s="10"/>
      <c r="G2557" s="10"/>
      <c r="H2557" s="10"/>
      <c r="I2557" s="25" t="n">
        <v>4</v>
      </c>
      <c r="J2557" s="25"/>
      <c r="K2557" s="26"/>
      <c r="L2557" s="26"/>
      <c r="M2557" s="25"/>
      <c r="N2557" s="25"/>
      <c r="O2557" s="25"/>
      <c r="P2557" s="26"/>
      <c r="Q2557" s="26"/>
      <c r="R2557" s="25"/>
      <c r="S2557" s="25"/>
      <c r="T2557" s="25"/>
      <c r="U2557" s="27"/>
      <c r="V2557" s="21"/>
      <c r="W2557" s="16"/>
      <c r="X2557" s="16"/>
      <c r="Y2557" s="16"/>
    </row>
    <row r="2558" customFormat="false" ht="15.75" hidden="false" customHeight="false" outlineLevel="0" collapsed="false">
      <c r="A2558" s="9"/>
      <c r="B2558" s="10"/>
      <c r="C2558" s="11"/>
      <c r="D2558" s="10"/>
      <c r="E2558" s="10"/>
      <c r="F2558" s="10"/>
      <c r="G2558" s="10"/>
      <c r="H2558" s="10"/>
      <c r="I2558" s="12" t="n">
        <v>1</v>
      </c>
      <c r="J2558" s="12"/>
      <c r="K2558" s="13"/>
      <c r="L2558" s="13"/>
      <c r="M2558" s="12"/>
      <c r="N2558" s="12"/>
      <c r="O2558" s="12"/>
      <c r="P2558" s="13"/>
      <c r="Q2558" s="13"/>
      <c r="R2558" s="12"/>
      <c r="S2558" s="12"/>
      <c r="T2558" s="12"/>
      <c r="U2558" s="14"/>
      <c r="V2558" s="15"/>
      <c r="W2558" s="16" t="n">
        <f aca="false">A2558</f>
        <v>0</v>
      </c>
      <c r="X2558" s="17" t="e">
        <f aca="false">ifs(C2558="","",X2558="",NOW(),TRUE(),X2558)</f>
        <v>#VALUE!</v>
      </c>
      <c r="Y2558" s="17" t="e">
        <f aca="false">ifs(COUNTA(K2558:U2561)&lt;44,"",Y2558="",NOW(),TRUE(),Y2558)</f>
        <v>#VALUE!</v>
      </c>
    </row>
    <row r="2559" customFormat="false" ht="15.75" hidden="false" customHeight="false" outlineLevel="0" collapsed="false">
      <c r="A2559" s="9"/>
      <c r="B2559" s="10"/>
      <c r="C2559" s="10"/>
      <c r="D2559" s="10"/>
      <c r="E2559" s="10"/>
      <c r="F2559" s="10"/>
      <c r="G2559" s="10"/>
      <c r="H2559" s="10"/>
      <c r="I2559" s="18" t="n">
        <v>2</v>
      </c>
      <c r="J2559" s="18"/>
      <c r="K2559" s="19"/>
      <c r="L2559" s="19"/>
      <c r="M2559" s="18"/>
      <c r="N2559" s="18"/>
      <c r="O2559" s="18"/>
      <c r="P2559" s="19"/>
      <c r="Q2559" s="19"/>
      <c r="R2559" s="18"/>
      <c r="S2559" s="18"/>
      <c r="T2559" s="18"/>
      <c r="U2559" s="20"/>
      <c r="V2559" s="21"/>
      <c r="W2559" s="16"/>
      <c r="X2559" s="16"/>
      <c r="Y2559" s="16"/>
    </row>
    <row r="2560" customFormat="false" ht="15.75" hidden="false" customHeight="false" outlineLevel="0" collapsed="false">
      <c r="A2560" s="9"/>
      <c r="B2560" s="10"/>
      <c r="C2560" s="10"/>
      <c r="D2560" s="10"/>
      <c r="E2560" s="10"/>
      <c r="F2560" s="10"/>
      <c r="G2560" s="10"/>
      <c r="H2560" s="10"/>
      <c r="I2560" s="22" t="n">
        <v>3</v>
      </c>
      <c r="J2560" s="22"/>
      <c r="K2560" s="23"/>
      <c r="L2560" s="23"/>
      <c r="M2560" s="22"/>
      <c r="N2560" s="22"/>
      <c r="O2560" s="22"/>
      <c r="P2560" s="23"/>
      <c r="Q2560" s="23"/>
      <c r="R2560" s="22"/>
      <c r="S2560" s="22"/>
      <c r="T2560" s="22"/>
      <c r="U2560" s="24"/>
      <c r="V2560" s="15"/>
      <c r="W2560" s="16"/>
      <c r="X2560" s="16"/>
      <c r="Y2560" s="16"/>
    </row>
    <row r="2561" customFormat="false" ht="15.75" hidden="false" customHeight="false" outlineLevel="0" collapsed="false">
      <c r="A2561" s="9"/>
      <c r="B2561" s="10"/>
      <c r="C2561" s="10"/>
      <c r="D2561" s="10"/>
      <c r="E2561" s="10"/>
      <c r="F2561" s="10"/>
      <c r="G2561" s="10"/>
      <c r="H2561" s="10"/>
      <c r="I2561" s="25" t="n">
        <v>4</v>
      </c>
      <c r="J2561" s="25"/>
      <c r="K2561" s="26"/>
      <c r="L2561" s="26"/>
      <c r="M2561" s="25"/>
      <c r="N2561" s="25"/>
      <c r="O2561" s="25"/>
      <c r="P2561" s="26"/>
      <c r="Q2561" s="26"/>
      <c r="R2561" s="25"/>
      <c r="S2561" s="25"/>
      <c r="T2561" s="25"/>
      <c r="U2561" s="27"/>
      <c r="V2561" s="21"/>
      <c r="W2561" s="16"/>
      <c r="X2561" s="16"/>
      <c r="Y2561" s="16"/>
    </row>
    <row r="2562" customFormat="false" ht="15.75" hidden="false" customHeight="false" outlineLevel="0" collapsed="false">
      <c r="A2562" s="9"/>
      <c r="B2562" s="10"/>
      <c r="C2562" s="11"/>
      <c r="D2562" s="10"/>
      <c r="E2562" s="10"/>
      <c r="F2562" s="10"/>
      <c r="G2562" s="10"/>
      <c r="H2562" s="10"/>
      <c r="I2562" s="12" t="n">
        <v>1</v>
      </c>
      <c r="J2562" s="12"/>
      <c r="K2562" s="13"/>
      <c r="L2562" s="13"/>
      <c r="M2562" s="12"/>
      <c r="N2562" s="12"/>
      <c r="O2562" s="12"/>
      <c r="P2562" s="13"/>
      <c r="Q2562" s="13"/>
      <c r="R2562" s="12"/>
      <c r="S2562" s="12"/>
      <c r="T2562" s="12"/>
      <c r="U2562" s="14"/>
      <c r="V2562" s="15"/>
      <c r="W2562" s="16" t="n">
        <f aca="false">A2562</f>
        <v>0</v>
      </c>
      <c r="X2562" s="17" t="e">
        <f aca="false">ifs(C2562="","",X2562="",NOW(),TRUE(),X2562)</f>
        <v>#VALUE!</v>
      </c>
      <c r="Y2562" s="17" t="e">
        <f aca="false">ifs(COUNTA(K2562:U2565)&lt;44,"",Y2562="",NOW(),TRUE(),Y2562)</f>
        <v>#VALUE!</v>
      </c>
    </row>
    <row r="2563" customFormat="false" ht="15.75" hidden="false" customHeight="false" outlineLevel="0" collapsed="false">
      <c r="A2563" s="9"/>
      <c r="B2563" s="10"/>
      <c r="C2563" s="10"/>
      <c r="D2563" s="10"/>
      <c r="E2563" s="10"/>
      <c r="F2563" s="10"/>
      <c r="G2563" s="10"/>
      <c r="H2563" s="10"/>
      <c r="I2563" s="18" t="n">
        <v>2</v>
      </c>
      <c r="J2563" s="18"/>
      <c r="K2563" s="19"/>
      <c r="L2563" s="19"/>
      <c r="M2563" s="18"/>
      <c r="N2563" s="18"/>
      <c r="O2563" s="18"/>
      <c r="P2563" s="19"/>
      <c r="Q2563" s="19"/>
      <c r="R2563" s="18"/>
      <c r="S2563" s="18"/>
      <c r="T2563" s="18"/>
      <c r="U2563" s="20"/>
      <c r="V2563" s="21"/>
      <c r="W2563" s="16"/>
      <c r="X2563" s="16"/>
      <c r="Y2563" s="16"/>
    </row>
    <row r="2564" customFormat="false" ht="15.75" hidden="false" customHeight="false" outlineLevel="0" collapsed="false">
      <c r="A2564" s="9"/>
      <c r="B2564" s="10"/>
      <c r="C2564" s="10"/>
      <c r="D2564" s="10"/>
      <c r="E2564" s="10"/>
      <c r="F2564" s="10"/>
      <c r="G2564" s="10"/>
      <c r="H2564" s="10"/>
      <c r="I2564" s="22" t="n">
        <v>3</v>
      </c>
      <c r="J2564" s="22"/>
      <c r="K2564" s="23"/>
      <c r="L2564" s="23"/>
      <c r="M2564" s="22"/>
      <c r="N2564" s="22"/>
      <c r="O2564" s="22"/>
      <c r="P2564" s="23"/>
      <c r="Q2564" s="23"/>
      <c r="R2564" s="22"/>
      <c r="S2564" s="22"/>
      <c r="T2564" s="22"/>
      <c r="U2564" s="24"/>
      <c r="V2564" s="15"/>
      <c r="W2564" s="16"/>
      <c r="X2564" s="16"/>
      <c r="Y2564" s="16"/>
    </row>
    <row r="2565" customFormat="false" ht="15.75" hidden="false" customHeight="false" outlineLevel="0" collapsed="false">
      <c r="A2565" s="9"/>
      <c r="B2565" s="10"/>
      <c r="C2565" s="10"/>
      <c r="D2565" s="10"/>
      <c r="E2565" s="10"/>
      <c r="F2565" s="10"/>
      <c r="G2565" s="10"/>
      <c r="H2565" s="10"/>
      <c r="I2565" s="25" t="n">
        <v>4</v>
      </c>
      <c r="J2565" s="25"/>
      <c r="K2565" s="26"/>
      <c r="L2565" s="26"/>
      <c r="M2565" s="25"/>
      <c r="N2565" s="25"/>
      <c r="O2565" s="25"/>
      <c r="P2565" s="26"/>
      <c r="Q2565" s="26"/>
      <c r="R2565" s="25"/>
      <c r="S2565" s="25"/>
      <c r="T2565" s="25"/>
      <c r="U2565" s="27"/>
      <c r="V2565" s="21"/>
      <c r="W2565" s="16"/>
      <c r="X2565" s="16"/>
      <c r="Y2565" s="16"/>
    </row>
    <row r="2566" customFormat="false" ht="15.75" hidden="false" customHeight="false" outlineLevel="0" collapsed="false">
      <c r="A2566" s="9"/>
      <c r="B2566" s="10"/>
      <c r="C2566" s="11"/>
      <c r="D2566" s="10"/>
      <c r="E2566" s="10"/>
      <c r="F2566" s="10"/>
      <c r="G2566" s="10"/>
      <c r="H2566" s="10"/>
      <c r="I2566" s="12" t="n">
        <v>1</v>
      </c>
      <c r="J2566" s="12"/>
      <c r="K2566" s="13"/>
      <c r="L2566" s="13"/>
      <c r="M2566" s="12"/>
      <c r="N2566" s="12"/>
      <c r="O2566" s="12"/>
      <c r="P2566" s="13"/>
      <c r="Q2566" s="13"/>
      <c r="R2566" s="12"/>
      <c r="S2566" s="12"/>
      <c r="T2566" s="12"/>
      <c r="U2566" s="14"/>
      <c r="V2566" s="15"/>
      <c r="W2566" s="16" t="n">
        <f aca="false">A2566</f>
        <v>0</v>
      </c>
      <c r="X2566" s="17" t="e">
        <f aca="false">ifs(C2566="","",X2566="",NOW(),TRUE(),X2566)</f>
        <v>#VALUE!</v>
      </c>
      <c r="Y2566" s="17" t="e">
        <f aca="false">ifs(COUNTA(K2566:U2569)&lt;44,"",Y2566="",NOW(),TRUE(),Y2566)</f>
        <v>#VALUE!</v>
      </c>
    </row>
    <row r="2567" customFormat="false" ht="15.75" hidden="false" customHeight="false" outlineLevel="0" collapsed="false">
      <c r="A2567" s="9"/>
      <c r="B2567" s="10"/>
      <c r="C2567" s="10"/>
      <c r="D2567" s="10"/>
      <c r="E2567" s="10"/>
      <c r="F2567" s="10"/>
      <c r="G2567" s="10"/>
      <c r="H2567" s="10"/>
      <c r="I2567" s="18" t="n">
        <v>2</v>
      </c>
      <c r="J2567" s="18"/>
      <c r="K2567" s="19"/>
      <c r="L2567" s="19"/>
      <c r="M2567" s="18"/>
      <c r="N2567" s="18"/>
      <c r="O2567" s="18"/>
      <c r="P2567" s="19"/>
      <c r="Q2567" s="19"/>
      <c r="R2567" s="18"/>
      <c r="S2567" s="18"/>
      <c r="T2567" s="18"/>
      <c r="U2567" s="20"/>
      <c r="V2567" s="21"/>
      <c r="W2567" s="16"/>
      <c r="X2567" s="16"/>
      <c r="Y2567" s="16"/>
    </row>
    <row r="2568" customFormat="false" ht="15.75" hidden="false" customHeight="false" outlineLevel="0" collapsed="false">
      <c r="A2568" s="9"/>
      <c r="B2568" s="10"/>
      <c r="C2568" s="10"/>
      <c r="D2568" s="10"/>
      <c r="E2568" s="10"/>
      <c r="F2568" s="10"/>
      <c r="G2568" s="10"/>
      <c r="H2568" s="10"/>
      <c r="I2568" s="22" t="n">
        <v>3</v>
      </c>
      <c r="J2568" s="22"/>
      <c r="K2568" s="23"/>
      <c r="L2568" s="23"/>
      <c r="M2568" s="22"/>
      <c r="N2568" s="22"/>
      <c r="O2568" s="22"/>
      <c r="P2568" s="23"/>
      <c r="Q2568" s="23"/>
      <c r="R2568" s="22"/>
      <c r="S2568" s="22"/>
      <c r="T2568" s="22"/>
      <c r="U2568" s="24"/>
      <c r="V2568" s="15"/>
      <c r="W2568" s="16"/>
      <c r="X2568" s="16"/>
      <c r="Y2568" s="16"/>
    </row>
    <row r="2569" customFormat="false" ht="15.75" hidden="false" customHeight="false" outlineLevel="0" collapsed="false">
      <c r="A2569" s="9"/>
      <c r="B2569" s="10"/>
      <c r="C2569" s="10"/>
      <c r="D2569" s="10"/>
      <c r="E2569" s="10"/>
      <c r="F2569" s="10"/>
      <c r="G2569" s="10"/>
      <c r="H2569" s="10"/>
      <c r="I2569" s="25" t="n">
        <v>4</v>
      </c>
      <c r="J2569" s="25"/>
      <c r="K2569" s="26"/>
      <c r="L2569" s="26"/>
      <c r="M2569" s="25"/>
      <c r="N2569" s="25"/>
      <c r="O2569" s="25"/>
      <c r="P2569" s="26"/>
      <c r="Q2569" s="26"/>
      <c r="R2569" s="25"/>
      <c r="S2569" s="25"/>
      <c r="T2569" s="25"/>
      <c r="U2569" s="27"/>
      <c r="V2569" s="21"/>
      <c r="W2569" s="16"/>
      <c r="X2569" s="16"/>
      <c r="Y2569" s="16"/>
    </row>
    <row r="2570" customFormat="false" ht="15.75" hidden="false" customHeight="false" outlineLevel="0" collapsed="false">
      <c r="A2570" s="9"/>
      <c r="B2570" s="10"/>
      <c r="C2570" s="11"/>
      <c r="D2570" s="10"/>
      <c r="E2570" s="10"/>
      <c r="F2570" s="10"/>
      <c r="G2570" s="10"/>
      <c r="H2570" s="10"/>
      <c r="I2570" s="12" t="n">
        <v>1</v>
      </c>
      <c r="J2570" s="12"/>
      <c r="K2570" s="13"/>
      <c r="L2570" s="13"/>
      <c r="M2570" s="12"/>
      <c r="N2570" s="12"/>
      <c r="O2570" s="12"/>
      <c r="P2570" s="13"/>
      <c r="Q2570" s="13"/>
      <c r="R2570" s="12"/>
      <c r="S2570" s="12"/>
      <c r="T2570" s="12"/>
      <c r="U2570" s="14"/>
      <c r="V2570" s="15"/>
      <c r="W2570" s="16" t="n">
        <f aca="false">A2570</f>
        <v>0</v>
      </c>
      <c r="X2570" s="17" t="e">
        <f aca="false">ifs(C2570="","",X2570="",NOW(),TRUE(),X2570)</f>
        <v>#VALUE!</v>
      </c>
      <c r="Y2570" s="17" t="e">
        <f aca="false">ifs(COUNTA(K2570:U2573)&lt;44,"",Y2570="",NOW(),TRUE(),Y2570)</f>
        <v>#VALUE!</v>
      </c>
    </row>
    <row r="2571" customFormat="false" ht="15.75" hidden="false" customHeight="false" outlineLevel="0" collapsed="false">
      <c r="A2571" s="9"/>
      <c r="B2571" s="10"/>
      <c r="C2571" s="10"/>
      <c r="D2571" s="10"/>
      <c r="E2571" s="10"/>
      <c r="F2571" s="10"/>
      <c r="G2571" s="10"/>
      <c r="H2571" s="10"/>
      <c r="I2571" s="18" t="n">
        <v>2</v>
      </c>
      <c r="J2571" s="18"/>
      <c r="K2571" s="19"/>
      <c r="L2571" s="19"/>
      <c r="M2571" s="18"/>
      <c r="N2571" s="18"/>
      <c r="O2571" s="18"/>
      <c r="P2571" s="19"/>
      <c r="Q2571" s="19"/>
      <c r="R2571" s="18"/>
      <c r="S2571" s="18"/>
      <c r="T2571" s="18"/>
      <c r="U2571" s="20"/>
      <c r="V2571" s="21"/>
      <c r="W2571" s="16"/>
      <c r="X2571" s="16"/>
      <c r="Y2571" s="16"/>
    </row>
    <row r="2572" customFormat="false" ht="15.75" hidden="false" customHeight="false" outlineLevel="0" collapsed="false">
      <c r="A2572" s="9"/>
      <c r="B2572" s="10"/>
      <c r="C2572" s="10"/>
      <c r="D2572" s="10"/>
      <c r="E2572" s="10"/>
      <c r="F2572" s="10"/>
      <c r="G2572" s="10"/>
      <c r="H2572" s="10"/>
      <c r="I2572" s="22" t="n">
        <v>3</v>
      </c>
      <c r="J2572" s="22"/>
      <c r="K2572" s="23"/>
      <c r="L2572" s="23"/>
      <c r="M2572" s="22"/>
      <c r="N2572" s="22"/>
      <c r="O2572" s="22"/>
      <c r="P2572" s="23"/>
      <c r="Q2572" s="23"/>
      <c r="R2572" s="22"/>
      <c r="S2572" s="22"/>
      <c r="T2572" s="22"/>
      <c r="U2572" s="24"/>
      <c r="V2572" s="15"/>
      <c r="W2572" s="16"/>
      <c r="X2572" s="16"/>
      <c r="Y2572" s="16"/>
    </row>
    <row r="2573" customFormat="false" ht="15.75" hidden="false" customHeight="false" outlineLevel="0" collapsed="false">
      <c r="A2573" s="9"/>
      <c r="B2573" s="10"/>
      <c r="C2573" s="10"/>
      <c r="D2573" s="10"/>
      <c r="E2573" s="10"/>
      <c r="F2573" s="10"/>
      <c r="G2573" s="10"/>
      <c r="H2573" s="10"/>
      <c r="I2573" s="25" t="n">
        <v>4</v>
      </c>
      <c r="J2573" s="25"/>
      <c r="K2573" s="26"/>
      <c r="L2573" s="26"/>
      <c r="M2573" s="25"/>
      <c r="N2573" s="25"/>
      <c r="O2573" s="25"/>
      <c r="P2573" s="26"/>
      <c r="Q2573" s="26"/>
      <c r="R2573" s="25"/>
      <c r="S2573" s="25"/>
      <c r="T2573" s="25"/>
      <c r="U2573" s="27"/>
      <c r="V2573" s="21"/>
      <c r="W2573" s="16"/>
      <c r="X2573" s="16"/>
      <c r="Y2573" s="16"/>
    </row>
    <row r="2574" customFormat="false" ht="15.75" hidden="false" customHeight="false" outlineLevel="0" collapsed="false">
      <c r="A2574" s="9"/>
      <c r="B2574" s="10"/>
      <c r="C2574" s="11"/>
      <c r="D2574" s="10"/>
      <c r="E2574" s="10"/>
      <c r="F2574" s="10"/>
      <c r="G2574" s="10"/>
      <c r="H2574" s="10"/>
      <c r="I2574" s="12" t="n">
        <v>1</v>
      </c>
      <c r="J2574" s="12"/>
      <c r="K2574" s="13"/>
      <c r="L2574" s="13"/>
      <c r="M2574" s="12"/>
      <c r="N2574" s="12"/>
      <c r="O2574" s="12"/>
      <c r="P2574" s="13"/>
      <c r="Q2574" s="13"/>
      <c r="R2574" s="12"/>
      <c r="S2574" s="12"/>
      <c r="T2574" s="12"/>
      <c r="U2574" s="14"/>
      <c r="V2574" s="15"/>
      <c r="W2574" s="16" t="n">
        <f aca="false">A2574</f>
        <v>0</v>
      </c>
      <c r="X2574" s="17" t="e">
        <f aca="false">ifs(C2574="","",X2574="",NOW(),TRUE(),X2574)</f>
        <v>#VALUE!</v>
      </c>
      <c r="Y2574" s="17" t="e">
        <f aca="false">ifs(COUNTA(K2574:U2577)&lt;44,"",Y2574="",NOW(),TRUE(),Y2574)</f>
        <v>#VALUE!</v>
      </c>
    </row>
    <row r="2575" customFormat="false" ht="15.75" hidden="false" customHeight="false" outlineLevel="0" collapsed="false">
      <c r="A2575" s="9"/>
      <c r="B2575" s="10"/>
      <c r="C2575" s="10"/>
      <c r="D2575" s="10"/>
      <c r="E2575" s="10"/>
      <c r="F2575" s="10"/>
      <c r="G2575" s="10"/>
      <c r="H2575" s="10"/>
      <c r="I2575" s="18" t="n">
        <v>2</v>
      </c>
      <c r="J2575" s="18"/>
      <c r="K2575" s="19"/>
      <c r="L2575" s="19"/>
      <c r="M2575" s="18"/>
      <c r="N2575" s="18"/>
      <c r="O2575" s="18"/>
      <c r="P2575" s="19"/>
      <c r="Q2575" s="19"/>
      <c r="R2575" s="18"/>
      <c r="S2575" s="18"/>
      <c r="T2575" s="18"/>
      <c r="U2575" s="20"/>
      <c r="V2575" s="21"/>
      <c r="W2575" s="16"/>
      <c r="X2575" s="16"/>
      <c r="Y2575" s="16"/>
    </row>
    <row r="2576" customFormat="false" ht="15.75" hidden="false" customHeight="false" outlineLevel="0" collapsed="false">
      <c r="A2576" s="9"/>
      <c r="B2576" s="10"/>
      <c r="C2576" s="10"/>
      <c r="D2576" s="10"/>
      <c r="E2576" s="10"/>
      <c r="F2576" s="10"/>
      <c r="G2576" s="10"/>
      <c r="H2576" s="10"/>
      <c r="I2576" s="22" t="n">
        <v>3</v>
      </c>
      <c r="J2576" s="22"/>
      <c r="K2576" s="23"/>
      <c r="L2576" s="23"/>
      <c r="M2576" s="22"/>
      <c r="N2576" s="22"/>
      <c r="O2576" s="22"/>
      <c r="P2576" s="23"/>
      <c r="Q2576" s="23"/>
      <c r="R2576" s="22"/>
      <c r="S2576" s="22"/>
      <c r="T2576" s="22"/>
      <c r="U2576" s="24"/>
      <c r="V2576" s="15"/>
      <c r="W2576" s="16"/>
      <c r="X2576" s="16"/>
      <c r="Y2576" s="16"/>
    </row>
    <row r="2577" customFormat="false" ht="15.75" hidden="false" customHeight="false" outlineLevel="0" collapsed="false">
      <c r="A2577" s="9"/>
      <c r="B2577" s="10"/>
      <c r="C2577" s="10"/>
      <c r="D2577" s="10"/>
      <c r="E2577" s="10"/>
      <c r="F2577" s="10"/>
      <c r="G2577" s="10"/>
      <c r="H2577" s="10"/>
      <c r="I2577" s="25" t="n">
        <v>4</v>
      </c>
      <c r="J2577" s="25"/>
      <c r="K2577" s="26"/>
      <c r="L2577" s="26"/>
      <c r="M2577" s="25"/>
      <c r="N2577" s="25"/>
      <c r="O2577" s="25"/>
      <c r="P2577" s="26"/>
      <c r="Q2577" s="26"/>
      <c r="R2577" s="25"/>
      <c r="S2577" s="25"/>
      <c r="T2577" s="25"/>
      <c r="U2577" s="27"/>
      <c r="V2577" s="21"/>
      <c r="W2577" s="16"/>
      <c r="X2577" s="16"/>
      <c r="Y2577" s="16"/>
    </row>
    <row r="2578" customFormat="false" ht="15.75" hidden="false" customHeight="false" outlineLevel="0" collapsed="false">
      <c r="A2578" s="9"/>
      <c r="B2578" s="10"/>
      <c r="C2578" s="11"/>
      <c r="D2578" s="10"/>
      <c r="E2578" s="10"/>
      <c r="F2578" s="10"/>
      <c r="G2578" s="10"/>
      <c r="H2578" s="10"/>
      <c r="I2578" s="12" t="n">
        <v>1</v>
      </c>
      <c r="J2578" s="12"/>
      <c r="K2578" s="13"/>
      <c r="L2578" s="13"/>
      <c r="M2578" s="12"/>
      <c r="N2578" s="12"/>
      <c r="O2578" s="12"/>
      <c r="P2578" s="13"/>
      <c r="Q2578" s="13"/>
      <c r="R2578" s="12"/>
      <c r="S2578" s="12"/>
      <c r="T2578" s="12"/>
      <c r="U2578" s="14"/>
      <c r="V2578" s="15"/>
      <c r="W2578" s="16" t="n">
        <f aca="false">A2578</f>
        <v>0</v>
      </c>
      <c r="X2578" s="17" t="e">
        <f aca="false">ifs(C2578="","",X2578="",NOW(),TRUE(),X2578)</f>
        <v>#VALUE!</v>
      </c>
      <c r="Y2578" s="17" t="e">
        <f aca="false">ifs(COUNTA(K2578:U2581)&lt;44,"",Y2578="",NOW(),TRUE(),Y2578)</f>
        <v>#VALUE!</v>
      </c>
    </row>
    <row r="2579" customFormat="false" ht="15.75" hidden="false" customHeight="false" outlineLevel="0" collapsed="false">
      <c r="A2579" s="9"/>
      <c r="B2579" s="10"/>
      <c r="C2579" s="10"/>
      <c r="D2579" s="10"/>
      <c r="E2579" s="10"/>
      <c r="F2579" s="10"/>
      <c r="G2579" s="10"/>
      <c r="H2579" s="10"/>
      <c r="I2579" s="18" t="n">
        <v>2</v>
      </c>
      <c r="J2579" s="18"/>
      <c r="K2579" s="19"/>
      <c r="L2579" s="19"/>
      <c r="M2579" s="18"/>
      <c r="N2579" s="18"/>
      <c r="O2579" s="18"/>
      <c r="P2579" s="19"/>
      <c r="Q2579" s="19"/>
      <c r="R2579" s="18"/>
      <c r="S2579" s="18"/>
      <c r="T2579" s="18"/>
      <c r="U2579" s="20"/>
      <c r="V2579" s="21"/>
      <c r="W2579" s="16"/>
      <c r="X2579" s="16"/>
      <c r="Y2579" s="16"/>
    </row>
    <row r="2580" customFormat="false" ht="15.75" hidden="false" customHeight="false" outlineLevel="0" collapsed="false">
      <c r="A2580" s="9"/>
      <c r="B2580" s="10"/>
      <c r="C2580" s="10"/>
      <c r="D2580" s="10"/>
      <c r="E2580" s="10"/>
      <c r="F2580" s="10"/>
      <c r="G2580" s="10"/>
      <c r="H2580" s="10"/>
      <c r="I2580" s="22" t="n">
        <v>3</v>
      </c>
      <c r="J2580" s="22"/>
      <c r="K2580" s="23"/>
      <c r="L2580" s="23"/>
      <c r="M2580" s="22"/>
      <c r="N2580" s="22"/>
      <c r="O2580" s="22"/>
      <c r="P2580" s="23"/>
      <c r="Q2580" s="23"/>
      <c r="R2580" s="22"/>
      <c r="S2580" s="22"/>
      <c r="T2580" s="22"/>
      <c r="U2580" s="24"/>
      <c r="V2580" s="15"/>
      <c r="W2580" s="16"/>
      <c r="X2580" s="16"/>
      <c r="Y2580" s="16"/>
    </row>
    <row r="2581" customFormat="false" ht="15.75" hidden="false" customHeight="false" outlineLevel="0" collapsed="false">
      <c r="A2581" s="9"/>
      <c r="B2581" s="10"/>
      <c r="C2581" s="10"/>
      <c r="D2581" s="10"/>
      <c r="E2581" s="10"/>
      <c r="F2581" s="10"/>
      <c r="G2581" s="10"/>
      <c r="H2581" s="10"/>
      <c r="I2581" s="25" t="n">
        <v>4</v>
      </c>
      <c r="J2581" s="25"/>
      <c r="K2581" s="26"/>
      <c r="L2581" s="26"/>
      <c r="M2581" s="25"/>
      <c r="N2581" s="25"/>
      <c r="O2581" s="25"/>
      <c r="P2581" s="26"/>
      <c r="Q2581" s="26"/>
      <c r="R2581" s="25"/>
      <c r="S2581" s="25"/>
      <c r="T2581" s="25"/>
      <c r="U2581" s="27"/>
      <c r="V2581" s="21"/>
      <c r="W2581" s="16"/>
      <c r="X2581" s="16"/>
      <c r="Y2581" s="16"/>
    </row>
    <row r="2582" customFormat="false" ht="15.75" hidden="false" customHeight="false" outlineLevel="0" collapsed="false">
      <c r="A2582" s="9"/>
      <c r="B2582" s="10"/>
      <c r="C2582" s="11"/>
      <c r="D2582" s="10"/>
      <c r="E2582" s="10"/>
      <c r="F2582" s="10"/>
      <c r="G2582" s="10"/>
      <c r="H2582" s="10"/>
      <c r="I2582" s="12" t="n">
        <v>1</v>
      </c>
      <c r="J2582" s="12"/>
      <c r="K2582" s="13"/>
      <c r="L2582" s="13"/>
      <c r="M2582" s="12"/>
      <c r="N2582" s="12"/>
      <c r="O2582" s="12"/>
      <c r="P2582" s="13"/>
      <c r="Q2582" s="13"/>
      <c r="R2582" s="12"/>
      <c r="S2582" s="12"/>
      <c r="T2582" s="12"/>
      <c r="U2582" s="14"/>
      <c r="V2582" s="15"/>
      <c r="W2582" s="16" t="n">
        <f aca="false">A2582</f>
        <v>0</v>
      </c>
      <c r="X2582" s="17" t="e">
        <f aca="false">ifs(C2582="","",X2582="",NOW(),TRUE(),X2582)</f>
        <v>#VALUE!</v>
      </c>
      <c r="Y2582" s="17" t="e">
        <f aca="false">ifs(COUNTA(K2582:U2585)&lt;44,"",Y2582="",NOW(),TRUE(),Y2582)</f>
        <v>#VALUE!</v>
      </c>
    </row>
    <row r="2583" customFormat="false" ht="15.75" hidden="false" customHeight="false" outlineLevel="0" collapsed="false">
      <c r="A2583" s="9"/>
      <c r="B2583" s="10"/>
      <c r="C2583" s="10"/>
      <c r="D2583" s="10"/>
      <c r="E2583" s="10"/>
      <c r="F2583" s="10"/>
      <c r="G2583" s="10"/>
      <c r="H2583" s="10"/>
      <c r="I2583" s="18" t="n">
        <v>2</v>
      </c>
      <c r="J2583" s="18"/>
      <c r="K2583" s="19"/>
      <c r="L2583" s="19"/>
      <c r="M2583" s="18"/>
      <c r="N2583" s="18"/>
      <c r="O2583" s="18"/>
      <c r="P2583" s="19"/>
      <c r="Q2583" s="19"/>
      <c r="R2583" s="18"/>
      <c r="S2583" s="18"/>
      <c r="T2583" s="18"/>
      <c r="U2583" s="20"/>
      <c r="V2583" s="21"/>
      <c r="W2583" s="16"/>
      <c r="X2583" s="16"/>
      <c r="Y2583" s="16"/>
    </row>
    <row r="2584" customFormat="false" ht="15.75" hidden="false" customHeight="false" outlineLevel="0" collapsed="false">
      <c r="A2584" s="9"/>
      <c r="B2584" s="10"/>
      <c r="C2584" s="10"/>
      <c r="D2584" s="10"/>
      <c r="E2584" s="10"/>
      <c r="F2584" s="10"/>
      <c r="G2584" s="10"/>
      <c r="H2584" s="10"/>
      <c r="I2584" s="22" t="n">
        <v>3</v>
      </c>
      <c r="J2584" s="22"/>
      <c r="K2584" s="23"/>
      <c r="L2584" s="23"/>
      <c r="M2584" s="22"/>
      <c r="N2584" s="22"/>
      <c r="O2584" s="22"/>
      <c r="P2584" s="23"/>
      <c r="Q2584" s="23"/>
      <c r="R2584" s="22"/>
      <c r="S2584" s="22"/>
      <c r="T2584" s="22"/>
      <c r="U2584" s="24"/>
      <c r="V2584" s="15"/>
      <c r="W2584" s="16"/>
      <c r="X2584" s="16"/>
      <c r="Y2584" s="16"/>
    </row>
    <row r="2585" customFormat="false" ht="15.75" hidden="false" customHeight="false" outlineLevel="0" collapsed="false">
      <c r="A2585" s="9"/>
      <c r="B2585" s="10"/>
      <c r="C2585" s="10"/>
      <c r="D2585" s="10"/>
      <c r="E2585" s="10"/>
      <c r="F2585" s="10"/>
      <c r="G2585" s="10"/>
      <c r="H2585" s="10"/>
      <c r="I2585" s="25" t="n">
        <v>4</v>
      </c>
      <c r="J2585" s="25"/>
      <c r="K2585" s="26"/>
      <c r="L2585" s="26"/>
      <c r="M2585" s="25"/>
      <c r="N2585" s="25"/>
      <c r="O2585" s="25"/>
      <c r="P2585" s="26"/>
      <c r="Q2585" s="26"/>
      <c r="R2585" s="25"/>
      <c r="S2585" s="25"/>
      <c r="T2585" s="25"/>
      <c r="U2585" s="27"/>
      <c r="V2585" s="21"/>
      <c r="W2585" s="16"/>
      <c r="X2585" s="16"/>
      <c r="Y2585" s="16"/>
    </row>
    <row r="2586" customFormat="false" ht="15.75" hidden="false" customHeight="false" outlineLevel="0" collapsed="false">
      <c r="A2586" s="9"/>
      <c r="B2586" s="10"/>
      <c r="C2586" s="11"/>
      <c r="D2586" s="10"/>
      <c r="E2586" s="10"/>
      <c r="F2586" s="10"/>
      <c r="G2586" s="10"/>
      <c r="H2586" s="10"/>
      <c r="I2586" s="12" t="n">
        <v>1</v>
      </c>
      <c r="J2586" s="12"/>
      <c r="K2586" s="13"/>
      <c r="L2586" s="13"/>
      <c r="M2586" s="12"/>
      <c r="N2586" s="12"/>
      <c r="O2586" s="12"/>
      <c r="P2586" s="13"/>
      <c r="Q2586" s="13"/>
      <c r="R2586" s="12"/>
      <c r="S2586" s="12"/>
      <c r="T2586" s="12"/>
      <c r="U2586" s="14"/>
      <c r="V2586" s="15"/>
      <c r="W2586" s="16" t="n">
        <f aca="false">A2586</f>
        <v>0</v>
      </c>
      <c r="X2586" s="17" t="e">
        <f aca="false">ifs(C2586="","",X2586="",NOW(),TRUE(),X2586)</f>
        <v>#VALUE!</v>
      </c>
      <c r="Y2586" s="17" t="e">
        <f aca="false">ifs(COUNTA(K2586:U2589)&lt;44,"",Y2586="",NOW(),TRUE(),Y2586)</f>
        <v>#VALUE!</v>
      </c>
    </row>
    <row r="2587" customFormat="false" ht="15.75" hidden="false" customHeight="false" outlineLevel="0" collapsed="false">
      <c r="A2587" s="9"/>
      <c r="B2587" s="10"/>
      <c r="C2587" s="10"/>
      <c r="D2587" s="10"/>
      <c r="E2587" s="10"/>
      <c r="F2587" s="10"/>
      <c r="G2587" s="10"/>
      <c r="H2587" s="10"/>
      <c r="I2587" s="18" t="n">
        <v>2</v>
      </c>
      <c r="J2587" s="18"/>
      <c r="K2587" s="19"/>
      <c r="L2587" s="19"/>
      <c r="M2587" s="18"/>
      <c r="N2587" s="18"/>
      <c r="O2587" s="18"/>
      <c r="P2587" s="19"/>
      <c r="Q2587" s="19"/>
      <c r="R2587" s="18"/>
      <c r="S2587" s="18"/>
      <c r="T2587" s="18"/>
      <c r="U2587" s="20"/>
      <c r="V2587" s="21"/>
      <c r="W2587" s="16"/>
      <c r="X2587" s="16"/>
      <c r="Y2587" s="16"/>
    </row>
    <row r="2588" customFormat="false" ht="15.75" hidden="false" customHeight="false" outlineLevel="0" collapsed="false">
      <c r="A2588" s="9"/>
      <c r="B2588" s="10"/>
      <c r="C2588" s="10"/>
      <c r="D2588" s="10"/>
      <c r="E2588" s="10"/>
      <c r="F2588" s="10"/>
      <c r="G2588" s="10"/>
      <c r="H2588" s="10"/>
      <c r="I2588" s="22" t="n">
        <v>3</v>
      </c>
      <c r="J2588" s="22"/>
      <c r="K2588" s="23"/>
      <c r="L2588" s="23"/>
      <c r="M2588" s="22"/>
      <c r="N2588" s="22"/>
      <c r="O2588" s="22"/>
      <c r="P2588" s="23"/>
      <c r="Q2588" s="23"/>
      <c r="R2588" s="22"/>
      <c r="S2588" s="22"/>
      <c r="T2588" s="22"/>
      <c r="U2588" s="24"/>
      <c r="V2588" s="15"/>
      <c r="W2588" s="16"/>
      <c r="X2588" s="16"/>
      <c r="Y2588" s="16"/>
    </row>
    <row r="2589" customFormat="false" ht="15.75" hidden="false" customHeight="false" outlineLevel="0" collapsed="false">
      <c r="A2589" s="9"/>
      <c r="B2589" s="10"/>
      <c r="C2589" s="10"/>
      <c r="D2589" s="10"/>
      <c r="E2589" s="10"/>
      <c r="F2589" s="10"/>
      <c r="G2589" s="10"/>
      <c r="H2589" s="10"/>
      <c r="I2589" s="25" t="n">
        <v>4</v>
      </c>
      <c r="J2589" s="25"/>
      <c r="K2589" s="26"/>
      <c r="L2589" s="26"/>
      <c r="M2589" s="25"/>
      <c r="N2589" s="25"/>
      <c r="O2589" s="25"/>
      <c r="P2589" s="26"/>
      <c r="Q2589" s="26"/>
      <c r="R2589" s="25"/>
      <c r="S2589" s="25"/>
      <c r="T2589" s="25"/>
      <c r="U2589" s="27"/>
      <c r="V2589" s="21"/>
      <c r="W2589" s="16"/>
      <c r="X2589" s="16"/>
      <c r="Y2589" s="16"/>
    </row>
    <row r="2590" customFormat="false" ht="15.75" hidden="false" customHeight="false" outlineLevel="0" collapsed="false">
      <c r="A2590" s="9"/>
      <c r="B2590" s="10"/>
      <c r="C2590" s="11"/>
      <c r="D2590" s="10"/>
      <c r="E2590" s="10"/>
      <c r="F2590" s="10"/>
      <c r="G2590" s="10"/>
      <c r="H2590" s="10"/>
      <c r="I2590" s="12" t="n">
        <v>1</v>
      </c>
      <c r="J2590" s="12"/>
      <c r="K2590" s="13"/>
      <c r="L2590" s="13"/>
      <c r="M2590" s="12"/>
      <c r="N2590" s="12"/>
      <c r="O2590" s="12"/>
      <c r="P2590" s="13"/>
      <c r="Q2590" s="13"/>
      <c r="R2590" s="12"/>
      <c r="S2590" s="12"/>
      <c r="T2590" s="12"/>
      <c r="U2590" s="14"/>
      <c r="V2590" s="15"/>
      <c r="W2590" s="16" t="n">
        <f aca="false">A2590</f>
        <v>0</v>
      </c>
      <c r="X2590" s="17" t="e">
        <f aca="false">ifs(C2590="","",X2590="",NOW(),TRUE(),X2590)</f>
        <v>#VALUE!</v>
      </c>
      <c r="Y2590" s="17" t="e">
        <f aca="false">ifs(COUNTA(K2590:U2593)&lt;44,"",Y2590="",NOW(),TRUE(),Y2590)</f>
        <v>#VALUE!</v>
      </c>
    </row>
    <row r="2591" customFormat="false" ht="15.75" hidden="false" customHeight="false" outlineLevel="0" collapsed="false">
      <c r="A2591" s="9"/>
      <c r="B2591" s="10"/>
      <c r="C2591" s="10"/>
      <c r="D2591" s="10"/>
      <c r="E2591" s="10"/>
      <c r="F2591" s="10"/>
      <c r="G2591" s="10"/>
      <c r="H2591" s="10"/>
      <c r="I2591" s="18" t="n">
        <v>2</v>
      </c>
      <c r="J2591" s="18"/>
      <c r="K2591" s="19"/>
      <c r="L2591" s="19"/>
      <c r="M2591" s="18"/>
      <c r="N2591" s="18"/>
      <c r="O2591" s="18"/>
      <c r="P2591" s="19"/>
      <c r="Q2591" s="19"/>
      <c r="R2591" s="18"/>
      <c r="S2591" s="18"/>
      <c r="T2591" s="18"/>
      <c r="U2591" s="20"/>
      <c r="V2591" s="21"/>
      <c r="W2591" s="16"/>
      <c r="X2591" s="16"/>
      <c r="Y2591" s="16"/>
    </row>
    <row r="2592" customFormat="false" ht="15.75" hidden="false" customHeight="false" outlineLevel="0" collapsed="false">
      <c r="A2592" s="9"/>
      <c r="B2592" s="10"/>
      <c r="C2592" s="10"/>
      <c r="D2592" s="10"/>
      <c r="E2592" s="10"/>
      <c r="F2592" s="10"/>
      <c r="G2592" s="10"/>
      <c r="H2592" s="10"/>
      <c r="I2592" s="22" t="n">
        <v>3</v>
      </c>
      <c r="J2592" s="22"/>
      <c r="K2592" s="23"/>
      <c r="L2592" s="23"/>
      <c r="M2592" s="22"/>
      <c r="N2592" s="22"/>
      <c r="O2592" s="22"/>
      <c r="P2592" s="23"/>
      <c r="Q2592" s="23"/>
      <c r="R2592" s="22"/>
      <c r="S2592" s="22"/>
      <c r="T2592" s="22"/>
      <c r="U2592" s="24"/>
      <c r="V2592" s="15"/>
      <c r="W2592" s="16"/>
      <c r="X2592" s="16"/>
      <c r="Y2592" s="16"/>
    </row>
    <row r="2593" customFormat="false" ht="15.75" hidden="false" customHeight="false" outlineLevel="0" collapsed="false">
      <c r="A2593" s="9"/>
      <c r="B2593" s="10"/>
      <c r="C2593" s="10"/>
      <c r="D2593" s="10"/>
      <c r="E2593" s="10"/>
      <c r="F2593" s="10"/>
      <c r="G2593" s="10"/>
      <c r="H2593" s="10"/>
      <c r="I2593" s="25" t="n">
        <v>4</v>
      </c>
      <c r="J2593" s="25"/>
      <c r="K2593" s="26"/>
      <c r="L2593" s="26"/>
      <c r="M2593" s="25"/>
      <c r="N2593" s="25"/>
      <c r="O2593" s="25"/>
      <c r="P2593" s="26"/>
      <c r="Q2593" s="26"/>
      <c r="R2593" s="25"/>
      <c r="S2593" s="25"/>
      <c r="T2593" s="25"/>
      <c r="U2593" s="27"/>
      <c r="V2593" s="21"/>
      <c r="W2593" s="16"/>
      <c r="X2593" s="16"/>
      <c r="Y2593" s="16"/>
    </row>
    <row r="2594" customFormat="false" ht="15.75" hidden="false" customHeight="false" outlineLevel="0" collapsed="false">
      <c r="A2594" s="9"/>
      <c r="B2594" s="10"/>
      <c r="C2594" s="11"/>
      <c r="D2594" s="10"/>
      <c r="E2594" s="10"/>
      <c r="F2594" s="10"/>
      <c r="G2594" s="10"/>
      <c r="H2594" s="10"/>
      <c r="I2594" s="12" t="n">
        <v>1</v>
      </c>
      <c r="J2594" s="12"/>
      <c r="K2594" s="13"/>
      <c r="L2594" s="13"/>
      <c r="M2594" s="12"/>
      <c r="N2594" s="12"/>
      <c r="O2594" s="12"/>
      <c r="P2594" s="13"/>
      <c r="Q2594" s="13"/>
      <c r="R2594" s="12"/>
      <c r="S2594" s="12"/>
      <c r="T2594" s="12"/>
      <c r="U2594" s="14"/>
      <c r="V2594" s="15"/>
      <c r="W2594" s="16" t="n">
        <f aca="false">A2594</f>
        <v>0</v>
      </c>
      <c r="X2594" s="17" t="e">
        <f aca="false">ifs(C2594="","",X2594="",NOW(),TRUE(),X2594)</f>
        <v>#VALUE!</v>
      </c>
      <c r="Y2594" s="17" t="e">
        <f aca="false">ifs(COUNTA(K2594:U2597)&lt;44,"",Y2594="",NOW(),TRUE(),Y2594)</f>
        <v>#VALUE!</v>
      </c>
    </row>
    <row r="2595" customFormat="false" ht="15.75" hidden="false" customHeight="false" outlineLevel="0" collapsed="false">
      <c r="A2595" s="9"/>
      <c r="B2595" s="10"/>
      <c r="C2595" s="10"/>
      <c r="D2595" s="10"/>
      <c r="E2595" s="10"/>
      <c r="F2595" s="10"/>
      <c r="G2595" s="10"/>
      <c r="H2595" s="10"/>
      <c r="I2595" s="18" t="n">
        <v>2</v>
      </c>
      <c r="J2595" s="18"/>
      <c r="K2595" s="19"/>
      <c r="L2595" s="19"/>
      <c r="M2595" s="18"/>
      <c r="N2595" s="18"/>
      <c r="O2595" s="18"/>
      <c r="P2595" s="19"/>
      <c r="Q2595" s="19"/>
      <c r="R2595" s="18"/>
      <c r="S2595" s="18"/>
      <c r="T2595" s="18"/>
      <c r="U2595" s="20"/>
      <c r="V2595" s="21"/>
      <c r="W2595" s="16"/>
      <c r="X2595" s="16"/>
      <c r="Y2595" s="16"/>
    </row>
    <row r="2596" customFormat="false" ht="15.75" hidden="false" customHeight="false" outlineLevel="0" collapsed="false">
      <c r="A2596" s="9"/>
      <c r="B2596" s="10"/>
      <c r="C2596" s="10"/>
      <c r="D2596" s="10"/>
      <c r="E2596" s="10"/>
      <c r="F2596" s="10"/>
      <c r="G2596" s="10"/>
      <c r="H2596" s="10"/>
      <c r="I2596" s="22" t="n">
        <v>3</v>
      </c>
      <c r="J2596" s="22"/>
      <c r="K2596" s="23"/>
      <c r="L2596" s="23"/>
      <c r="M2596" s="22"/>
      <c r="N2596" s="22"/>
      <c r="O2596" s="22"/>
      <c r="P2596" s="23"/>
      <c r="Q2596" s="23"/>
      <c r="R2596" s="22"/>
      <c r="S2596" s="22"/>
      <c r="T2596" s="22"/>
      <c r="U2596" s="24"/>
      <c r="V2596" s="15"/>
      <c r="W2596" s="16"/>
      <c r="X2596" s="16"/>
      <c r="Y2596" s="16"/>
    </row>
    <row r="2597" customFormat="false" ht="15.75" hidden="false" customHeight="false" outlineLevel="0" collapsed="false">
      <c r="A2597" s="9"/>
      <c r="B2597" s="10"/>
      <c r="C2597" s="10"/>
      <c r="D2597" s="10"/>
      <c r="E2597" s="10"/>
      <c r="F2597" s="10"/>
      <c r="G2597" s="10"/>
      <c r="H2597" s="10"/>
      <c r="I2597" s="25" t="n">
        <v>4</v>
      </c>
      <c r="J2597" s="25"/>
      <c r="K2597" s="26"/>
      <c r="L2597" s="26"/>
      <c r="M2597" s="25"/>
      <c r="N2597" s="25"/>
      <c r="O2597" s="25"/>
      <c r="P2597" s="26"/>
      <c r="Q2597" s="26"/>
      <c r="R2597" s="25"/>
      <c r="S2597" s="25"/>
      <c r="T2597" s="25"/>
      <c r="U2597" s="27"/>
      <c r="V2597" s="21"/>
      <c r="W2597" s="16"/>
      <c r="X2597" s="16"/>
      <c r="Y2597" s="16"/>
    </row>
    <row r="2598" customFormat="false" ht="15.75" hidden="false" customHeight="false" outlineLevel="0" collapsed="false">
      <c r="A2598" s="9"/>
      <c r="B2598" s="10"/>
      <c r="C2598" s="11"/>
      <c r="D2598" s="10"/>
      <c r="E2598" s="10"/>
      <c r="F2598" s="10"/>
      <c r="G2598" s="10"/>
      <c r="H2598" s="10"/>
      <c r="I2598" s="12" t="n">
        <v>1</v>
      </c>
      <c r="J2598" s="12"/>
      <c r="K2598" s="13"/>
      <c r="L2598" s="13"/>
      <c r="M2598" s="12"/>
      <c r="N2598" s="12"/>
      <c r="O2598" s="12"/>
      <c r="P2598" s="13"/>
      <c r="Q2598" s="13"/>
      <c r="R2598" s="12"/>
      <c r="S2598" s="12"/>
      <c r="T2598" s="12"/>
      <c r="U2598" s="14"/>
      <c r="V2598" s="15"/>
      <c r="W2598" s="16" t="n">
        <f aca="false">A2598</f>
        <v>0</v>
      </c>
      <c r="X2598" s="17" t="e">
        <f aca="false">ifs(C2598="","",X2598="",NOW(),TRUE(),X2598)</f>
        <v>#VALUE!</v>
      </c>
      <c r="Y2598" s="17" t="e">
        <f aca="false">ifs(COUNTA(K2598:U2601)&lt;44,"",Y2598="",NOW(),TRUE(),Y2598)</f>
        <v>#VALUE!</v>
      </c>
    </row>
    <row r="2599" customFormat="false" ht="15.75" hidden="false" customHeight="false" outlineLevel="0" collapsed="false">
      <c r="A2599" s="9"/>
      <c r="B2599" s="10"/>
      <c r="C2599" s="10"/>
      <c r="D2599" s="10"/>
      <c r="E2599" s="10"/>
      <c r="F2599" s="10"/>
      <c r="G2599" s="10"/>
      <c r="H2599" s="10"/>
      <c r="I2599" s="18" t="n">
        <v>2</v>
      </c>
      <c r="J2599" s="18"/>
      <c r="K2599" s="19"/>
      <c r="L2599" s="19"/>
      <c r="M2599" s="18"/>
      <c r="N2599" s="18"/>
      <c r="O2599" s="18"/>
      <c r="P2599" s="19"/>
      <c r="Q2599" s="19"/>
      <c r="R2599" s="18"/>
      <c r="S2599" s="18"/>
      <c r="T2599" s="18"/>
      <c r="U2599" s="20"/>
      <c r="V2599" s="21"/>
      <c r="W2599" s="16"/>
      <c r="X2599" s="16"/>
      <c r="Y2599" s="16"/>
    </row>
    <row r="2600" customFormat="false" ht="15.75" hidden="false" customHeight="false" outlineLevel="0" collapsed="false">
      <c r="A2600" s="9"/>
      <c r="B2600" s="10"/>
      <c r="C2600" s="10"/>
      <c r="D2600" s="10"/>
      <c r="E2600" s="10"/>
      <c r="F2600" s="10"/>
      <c r="G2600" s="10"/>
      <c r="H2600" s="10"/>
      <c r="I2600" s="22" t="n">
        <v>3</v>
      </c>
      <c r="J2600" s="22"/>
      <c r="K2600" s="23"/>
      <c r="L2600" s="23"/>
      <c r="M2600" s="22"/>
      <c r="N2600" s="22"/>
      <c r="O2600" s="22"/>
      <c r="P2600" s="23"/>
      <c r="Q2600" s="23"/>
      <c r="R2600" s="22"/>
      <c r="S2600" s="22"/>
      <c r="T2600" s="22"/>
      <c r="U2600" s="24"/>
      <c r="V2600" s="15"/>
      <c r="W2600" s="16"/>
      <c r="X2600" s="16"/>
      <c r="Y2600" s="16"/>
    </row>
    <row r="2601" customFormat="false" ht="15.75" hidden="false" customHeight="false" outlineLevel="0" collapsed="false">
      <c r="A2601" s="9"/>
      <c r="B2601" s="10"/>
      <c r="C2601" s="10"/>
      <c r="D2601" s="10"/>
      <c r="E2601" s="10"/>
      <c r="F2601" s="10"/>
      <c r="G2601" s="10"/>
      <c r="H2601" s="10"/>
      <c r="I2601" s="25" t="n">
        <v>4</v>
      </c>
      <c r="J2601" s="25"/>
      <c r="K2601" s="26"/>
      <c r="L2601" s="26"/>
      <c r="M2601" s="25"/>
      <c r="N2601" s="25"/>
      <c r="O2601" s="25"/>
      <c r="P2601" s="26"/>
      <c r="Q2601" s="26"/>
      <c r="R2601" s="25"/>
      <c r="S2601" s="25"/>
      <c r="T2601" s="25"/>
      <c r="U2601" s="27"/>
      <c r="V2601" s="21"/>
      <c r="W2601" s="16"/>
      <c r="X2601" s="16"/>
      <c r="Y2601" s="16"/>
    </row>
    <row r="2602" customFormat="false" ht="15.75" hidden="false" customHeight="false" outlineLevel="0" collapsed="false">
      <c r="A2602" s="9"/>
      <c r="B2602" s="10"/>
      <c r="C2602" s="11"/>
      <c r="D2602" s="10"/>
      <c r="E2602" s="10"/>
      <c r="F2602" s="10"/>
      <c r="G2602" s="10"/>
      <c r="H2602" s="10"/>
      <c r="I2602" s="12" t="n">
        <v>1</v>
      </c>
      <c r="J2602" s="12"/>
      <c r="K2602" s="13"/>
      <c r="L2602" s="13"/>
      <c r="M2602" s="12"/>
      <c r="N2602" s="12"/>
      <c r="O2602" s="12"/>
      <c r="P2602" s="13"/>
      <c r="Q2602" s="13"/>
      <c r="R2602" s="12"/>
      <c r="S2602" s="12"/>
      <c r="T2602" s="12"/>
      <c r="U2602" s="14"/>
      <c r="V2602" s="15"/>
      <c r="W2602" s="16" t="n">
        <f aca="false">A2602</f>
        <v>0</v>
      </c>
      <c r="X2602" s="17" t="e">
        <f aca="false">ifs(C2602="","",X2602="",NOW(),TRUE(),X2602)</f>
        <v>#VALUE!</v>
      </c>
      <c r="Y2602" s="17" t="e">
        <f aca="false">ifs(COUNTA(K2602:U2605)&lt;44,"",Y2602="",NOW(),TRUE(),Y2602)</f>
        <v>#VALUE!</v>
      </c>
    </row>
    <row r="2603" customFormat="false" ht="15.75" hidden="false" customHeight="false" outlineLevel="0" collapsed="false">
      <c r="A2603" s="9"/>
      <c r="B2603" s="10"/>
      <c r="C2603" s="10"/>
      <c r="D2603" s="10"/>
      <c r="E2603" s="10"/>
      <c r="F2603" s="10"/>
      <c r="G2603" s="10"/>
      <c r="H2603" s="10"/>
      <c r="I2603" s="18" t="n">
        <v>2</v>
      </c>
      <c r="J2603" s="18"/>
      <c r="K2603" s="19"/>
      <c r="L2603" s="19"/>
      <c r="M2603" s="18"/>
      <c r="N2603" s="18"/>
      <c r="O2603" s="18"/>
      <c r="P2603" s="19"/>
      <c r="Q2603" s="19"/>
      <c r="R2603" s="18"/>
      <c r="S2603" s="18"/>
      <c r="T2603" s="18"/>
      <c r="U2603" s="20"/>
      <c r="V2603" s="21"/>
      <c r="W2603" s="16"/>
      <c r="X2603" s="16"/>
      <c r="Y2603" s="16"/>
    </row>
    <row r="2604" customFormat="false" ht="15.75" hidden="false" customHeight="false" outlineLevel="0" collapsed="false">
      <c r="A2604" s="9"/>
      <c r="B2604" s="10"/>
      <c r="C2604" s="10"/>
      <c r="D2604" s="10"/>
      <c r="E2604" s="10"/>
      <c r="F2604" s="10"/>
      <c r="G2604" s="10"/>
      <c r="H2604" s="10"/>
      <c r="I2604" s="22" t="n">
        <v>3</v>
      </c>
      <c r="J2604" s="22"/>
      <c r="K2604" s="23"/>
      <c r="L2604" s="23"/>
      <c r="M2604" s="22"/>
      <c r="N2604" s="22"/>
      <c r="O2604" s="22"/>
      <c r="P2604" s="23"/>
      <c r="Q2604" s="23"/>
      <c r="R2604" s="22"/>
      <c r="S2604" s="22"/>
      <c r="T2604" s="22"/>
      <c r="U2604" s="24"/>
      <c r="V2604" s="15"/>
      <c r="W2604" s="16"/>
      <c r="X2604" s="16"/>
      <c r="Y2604" s="16"/>
    </row>
    <row r="2605" customFormat="false" ht="15.75" hidden="false" customHeight="false" outlineLevel="0" collapsed="false">
      <c r="A2605" s="9"/>
      <c r="B2605" s="10"/>
      <c r="C2605" s="10"/>
      <c r="D2605" s="10"/>
      <c r="E2605" s="10"/>
      <c r="F2605" s="10"/>
      <c r="G2605" s="10"/>
      <c r="H2605" s="10"/>
      <c r="I2605" s="25" t="n">
        <v>4</v>
      </c>
      <c r="J2605" s="25"/>
      <c r="K2605" s="26"/>
      <c r="L2605" s="26"/>
      <c r="M2605" s="25"/>
      <c r="N2605" s="25"/>
      <c r="O2605" s="25"/>
      <c r="P2605" s="26"/>
      <c r="Q2605" s="26"/>
      <c r="R2605" s="25"/>
      <c r="S2605" s="25"/>
      <c r="T2605" s="25"/>
      <c r="U2605" s="27"/>
      <c r="V2605" s="21"/>
      <c r="W2605" s="16"/>
      <c r="X2605" s="16"/>
      <c r="Y2605" s="16"/>
    </row>
    <row r="2606" customFormat="false" ht="15.75" hidden="false" customHeight="false" outlineLevel="0" collapsed="false">
      <c r="A2606" s="9"/>
      <c r="B2606" s="10"/>
      <c r="C2606" s="11"/>
      <c r="D2606" s="10"/>
      <c r="E2606" s="10"/>
      <c r="F2606" s="10"/>
      <c r="G2606" s="10"/>
      <c r="H2606" s="10"/>
      <c r="I2606" s="12" t="n">
        <v>1</v>
      </c>
      <c r="J2606" s="12"/>
      <c r="K2606" s="13"/>
      <c r="L2606" s="13"/>
      <c r="M2606" s="12"/>
      <c r="N2606" s="12"/>
      <c r="O2606" s="12"/>
      <c r="P2606" s="13"/>
      <c r="Q2606" s="13"/>
      <c r="R2606" s="12"/>
      <c r="S2606" s="12"/>
      <c r="T2606" s="12"/>
      <c r="U2606" s="14"/>
      <c r="V2606" s="15"/>
      <c r="W2606" s="16" t="n">
        <f aca="false">A2606</f>
        <v>0</v>
      </c>
      <c r="X2606" s="17" t="e">
        <f aca="false">ifs(C2606="","",X2606="",NOW(),TRUE(),X2606)</f>
        <v>#VALUE!</v>
      </c>
      <c r="Y2606" s="17" t="e">
        <f aca="false">ifs(COUNTA(K2606:U2609)&lt;44,"",Y2606="",NOW(),TRUE(),Y2606)</f>
        <v>#VALUE!</v>
      </c>
    </row>
    <row r="2607" customFormat="false" ht="15.75" hidden="false" customHeight="false" outlineLevel="0" collapsed="false">
      <c r="A2607" s="9"/>
      <c r="B2607" s="10"/>
      <c r="C2607" s="10"/>
      <c r="D2607" s="10"/>
      <c r="E2607" s="10"/>
      <c r="F2607" s="10"/>
      <c r="G2607" s="10"/>
      <c r="H2607" s="10"/>
      <c r="I2607" s="18" t="n">
        <v>2</v>
      </c>
      <c r="J2607" s="18"/>
      <c r="K2607" s="19"/>
      <c r="L2607" s="19"/>
      <c r="M2607" s="18"/>
      <c r="N2607" s="18"/>
      <c r="O2607" s="18"/>
      <c r="P2607" s="19"/>
      <c r="Q2607" s="19"/>
      <c r="R2607" s="18"/>
      <c r="S2607" s="18"/>
      <c r="T2607" s="18"/>
      <c r="U2607" s="20"/>
      <c r="V2607" s="21"/>
      <c r="W2607" s="16"/>
      <c r="X2607" s="16"/>
      <c r="Y2607" s="16"/>
    </row>
    <row r="2608" customFormat="false" ht="15.75" hidden="false" customHeight="false" outlineLevel="0" collapsed="false">
      <c r="A2608" s="9"/>
      <c r="B2608" s="10"/>
      <c r="C2608" s="10"/>
      <c r="D2608" s="10"/>
      <c r="E2608" s="10"/>
      <c r="F2608" s="10"/>
      <c r="G2608" s="10"/>
      <c r="H2608" s="10"/>
      <c r="I2608" s="22" t="n">
        <v>3</v>
      </c>
      <c r="J2608" s="22"/>
      <c r="K2608" s="23"/>
      <c r="L2608" s="23"/>
      <c r="M2608" s="22"/>
      <c r="N2608" s="22"/>
      <c r="O2608" s="22"/>
      <c r="P2608" s="23"/>
      <c r="Q2608" s="23"/>
      <c r="R2608" s="22"/>
      <c r="S2608" s="22"/>
      <c r="T2608" s="22"/>
      <c r="U2608" s="24"/>
      <c r="V2608" s="15"/>
      <c r="W2608" s="16"/>
      <c r="X2608" s="16"/>
      <c r="Y2608" s="16"/>
    </row>
    <row r="2609" customFormat="false" ht="15.75" hidden="false" customHeight="false" outlineLevel="0" collapsed="false">
      <c r="A2609" s="9"/>
      <c r="B2609" s="10"/>
      <c r="C2609" s="10"/>
      <c r="D2609" s="10"/>
      <c r="E2609" s="10"/>
      <c r="F2609" s="10"/>
      <c r="G2609" s="10"/>
      <c r="H2609" s="10"/>
      <c r="I2609" s="25" t="n">
        <v>4</v>
      </c>
      <c r="J2609" s="25"/>
      <c r="K2609" s="26"/>
      <c r="L2609" s="26"/>
      <c r="M2609" s="25"/>
      <c r="N2609" s="25"/>
      <c r="O2609" s="25"/>
      <c r="P2609" s="26"/>
      <c r="Q2609" s="26"/>
      <c r="R2609" s="25"/>
      <c r="S2609" s="25"/>
      <c r="T2609" s="25"/>
      <c r="U2609" s="27"/>
      <c r="V2609" s="21"/>
      <c r="W2609" s="16"/>
      <c r="X2609" s="16"/>
      <c r="Y2609" s="16"/>
    </row>
    <row r="2610" customFormat="false" ht="15.75" hidden="false" customHeight="false" outlineLevel="0" collapsed="false">
      <c r="A2610" s="9"/>
      <c r="B2610" s="10"/>
      <c r="C2610" s="11"/>
      <c r="D2610" s="10"/>
      <c r="E2610" s="10"/>
      <c r="F2610" s="10"/>
      <c r="G2610" s="10"/>
      <c r="H2610" s="10"/>
      <c r="I2610" s="12" t="n">
        <v>1</v>
      </c>
      <c r="J2610" s="12"/>
      <c r="K2610" s="13"/>
      <c r="L2610" s="13"/>
      <c r="M2610" s="12"/>
      <c r="N2610" s="12"/>
      <c r="O2610" s="12"/>
      <c r="P2610" s="13"/>
      <c r="Q2610" s="13"/>
      <c r="R2610" s="12"/>
      <c r="S2610" s="12"/>
      <c r="T2610" s="12"/>
      <c r="U2610" s="14"/>
      <c r="V2610" s="15"/>
      <c r="W2610" s="16" t="n">
        <f aca="false">A2610</f>
        <v>0</v>
      </c>
      <c r="X2610" s="17" t="e">
        <f aca="false">ifs(C2610="","",X2610="",NOW(),TRUE(),X2610)</f>
        <v>#VALUE!</v>
      </c>
      <c r="Y2610" s="17" t="e">
        <f aca="false">ifs(COUNTA(K2610:U2613)&lt;44,"",Y2610="",NOW(),TRUE(),Y2610)</f>
        <v>#VALUE!</v>
      </c>
    </row>
    <row r="2611" customFormat="false" ht="15.75" hidden="false" customHeight="false" outlineLevel="0" collapsed="false">
      <c r="A2611" s="9"/>
      <c r="B2611" s="10"/>
      <c r="C2611" s="10"/>
      <c r="D2611" s="10"/>
      <c r="E2611" s="10"/>
      <c r="F2611" s="10"/>
      <c r="G2611" s="10"/>
      <c r="H2611" s="10"/>
      <c r="I2611" s="18" t="n">
        <v>2</v>
      </c>
      <c r="J2611" s="18"/>
      <c r="K2611" s="19"/>
      <c r="L2611" s="19"/>
      <c r="M2611" s="18"/>
      <c r="N2611" s="18"/>
      <c r="O2611" s="18"/>
      <c r="P2611" s="19"/>
      <c r="Q2611" s="19"/>
      <c r="R2611" s="18"/>
      <c r="S2611" s="18"/>
      <c r="T2611" s="18"/>
      <c r="U2611" s="20"/>
      <c r="V2611" s="21"/>
      <c r="W2611" s="16"/>
      <c r="X2611" s="16"/>
      <c r="Y2611" s="16"/>
    </row>
    <row r="2612" customFormat="false" ht="15.75" hidden="false" customHeight="false" outlineLevel="0" collapsed="false">
      <c r="A2612" s="9"/>
      <c r="B2612" s="10"/>
      <c r="C2612" s="10"/>
      <c r="D2612" s="10"/>
      <c r="E2612" s="10"/>
      <c r="F2612" s="10"/>
      <c r="G2612" s="10"/>
      <c r="H2612" s="10"/>
      <c r="I2612" s="22" t="n">
        <v>3</v>
      </c>
      <c r="J2612" s="22"/>
      <c r="K2612" s="23"/>
      <c r="L2612" s="23"/>
      <c r="M2612" s="22"/>
      <c r="N2612" s="22"/>
      <c r="O2612" s="22"/>
      <c r="P2612" s="23"/>
      <c r="Q2612" s="23"/>
      <c r="R2612" s="22"/>
      <c r="S2612" s="22"/>
      <c r="T2612" s="22"/>
      <c r="U2612" s="24"/>
      <c r="V2612" s="15"/>
      <c r="W2612" s="16"/>
      <c r="X2612" s="16"/>
      <c r="Y2612" s="16"/>
    </row>
    <row r="2613" customFormat="false" ht="15.75" hidden="false" customHeight="false" outlineLevel="0" collapsed="false">
      <c r="A2613" s="9"/>
      <c r="B2613" s="10"/>
      <c r="C2613" s="10"/>
      <c r="D2613" s="10"/>
      <c r="E2613" s="10"/>
      <c r="F2613" s="10"/>
      <c r="G2613" s="10"/>
      <c r="H2613" s="10"/>
      <c r="I2613" s="25" t="n">
        <v>4</v>
      </c>
      <c r="J2613" s="25"/>
      <c r="K2613" s="26"/>
      <c r="L2613" s="26"/>
      <c r="M2613" s="25"/>
      <c r="N2613" s="25"/>
      <c r="O2613" s="25"/>
      <c r="P2613" s="26"/>
      <c r="Q2613" s="26"/>
      <c r="R2613" s="25"/>
      <c r="S2613" s="25"/>
      <c r="T2613" s="25"/>
      <c r="U2613" s="27"/>
      <c r="V2613" s="21"/>
      <c r="W2613" s="16"/>
      <c r="X2613" s="16"/>
      <c r="Y2613" s="16"/>
    </row>
    <row r="2614" customFormat="false" ht="15.75" hidden="false" customHeight="false" outlineLevel="0" collapsed="false">
      <c r="A2614" s="9"/>
      <c r="B2614" s="10"/>
      <c r="C2614" s="11"/>
      <c r="D2614" s="10"/>
      <c r="E2614" s="10"/>
      <c r="F2614" s="10"/>
      <c r="G2614" s="10"/>
      <c r="H2614" s="10"/>
      <c r="I2614" s="12" t="n">
        <v>1</v>
      </c>
      <c r="J2614" s="12"/>
      <c r="K2614" s="13"/>
      <c r="L2614" s="13"/>
      <c r="M2614" s="12"/>
      <c r="N2614" s="12"/>
      <c r="O2614" s="12"/>
      <c r="P2614" s="13"/>
      <c r="Q2614" s="13"/>
      <c r="R2614" s="12"/>
      <c r="S2614" s="12"/>
      <c r="T2614" s="12"/>
      <c r="U2614" s="14"/>
      <c r="V2614" s="15"/>
      <c r="W2614" s="16" t="n">
        <f aca="false">A2614</f>
        <v>0</v>
      </c>
      <c r="X2614" s="17" t="e">
        <f aca="false">ifs(C2614="","",X2614="",NOW(),TRUE(),X2614)</f>
        <v>#VALUE!</v>
      </c>
      <c r="Y2614" s="17" t="e">
        <f aca="false">ifs(COUNTA(K2614:U2617)&lt;44,"",Y2614="",NOW(),TRUE(),Y2614)</f>
        <v>#VALUE!</v>
      </c>
    </row>
    <row r="2615" customFormat="false" ht="15.75" hidden="false" customHeight="false" outlineLevel="0" collapsed="false">
      <c r="A2615" s="9"/>
      <c r="B2615" s="10"/>
      <c r="C2615" s="10"/>
      <c r="D2615" s="10"/>
      <c r="E2615" s="10"/>
      <c r="F2615" s="10"/>
      <c r="G2615" s="10"/>
      <c r="H2615" s="10"/>
      <c r="I2615" s="18" t="n">
        <v>2</v>
      </c>
      <c r="J2615" s="18"/>
      <c r="K2615" s="19"/>
      <c r="L2615" s="19"/>
      <c r="M2615" s="18"/>
      <c r="N2615" s="18"/>
      <c r="O2615" s="18"/>
      <c r="P2615" s="19"/>
      <c r="Q2615" s="19"/>
      <c r="R2615" s="18"/>
      <c r="S2615" s="18"/>
      <c r="T2615" s="18"/>
      <c r="U2615" s="20"/>
      <c r="V2615" s="21"/>
      <c r="W2615" s="16"/>
      <c r="X2615" s="16"/>
      <c r="Y2615" s="16"/>
    </row>
    <row r="2616" customFormat="false" ht="15.75" hidden="false" customHeight="false" outlineLevel="0" collapsed="false">
      <c r="A2616" s="9"/>
      <c r="B2616" s="10"/>
      <c r="C2616" s="10"/>
      <c r="D2616" s="10"/>
      <c r="E2616" s="10"/>
      <c r="F2616" s="10"/>
      <c r="G2616" s="10"/>
      <c r="H2616" s="10"/>
      <c r="I2616" s="22" t="n">
        <v>3</v>
      </c>
      <c r="J2616" s="22"/>
      <c r="K2616" s="23"/>
      <c r="L2616" s="23"/>
      <c r="M2616" s="22"/>
      <c r="N2616" s="22"/>
      <c r="O2616" s="22"/>
      <c r="P2616" s="23"/>
      <c r="Q2616" s="23"/>
      <c r="R2616" s="22"/>
      <c r="S2616" s="22"/>
      <c r="T2616" s="22"/>
      <c r="U2616" s="24"/>
      <c r="V2616" s="15"/>
      <c r="W2616" s="16"/>
      <c r="X2616" s="16"/>
      <c r="Y2616" s="16"/>
    </row>
    <row r="2617" customFormat="false" ht="15.75" hidden="false" customHeight="false" outlineLevel="0" collapsed="false">
      <c r="A2617" s="9"/>
      <c r="B2617" s="10"/>
      <c r="C2617" s="10"/>
      <c r="D2617" s="10"/>
      <c r="E2617" s="10"/>
      <c r="F2617" s="10"/>
      <c r="G2617" s="10"/>
      <c r="H2617" s="10"/>
      <c r="I2617" s="25" t="n">
        <v>4</v>
      </c>
      <c r="J2617" s="25"/>
      <c r="K2617" s="26"/>
      <c r="L2617" s="26"/>
      <c r="M2617" s="25"/>
      <c r="N2617" s="25"/>
      <c r="O2617" s="25"/>
      <c r="P2617" s="26"/>
      <c r="Q2617" s="26"/>
      <c r="R2617" s="25"/>
      <c r="S2617" s="25"/>
      <c r="T2617" s="25"/>
      <c r="U2617" s="27"/>
      <c r="V2617" s="21"/>
      <c r="W2617" s="16"/>
      <c r="X2617" s="16"/>
      <c r="Y2617" s="16"/>
    </row>
    <row r="2618" customFormat="false" ht="15.75" hidden="false" customHeight="false" outlineLevel="0" collapsed="false">
      <c r="A2618" s="9"/>
      <c r="B2618" s="10"/>
      <c r="C2618" s="11"/>
      <c r="D2618" s="10"/>
      <c r="E2618" s="10"/>
      <c r="F2618" s="10"/>
      <c r="G2618" s="10"/>
      <c r="H2618" s="10"/>
      <c r="I2618" s="12" t="n">
        <v>1</v>
      </c>
      <c r="J2618" s="12"/>
      <c r="K2618" s="13"/>
      <c r="L2618" s="13"/>
      <c r="M2618" s="12"/>
      <c r="N2618" s="12"/>
      <c r="O2618" s="12"/>
      <c r="P2618" s="13"/>
      <c r="Q2618" s="13"/>
      <c r="R2618" s="12"/>
      <c r="S2618" s="12"/>
      <c r="T2618" s="12"/>
      <c r="U2618" s="14"/>
      <c r="V2618" s="15"/>
      <c r="W2618" s="16" t="n">
        <f aca="false">A2618</f>
        <v>0</v>
      </c>
      <c r="X2618" s="17" t="e">
        <f aca="false">ifs(C2618="","",X2618="",NOW(),TRUE(),X2618)</f>
        <v>#VALUE!</v>
      </c>
      <c r="Y2618" s="17" t="e">
        <f aca="false">ifs(COUNTA(K2618:U2621)&lt;44,"",Y2618="",NOW(),TRUE(),Y2618)</f>
        <v>#VALUE!</v>
      </c>
    </row>
    <row r="2619" customFormat="false" ht="15.75" hidden="false" customHeight="false" outlineLevel="0" collapsed="false">
      <c r="A2619" s="9"/>
      <c r="B2619" s="10"/>
      <c r="C2619" s="10"/>
      <c r="D2619" s="10"/>
      <c r="E2619" s="10"/>
      <c r="F2619" s="10"/>
      <c r="G2619" s="10"/>
      <c r="H2619" s="10"/>
      <c r="I2619" s="18" t="n">
        <v>2</v>
      </c>
      <c r="J2619" s="18"/>
      <c r="K2619" s="19"/>
      <c r="L2619" s="19"/>
      <c r="M2619" s="18"/>
      <c r="N2619" s="18"/>
      <c r="O2619" s="18"/>
      <c r="P2619" s="19"/>
      <c r="Q2619" s="19"/>
      <c r="R2619" s="18"/>
      <c r="S2619" s="18"/>
      <c r="T2619" s="18"/>
      <c r="U2619" s="20"/>
      <c r="V2619" s="21"/>
      <c r="W2619" s="16"/>
      <c r="X2619" s="16"/>
      <c r="Y2619" s="16"/>
    </row>
    <row r="2620" customFormat="false" ht="15.75" hidden="false" customHeight="false" outlineLevel="0" collapsed="false">
      <c r="A2620" s="9"/>
      <c r="B2620" s="10"/>
      <c r="C2620" s="10"/>
      <c r="D2620" s="10"/>
      <c r="E2620" s="10"/>
      <c r="F2620" s="10"/>
      <c r="G2620" s="10"/>
      <c r="H2620" s="10"/>
      <c r="I2620" s="22" t="n">
        <v>3</v>
      </c>
      <c r="J2620" s="22"/>
      <c r="K2620" s="23"/>
      <c r="L2620" s="23"/>
      <c r="M2620" s="22"/>
      <c r="N2620" s="22"/>
      <c r="O2620" s="22"/>
      <c r="P2620" s="23"/>
      <c r="Q2620" s="23"/>
      <c r="R2620" s="22"/>
      <c r="S2620" s="22"/>
      <c r="T2620" s="22"/>
      <c r="U2620" s="24"/>
      <c r="V2620" s="15"/>
      <c r="W2620" s="16"/>
      <c r="X2620" s="16"/>
      <c r="Y2620" s="16"/>
    </row>
    <row r="2621" customFormat="false" ht="15.75" hidden="false" customHeight="false" outlineLevel="0" collapsed="false">
      <c r="A2621" s="9"/>
      <c r="B2621" s="10"/>
      <c r="C2621" s="10"/>
      <c r="D2621" s="10"/>
      <c r="E2621" s="10"/>
      <c r="F2621" s="10"/>
      <c r="G2621" s="10"/>
      <c r="H2621" s="10"/>
      <c r="I2621" s="25" t="n">
        <v>4</v>
      </c>
      <c r="J2621" s="25"/>
      <c r="K2621" s="26"/>
      <c r="L2621" s="26"/>
      <c r="M2621" s="25"/>
      <c r="N2621" s="25"/>
      <c r="O2621" s="25"/>
      <c r="P2621" s="26"/>
      <c r="Q2621" s="26"/>
      <c r="R2621" s="25"/>
      <c r="S2621" s="25"/>
      <c r="T2621" s="25"/>
      <c r="U2621" s="27"/>
      <c r="V2621" s="21"/>
      <c r="W2621" s="16"/>
      <c r="X2621" s="16"/>
      <c r="Y2621" s="16"/>
    </row>
    <row r="2622" customFormat="false" ht="15.75" hidden="false" customHeight="false" outlineLevel="0" collapsed="false">
      <c r="A2622" s="9"/>
      <c r="B2622" s="10"/>
      <c r="C2622" s="11"/>
      <c r="D2622" s="10"/>
      <c r="E2622" s="10"/>
      <c r="F2622" s="10"/>
      <c r="G2622" s="10"/>
      <c r="H2622" s="10"/>
      <c r="I2622" s="12" t="n">
        <v>1</v>
      </c>
      <c r="J2622" s="12"/>
      <c r="K2622" s="13"/>
      <c r="L2622" s="13"/>
      <c r="M2622" s="12"/>
      <c r="N2622" s="12"/>
      <c r="O2622" s="12"/>
      <c r="P2622" s="13"/>
      <c r="Q2622" s="13"/>
      <c r="R2622" s="12"/>
      <c r="S2622" s="12"/>
      <c r="T2622" s="12"/>
      <c r="U2622" s="14"/>
      <c r="V2622" s="15"/>
      <c r="W2622" s="16" t="n">
        <f aca="false">A2622</f>
        <v>0</v>
      </c>
      <c r="X2622" s="17" t="e">
        <f aca="false">ifs(C2622="","",X2622="",NOW(),TRUE(),X2622)</f>
        <v>#VALUE!</v>
      </c>
      <c r="Y2622" s="17" t="e">
        <f aca="false">ifs(COUNTA(K2622:U2625)&lt;44,"",Y2622="",NOW(),TRUE(),Y2622)</f>
        <v>#VALUE!</v>
      </c>
    </row>
    <row r="2623" customFormat="false" ht="15.75" hidden="false" customHeight="false" outlineLevel="0" collapsed="false">
      <c r="A2623" s="9"/>
      <c r="B2623" s="10"/>
      <c r="C2623" s="10"/>
      <c r="D2623" s="10"/>
      <c r="E2623" s="10"/>
      <c r="F2623" s="10"/>
      <c r="G2623" s="10"/>
      <c r="H2623" s="10"/>
      <c r="I2623" s="18" t="n">
        <v>2</v>
      </c>
      <c r="J2623" s="18"/>
      <c r="K2623" s="19"/>
      <c r="L2623" s="19"/>
      <c r="M2623" s="18"/>
      <c r="N2623" s="18"/>
      <c r="O2623" s="18"/>
      <c r="P2623" s="19"/>
      <c r="Q2623" s="19"/>
      <c r="R2623" s="18"/>
      <c r="S2623" s="18"/>
      <c r="T2623" s="18"/>
      <c r="U2623" s="20"/>
      <c r="V2623" s="21"/>
      <c r="W2623" s="16"/>
      <c r="X2623" s="16"/>
      <c r="Y2623" s="16"/>
    </row>
    <row r="2624" customFormat="false" ht="15.75" hidden="false" customHeight="false" outlineLevel="0" collapsed="false">
      <c r="A2624" s="9"/>
      <c r="B2624" s="10"/>
      <c r="C2624" s="10"/>
      <c r="D2624" s="10"/>
      <c r="E2624" s="10"/>
      <c r="F2624" s="10"/>
      <c r="G2624" s="10"/>
      <c r="H2624" s="10"/>
      <c r="I2624" s="22" t="n">
        <v>3</v>
      </c>
      <c r="J2624" s="22"/>
      <c r="K2624" s="23"/>
      <c r="L2624" s="23"/>
      <c r="M2624" s="22"/>
      <c r="N2624" s="22"/>
      <c r="O2624" s="22"/>
      <c r="P2624" s="23"/>
      <c r="Q2624" s="23"/>
      <c r="R2624" s="22"/>
      <c r="S2624" s="22"/>
      <c r="T2624" s="22"/>
      <c r="U2624" s="24"/>
      <c r="V2624" s="15"/>
      <c r="W2624" s="16"/>
      <c r="X2624" s="16"/>
      <c r="Y2624" s="16"/>
    </row>
    <row r="2625" customFormat="false" ht="15.75" hidden="false" customHeight="false" outlineLevel="0" collapsed="false">
      <c r="A2625" s="9"/>
      <c r="B2625" s="10"/>
      <c r="C2625" s="10"/>
      <c r="D2625" s="10"/>
      <c r="E2625" s="10"/>
      <c r="F2625" s="10"/>
      <c r="G2625" s="10"/>
      <c r="H2625" s="10"/>
      <c r="I2625" s="25" t="n">
        <v>4</v>
      </c>
      <c r="J2625" s="25"/>
      <c r="K2625" s="26"/>
      <c r="L2625" s="26"/>
      <c r="M2625" s="25"/>
      <c r="N2625" s="25"/>
      <c r="O2625" s="25"/>
      <c r="P2625" s="26"/>
      <c r="Q2625" s="26"/>
      <c r="R2625" s="25"/>
      <c r="S2625" s="25"/>
      <c r="T2625" s="25"/>
      <c r="U2625" s="27"/>
      <c r="V2625" s="21"/>
      <c r="W2625" s="16"/>
      <c r="X2625" s="16"/>
      <c r="Y2625" s="16"/>
    </row>
    <row r="2626" customFormat="false" ht="15.75" hidden="false" customHeight="false" outlineLevel="0" collapsed="false">
      <c r="A2626" s="9"/>
      <c r="B2626" s="10"/>
      <c r="C2626" s="11"/>
      <c r="D2626" s="10"/>
      <c r="E2626" s="10"/>
      <c r="F2626" s="10"/>
      <c r="G2626" s="10"/>
      <c r="H2626" s="10"/>
      <c r="I2626" s="12" t="n">
        <v>1</v>
      </c>
      <c r="J2626" s="12"/>
      <c r="K2626" s="13"/>
      <c r="L2626" s="13"/>
      <c r="M2626" s="12"/>
      <c r="N2626" s="12"/>
      <c r="O2626" s="12"/>
      <c r="P2626" s="13"/>
      <c r="Q2626" s="13"/>
      <c r="R2626" s="12"/>
      <c r="S2626" s="12"/>
      <c r="T2626" s="12"/>
      <c r="U2626" s="14"/>
      <c r="V2626" s="15"/>
      <c r="W2626" s="16" t="n">
        <f aca="false">A2626</f>
        <v>0</v>
      </c>
      <c r="X2626" s="17" t="e">
        <f aca="false">ifs(C2626="","",X2626="",NOW(),TRUE(),X2626)</f>
        <v>#VALUE!</v>
      </c>
      <c r="Y2626" s="17" t="e">
        <f aca="false">ifs(COUNTA(K2626:U2629)&lt;44,"",Y2626="",NOW(),TRUE(),Y2626)</f>
        <v>#VALUE!</v>
      </c>
    </row>
    <row r="2627" customFormat="false" ht="15.75" hidden="false" customHeight="false" outlineLevel="0" collapsed="false">
      <c r="A2627" s="9"/>
      <c r="B2627" s="10"/>
      <c r="C2627" s="10"/>
      <c r="D2627" s="10"/>
      <c r="E2627" s="10"/>
      <c r="F2627" s="10"/>
      <c r="G2627" s="10"/>
      <c r="H2627" s="10"/>
      <c r="I2627" s="18" t="n">
        <v>2</v>
      </c>
      <c r="J2627" s="18"/>
      <c r="K2627" s="19"/>
      <c r="L2627" s="19"/>
      <c r="M2627" s="18"/>
      <c r="N2627" s="18"/>
      <c r="O2627" s="18"/>
      <c r="P2627" s="19"/>
      <c r="Q2627" s="19"/>
      <c r="R2627" s="18"/>
      <c r="S2627" s="18"/>
      <c r="T2627" s="18"/>
      <c r="U2627" s="20"/>
      <c r="V2627" s="21"/>
      <c r="W2627" s="16"/>
      <c r="X2627" s="16"/>
      <c r="Y2627" s="16"/>
    </row>
    <row r="2628" customFormat="false" ht="15.75" hidden="false" customHeight="false" outlineLevel="0" collapsed="false">
      <c r="A2628" s="9"/>
      <c r="B2628" s="10"/>
      <c r="C2628" s="10"/>
      <c r="D2628" s="10"/>
      <c r="E2628" s="10"/>
      <c r="F2628" s="10"/>
      <c r="G2628" s="10"/>
      <c r="H2628" s="10"/>
      <c r="I2628" s="22" t="n">
        <v>3</v>
      </c>
      <c r="J2628" s="22"/>
      <c r="K2628" s="23"/>
      <c r="L2628" s="23"/>
      <c r="M2628" s="22"/>
      <c r="N2628" s="22"/>
      <c r="O2628" s="22"/>
      <c r="P2628" s="23"/>
      <c r="Q2628" s="23"/>
      <c r="R2628" s="22"/>
      <c r="S2628" s="22"/>
      <c r="T2628" s="22"/>
      <c r="U2628" s="24"/>
      <c r="V2628" s="15"/>
      <c r="W2628" s="16"/>
      <c r="X2628" s="16"/>
      <c r="Y2628" s="16"/>
    </row>
    <row r="2629" customFormat="false" ht="15.75" hidden="false" customHeight="false" outlineLevel="0" collapsed="false">
      <c r="A2629" s="9"/>
      <c r="B2629" s="10"/>
      <c r="C2629" s="10"/>
      <c r="D2629" s="10"/>
      <c r="E2629" s="10"/>
      <c r="F2629" s="10"/>
      <c r="G2629" s="10"/>
      <c r="H2629" s="10"/>
      <c r="I2629" s="25" t="n">
        <v>4</v>
      </c>
      <c r="J2629" s="25"/>
      <c r="K2629" s="26"/>
      <c r="L2629" s="26"/>
      <c r="M2629" s="25"/>
      <c r="N2629" s="25"/>
      <c r="O2629" s="25"/>
      <c r="P2629" s="26"/>
      <c r="Q2629" s="26"/>
      <c r="R2629" s="25"/>
      <c r="S2629" s="25"/>
      <c r="T2629" s="25"/>
      <c r="U2629" s="27"/>
      <c r="V2629" s="21"/>
      <c r="W2629" s="16"/>
      <c r="X2629" s="16"/>
      <c r="Y2629" s="16"/>
    </row>
    <row r="2630" customFormat="false" ht="15.75" hidden="false" customHeight="false" outlineLevel="0" collapsed="false">
      <c r="A2630" s="9"/>
      <c r="B2630" s="10"/>
      <c r="C2630" s="11"/>
      <c r="D2630" s="10"/>
      <c r="E2630" s="10"/>
      <c r="F2630" s="10"/>
      <c r="G2630" s="10"/>
      <c r="H2630" s="10"/>
      <c r="I2630" s="12" t="n">
        <v>1</v>
      </c>
      <c r="J2630" s="12"/>
      <c r="K2630" s="13"/>
      <c r="L2630" s="13"/>
      <c r="M2630" s="12"/>
      <c r="N2630" s="12"/>
      <c r="O2630" s="12"/>
      <c r="P2630" s="13"/>
      <c r="Q2630" s="13"/>
      <c r="R2630" s="12"/>
      <c r="S2630" s="12"/>
      <c r="T2630" s="12"/>
      <c r="U2630" s="14"/>
      <c r="V2630" s="15"/>
      <c r="W2630" s="16" t="n">
        <f aca="false">A2630</f>
        <v>0</v>
      </c>
      <c r="X2630" s="17" t="e">
        <f aca="false">ifs(C2630="","",X2630="",NOW(),TRUE(),X2630)</f>
        <v>#VALUE!</v>
      </c>
      <c r="Y2630" s="17" t="e">
        <f aca="false">ifs(COUNTA(K2630:U2633)&lt;44,"",Y2630="",NOW(),TRUE(),Y2630)</f>
        <v>#VALUE!</v>
      </c>
    </row>
    <row r="2631" customFormat="false" ht="15.75" hidden="false" customHeight="false" outlineLevel="0" collapsed="false">
      <c r="A2631" s="9"/>
      <c r="B2631" s="10"/>
      <c r="C2631" s="10"/>
      <c r="D2631" s="10"/>
      <c r="E2631" s="10"/>
      <c r="F2631" s="10"/>
      <c r="G2631" s="10"/>
      <c r="H2631" s="10"/>
      <c r="I2631" s="18" t="n">
        <v>2</v>
      </c>
      <c r="J2631" s="18"/>
      <c r="K2631" s="19"/>
      <c r="L2631" s="19"/>
      <c r="M2631" s="18"/>
      <c r="N2631" s="18"/>
      <c r="O2631" s="18"/>
      <c r="P2631" s="19"/>
      <c r="Q2631" s="19"/>
      <c r="R2631" s="18"/>
      <c r="S2631" s="18"/>
      <c r="T2631" s="18"/>
      <c r="U2631" s="20"/>
      <c r="V2631" s="21"/>
      <c r="W2631" s="16"/>
      <c r="X2631" s="16"/>
      <c r="Y2631" s="16"/>
    </row>
    <row r="2632" customFormat="false" ht="15.75" hidden="false" customHeight="false" outlineLevel="0" collapsed="false">
      <c r="A2632" s="9"/>
      <c r="B2632" s="10"/>
      <c r="C2632" s="10"/>
      <c r="D2632" s="10"/>
      <c r="E2632" s="10"/>
      <c r="F2632" s="10"/>
      <c r="G2632" s="10"/>
      <c r="H2632" s="10"/>
      <c r="I2632" s="22" t="n">
        <v>3</v>
      </c>
      <c r="J2632" s="22"/>
      <c r="K2632" s="23"/>
      <c r="L2632" s="23"/>
      <c r="M2632" s="22"/>
      <c r="N2632" s="22"/>
      <c r="O2632" s="22"/>
      <c r="P2632" s="23"/>
      <c r="Q2632" s="23"/>
      <c r="R2632" s="22"/>
      <c r="S2632" s="22"/>
      <c r="T2632" s="22"/>
      <c r="U2632" s="24"/>
      <c r="V2632" s="15"/>
      <c r="W2632" s="16"/>
      <c r="X2632" s="16"/>
      <c r="Y2632" s="16"/>
    </row>
    <row r="2633" customFormat="false" ht="15.75" hidden="false" customHeight="false" outlineLevel="0" collapsed="false">
      <c r="A2633" s="9"/>
      <c r="B2633" s="10"/>
      <c r="C2633" s="10"/>
      <c r="D2633" s="10"/>
      <c r="E2633" s="10"/>
      <c r="F2633" s="10"/>
      <c r="G2633" s="10"/>
      <c r="H2633" s="10"/>
      <c r="I2633" s="25" t="n">
        <v>4</v>
      </c>
      <c r="J2633" s="25"/>
      <c r="K2633" s="26"/>
      <c r="L2633" s="26"/>
      <c r="M2633" s="25"/>
      <c r="N2633" s="25"/>
      <c r="O2633" s="25"/>
      <c r="P2633" s="26"/>
      <c r="Q2633" s="26"/>
      <c r="R2633" s="25"/>
      <c r="S2633" s="25"/>
      <c r="T2633" s="25"/>
      <c r="U2633" s="27"/>
      <c r="V2633" s="21"/>
      <c r="W2633" s="16"/>
      <c r="X2633" s="16"/>
      <c r="Y2633" s="16"/>
    </row>
    <row r="2634" customFormat="false" ht="15.75" hidden="false" customHeight="false" outlineLevel="0" collapsed="false">
      <c r="A2634" s="9"/>
      <c r="B2634" s="10"/>
      <c r="C2634" s="11"/>
      <c r="D2634" s="10"/>
      <c r="E2634" s="10"/>
      <c r="F2634" s="10"/>
      <c r="G2634" s="10"/>
      <c r="H2634" s="10"/>
      <c r="I2634" s="12" t="n">
        <v>1</v>
      </c>
      <c r="J2634" s="12"/>
      <c r="K2634" s="13"/>
      <c r="L2634" s="13"/>
      <c r="M2634" s="12"/>
      <c r="N2634" s="12"/>
      <c r="O2634" s="12"/>
      <c r="P2634" s="13"/>
      <c r="Q2634" s="13"/>
      <c r="R2634" s="12"/>
      <c r="S2634" s="12"/>
      <c r="T2634" s="12"/>
      <c r="U2634" s="14"/>
      <c r="V2634" s="15"/>
      <c r="W2634" s="16" t="n">
        <f aca="false">A2634</f>
        <v>0</v>
      </c>
      <c r="X2634" s="17" t="e">
        <f aca="false">ifs(C2634="","",X2634="",NOW(),TRUE(),X2634)</f>
        <v>#VALUE!</v>
      </c>
      <c r="Y2634" s="17" t="e">
        <f aca="false">ifs(COUNTA(K2634:U2637)&lt;44,"",Y2634="",NOW(),TRUE(),Y2634)</f>
        <v>#VALUE!</v>
      </c>
    </row>
    <row r="2635" customFormat="false" ht="15.75" hidden="false" customHeight="false" outlineLevel="0" collapsed="false">
      <c r="A2635" s="9"/>
      <c r="B2635" s="10"/>
      <c r="C2635" s="10"/>
      <c r="D2635" s="10"/>
      <c r="E2635" s="10"/>
      <c r="F2635" s="10"/>
      <c r="G2635" s="10"/>
      <c r="H2635" s="10"/>
      <c r="I2635" s="18" t="n">
        <v>2</v>
      </c>
      <c r="J2635" s="18"/>
      <c r="K2635" s="19"/>
      <c r="L2635" s="19"/>
      <c r="M2635" s="18"/>
      <c r="N2635" s="18"/>
      <c r="O2635" s="18"/>
      <c r="P2635" s="19"/>
      <c r="Q2635" s="19"/>
      <c r="R2635" s="18"/>
      <c r="S2635" s="18"/>
      <c r="T2635" s="18"/>
      <c r="U2635" s="20"/>
      <c r="V2635" s="21"/>
      <c r="W2635" s="16"/>
      <c r="X2635" s="16"/>
      <c r="Y2635" s="16"/>
    </row>
    <row r="2636" customFormat="false" ht="15.75" hidden="false" customHeight="false" outlineLevel="0" collapsed="false">
      <c r="A2636" s="9"/>
      <c r="B2636" s="10"/>
      <c r="C2636" s="10"/>
      <c r="D2636" s="10"/>
      <c r="E2636" s="10"/>
      <c r="F2636" s="10"/>
      <c r="G2636" s="10"/>
      <c r="H2636" s="10"/>
      <c r="I2636" s="22" t="n">
        <v>3</v>
      </c>
      <c r="J2636" s="22"/>
      <c r="K2636" s="23"/>
      <c r="L2636" s="23"/>
      <c r="M2636" s="22"/>
      <c r="N2636" s="22"/>
      <c r="O2636" s="22"/>
      <c r="P2636" s="23"/>
      <c r="Q2636" s="23"/>
      <c r="R2636" s="22"/>
      <c r="S2636" s="22"/>
      <c r="T2636" s="22"/>
      <c r="U2636" s="24"/>
      <c r="V2636" s="15"/>
      <c r="W2636" s="16"/>
      <c r="X2636" s="16"/>
      <c r="Y2636" s="16"/>
    </row>
    <row r="2637" customFormat="false" ht="15.75" hidden="false" customHeight="false" outlineLevel="0" collapsed="false">
      <c r="A2637" s="9"/>
      <c r="B2637" s="10"/>
      <c r="C2637" s="10"/>
      <c r="D2637" s="10"/>
      <c r="E2637" s="10"/>
      <c r="F2637" s="10"/>
      <c r="G2637" s="10"/>
      <c r="H2637" s="10"/>
      <c r="I2637" s="25" t="n">
        <v>4</v>
      </c>
      <c r="J2637" s="25"/>
      <c r="K2637" s="26"/>
      <c r="L2637" s="26"/>
      <c r="M2637" s="25"/>
      <c r="N2637" s="25"/>
      <c r="O2637" s="25"/>
      <c r="P2637" s="26"/>
      <c r="Q2637" s="26"/>
      <c r="R2637" s="25"/>
      <c r="S2637" s="25"/>
      <c r="T2637" s="25"/>
      <c r="U2637" s="27"/>
      <c r="V2637" s="21"/>
      <c r="W2637" s="16"/>
      <c r="X2637" s="16"/>
      <c r="Y2637" s="16"/>
    </row>
    <row r="2638" customFormat="false" ht="15.75" hidden="false" customHeight="false" outlineLevel="0" collapsed="false">
      <c r="A2638" s="9"/>
      <c r="B2638" s="10"/>
      <c r="C2638" s="11"/>
      <c r="D2638" s="10"/>
      <c r="E2638" s="10"/>
      <c r="F2638" s="10"/>
      <c r="G2638" s="10"/>
      <c r="H2638" s="10"/>
      <c r="I2638" s="12" t="n">
        <v>1</v>
      </c>
      <c r="J2638" s="12"/>
      <c r="K2638" s="13"/>
      <c r="L2638" s="13"/>
      <c r="M2638" s="12"/>
      <c r="N2638" s="12"/>
      <c r="O2638" s="12"/>
      <c r="P2638" s="13"/>
      <c r="Q2638" s="13"/>
      <c r="R2638" s="12"/>
      <c r="S2638" s="12"/>
      <c r="T2638" s="12"/>
      <c r="U2638" s="14"/>
      <c r="V2638" s="15"/>
      <c r="W2638" s="16" t="n">
        <f aca="false">A2638</f>
        <v>0</v>
      </c>
      <c r="X2638" s="17" t="e">
        <f aca="false">ifs(C2638="","",X2638="",NOW(),TRUE(),X2638)</f>
        <v>#VALUE!</v>
      </c>
      <c r="Y2638" s="17" t="e">
        <f aca="false">ifs(COUNTA(K2638:U2641)&lt;44,"",Y2638="",NOW(),TRUE(),Y2638)</f>
        <v>#VALUE!</v>
      </c>
    </row>
    <row r="2639" customFormat="false" ht="15.75" hidden="false" customHeight="false" outlineLevel="0" collapsed="false">
      <c r="A2639" s="9"/>
      <c r="B2639" s="10"/>
      <c r="C2639" s="10"/>
      <c r="D2639" s="10"/>
      <c r="E2639" s="10"/>
      <c r="F2639" s="10"/>
      <c r="G2639" s="10"/>
      <c r="H2639" s="10"/>
      <c r="I2639" s="18" t="n">
        <v>2</v>
      </c>
      <c r="J2639" s="18"/>
      <c r="K2639" s="19"/>
      <c r="L2639" s="19"/>
      <c r="M2639" s="18"/>
      <c r="N2639" s="18"/>
      <c r="O2639" s="18"/>
      <c r="P2639" s="19"/>
      <c r="Q2639" s="19"/>
      <c r="R2639" s="18"/>
      <c r="S2639" s="18"/>
      <c r="T2639" s="18"/>
      <c r="U2639" s="20"/>
      <c r="V2639" s="21"/>
      <c r="W2639" s="16"/>
      <c r="X2639" s="16"/>
      <c r="Y2639" s="16"/>
    </row>
    <row r="2640" customFormat="false" ht="15.75" hidden="false" customHeight="false" outlineLevel="0" collapsed="false">
      <c r="A2640" s="9"/>
      <c r="B2640" s="10"/>
      <c r="C2640" s="10"/>
      <c r="D2640" s="10"/>
      <c r="E2640" s="10"/>
      <c r="F2640" s="10"/>
      <c r="G2640" s="10"/>
      <c r="H2640" s="10"/>
      <c r="I2640" s="22" t="n">
        <v>3</v>
      </c>
      <c r="J2640" s="22"/>
      <c r="K2640" s="23"/>
      <c r="L2640" s="23"/>
      <c r="M2640" s="22"/>
      <c r="N2640" s="22"/>
      <c r="O2640" s="22"/>
      <c r="P2640" s="23"/>
      <c r="Q2640" s="23"/>
      <c r="R2640" s="22"/>
      <c r="S2640" s="22"/>
      <c r="T2640" s="22"/>
      <c r="U2640" s="24"/>
      <c r="V2640" s="15"/>
      <c r="W2640" s="16"/>
      <c r="X2640" s="16"/>
      <c r="Y2640" s="16"/>
    </row>
    <row r="2641" customFormat="false" ht="15.75" hidden="false" customHeight="false" outlineLevel="0" collapsed="false">
      <c r="A2641" s="9"/>
      <c r="B2641" s="10"/>
      <c r="C2641" s="10"/>
      <c r="D2641" s="10"/>
      <c r="E2641" s="10"/>
      <c r="F2641" s="10"/>
      <c r="G2641" s="10"/>
      <c r="H2641" s="10"/>
      <c r="I2641" s="25" t="n">
        <v>4</v>
      </c>
      <c r="J2641" s="25"/>
      <c r="K2641" s="26"/>
      <c r="L2641" s="26"/>
      <c r="M2641" s="25"/>
      <c r="N2641" s="25"/>
      <c r="O2641" s="25"/>
      <c r="P2641" s="26"/>
      <c r="Q2641" s="26"/>
      <c r="R2641" s="25"/>
      <c r="S2641" s="25"/>
      <c r="T2641" s="25"/>
      <c r="U2641" s="27"/>
      <c r="V2641" s="21"/>
      <c r="W2641" s="16"/>
      <c r="X2641" s="16"/>
      <c r="Y2641" s="16"/>
    </row>
    <row r="2642" customFormat="false" ht="15.75" hidden="false" customHeight="false" outlineLevel="0" collapsed="false">
      <c r="A2642" s="9"/>
      <c r="B2642" s="10"/>
      <c r="C2642" s="11"/>
      <c r="D2642" s="10"/>
      <c r="E2642" s="10"/>
      <c r="F2642" s="10"/>
      <c r="G2642" s="10"/>
      <c r="H2642" s="10"/>
      <c r="I2642" s="12" t="n">
        <v>1</v>
      </c>
      <c r="J2642" s="12"/>
      <c r="K2642" s="13"/>
      <c r="L2642" s="13"/>
      <c r="M2642" s="12"/>
      <c r="N2642" s="12"/>
      <c r="O2642" s="12"/>
      <c r="P2642" s="13"/>
      <c r="Q2642" s="13"/>
      <c r="R2642" s="12"/>
      <c r="S2642" s="12"/>
      <c r="T2642" s="12"/>
      <c r="U2642" s="14"/>
      <c r="V2642" s="15"/>
      <c r="W2642" s="16" t="n">
        <f aca="false">A2642</f>
        <v>0</v>
      </c>
      <c r="X2642" s="17" t="e">
        <f aca="false">ifs(C2642="","",X2642="",NOW(),TRUE(),X2642)</f>
        <v>#VALUE!</v>
      </c>
      <c r="Y2642" s="17" t="e">
        <f aca="false">ifs(COUNTA(K2642:U2645)&lt;44,"",Y2642="",NOW(),TRUE(),Y2642)</f>
        <v>#VALUE!</v>
      </c>
    </row>
    <row r="2643" customFormat="false" ht="15.75" hidden="false" customHeight="false" outlineLevel="0" collapsed="false">
      <c r="A2643" s="9"/>
      <c r="B2643" s="10"/>
      <c r="C2643" s="10"/>
      <c r="D2643" s="10"/>
      <c r="E2643" s="10"/>
      <c r="F2643" s="10"/>
      <c r="G2643" s="10"/>
      <c r="H2643" s="10"/>
      <c r="I2643" s="18" t="n">
        <v>2</v>
      </c>
      <c r="J2643" s="18"/>
      <c r="K2643" s="19"/>
      <c r="L2643" s="19"/>
      <c r="M2643" s="18"/>
      <c r="N2643" s="18"/>
      <c r="O2643" s="18"/>
      <c r="P2643" s="19"/>
      <c r="Q2643" s="19"/>
      <c r="R2643" s="18"/>
      <c r="S2643" s="18"/>
      <c r="T2643" s="18"/>
      <c r="U2643" s="20"/>
      <c r="V2643" s="21"/>
      <c r="W2643" s="16"/>
      <c r="X2643" s="16"/>
      <c r="Y2643" s="16"/>
    </row>
    <row r="2644" customFormat="false" ht="15.75" hidden="false" customHeight="false" outlineLevel="0" collapsed="false">
      <c r="A2644" s="9"/>
      <c r="B2644" s="10"/>
      <c r="C2644" s="10"/>
      <c r="D2644" s="10"/>
      <c r="E2644" s="10"/>
      <c r="F2644" s="10"/>
      <c r="G2644" s="10"/>
      <c r="H2644" s="10"/>
      <c r="I2644" s="22" t="n">
        <v>3</v>
      </c>
      <c r="J2644" s="22"/>
      <c r="K2644" s="23"/>
      <c r="L2644" s="23"/>
      <c r="M2644" s="22"/>
      <c r="N2644" s="22"/>
      <c r="O2644" s="22"/>
      <c r="P2644" s="23"/>
      <c r="Q2644" s="23"/>
      <c r="R2644" s="22"/>
      <c r="S2644" s="22"/>
      <c r="T2644" s="22"/>
      <c r="U2644" s="24"/>
      <c r="V2644" s="15"/>
      <c r="W2644" s="16"/>
      <c r="X2644" s="16"/>
      <c r="Y2644" s="16"/>
    </row>
    <row r="2645" customFormat="false" ht="15.75" hidden="false" customHeight="false" outlineLevel="0" collapsed="false">
      <c r="A2645" s="9"/>
      <c r="B2645" s="10"/>
      <c r="C2645" s="10"/>
      <c r="D2645" s="10"/>
      <c r="E2645" s="10"/>
      <c r="F2645" s="10"/>
      <c r="G2645" s="10"/>
      <c r="H2645" s="10"/>
      <c r="I2645" s="25" t="n">
        <v>4</v>
      </c>
      <c r="J2645" s="25"/>
      <c r="K2645" s="26"/>
      <c r="L2645" s="26"/>
      <c r="M2645" s="25"/>
      <c r="N2645" s="25"/>
      <c r="O2645" s="25"/>
      <c r="P2645" s="26"/>
      <c r="Q2645" s="26"/>
      <c r="R2645" s="25"/>
      <c r="S2645" s="25"/>
      <c r="T2645" s="25"/>
      <c r="U2645" s="27"/>
      <c r="V2645" s="21"/>
      <c r="W2645" s="16"/>
      <c r="X2645" s="16"/>
      <c r="Y2645" s="16"/>
    </row>
    <row r="2646" customFormat="false" ht="15.75" hidden="false" customHeight="false" outlineLevel="0" collapsed="false">
      <c r="A2646" s="9"/>
      <c r="B2646" s="10"/>
      <c r="C2646" s="11"/>
      <c r="D2646" s="10"/>
      <c r="E2646" s="10"/>
      <c r="F2646" s="10"/>
      <c r="G2646" s="10"/>
      <c r="H2646" s="10"/>
      <c r="I2646" s="12" t="n">
        <v>1</v>
      </c>
      <c r="J2646" s="12"/>
      <c r="K2646" s="13"/>
      <c r="L2646" s="13"/>
      <c r="M2646" s="12"/>
      <c r="N2646" s="12"/>
      <c r="O2646" s="12"/>
      <c r="P2646" s="13"/>
      <c r="Q2646" s="13"/>
      <c r="R2646" s="12"/>
      <c r="S2646" s="12"/>
      <c r="T2646" s="12"/>
      <c r="U2646" s="14"/>
      <c r="V2646" s="15"/>
      <c r="W2646" s="16" t="n">
        <f aca="false">A2646</f>
        <v>0</v>
      </c>
      <c r="X2646" s="17" t="e">
        <f aca="false">ifs(C2646="","",X2646="",NOW(),TRUE(),X2646)</f>
        <v>#VALUE!</v>
      </c>
      <c r="Y2646" s="17" t="e">
        <f aca="false">ifs(COUNTA(K2646:U2649)&lt;44,"",Y2646="",NOW(),TRUE(),Y2646)</f>
        <v>#VALUE!</v>
      </c>
    </row>
    <row r="2647" customFormat="false" ht="15.75" hidden="false" customHeight="false" outlineLevel="0" collapsed="false">
      <c r="A2647" s="9"/>
      <c r="B2647" s="10"/>
      <c r="C2647" s="10"/>
      <c r="D2647" s="10"/>
      <c r="E2647" s="10"/>
      <c r="F2647" s="10"/>
      <c r="G2647" s="10"/>
      <c r="H2647" s="10"/>
      <c r="I2647" s="18" t="n">
        <v>2</v>
      </c>
      <c r="J2647" s="18"/>
      <c r="K2647" s="19"/>
      <c r="L2647" s="19"/>
      <c r="M2647" s="18"/>
      <c r="N2647" s="18"/>
      <c r="O2647" s="18"/>
      <c r="P2647" s="19"/>
      <c r="Q2647" s="19"/>
      <c r="R2647" s="18"/>
      <c r="S2647" s="18"/>
      <c r="T2647" s="18"/>
      <c r="U2647" s="20"/>
      <c r="V2647" s="21"/>
      <c r="W2647" s="16"/>
      <c r="X2647" s="16"/>
      <c r="Y2647" s="16"/>
    </row>
    <row r="2648" customFormat="false" ht="15.75" hidden="false" customHeight="false" outlineLevel="0" collapsed="false">
      <c r="A2648" s="9"/>
      <c r="B2648" s="10"/>
      <c r="C2648" s="10"/>
      <c r="D2648" s="10"/>
      <c r="E2648" s="10"/>
      <c r="F2648" s="10"/>
      <c r="G2648" s="10"/>
      <c r="H2648" s="10"/>
      <c r="I2648" s="22" t="n">
        <v>3</v>
      </c>
      <c r="J2648" s="22"/>
      <c r="K2648" s="23"/>
      <c r="L2648" s="23"/>
      <c r="M2648" s="22"/>
      <c r="N2648" s="22"/>
      <c r="O2648" s="22"/>
      <c r="P2648" s="23"/>
      <c r="Q2648" s="23"/>
      <c r="R2648" s="22"/>
      <c r="S2648" s="22"/>
      <c r="T2648" s="22"/>
      <c r="U2648" s="24"/>
      <c r="V2648" s="15"/>
      <c r="W2648" s="16"/>
      <c r="X2648" s="16"/>
      <c r="Y2648" s="16"/>
    </row>
    <row r="2649" customFormat="false" ht="15.75" hidden="false" customHeight="false" outlineLevel="0" collapsed="false">
      <c r="A2649" s="9"/>
      <c r="B2649" s="10"/>
      <c r="C2649" s="10"/>
      <c r="D2649" s="10"/>
      <c r="E2649" s="10"/>
      <c r="F2649" s="10"/>
      <c r="G2649" s="10"/>
      <c r="H2649" s="10"/>
      <c r="I2649" s="25" t="n">
        <v>4</v>
      </c>
      <c r="J2649" s="25"/>
      <c r="K2649" s="26"/>
      <c r="L2649" s="26"/>
      <c r="M2649" s="25"/>
      <c r="N2649" s="25"/>
      <c r="O2649" s="25"/>
      <c r="P2649" s="26"/>
      <c r="Q2649" s="26"/>
      <c r="R2649" s="25"/>
      <c r="S2649" s="25"/>
      <c r="T2649" s="25"/>
      <c r="U2649" s="27"/>
      <c r="V2649" s="21"/>
      <c r="W2649" s="16"/>
      <c r="X2649" s="16"/>
      <c r="Y2649" s="16"/>
    </row>
    <row r="2650" customFormat="false" ht="15.75" hidden="false" customHeight="false" outlineLevel="0" collapsed="false">
      <c r="A2650" s="9"/>
      <c r="B2650" s="10"/>
      <c r="C2650" s="11"/>
      <c r="D2650" s="10"/>
      <c r="E2650" s="10"/>
      <c r="F2650" s="10"/>
      <c r="G2650" s="10"/>
      <c r="H2650" s="10"/>
      <c r="I2650" s="12" t="n">
        <v>1</v>
      </c>
      <c r="J2650" s="12"/>
      <c r="K2650" s="13"/>
      <c r="L2650" s="13"/>
      <c r="M2650" s="12"/>
      <c r="N2650" s="12"/>
      <c r="O2650" s="12"/>
      <c r="P2650" s="13"/>
      <c r="Q2650" s="13"/>
      <c r="R2650" s="12"/>
      <c r="S2650" s="12"/>
      <c r="T2650" s="12"/>
      <c r="U2650" s="14"/>
      <c r="V2650" s="15"/>
      <c r="W2650" s="16" t="n">
        <f aca="false">A2650</f>
        <v>0</v>
      </c>
      <c r="X2650" s="17" t="e">
        <f aca="false">ifs(C2650="","",X2650="",NOW(),TRUE(),X2650)</f>
        <v>#VALUE!</v>
      </c>
      <c r="Y2650" s="17" t="e">
        <f aca="false">ifs(COUNTA(K2650:U2653)&lt;44,"",Y2650="",NOW(),TRUE(),Y2650)</f>
        <v>#VALUE!</v>
      </c>
    </row>
    <row r="2651" customFormat="false" ht="15.75" hidden="false" customHeight="false" outlineLevel="0" collapsed="false">
      <c r="A2651" s="9"/>
      <c r="B2651" s="10"/>
      <c r="C2651" s="10"/>
      <c r="D2651" s="10"/>
      <c r="E2651" s="10"/>
      <c r="F2651" s="10"/>
      <c r="G2651" s="10"/>
      <c r="H2651" s="10"/>
      <c r="I2651" s="18" t="n">
        <v>2</v>
      </c>
      <c r="J2651" s="18"/>
      <c r="K2651" s="19"/>
      <c r="L2651" s="19"/>
      <c r="M2651" s="18"/>
      <c r="N2651" s="18"/>
      <c r="O2651" s="18"/>
      <c r="P2651" s="19"/>
      <c r="Q2651" s="19"/>
      <c r="R2651" s="18"/>
      <c r="S2651" s="18"/>
      <c r="T2651" s="18"/>
      <c r="U2651" s="20"/>
      <c r="V2651" s="21"/>
      <c r="W2651" s="16"/>
      <c r="X2651" s="16"/>
      <c r="Y2651" s="16"/>
    </row>
    <row r="2652" customFormat="false" ht="15.75" hidden="false" customHeight="false" outlineLevel="0" collapsed="false">
      <c r="A2652" s="9"/>
      <c r="B2652" s="10"/>
      <c r="C2652" s="10"/>
      <c r="D2652" s="10"/>
      <c r="E2652" s="10"/>
      <c r="F2652" s="10"/>
      <c r="G2652" s="10"/>
      <c r="H2652" s="10"/>
      <c r="I2652" s="22" t="n">
        <v>3</v>
      </c>
      <c r="J2652" s="22"/>
      <c r="K2652" s="23"/>
      <c r="L2652" s="23"/>
      <c r="M2652" s="22"/>
      <c r="N2652" s="22"/>
      <c r="O2652" s="22"/>
      <c r="P2652" s="23"/>
      <c r="Q2652" s="23"/>
      <c r="R2652" s="22"/>
      <c r="S2652" s="22"/>
      <c r="T2652" s="22"/>
      <c r="U2652" s="24"/>
      <c r="V2652" s="15"/>
      <c r="W2652" s="16"/>
      <c r="X2652" s="16"/>
      <c r="Y2652" s="16"/>
    </row>
    <row r="2653" customFormat="false" ht="15.75" hidden="false" customHeight="false" outlineLevel="0" collapsed="false">
      <c r="A2653" s="9"/>
      <c r="B2653" s="10"/>
      <c r="C2653" s="10"/>
      <c r="D2653" s="10"/>
      <c r="E2653" s="10"/>
      <c r="F2653" s="10"/>
      <c r="G2653" s="10"/>
      <c r="H2653" s="10"/>
      <c r="I2653" s="25" t="n">
        <v>4</v>
      </c>
      <c r="J2653" s="25"/>
      <c r="K2653" s="26"/>
      <c r="L2653" s="26"/>
      <c r="M2653" s="25"/>
      <c r="N2653" s="25"/>
      <c r="O2653" s="25"/>
      <c r="P2653" s="26"/>
      <c r="Q2653" s="26"/>
      <c r="R2653" s="25"/>
      <c r="S2653" s="25"/>
      <c r="T2653" s="25"/>
      <c r="U2653" s="27"/>
      <c r="V2653" s="21"/>
      <c r="W2653" s="16"/>
      <c r="X2653" s="16"/>
      <c r="Y2653" s="16"/>
    </row>
    <row r="2654" customFormat="false" ht="15.75" hidden="false" customHeight="false" outlineLevel="0" collapsed="false">
      <c r="A2654" s="9"/>
      <c r="B2654" s="10"/>
      <c r="C2654" s="11"/>
      <c r="D2654" s="10"/>
      <c r="E2654" s="10"/>
      <c r="F2654" s="10"/>
      <c r="G2654" s="10"/>
      <c r="H2654" s="10"/>
      <c r="I2654" s="12" t="n">
        <v>1</v>
      </c>
      <c r="J2654" s="12"/>
      <c r="K2654" s="13"/>
      <c r="L2654" s="13"/>
      <c r="M2654" s="12"/>
      <c r="N2654" s="12"/>
      <c r="O2654" s="12"/>
      <c r="P2654" s="13"/>
      <c r="Q2654" s="13"/>
      <c r="R2654" s="12"/>
      <c r="S2654" s="12"/>
      <c r="T2654" s="12"/>
      <c r="U2654" s="14"/>
      <c r="V2654" s="15"/>
      <c r="W2654" s="16" t="n">
        <f aca="false">A2654</f>
        <v>0</v>
      </c>
      <c r="X2654" s="17" t="e">
        <f aca="false">ifs(C2654="","",X2654="",NOW(),TRUE(),X2654)</f>
        <v>#VALUE!</v>
      </c>
      <c r="Y2654" s="17" t="e">
        <f aca="false">ifs(COUNTA(K2654:U2657)&lt;44,"",Y2654="",NOW(),TRUE(),Y2654)</f>
        <v>#VALUE!</v>
      </c>
    </row>
    <row r="2655" customFormat="false" ht="15.75" hidden="false" customHeight="false" outlineLevel="0" collapsed="false">
      <c r="A2655" s="9"/>
      <c r="B2655" s="10"/>
      <c r="C2655" s="10"/>
      <c r="D2655" s="10"/>
      <c r="E2655" s="10"/>
      <c r="F2655" s="10"/>
      <c r="G2655" s="10"/>
      <c r="H2655" s="10"/>
      <c r="I2655" s="18" t="n">
        <v>2</v>
      </c>
      <c r="J2655" s="18"/>
      <c r="K2655" s="19"/>
      <c r="L2655" s="19"/>
      <c r="M2655" s="18"/>
      <c r="N2655" s="18"/>
      <c r="O2655" s="18"/>
      <c r="P2655" s="19"/>
      <c r="Q2655" s="19"/>
      <c r="R2655" s="18"/>
      <c r="S2655" s="18"/>
      <c r="T2655" s="18"/>
      <c r="U2655" s="20"/>
      <c r="V2655" s="21"/>
      <c r="W2655" s="16"/>
      <c r="X2655" s="16"/>
      <c r="Y2655" s="16"/>
    </row>
    <row r="2656" customFormat="false" ht="15.75" hidden="false" customHeight="false" outlineLevel="0" collapsed="false">
      <c r="A2656" s="9"/>
      <c r="B2656" s="10"/>
      <c r="C2656" s="10"/>
      <c r="D2656" s="10"/>
      <c r="E2656" s="10"/>
      <c r="F2656" s="10"/>
      <c r="G2656" s="10"/>
      <c r="H2656" s="10"/>
      <c r="I2656" s="22" t="n">
        <v>3</v>
      </c>
      <c r="J2656" s="22"/>
      <c r="K2656" s="23"/>
      <c r="L2656" s="23"/>
      <c r="M2656" s="22"/>
      <c r="N2656" s="22"/>
      <c r="O2656" s="22"/>
      <c r="P2656" s="23"/>
      <c r="Q2656" s="23"/>
      <c r="R2656" s="22"/>
      <c r="S2656" s="22"/>
      <c r="T2656" s="22"/>
      <c r="U2656" s="24"/>
      <c r="V2656" s="15"/>
      <c r="W2656" s="16"/>
      <c r="X2656" s="16"/>
      <c r="Y2656" s="16"/>
    </row>
    <row r="2657" customFormat="false" ht="15.75" hidden="false" customHeight="false" outlineLevel="0" collapsed="false">
      <c r="A2657" s="9"/>
      <c r="B2657" s="10"/>
      <c r="C2657" s="10"/>
      <c r="D2657" s="10"/>
      <c r="E2657" s="10"/>
      <c r="F2657" s="10"/>
      <c r="G2657" s="10"/>
      <c r="H2657" s="10"/>
      <c r="I2657" s="25" t="n">
        <v>4</v>
      </c>
      <c r="J2657" s="25"/>
      <c r="K2657" s="26"/>
      <c r="L2657" s="26"/>
      <c r="M2657" s="25"/>
      <c r="N2657" s="25"/>
      <c r="O2657" s="25"/>
      <c r="P2657" s="26"/>
      <c r="Q2657" s="26"/>
      <c r="R2657" s="25"/>
      <c r="S2657" s="25"/>
      <c r="T2657" s="25"/>
      <c r="U2657" s="27"/>
      <c r="V2657" s="21"/>
      <c r="W2657" s="16"/>
      <c r="X2657" s="16"/>
      <c r="Y2657" s="16"/>
    </row>
    <row r="2658" customFormat="false" ht="15.75" hidden="false" customHeight="false" outlineLevel="0" collapsed="false">
      <c r="A2658" s="9"/>
      <c r="B2658" s="10"/>
      <c r="C2658" s="11"/>
      <c r="D2658" s="10"/>
      <c r="E2658" s="10"/>
      <c r="F2658" s="10"/>
      <c r="G2658" s="10"/>
      <c r="H2658" s="10"/>
      <c r="I2658" s="12" t="n">
        <v>1</v>
      </c>
      <c r="J2658" s="12"/>
      <c r="K2658" s="13"/>
      <c r="L2658" s="13"/>
      <c r="M2658" s="12"/>
      <c r="N2658" s="12"/>
      <c r="O2658" s="12"/>
      <c r="P2658" s="13"/>
      <c r="Q2658" s="13"/>
      <c r="R2658" s="12"/>
      <c r="S2658" s="12"/>
      <c r="T2658" s="12"/>
      <c r="U2658" s="14"/>
      <c r="V2658" s="15"/>
      <c r="W2658" s="16" t="n">
        <f aca="false">A2658</f>
        <v>0</v>
      </c>
      <c r="X2658" s="17" t="e">
        <f aca="false">ifs(C2658="","",X2658="",NOW(),TRUE(),X2658)</f>
        <v>#VALUE!</v>
      </c>
      <c r="Y2658" s="17" t="e">
        <f aca="false">ifs(COUNTA(K2658:U2661)&lt;44,"",Y2658="",NOW(),TRUE(),Y2658)</f>
        <v>#VALUE!</v>
      </c>
    </row>
    <row r="2659" customFormat="false" ht="15.75" hidden="false" customHeight="false" outlineLevel="0" collapsed="false">
      <c r="A2659" s="9"/>
      <c r="B2659" s="10"/>
      <c r="C2659" s="10"/>
      <c r="D2659" s="10"/>
      <c r="E2659" s="10"/>
      <c r="F2659" s="10"/>
      <c r="G2659" s="10"/>
      <c r="H2659" s="10"/>
      <c r="I2659" s="18" t="n">
        <v>2</v>
      </c>
      <c r="J2659" s="18"/>
      <c r="K2659" s="19"/>
      <c r="L2659" s="19"/>
      <c r="M2659" s="18"/>
      <c r="N2659" s="18"/>
      <c r="O2659" s="18"/>
      <c r="P2659" s="19"/>
      <c r="Q2659" s="19"/>
      <c r="R2659" s="18"/>
      <c r="S2659" s="18"/>
      <c r="T2659" s="18"/>
      <c r="U2659" s="20"/>
      <c r="V2659" s="21"/>
      <c r="W2659" s="16"/>
      <c r="X2659" s="16"/>
      <c r="Y2659" s="16"/>
    </row>
    <row r="2660" customFormat="false" ht="15.75" hidden="false" customHeight="false" outlineLevel="0" collapsed="false">
      <c r="A2660" s="9"/>
      <c r="B2660" s="10"/>
      <c r="C2660" s="10"/>
      <c r="D2660" s="10"/>
      <c r="E2660" s="10"/>
      <c r="F2660" s="10"/>
      <c r="G2660" s="10"/>
      <c r="H2660" s="10"/>
      <c r="I2660" s="22" t="n">
        <v>3</v>
      </c>
      <c r="J2660" s="22"/>
      <c r="K2660" s="23"/>
      <c r="L2660" s="23"/>
      <c r="M2660" s="22"/>
      <c r="N2660" s="22"/>
      <c r="O2660" s="22"/>
      <c r="P2660" s="23"/>
      <c r="Q2660" s="23"/>
      <c r="R2660" s="22"/>
      <c r="S2660" s="22"/>
      <c r="T2660" s="22"/>
      <c r="U2660" s="24"/>
      <c r="V2660" s="15"/>
      <c r="W2660" s="16"/>
      <c r="X2660" s="16"/>
      <c r="Y2660" s="16"/>
    </row>
    <row r="2661" customFormat="false" ht="15.75" hidden="false" customHeight="false" outlineLevel="0" collapsed="false">
      <c r="A2661" s="9"/>
      <c r="B2661" s="10"/>
      <c r="C2661" s="10"/>
      <c r="D2661" s="10"/>
      <c r="E2661" s="10"/>
      <c r="F2661" s="10"/>
      <c r="G2661" s="10"/>
      <c r="H2661" s="10"/>
      <c r="I2661" s="25" t="n">
        <v>4</v>
      </c>
      <c r="J2661" s="25"/>
      <c r="K2661" s="26"/>
      <c r="L2661" s="26"/>
      <c r="M2661" s="25"/>
      <c r="N2661" s="25"/>
      <c r="O2661" s="25"/>
      <c r="P2661" s="26"/>
      <c r="Q2661" s="26"/>
      <c r="R2661" s="25"/>
      <c r="S2661" s="25"/>
      <c r="T2661" s="25"/>
      <c r="U2661" s="27"/>
      <c r="V2661" s="21"/>
      <c r="W2661" s="16"/>
      <c r="X2661" s="16"/>
      <c r="Y2661" s="16"/>
    </row>
    <row r="2662" customFormat="false" ht="15.75" hidden="false" customHeight="false" outlineLevel="0" collapsed="false">
      <c r="A2662" s="9"/>
      <c r="B2662" s="10"/>
      <c r="C2662" s="11"/>
      <c r="D2662" s="10"/>
      <c r="E2662" s="10"/>
      <c r="F2662" s="10"/>
      <c r="G2662" s="10"/>
      <c r="H2662" s="10"/>
      <c r="I2662" s="12" t="n">
        <v>1</v>
      </c>
      <c r="J2662" s="12"/>
      <c r="K2662" s="13"/>
      <c r="L2662" s="13"/>
      <c r="M2662" s="12"/>
      <c r="N2662" s="12"/>
      <c r="O2662" s="12"/>
      <c r="P2662" s="13"/>
      <c r="Q2662" s="13"/>
      <c r="R2662" s="12"/>
      <c r="S2662" s="12"/>
      <c r="T2662" s="12"/>
      <c r="U2662" s="14"/>
      <c r="V2662" s="15"/>
      <c r="W2662" s="16" t="n">
        <f aca="false">A2662</f>
        <v>0</v>
      </c>
      <c r="X2662" s="17" t="e">
        <f aca="false">ifs(C2662="","",X2662="",NOW(),TRUE(),X2662)</f>
        <v>#VALUE!</v>
      </c>
      <c r="Y2662" s="17" t="e">
        <f aca="false">ifs(COUNTA(K2662:U2665)&lt;44,"",Y2662="",NOW(),TRUE(),Y2662)</f>
        <v>#VALUE!</v>
      </c>
    </row>
    <row r="2663" customFormat="false" ht="15.75" hidden="false" customHeight="false" outlineLevel="0" collapsed="false">
      <c r="A2663" s="9"/>
      <c r="B2663" s="10"/>
      <c r="C2663" s="10"/>
      <c r="D2663" s="10"/>
      <c r="E2663" s="10"/>
      <c r="F2663" s="10"/>
      <c r="G2663" s="10"/>
      <c r="H2663" s="10"/>
      <c r="I2663" s="18" t="n">
        <v>2</v>
      </c>
      <c r="J2663" s="18"/>
      <c r="K2663" s="19"/>
      <c r="L2663" s="19"/>
      <c r="M2663" s="18"/>
      <c r="N2663" s="18"/>
      <c r="O2663" s="18"/>
      <c r="P2663" s="19"/>
      <c r="Q2663" s="19"/>
      <c r="R2663" s="18"/>
      <c r="S2663" s="18"/>
      <c r="T2663" s="18"/>
      <c r="U2663" s="20"/>
      <c r="V2663" s="21"/>
      <c r="W2663" s="16"/>
      <c r="X2663" s="16"/>
      <c r="Y2663" s="16"/>
    </row>
    <row r="2664" customFormat="false" ht="15.75" hidden="false" customHeight="false" outlineLevel="0" collapsed="false">
      <c r="A2664" s="9"/>
      <c r="B2664" s="10"/>
      <c r="C2664" s="10"/>
      <c r="D2664" s="10"/>
      <c r="E2664" s="10"/>
      <c r="F2664" s="10"/>
      <c r="G2664" s="10"/>
      <c r="H2664" s="10"/>
      <c r="I2664" s="22" t="n">
        <v>3</v>
      </c>
      <c r="J2664" s="22"/>
      <c r="K2664" s="23"/>
      <c r="L2664" s="23"/>
      <c r="M2664" s="22"/>
      <c r="N2664" s="22"/>
      <c r="O2664" s="22"/>
      <c r="P2664" s="23"/>
      <c r="Q2664" s="23"/>
      <c r="R2664" s="22"/>
      <c r="S2664" s="22"/>
      <c r="T2664" s="22"/>
      <c r="U2664" s="24"/>
      <c r="V2664" s="15"/>
      <c r="W2664" s="16"/>
      <c r="X2664" s="16"/>
      <c r="Y2664" s="16"/>
    </row>
    <row r="2665" customFormat="false" ht="15.75" hidden="false" customHeight="false" outlineLevel="0" collapsed="false">
      <c r="A2665" s="9"/>
      <c r="B2665" s="10"/>
      <c r="C2665" s="10"/>
      <c r="D2665" s="10"/>
      <c r="E2665" s="10"/>
      <c r="F2665" s="10"/>
      <c r="G2665" s="10"/>
      <c r="H2665" s="10"/>
      <c r="I2665" s="25" t="n">
        <v>4</v>
      </c>
      <c r="J2665" s="25"/>
      <c r="K2665" s="26"/>
      <c r="L2665" s="26"/>
      <c r="M2665" s="25"/>
      <c r="N2665" s="25"/>
      <c r="O2665" s="25"/>
      <c r="P2665" s="26"/>
      <c r="Q2665" s="26"/>
      <c r="R2665" s="25"/>
      <c r="S2665" s="25"/>
      <c r="T2665" s="25"/>
      <c r="U2665" s="27"/>
      <c r="V2665" s="21"/>
      <c r="W2665" s="16"/>
      <c r="X2665" s="16"/>
      <c r="Y2665" s="16"/>
    </row>
    <row r="2666" customFormat="false" ht="15.75" hidden="false" customHeight="false" outlineLevel="0" collapsed="false">
      <c r="A2666" s="9"/>
      <c r="B2666" s="10"/>
      <c r="C2666" s="11"/>
      <c r="D2666" s="10"/>
      <c r="E2666" s="10"/>
      <c r="F2666" s="10"/>
      <c r="G2666" s="10"/>
      <c r="H2666" s="10"/>
      <c r="I2666" s="12" t="n">
        <v>1</v>
      </c>
      <c r="J2666" s="12"/>
      <c r="K2666" s="13"/>
      <c r="L2666" s="13"/>
      <c r="M2666" s="12"/>
      <c r="N2666" s="12"/>
      <c r="O2666" s="12"/>
      <c r="P2666" s="13"/>
      <c r="Q2666" s="13"/>
      <c r="R2666" s="12"/>
      <c r="S2666" s="12"/>
      <c r="T2666" s="12"/>
      <c r="U2666" s="14"/>
      <c r="V2666" s="15"/>
      <c r="W2666" s="16" t="n">
        <f aca="false">A2666</f>
        <v>0</v>
      </c>
      <c r="X2666" s="17" t="e">
        <f aca="false">ifs(C2666="","",X2666="",NOW(),TRUE(),X2666)</f>
        <v>#VALUE!</v>
      </c>
      <c r="Y2666" s="17" t="e">
        <f aca="false">ifs(COUNTA(K2666:U2669)&lt;44,"",Y2666="",NOW(),TRUE(),Y2666)</f>
        <v>#VALUE!</v>
      </c>
    </row>
    <row r="2667" customFormat="false" ht="15.75" hidden="false" customHeight="false" outlineLevel="0" collapsed="false">
      <c r="A2667" s="9"/>
      <c r="B2667" s="10"/>
      <c r="C2667" s="10"/>
      <c r="D2667" s="10"/>
      <c r="E2667" s="10"/>
      <c r="F2667" s="10"/>
      <c r="G2667" s="10"/>
      <c r="H2667" s="10"/>
      <c r="I2667" s="18" t="n">
        <v>2</v>
      </c>
      <c r="J2667" s="18"/>
      <c r="K2667" s="19"/>
      <c r="L2667" s="19"/>
      <c r="M2667" s="18"/>
      <c r="N2667" s="18"/>
      <c r="O2667" s="18"/>
      <c r="P2667" s="19"/>
      <c r="Q2667" s="19"/>
      <c r="R2667" s="18"/>
      <c r="S2667" s="18"/>
      <c r="T2667" s="18"/>
      <c r="U2667" s="20"/>
      <c r="V2667" s="21"/>
      <c r="W2667" s="16"/>
      <c r="X2667" s="16"/>
      <c r="Y2667" s="16"/>
    </row>
    <row r="2668" customFormat="false" ht="15.75" hidden="false" customHeight="false" outlineLevel="0" collapsed="false">
      <c r="A2668" s="9"/>
      <c r="B2668" s="10"/>
      <c r="C2668" s="10"/>
      <c r="D2668" s="10"/>
      <c r="E2668" s="10"/>
      <c r="F2668" s="10"/>
      <c r="G2668" s="10"/>
      <c r="H2668" s="10"/>
      <c r="I2668" s="22" t="n">
        <v>3</v>
      </c>
      <c r="J2668" s="22"/>
      <c r="K2668" s="23"/>
      <c r="L2668" s="23"/>
      <c r="M2668" s="22"/>
      <c r="N2668" s="22"/>
      <c r="O2668" s="22"/>
      <c r="P2668" s="23"/>
      <c r="Q2668" s="23"/>
      <c r="R2668" s="22"/>
      <c r="S2668" s="22"/>
      <c r="T2668" s="22"/>
      <c r="U2668" s="24"/>
      <c r="V2668" s="15"/>
      <c r="W2668" s="16"/>
      <c r="X2668" s="16"/>
      <c r="Y2668" s="16"/>
    </row>
    <row r="2669" customFormat="false" ht="15.75" hidden="false" customHeight="false" outlineLevel="0" collapsed="false">
      <c r="A2669" s="9"/>
      <c r="B2669" s="10"/>
      <c r="C2669" s="10"/>
      <c r="D2669" s="10"/>
      <c r="E2669" s="10"/>
      <c r="F2669" s="10"/>
      <c r="G2669" s="10"/>
      <c r="H2669" s="10"/>
      <c r="I2669" s="25" t="n">
        <v>4</v>
      </c>
      <c r="J2669" s="25"/>
      <c r="K2669" s="26"/>
      <c r="L2669" s="26"/>
      <c r="M2669" s="25"/>
      <c r="N2669" s="25"/>
      <c r="O2669" s="25"/>
      <c r="P2669" s="26"/>
      <c r="Q2669" s="26"/>
      <c r="R2669" s="25"/>
      <c r="S2669" s="25"/>
      <c r="T2669" s="25"/>
      <c r="U2669" s="27"/>
      <c r="V2669" s="21"/>
      <c r="W2669" s="16"/>
      <c r="X2669" s="16"/>
      <c r="Y2669" s="16"/>
    </row>
    <row r="2670" customFormat="false" ht="15.75" hidden="false" customHeight="false" outlineLevel="0" collapsed="false">
      <c r="A2670" s="9"/>
      <c r="B2670" s="10"/>
      <c r="C2670" s="11"/>
      <c r="D2670" s="10"/>
      <c r="E2670" s="10"/>
      <c r="F2670" s="10"/>
      <c r="G2670" s="10"/>
      <c r="H2670" s="10"/>
      <c r="I2670" s="12" t="n">
        <v>1</v>
      </c>
      <c r="J2670" s="12"/>
      <c r="K2670" s="13"/>
      <c r="L2670" s="13"/>
      <c r="M2670" s="12"/>
      <c r="N2670" s="12"/>
      <c r="O2670" s="12"/>
      <c r="P2670" s="13"/>
      <c r="Q2670" s="13"/>
      <c r="R2670" s="12"/>
      <c r="S2670" s="12"/>
      <c r="T2670" s="12"/>
      <c r="U2670" s="14"/>
      <c r="V2670" s="15"/>
      <c r="W2670" s="16" t="n">
        <f aca="false">A2670</f>
        <v>0</v>
      </c>
      <c r="X2670" s="17" t="e">
        <f aca="false">ifs(C2670="","",X2670="",NOW(),TRUE(),X2670)</f>
        <v>#VALUE!</v>
      </c>
      <c r="Y2670" s="17" t="e">
        <f aca="false">ifs(COUNTA(K2670:U2673)&lt;44,"",Y2670="",NOW(),TRUE(),Y2670)</f>
        <v>#VALUE!</v>
      </c>
    </row>
    <row r="2671" customFormat="false" ht="15.75" hidden="false" customHeight="false" outlineLevel="0" collapsed="false">
      <c r="A2671" s="9"/>
      <c r="B2671" s="10"/>
      <c r="C2671" s="10"/>
      <c r="D2671" s="10"/>
      <c r="E2671" s="10"/>
      <c r="F2671" s="10"/>
      <c r="G2671" s="10"/>
      <c r="H2671" s="10"/>
      <c r="I2671" s="18" t="n">
        <v>2</v>
      </c>
      <c r="J2671" s="18"/>
      <c r="K2671" s="19"/>
      <c r="L2671" s="19"/>
      <c r="M2671" s="18"/>
      <c r="N2671" s="18"/>
      <c r="O2671" s="18"/>
      <c r="P2671" s="19"/>
      <c r="Q2671" s="19"/>
      <c r="R2671" s="18"/>
      <c r="S2671" s="18"/>
      <c r="T2671" s="18"/>
      <c r="U2671" s="20"/>
      <c r="V2671" s="21"/>
      <c r="W2671" s="16"/>
      <c r="X2671" s="16"/>
      <c r="Y2671" s="16"/>
    </row>
    <row r="2672" customFormat="false" ht="15.75" hidden="false" customHeight="false" outlineLevel="0" collapsed="false">
      <c r="A2672" s="9"/>
      <c r="B2672" s="10"/>
      <c r="C2672" s="10"/>
      <c r="D2672" s="10"/>
      <c r="E2672" s="10"/>
      <c r="F2672" s="10"/>
      <c r="G2672" s="10"/>
      <c r="H2672" s="10"/>
      <c r="I2672" s="22" t="n">
        <v>3</v>
      </c>
      <c r="J2672" s="22"/>
      <c r="K2672" s="23"/>
      <c r="L2672" s="23"/>
      <c r="M2672" s="22"/>
      <c r="N2672" s="22"/>
      <c r="O2672" s="22"/>
      <c r="P2672" s="23"/>
      <c r="Q2672" s="23"/>
      <c r="R2672" s="22"/>
      <c r="S2672" s="22"/>
      <c r="T2672" s="22"/>
      <c r="U2672" s="24"/>
      <c r="V2672" s="15"/>
      <c r="W2672" s="16"/>
      <c r="X2672" s="16"/>
      <c r="Y2672" s="16"/>
    </row>
    <row r="2673" customFormat="false" ht="15.75" hidden="false" customHeight="false" outlineLevel="0" collapsed="false">
      <c r="A2673" s="9"/>
      <c r="B2673" s="10"/>
      <c r="C2673" s="10"/>
      <c r="D2673" s="10"/>
      <c r="E2673" s="10"/>
      <c r="F2673" s="10"/>
      <c r="G2673" s="10"/>
      <c r="H2673" s="10"/>
      <c r="I2673" s="25" t="n">
        <v>4</v>
      </c>
      <c r="J2673" s="25"/>
      <c r="K2673" s="26"/>
      <c r="L2673" s="26"/>
      <c r="M2673" s="25"/>
      <c r="N2673" s="25"/>
      <c r="O2673" s="25"/>
      <c r="P2673" s="26"/>
      <c r="Q2673" s="26"/>
      <c r="R2673" s="25"/>
      <c r="S2673" s="25"/>
      <c r="T2673" s="25"/>
      <c r="U2673" s="27"/>
      <c r="V2673" s="21"/>
      <c r="W2673" s="16"/>
      <c r="X2673" s="16"/>
      <c r="Y2673" s="16"/>
    </row>
    <row r="2674" customFormat="false" ht="15.75" hidden="false" customHeight="false" outlineLevel="0" collapsed="false">
      <c r="A2674" s="9"/>
      <c r="B2674" s="10"/>
      <c r="C2674" s="11"/>
      <c r="D2674" s="10"/>
      <c r="E2674" s="10"/>
      <c r="F2674" s="10"/>
      <c r="G2674" s="10"/>
      <c r="H2674" s="10"/>
      <c r="I2674" s="12" t="n">
        <v>1</v>
      </c>
      <c r="J2674" s="12"/>
      <c r="K2674" s="13"/>
      <c r="L2674" s="13"/>
      <c r="M2674" s="12"/>
      <c r="N2674" s="12"/>
      <c r="O2674" s="12"/>
      <c r="P2674" s="13"/>
      <c r="Q2674" s="13"/>
      <c r="R2674" s="12"/>
      <c r="S2674" s="12"/>
      <c r="T2674" s="12"/>
      <c r="U2674" s="14"/>
      <c r="V2674" s="15"/>
      <c r="W2674" s="16" t="n">
        <f aca="false">A2674</f>
        <v>0</v>
      </c>
      <c r="X2674" s="17" t="e">
        <f aca="false">ifs(C2674="","",X2674="",NOW(),TRUE(),X2674)</f>
        <v>#VALUE!</v>
      </c>
      <c r="Y2674" s="17" t="e">
        <f aca="false">ifs(COUNTA(K2674:U2677)&lt;44,"",Y2674="",NOW(),TRUE(),Y2674)</f>
        <v>#VALUE!</v>
      </c>
    </row>
    <row r="2675" customFormat="false" ht="15.75" hidden="false" customHeight="false" outlineLevel="0" collapsed="false">
      <c r="A2675" s="9"/>
      <c r="B2675" s="10"/>
      <c r="C2675" s="10"/>
      <c r="D2675" s="10"/>
      <c r="E2675" s="10"/>
      <c r="F2675" s="10"/>
      <c r="G2675" s="10"/>
      <c r="H2675" s="10"/>
      <c r="I2675" s="18" t="n">
        <v>2</v>
      </c>
      <c r="J2675" s="18"/>
      <c r="K2675" s="19"/>
      <c r="L2675" s="19"/>
      <c r="M2675" s="18"/>
      <c r="N2675" s="18"/>
      <c r="O2675" s="18"/>
      <c r="P2675" s="19"/>
      <c r="Q2675" s="19"/>
      <c r="R2675" s="18"/>
      <c r="S2675" s="18"/>
      <c r="T2675" s="18"/>
      <c r="U2675" s="20"/>
      <c r="V2675" s="21"/>
      <c r="W2675" s="16"/>
      <c r="X2675" s="16"/>
      <c r="Y2675" s="16"/>
    </row>
    <row r="2676" customFormat="false" ht="15.75" hidden="false" customHeight="false" outlineLevel="0" collapsed="false">
      <c r="A2676" s="9"/>
      <c r="B2676" s="10"/>
      <c r="C2676" s="10"/>
      <c r="D2676" s="10"/>
      <c r="E2676" s="10"/>
      <c r="F2676" s="10"/>
      <c r="G2676" s="10"/>
      <c r="H2676" s="10"/>
      <c r="I2676" s="22" t="n">
        <v>3</v>
      </c>
      <c r="J2676" s="22"/>
      <c r="K2676" s="23"/>
      <c r="L2676" s="23"/>
      <c r="M2676" s="22"/>
      <c r="N2676" s="22"/>
      <c r="O2676" s="22"/>
      <c r="P2676" s="23"/>
      <c r="Q2676" s="23"/>
      <c r="R2676" s="22"/>
      <c r="S2676" s="22"/>
      <c r="T2676" s="22"/>
      <c r="U2676" s="24"/>
      <c r="V2676" s="15"/>
      <c r="W2676" s="16"/>
      <c r="X2676" s="16"/>
      <c r="Y2676" s="16"/>
    </row>
    <row r="2677" customFormat="false" ht="15.75" hidden="false" customHeight="false" outlineLevel="0" collapsed="false">
      <c r="A2677" s="9"/>
      <c r="B2677" s="10"/>
      <c r="C2677" s="10"/>
      <c r="D2677" s="10"/>
      <c r="E2677" s="10"/>
      <c r="F2677" s="10"/>
      <c r="G2677" s="10"/>
      <c r="H2677" s="10"/>
      <c r="I2677" s="25" t="n">
        <v>4</v>
      </c>
      <c r="J2677" s="25"/>
      <c r="K2677" s="26"/>
      <c r="L2677" s="26"/>
      <c r="M2677" s="25"/>
      <c r="N2677" s="25"/>
      <c r="O2677" s="25"/>
      <c r="P2677" s="26"/>
      <c r="Q2677" s="26"/>
      <c r="R2677" s="25"/>
      <c r="S2677" s="25"/>
      <c r="T2677" s="25"/>
      <c r="U2677" s="27"/>
      <c r="V2677" s="21"/>
      <c r="W2677" s="16"/>
      <c r="X2677" s="16"/>
      <c r="Y2677" s="16"/>
    </row>
    <row r="2678" customFormat="false" ht="15.75" hidden="false" customHeight="false" outlineLevel="0" collapsed="false">
      <c r="A2678" s="9"/>
      <c r="B2678" s="10"/>
      <c r="C2678" s="11"/>
      <c r="D2678" s="10"/>
      <c r="E2678" s="10"/>
      <c r="F2678" s="10"/>
      <c r="G2678" s="10"/>
      <c r="H2678" s="10"/>
      <c r="I2678" s="12" t="n">
        <v>1</v>
      </c>
      <c r="J2678" s="12"/>
      <c r="K2678" s="13"/>
      <c r="L2678" s="13"/>
      <c r="M2678" s="12"/>
      <c r="N2678" s="12"/>
      <c r="O2678" s="12"/>
      <c r="P2678" s="13"/>
      <c r="Q2678" s="13"/>
      <c r="R2678" s="12"/>
      <c r="S2678" s="12"/>
      <c r="T2678" s="12"/>
      <c r="U2678" s="14"/>
      <c r="V2678" s="15"/>
      <c r="W2678" s="16" t="n">
        <f aca="false">A2678</f>
        <v>0</v>
      </c>
      <c r="X2678" s="17" t="e">
        <f aca="false">ifs(C2678="","",X2678="",NOW(),TRUE(),X2678)</f>
        <v>#VALUE!</v>
      </c>
      <c r="Y2678" s="17" t="e">
        <f aca="false">ifs(COUNTA(K2678:U2681)&lt;44,"",Y2678="",NOW(),TRUE(),Y2678)</f>
        <v>#VALUE!</v>
      </c>
    </row>
    <row r="2679" customFormat="false" ht="15.75" hidden="false" customHeight="false" outlineLevel="0" collapsed="false">
      <c r="A2679" s="9"/>
      <c r="B2679" s="10"/>
      <c r="C2679" s="10"/>
      <c r="D2679" s="10"/>
      <c r="E2679" s="10"/>
      <c r="F2679" s="10"/>
      <c r="G2679" s="10"/>
      <c r="H2679" s="10"/>
      <c r="I2679" s="18" t="n">
        <v>2</v>
      </c>
      <c r="J2679" s="18"/>
      <c r="K2679" s="19"/>
      <c r="L2679" s="19"/>
      <c r="M2679" s="18"/>
      <c r="N2679" s="18"/>
      <c r="O2679" s="18"/>
      <c r="P2679" s="19"/>
      <c r="Q2679" s="19"/>
      <c r="R2679" s="18"/>
      <c r="S2679" s="18"/>
      <c r="T2679" s="18"/>
      <c r="U2679" s="20"/>
      <c r="V2679" s="21"/>
      <c r="W2679" s="16"/>
      <c r="X2679" s="16"/>
      <c r="Y2679" s="16"/>
    </row>
    <row r="2680" customFormat="false" ht="15.75" hidden="false" customHeight="false" outlineLevel="0" collapsed="false">
      <c r="A2680" s="9"/>
      <c r="B2680" s="10"/>
      <c r="C2680" s="10"/>
      <c r="D2680" s="10"/>
      <c r="E2680" s="10"/>
      <c r="F2680" s="10"/>
      <c r="G2680" s="10"/>
      <c r="H2680" s="10"/>
      <c r="I2680" s="22" t="n">
        <v>3</v>
      </c>
      <c r="J2680" s="22"/>
      <c r="K2680" s="23"/>
      <c r="L2680" s="23"/>
      <c r="M2680" s="22"/>
      <c r="N2680" s="22"/>
      <c r="O2680" s="22"/>
      <c r="P2680" s="23"/>
      <c r="Q2680" s="23"/>
      <c r="R2680" s="22"/>
      <c r="S2680" s="22"/>
      <c r="T2680" s="22"/>
      <c r="U2680" s="24"/>
      <c r="V2680" s="15"/>
      <c r="W2680" s="16"/>
      <c r="X2680" s="16"/>
      <c r="Y2680" s="16"/>
    </row>
    <row r="2681" customFormat="false" ht="15.75" hidden="false" customHeight="false" outlineLevel="0" collapsed="false">
      <c r="A2681" s="9"/>
      <c r="B2681" s="10"/>
      <c r="C2681" s="10"/>
      <c r="D2681" s="10"/>
      <c r="E2681" s="10"/>
      <c r="F2681" s="10"/>
      <c r="G2681" s="10"/>
      <c r="H2681" s="10"/>
      <c r="I2681" s="25" t="n">
        <v>4</v>
      </c>
      <c r="J2681" s="25"/>
      <c r="K2681" s="26"/>
      <c r="L2681" s="26"/>
      <c r="M2681" s="25"/>
      <c r="N2681" s="25"/>
      <c r="O2681" s="25"/>
      <c r="P2681" s="26"/>
      <c r="Q2681" s="26"/>
      <c r="R2681" s="25"/>
      <c r="S2681" s="25"/>
      <c r="T2681" s="25"/>
      <c r="U2681" s="27"/>
      <c r="V2681" s="21"/>
      <c r="W2681" s="16"/>
      <c r="X2681" s="16"/>
      <c r="Y2681" s="16"/>
    </row>
    <row r="2682" customFormat="false" ht="15.75" hidden="false" customHeight="false" outlineLevel="0" collapsed="false">
      <c r="A2682" s="9"/>
      <c r="B2682" s="10"/>
      <c r="C2682" s="11"/>
      <c r="D2682" s="10"/>
      <c r="E2682" s="10"/>
      <c r="F2682" s="10"/>
      <c r="G2682" s="10"/>
      <c r="H2682" s="10"/>
      <c r="I2682" s="12" t="n">
        <v>1</v>
      </c>
      <c r="J2682" s="12"/>
      <c r="K2682" s="13"/>
      <c r="L2682" s="13"/>
      <c r="M2682" s="12"/>
      <c r="N2682" s="12"/>
      <c r="O2682" s="12"/>
      <c r="P2682" s="13"/>
      <c r="Q2682" s="13"/>
      <c r="R2682" s="12"/>
      <c r="S2682" s="12"/>
      <c r="T2682" s="12"/>
      <c r="U2682" s="14"/>
      <c r="V2682" s="15"/>
      <c r="W2682" s="16" t="n">
        <f aca="false">A2682</f>
        <v>0</v>
      </c>
      <c r="X2682" s="17" t="e">
        <f aca="false">ifs(C2682="","",X2682="",NOW(),TRUE(),X2682)</f>
        <v>#VALUE!</v>
      </c>
      <c r="Y2682" s="17" t="e">
        <f aca="false">ifs(COUNTA(K2682:U2685)&lt;44,"",Y2682="",NOW(),TRUE(),Y2682)</f>
        <v>#VALUE!</v>
      </c>
    </row>
    <row r="2683" customFormat="false" ht="15.75" hidden="false" customHeight="false" outlineLevel="0" collapsed="false">
      <c r="A2683" s="9"/>
      <c r="B2683" s="10"/>
      <c r="C2683" s="10"/>
      <c r="D2683" s="10"/>
      <c r="E2683" s="10"/>
      <c r="F2683" s="10"/>
      <c r="G2683" s="10"/>
      <c r="H2683" s="10"/>
      <c r="I2683" s="18" t="n">
        <v>2</v>
      </c>
      <c r="J2683" s="18"/>
      <c r="K2683" s="19"/>
      <c r="L2683" s="19"/>
      <c r="M2683" s="18"/>
      <c r="N2683" s="18"/>
      <c r="O2683" s="18"/>
      <c r="P2683" s="19"/>
      <c r="Q2683" s="19"/>
      <c r="R2683" s="18"/>
      <c r="S2683" s="18"/>
      <c r="T2683" s="18"/>
      <c r="U2683" s="20"/>
      <c r="V2683" s="21"/>
      <c r="W2683" s="16"/>
      <c r="X2683" s="16"/>
      <c r="Y2683" s="16"/>
    </row>
    <row r="2684" customFormat="false" ht="15.75" hidden="false" customHeight="false" outlineLevel="0" collapsed="false">
      <c r="A2684" s="9"/>
      <c r="B2684" s="10"/>
      <c r="C2684" s="10"/>
      <c r="D2684" s="10"/>
      <c r="E2684" s="10"/>
      <c r="F2684" s="10"/>
      <c r="G2684" s="10"/>
      <c r="H2684" s="10"/>
      <c r="I2684" s="22" t="n">
        <v>3</v>
      </c>
      <c r="J2684" s="22"/>
      <c r="K2684" s="23"/>
      <c r="L2684" s="23"/>
      <c r="M2684" s="22"/>
      <c r="N2684" s="22"/>
      <c r="O2684" s="22"/>
      <c r="P2684" s="23"/>
      <c r="Q2684" s="23"/>
      <c r="R2684" s="22"/>
      <c r="S2684" s="22"/>
      <c r="T2684" s="22"/>
      <c r="U2684" s="24"/>
      <c r="V2684" s="15"/>
      <c r="W2684" s="16"/>
      <c r="X2684" s="16"/>
      <c r="Y2684" s="16"/>
    </row>
    <row r="2685" customFormat="false" ht="15.75" hidden="false" customHeight="false" outlineLevel="0" collapsed="false">
      <c r="A2685" s="9"/>
      <c r="B2685" s="10"/>
      <c r="C2685" s="10"/>
      <c r="D2685" s="10"/>
      <c r="E2685" s="10"/>
      <c r="F2685" s="10"/>
      <c r="G2685" s="10"/>
      <c r="H2685" s="10"/>
      <c r="I2685" s="25" t="n">
        <v>4</v>
      </c>
      <c r="J2685" s="25"/>
      <c r="K2685" s="26"/>
      <c r="L2685" s="26"/>
      <c r="M2685" s="25"/>
      <c r="N2685" s="25"/>
      <c r="O2685" s="25"/>
      <c r="P2685" s="26"/>
      <c r="Q2685" s="26"/>
      <c r="R2685" s="25"/>
      <c r="S2685" s="25"/>
      <c r="T2685" s="25"/>
      <c r="U2685" s="27"/>
      <c r="V2685" s="21"/>
      <c r="W2685" s="16"/>
      <c r="X2685" s="16"/>
      <c r="Y2685" s="16"/>
    </row>
    <row r="2686" customFormat="false" ht="15.75" hidden="false" customHeight="false" outlineLevel="0" collapsed="false">
      <c r="A2686" s="9"/>
      <c r="B2686" s="10"/>
      <c r="C2686" s="11"/>
      <c r="D2686" s="10"/>
      <c r="E2686" s="10"/>
      <c r="F2686" s="10"/>
      <c r="G2686" s="10"/>
      <c r="H2686" s="10"/>
      <c r="I2686" s="12" t="n">
        <v>1</v>
      </c>
      <c r="J2686" s="12"/>
      <c r="K2686" s="13"/>
      <c r="L2686" s="13"/>
      <c r="M2686" s="12"/>
      <c r="N2686" s="12"/>
      <c r="O2686" s="12"/>
      <c r="P2686" s="13"/>
      <c r="Q2686" s="13"/>
      <c r="R2686" s="12"/>
      <c r="S2686" s="12"/>
      <c r="T2686" s="12"/>
      <c r="U2686" s="14"/>
      <c r="V2686" s="15"/>
      <c r="W2686" s="16" t="n">
        <f aca="false">A2686</f>
        <v>0</v>
      </c>
      <c r="X2686" s="17" t="e">
        <f aca="false">ifs(C2686="","",X2686="",NOW(),TRUE(),X2686)</f>
        <v>#VALUE!</v>
      </c>
      <c r="Y2686" s="17" t="e">
        <f aca="false">ifs(COUNTA(K2686:U2689)&lt;44,"",Y2686="",NOW(),TRUE(),Y2686)</f>
        <v>#VALUE!</v>
      </c>
    </row>
    <row r="2687" customFormat="false" ht="15.75" hidden="false" customHeight="false" outlineLevel="0" collapsed="false">
      <c r="A2687" s="9"/>
      <c r="B2687" s="10"/>
      <c r="C2687" s="10"/>
      <c r="D2687" s="10"/>
      <c r="E2687" s="10"/>
      <c r="F2687" s="10"/>
      <c r="G2687" s="10"/>
      <c r="H2687" s="10"/>
      <c r="I2687" s="18" t="n">
        <v>2</v>
      </c>
      <c r="J2687" s="18"/>
      <c r="K2687" s="19"/>
      <c r="L2687" s="19"/>
      <c r="M2687" s="18"/>
      <c r="N2687" s="18"/>
      <c r="O2687" s="18"/>
      <c r="P2687" s="19"/>
      <c r="Q2687" s="19"/>
      <c r="R2687" s="18"/>
      <c r="S2687" s="18"/>
      <c r="T2687" s="18"/>
      <c r="U2687" s="20"/>
      <c r="V2687" s="21"/>
      <c r="W2687" s="16"/>
      <c r="X2687" s="16"/>
      <c r="Y2687" s="16"/>
    </row>
    <row r="2688" customFormat="false" ht="15.75" hidden="false" customHeight="false" outlineLevel="0" collapsed="false">
      <c r="A2688" s="9"/>
      <c r="B2688" s="10"/>
      <c r="C2688" s="10"/>
      <c r="D2688" s="10"/>
      <c r="E2688" s="10"/>
      <c r="F2688" s="10"/>
      <c r="G2688" s="10"/>
      <c r="H2688" s="10"/>
      <c r="I2688" s="22" t="n">
        <v>3</v>
      </c>
      <c r="J2688" s="22"/>
      <c r="K2688" s="23"/>
      <c r="L2688" s="23"/>
      <c r="M2688" s="22"/>
      <c r="N2688" s="22"/>
      <c r="O2688" s="22"/>
      <c r="P2688" s="23"/>
      <c r="Q2688" s="23"/>
      <c r="R2688" s="22"/>
      <c r="S2688" s="22"/>
      <c r="T2688" s="22"/>
      <c r="U2688" s="24"/>
      <c r="V2688" s="15"/>
      <c r="W2688" s="16"/>
      <c r="X2688" s="16"/>
      <c r="Y2688" s="16"/>
    </row>
    <row r="2689" customFormat="false" ht="15.75" hidden="false" customHeight="false" outlineLevel="0" collapsed="false">
      <c r="A2689" s="9"/>
      <c r="B2689" s="10"/>
      <c r="C2689" s="10"/>
      <c r="D2689" s="10"/>
      <c r="E2689" s="10"/>
      <c r="F2689" s="10"/>
      <c r="G2689" s="10"/>
      <c r="H2689" s="10"/>
      <c r="I2689" s="25" t="n">
        <v>4</v>
      </c>
      <c r="J2689" s="25"/>
      <c r="K2689" s="26"/>
      <c r="L2689" s="26"/>
      <c r="M2689" s="25"/>
      <c r="N2689" s="25"/>
      <c r="O2689" s="25"/>
      <c r="P2689" s="26"/>
      <c r="Q2689" s="26"/>
      <c r="R2689" s="25"/>
      <c r="S2689" s="25"/>
      <c r="T2689" s="25"/>
      <c r="U2689" s="27"/>
      <c r="V2689" s="21"/>
      <c r="W2689" s="16"/>
      <c r="X2689" s="16"/>
      <c r="Y2689" s="16"/>
    </row>
    <row r="2690" customFormat="false" ht="15.75" hidden="false" customHeight="false" outlineLevel="0" collapsed="false">
      <c r="A2690" s="9"/>
      <c r="B2690" s="10"/>
      <c r="C2690" s="11"/>
      <c r="D2690" s="10"/>
      <c r="E2690" s="10"/>
      <c r="F2690" s="10"/>
      <c r="G2690" s="10"/>
      <c r="H2690" s="10"/>
      <c r="I2690" s="12" t="n">
        <v>1</v>
      </c>
      <c r="J2690" s="12"/>
      <c r="K2690" s="13"/>
      <c r="L2690" s="13"/>
      <c r="M2690" s="12"/>
      <c r="N2690" s="12"/>
      <c r="O2690" s="12"/>
      <c r="P2690" s="13"/>
      <c r="Q2690" s="13"/>
      <c r="R2690" s="12"/>
      <c r="S2690" s="12"/>
      <c r="T2690" s="12"/>
      <c r="U2690" s="14"/>
      <c r="V2690" s="15"/>
      <c r="W2690" s="16" t="n">
        <f aca="false">A2690</f>
        <v>0</v>
      </c>
      <c r="X2690" s="17" t="e">
        <f aca="false">ifs(C2690="","",X2690="",NOW(),TRUE(),X2690)</f>
        <v>#VALUE!</v>
      </c>
      <c r="Y2690" s="17" t="e">
        <f aca="false">ifs(COUNTA(K2690:U2693)&lt;44,"",Y2690="",NOW(),TRUE(),Y2690)</f>
        <v>#VALUE!</v>
      </c>
    </row>
    <row r="2691" customFormat="false" ht="15.75" hidden="false" customHeight="false" outlineLevel="0" collapsed="false">
      <c r="A2691" s="9"/>
      <c r="B2691" s="10"/>
      <c r="C2691" s="10"/>
      <c r="D2691" s="10"/>
      <c r="E2691" s="10"/>
      <c r="F2691" s="10"/>
      <c r="G2691" s="10"/>
      <c r="H2691" s="10"/>
      <c r="I2691" s="18" t="n">
        <v>2</v>
      </c>
      <c r="J2691" s="18"/>
      <c r="K2691" s="19"/>
      <c r="L2691" s="19"/>
      <c r="M2691" s="18"/>
      <c r="N2691" s="18"/>
      <c r="O2691" s="18"/>
      <c r="P2691" s="19"/>
      <c r="Q2691" s="19"/>
      <c r="R2691" s="18"/>
      <c r="S2691" s="18"/>
      <c r="T2691" s="18"/>
      <c r="U2691" s="20"/>
      <c r="V2691" s="21"/>
      <c r="W2691" s="16"/>
      <c r="X2691" s="16"/>
      <c r="Y2691" s="16"/>
    </row>
    <row r="2692" customFormat="false" ht="15.75" hidden="false" customHeight="false" outlineLevel="0" collapsed="false">
      <c r="A2692" s="9"/>
      <c r="B2692" s="10"/>
      <c r="C2692" s="10"/>
      <c r="D2692" s="10"/>
      <c r="E2692" s="10"/>
      <c r="F2692" s="10"/>
      <c r="G2692" s="10"/>
      <c r="H2692" s="10"/>
      <c r="I2692" s="22" t="n">
        <v>3</v>
      </c>
      <c r="J2692" s="22"/>
      <c r="K2692" s="23"/>
      <c r="L2692" s="23"/>
      <c r="M2692" s="22"/>
      <c r="N2692" s="22"/>
      <c r="O2692" s="22"/>
      <c r="P2692" s="23"/>
      <c r="Q2692" s="23"/>
      <c r="R2692" s="22"/>
      <c r="S2692" s="22"/>
      <c r="T2692" s="22"/>
      <c r="U2692" s="24"/>
      <c r="V2692" s="15"/>
      <c r="W2692" s="16"/>
      <c r="X2692" s="16"/>
      <c r="Y2692" s="16"/>
    </row>
    <row r="2693" customFormat="false" ht="15.75" hidden="false" customHeight="false" outlineLevel="0" collapsed="false">
      <c r="A2693" s="9"/>
      <c r="B2693" s="10"/>
      <c r="C2693" s="10"/>
      <c r="D2693" s="10"/>
      <c r="E2693" s="10"/>
      <c r="F2693" s="10"/>
      <c r="G2693" s="10"/>
      <c r="H2693" s="10"/>
      <c r="I2693" s="25" t="n">
        <v>4</v>
      </c>
      <c r="J2693" s="25"/>
      <c r="K2693" s="26"/>
      <c r="L2693" s="26"/>
      <c r="M2693" s="25"/>
      <c r="N2693" s="25"/>
      <c r="O2693" s="25"/>
      <c r="P2693" s="26"/>
      <c r="Q2693" s="26"/>
      <c r="R2693" s="25"/>
      <c r="S2693" s="25"/>
      <c r="T2693" s="25"/>
      <c r="U2693" s="27"/>
      <c r="V2693" s="21"/>
      <c r="W2693" s="16"/>
      <c r="X2693" s="16"/>
      <c r="Y2693" s="16"/>
    </row>
    <row r="2694" customFormat="false" ht="15.75" hidden="false" customHeight="false" outlineLevel="0" collapsed="false">
      <c r="A2694" s="9"/>
      <c r="B2694" s="10"/>
      <c r="C2694" s="11"/>
      <c r="D2694" s="10"/>
      <c r="E2694" s="10"/>
      <c r="F2694" s="10"/>
      <c r="G2694" s="10"/>
      <c r="H2694" s="10"/>
      <c r="I2694" s="12" t="n">
        <v>1</v>
      </c>
      <c r="J2694" s="12"/>
      <c r="K2694" s="13"/>
      <c r="L2694" s="13"/>
      <c r="M2694" s="12"/>
      <c r="N2694" s="12"/>
      <c r="O2694" s="12"/>
      <c r="P2694" s="13"/>
      <c r="Q2694" s="13"/>
      <c r="R2694" s="12"/>
      <c r="S2694" s="12"/>
      <c r="T2694" s="12"/>
      <c r="U2694" s="14"/>
      <c r="V2694" s="15"/>
      <c r="W2694" s="16" t="n">
        <f aca="false">A2694</f>
        <v>0</v>
      </c>
      <c r="X2694" s="17" t="e">
        <f aca="false">ifs(C2694="","",X2694="",NOW(),TRUE(),X2694)</f>
        <v>#VALUE!</v>
      </c>
      <c r="Y2694" s="17" t="e">
        <f aca="false">ifs(COUNTA(K2694:U2697)&lt;44,"",Y2694="",NOW(),TRUE(),Y2694)</f>
        <v>#VALUE!</v>
      </c>
    </row>
    <row r="2695" customFormat="false" ht="15.75" hidden="false" customHeight="false" outlineLevel="0" collapsed="false">
      <c r="A2695" s="9"/>
      <c r="B2695" s="10"/>
      <c r="C2695" s="10"/>
      <c r="D2695" s="10"/>
      <c r="E2695" s="10"/>
      <c r="F2695" s="10"/>
      <c r="G2695" s="10"/>
      <c r="H2695" s="10"/>
      <c r="I2695" s="18" t="n">
        <v>2</v>
      </c>
      <c r="J2695" s="18"/>
      <c r="K2695" s="19"/>
      <c r="L2695" s="19"/>
      <c r="M2695" s="18"/>
      <c r="N2695" s="18"/>
      <c r="O2695" s="18"/>
      <c r="P2695" s="19"/>
      <c r="Q2695" s="19"/>
      <c r="R2695" s="18"/>
      <c r="S2695" s="18"/>
      <c r="T2695" s="18"/>
      <c r="U2695" s="20"/>
      <c r="V2695" s="21"/>
      <c r="W2695" s="16"/>
      <c r="X2695" s="16"/>
      <c r="Y2695" s="16"/>
    </row>
    <row r="2696" customFormat="false" ht="15.75" hidden="false" customHeight="false" outlineLevel="0" collapsed="false">
      <c r="A2696" s="9"/>
      <c r="B2696" s="10"/>
      <c r="C2696" s="10"/>
      <c r="D2696" s="10"/>
      <c r="E2696" s="10"/>
      <c r="F2696" s="10"/>
      <c r="G2696" s="10"/>
      <c r="H2696" s="10"/>
      <c r="I2696" s="22" t="n">
        <v>3</v>
      </c>
      <c r="J2696" s="22"/>
      <c r="K2696" s="23"/>
      <c r="L2696" s="23"/>
      <c r="M2696" s="22"/>
      <c r="N2696" s="22"/>
      <c r="O2696" s="22"/>
      <c r="P2696" s="23"/>
      <c r="Q2696" s="23"/>
      <c r="R2696" s="22"/>
      <c r="S2696" s="22"/>
      <c r="T2696" s="22"/>
      <c r="U2696" s="24"/>
      <c r="V2696" s="15"/>
      <c r="W2696" s="16"/>
      <c r="X2696" s="16"/>
      <c r="Y2696" s="16"/>
    </row>
    <row r="2697" customFormat="false" ht="15.75" hidden="false" customHeight="false" outlineLevel="0" collapsed="false">
      <c r="A2697" s="9"/>
      <c r="B2697" s="10"/>
      <c r="C2697" s="10"/>
      <c r="D2697" s="10"/>
      <c r="E2697" s="10"/>
      <c r="F2697" s="10"/>
      <c r="G2697" s="10"/>
      <c r="H2697" s="10"/>
      <c r="I2697" s="25" t="n">
        <v>4</v>
      </c>
      <c r="J2697" s="25"/>
      <c r="K2697" s="26"/>
      <c r="L2697" s="26"/>
      <c r="M2697" s="25"/>
      <c r="N2697" s="25"/>
      <c r="O2697" s="25"/>
      <c r="P2697" s="26"/>
      <c r="Q2697" s="26"/>
      <c r="R2697" s="25"/>
      <c r="S2697" s="25"/>
      <c r="T2697" s="25"/>
      <c r="U2697" s="27"/>
      <c r="V2697" s="21"/>
      <c r="W2697" s="16"/>
      <c r="X2697" s="16"/>
      <c r="Y2697" s="16"/>
    </row>
    <row r="2698" customFormat="false" ht="15.75" hidden="false" customHeight="false" outlineLevel="0" collapsed="false">
      <c r="A2698" s="9"/>
      <c r="B2698" s="10"/>
      <c r="C2698" s="11"/>
      <c r="D2698" s="10"/>
      <c r="E2698" s="10"/>
      <c r="F2698" s="10"/>
      <c r="G2698" s="10"/>
      <c r="H2698" s="10"/>
      <c r="I2698" s="12" t="n">
        <v>1</v>
      </c>
      <c r="J2698" s="12"/>
      <c r="K2698" s="13"/>
      <c r="L2698" s="13"/>
      <c r="M2698" s="12"/>
      <c r="N2698" s="12"/>
      <c r="O2698" s="12"/>
      <c r="P2698" s="13"/>
      <c r="Q2698" s="13"/>
      <c r="R2698" s="12"/>
      <c r="S2698" s="12"/>
      <c r="T2698" s="12"/>
      <c r="U2698" s="14"/>
      <c r="V2698" s="15"/>
      <c r="W2698" s="16" t="n">
        <f aca="false">A2698</f>
        <v>0</v>
      </c>
      <c r="X2698" s="17" t="e">
        <f aca="false">ifs(C2698="","",X2698="",NOW(),TRUE(),X2698)</f>
        <v>#VALUE!</v>
      </c>
      <c r="Y2698" s="17" t="e">
        <f aca="false">ifs(COUNTA(K2698:U2701)&lt;44,"",Y2698="",NOW(),TRUE(),Y2698)</f>
        <v>#VALUE!</v>
      </c>
    </row>
    <row r="2699" customFormat="false" ht="15.75" hidden="false" customHeight="false" outlineLevel="0" collapsed="false">
      <c r="A2699" s="9"/>
      <c r="B2699" s="10"/>
      <c r="C2699" s="10"/>
      <c r="D2699" s="10"/>
      <c r="E2699" s="10"/>
      <c r="F2699" s="10"/>
      <c r="G2699" s="10"/>
      <c r="H2699" s="10"/>
      <c r="I2699" s="18" t="n">
        <v>2</v>
      </c>
      <c r="J2699" s="18"/>
      <c r="K2699" s="19"/>
      <c r="L2699" s="19"/>
      <c r="M2699" s="18"/>
      <c r="N2699" s="18"/>
      <c r="O2699" s="18"/>
      <c r="P2699" s="19"/>
      <c r="Q2699" s="19"/>
      <c r="R2699" s="18"/>
      <c r="S2699" s="18"/>
      <c r="T2699" s="18"/>
      <c r="U2699" s="20"/>
      <c r="V2699" s="21"/>
      <c r="W2699" s="16"/>
      <c r="X2699" s="16"/>
      <c r="Y2699" s="16"/>
    </row>
    <row r="2700" customFormat="false" ht="15.75" hidden="false" customHeight="false" outlineLevel="0" collapsed="false">
      <c r="A2700" s="9"/>
      <c r="B2700" s="10"/>
      <c r="C2700" s="10"/>
      <c r="D2700" s="10"/>
      <c r="E2700" s="10"/>
      <c r="F2700" s="10"/>
      <c r="G2700" s="10"/>
      <c r="H2700" s="10"/>
      <c r="I2700" s="22" t="n">
        <v>3</v>
      </c>
      <c r="J2700" s="22"/>
      <c r="K2700" s="23"/>
      <c r="L2700" s="23"/>
      <c r="M2700" s="22"/>
      <c r="N2700" s="22"/>
      <c r="O2700" s="22"/>
      <c r="P2700" s="23"/>
      <c r="Q2700" s="23"/>
      <c r="R2700" s="22"/>
      <c r="S2700" s="22"/>
      <c r="T2700" s="22"/>
      <c r="U2700" s="24"/>
      <c r="V2700" s="15"/>
      <c r="W2700" s="16"/>
      <c r="X2700" s="16"/>
      <c r="Y2700" s="16"/>
    </row>
    <row r="2701" customFormat="false" ht="15.75" hidden="false" customHeight="false" outlineLevel="0" collapsed="false">
      <c r="A2701" s="9"/>
      <c r="B2701" s="10"/>
      <c r="C2701" s="10"/>
      <c r="D2701" s="10"/>
      <c r="E2701" s="10"/>
      <c r="F2701" s="10"/>
      <c r="G2701" s="10"/>
      <c r="H2701" s="10"/>
      <c r="I2701" s="25" t="n">
        <v>4</v>
      </c>
      <c r="J2701" s="25"/>
      <c r="K2701" s="26"/>
      <c r="L2701" s="26"/>
      <c r="M2701" s="25"/>
      <c r="N2701" s="25"/>
      <c r="O2701" s="25"/>
      <c r="P2701" s="26"/>
      <c r="Q2701" s="26"/>
      <c r="R2701" s="25"/>
      <c r="S2701" s="25"/>
      <c r="T2701" s="25"/>
      <c r="U2701" s="27"/>
      <c r="V2701" s="21"/>
      <c r="W2701" s="16"/>
      <c r="X2701" s="16"/>
      <c r="Y2701" s="16"/>
    </row>
    <row r="2702" customFormat="false" ht="15.75" hidden="false" customHeight="false" outlineLevel="0" collapsed="false">
      <c r="A2702" s="9"/>
      <c r="B2702" s="10"/>
      <c r="C2702" s="11"/>
      <c r="D2702" s="10"/>
      <c r="E2702" s="10"/>
      <c r="F2702" s="10"/>
      <c r="G2702" s="10"/>
      <c r="H2702" s="10"/>
      <c r="I2702" s="12" t="n">
        <v>1</v>
      </c>
      <c r="J2702" s="12"/>
      <c r="K2702" s="13"/>
      <c r="L2702" s="13"/>
      <c r="M2702" s="12"/>
      <c r="N2702" s="12"/>
      <c r="O2702" s="12"/>
      <c r="P2702" s="13"/>
      <c r="Q2702" s="13"/>
      <c r="R2702" s="12"/>
      <c r="S2702" s="12"/>
      <c r="T2702" s="12"/>
      <c r="U2702" s="14"/>
      <c r="V2702" s="15"/>
      <c r="W2702" s="16" t="n">
        <f aca="false">A2702</f>
        <v>0</v>
      </c>
      <c r="X2702" s="17" t="e">
        <f aca="false">ifs(C2702="","",X2702="",NOW(),TRUE(),X2702)</f>
        <v>#VALUE!</v>
      </c>
      <c r="Y2702" s="17" t="e">
        <f aca="false">ifs(COUNTA(K2702:U2705)&lt;44,"",Y2702="",NOW(),TRUE(),Y2702)</f>
        <v>#VALUE!</v>
      </c>
    </row>
    <row r="2703" customFormat="false" ht="15.75" hidden="false" customHeight="false" outlineLevel="0" collapsed="false">
      <c r="A2703" s="9"/>
      <c r="B2703" s="10"/>
      <c r="C2703" s="10"/>
      <c r="D2703" s="10"/>
      <c r="E2703" s="10"/>
      <c r="F2703" s="10"/>
      <c r="G2703" s="10"/>
      <c r="H2703" s="10"/>
      <c r="I2703" s="18" t="n">
        <v>2</v>
      </c>
      <c r="J2703" s="18"/>
      <c r="K2703" s="19"/>
      <c r="L2703" s="19"/>
      <c r="M2703" s="18"/>
      <c r="N2703" s="18"/>
      <c r="O2703" s="18"/>
      <c r="P2703" s="19"/>
      <c r="Q2703" s="19"/>
      <c r="R2703" s="18"/>
      <c r="S2703" s="18"/>
      <c r="T2703" s="18"/>
      <c r="U2703" s="20"/>
      <c r="V2703" s="21"/>
      <c r="W2703" s="16"/>
      <c r="X2703" s="16"/>
      <c r="Y2703" s="16"/>
    </row>
    <row r="2704" customFormat="false" ht="15.75" hidden="false" customHeight="false" outlineLevel="0" collapsed="false">
      <c r="A2704" s="9"/>
      <c r="B2704" s="10"/>
      <c r="C2704" s="10"/>
      <c r="D2704" s="10"/>
      <c r="E2704" s="10"/>
      <c r="F2704" s="10"/>
      <c r="G2704" s="10"/>
      <c r="H2704" s="10"/>
      <c r="I2704" s="22" t="n">
        <v>3</v>
      </c>
      <c r="J2704" s="22"/>
      <c r="K2704" s="23"/>
      <c r="L2704" s="23"/>
      <c r="M2704" s="22"/>
      <c r="N2704" s="22"/>
      <c r="O2704" s="22"/>
      <c r="P2704" s="23"/>
      <c r="Q2704" s="23"/>
      <c r="R2704" s="22"/>
      <c r="S2704" s="22"/>
      <c r="T2704" s="22"/>
      <c r="U2704" s="24"/>
      <c r="V2704" s="15"/>
      <c r="W2704" s="16"/>
      <c r="X2704" s="16"/>
      <c r="Y2704" s="16"/>
    </row>
    <row r="2705" customFormat="false" ht="15.75" hidden="false" customHeight="false" outlineLevel="0" collapsed="false">
      <c r="A2705" s="9"/>
      <c r="B2705" s="10"/>
      <c r="C2705" s="10"/>
      <c r="D2705" s="10"/>
      <c r="E2705" s="10"/>
      <c r="F2705" s="10"/>
      <c r="G2705" s="10"/>
      <c r="H2705" s="10"/>
      <c r="I2705" s="25" t="n">
        <v>4</v>
      </c>
      <c r="J2705" s="25"/>
      <c r="K2705" s="26"/>
      <c r="L2705" s="26"/>
      <c r="M2705" s="25"/>
      <c r="N2705" s="25"/>
      <c r="O2705" s="25"/>
      <c r="P2705" s="26"/>
      <c r="Q2705" s="26"/>
      <c r="R2705" s="25"/>
      <c r="S2705" s="25"/>
      <c r="T2705" s="25"/>
      <c r="U2705" s="27"/>
      <c r="V2705" s="21"/>
      <c r="W2705" s="16"/>
      <c r="X2705" s="16"/>
      <c r="Y2705" s="16"/>
    </row>
    <row r="2706" customFormat="false" ht="15.75" hidden="false" customHeight="false" outlineLevel="0" collapsed="false">
      <c r="A2706" s="9"/>
      <c r="B2706" s="10"/>
      <c r="C2706" s="11"/>
      <c r="D2706" s="10"/>
      <c r="E2706" s="10"/>
      <c r="F2706" s="10"/>
      <c r="G2706" s="10"/>
      <c r="H2706" s="10"/>
      <c r="I2706" s="12" t="n">
        <v>1</v>
      </c>
      <c r="J2706" s="12"/>
      <c r="K2706" s="13"/>
      <c r="L2706" s="13"/>
      <c r="M2706" s="12"/>
      <c r="N2706" s="12"/>
      <c r="O2706" s="12"/>
      <c r="P2706" s="13"/>
      <c r="Q2706" s="13"/>
      <c r="R2706" s="12"/>
      <c r="S2706" s="12"/>
      <c r="T2706" s="12"/>
      <c r="U2706" s="14"/>
      <c r="V2706" s="15"/>
      <c r="W2706" s="16" t="n">
        <f aca="false">A2706</f>
        <v>0</v>
      </c>
      <c r="X2706" s="17" t="e">
        <f aca="false">ifs(C2706="","",X2706="",NOW(),TRUE(),X2706)</f>
        <v>#VALUE!</v>
      </c>
      <c r="Y2706" s="17" t="e">
        <f aca="false">ifs(COUNTA(K2706:U2709)&lt;44,"",Y2706="",NOW(),TRUE(),Y2706)</f>
        <v>#VALUE!</v>
      </c>
    </row>
    <row r="2707" customFormat="false" ht="15.75" hidden="false" customHeight="false" outlineLevel="0" collapsed="false">
      <c r="A2707" s="9"/>
      <c r="B2707" s="10"/>
      <c r="C2707" s="10"/>
      <c r="D2707" s="10"/>
      <c r="E2707" s="10"/>
      <c r="F2707" s="10"/>
      <c r="G2707" s="10"/>
      <c r="H2707" s="10"/>
      <c r="I2707" s="18" t="n">
        <v>2</v>
      </c>
      <c r="J2707" s="18"/>
      <c r="K2707" s="19"/>
      <c r="L2707" s="19"/>
      <c r="M2707" s="18"/>
      <c r="N2707" s="18"/>
      <c r="O2707" s="18"/>
      <c r="P2707" s="19"/>
      <c r="Q2707" s="19"/>
      <c r="R2707" s="18"/>
      <c r="S2707" s="18"/>
      <c r="T2707" s="18"/>
      <c r="U2707" s="20"/>
      <c r="V2707" s="21"/>
      <c r="W2707" s="16"/>
      <c r="X2707" s="16"/>
      <c r="Y2707" s="16"/>
    </row>
    <row r="2708" customFormat="false" ht="15.75" hidden="false" customHeight="false" outlineLevel="0" collapsed="false">
      <c r="A2708" s="9"/>
      <c r="B2708" s="10"/>
      <c r="C2708" s="10"/>
      <c r="D2708" s="10"/>
      <c r="E2708" s="10"/>
      <c r="F2708" s="10"/>
      <c r="G2708" s="10"/>
      <c r="H2708" s="10"/>
      <c r="I2708" s="22" t="n">
        <v>3</v>
      </c>
      <c r="J2708" s="22"/>
      <c r="K2708" s="23"/>
      <c r="L2708" s="23"/>
      <c r="M2708" s="22"/>
      <c r="N2708" s="22"/>
      <c r="O2708" s="22"/>
      <c r="P2708" s="23"/>
      <c r="Q2708" s="23"/>
      <c r="R2708" s="22"/>
      <c r="S2708" s="22"/>
      <c r="T2708" s="22"/>
      <c r="U2708" s="24"/>
      <c r="V2708" s="15"/>
      <c r="W2708" s="16"/>
      <c r="X2708" s="16"/>
      <c r="Y2708" s="16"/>
    </row>
    <row r="2709" customFormat="false" ht="15.75" hidden="false" customHeight="false" outlineLevel="0" collapsed="false">
      <c r="A2709" s="9"/>
      <c r="B2709" s="10"/>
      <c r="C2709" s="10"/>
      <c r="D2709" s="10"/>
      <c r="E2709" s="10"/>
      <c r="F2709" s="10"/>
      <c r="G2709" s="10"/>
      <c r="H2709" s="10"/>
      <c r="I2709" s="25" t="n">
        <v>4</v>
      </c>
      <c r="J2709" s="25"/>
      <c r="K2709" s="26"/>
      <c r="L2709" s="26"/>
      <c r="M2709" s="25"/>
      <c r="N2709" s="25"/>
      <c r="O2709" s="25"/>
      <c r="P2709" s="26"/>
      <c r="Q2709" s="26"/>
      <c r="R2709" s="25"/>
      <c r="S2709" s="25"/>
      <c r="T2709" s="25"/>
      <c r="U2709" s="27"/>
      <c r="V2709" s="21"/>
      <c r="W2709" s="16"/>
      <c r="X2709" s="16"/>
      <c r="Y2709" s="16"/>
    </row>
    <row r="2710" customFormat="false" ht="15.75" hidden="false" customHeight="false" outlineLevel="0" collapsed="false">
      <c r="A2710" s="9"/>
      <c r="B2710" s="10"/>
      <c r="C2710" s="11"/>
      <c r="D2710" s="10"/>
      <c r="E2710" s="10"/>
      <c r="F2710" s="10"/>
      <c r="G2710" s="10"/>
      <c r="H2710" s="10"/>
      <c r="I2710" s="12" t="n">
        <v>1</v>
      </c>
      <c r="J2710" s="12"/>
      <c r="K2710" s="13"/>
      <c r="L2710" s="13"/>
      <c r="M2710" s="12"/>
      <c r="N2710" s="12"/>
      <c r="O2710" s="12"/>
      <c r="P2710" s="13"/>
      <c r="Q2710" s="13"/>
      <c r="R2710" s="12"/>
      <c r="S2710" s="12"/>
      <c r="T2710" s="12"/>
      <c r="U2710" s="14"/>
      <c r="V2710" s="15"/>
      <c r="W2710" s="16" t="n">
        <f aca="false">A2710</f>
        <v>0</v>
      </c>
      <c r="X2710" s="17" t="e">
        <f aca="false">ifs(C2710="","",X2710="",NOW(),TRUE(),X2710)</f>
        <v>#VALUE!</v>
      </c>
      <c r="Y2710" s="17" t="e">
        <f aca="false">ifs(COUNTA(K2710:U2713)&lt;44,"",Y2710="",NOW(),TRUE(),Y2710)</f>
        <v>#VALUE!</v>
      </c>
    </row>
    <row r="2711" customFormat="false" ht="15.75" hidden="false" customHeight="false" outlineLevel="0" collapsed="false">
      <c r="A2711" s="9"/>
      <c r="B2711" s="10"/>
      <c r="C2711" s="10"/>
      <c r="D2711" s="10"/>
      <c r="E2711" s="10"/>
      <c r="F2711" s="10"/>
      <c r="G2711" s="10"/>
      <c r="H2711" s="10"/>
      <c r="I2711" s="18" t="n">
        <v>2</v>
      </c>
      <c r="J2711" s="18"/>
      <c r="K2711" s="19"/>
      <c r="L2711" s="19"/>
      <c r="M2711" s="18"/>
      <c r="N2711" s="18"/>
      <c r="O2711" s="18"/>
      <c r="P2711" s="19"/>
      <c r="Q2711" s="19"/>
      <c r="R2711" s="18"/>
      <c r="S2711" s="18"/>
      <c r="T2711" s="18"/>
      <c r="U2711" s="20"/>
      <c r="V2711" s="21"/>
      <c r="W2711" s="16"/>
      <c r="X2711" s="16"/>
      <c r="Y2711" s="16"/>
    </row>
    <row r="2712" customFormat="false" ht="15.75" hidden="false" customHeight="false" outlineLevel="0" collapsed="false">
      <c r="A2712" s="9"/>
      <c r="B2712" s="10"/>
      <c r="C2712" s="10"/>
      <c r="D2712" s="10"/>
      <c r="E2712" s="10"/>
      <c r="F2712" s="10"/>
      <c r="G2712" s="10"/>
      <c r="H2712" s="10"/>
      <c r="I2712" s="22" t="n">
        <v>3</v>
      </c>
      <c r="J2712" s="22"/>
      <c r="K2712" s="23"/>
      <c r="L2712" s="23"/>
      <c r="M2712" s="22"/>
      <c r="N2712" s="22"/>
      <c r="O2712" s="22"/>
      <c r="P2712" s="23"/>
      <c r="Q2712" s="23"/>
      <c r="R2712" s="22"/>
      <c r="S2712" s="22"/>
      <c r="T2712" s="22"/>
      <c r="U2712" s="24"/>
      <c r="V2712" s="15"/>
      <c r="W2712" s="16"/>
      <c r="X2712" s="16"/>
      <c r="Y2712" s="16"/>
    </row>
    <row r="2713" customFormat="false" ht="15.75" hidden="false" customHeight="false" outlineLevel="0" collapsed="false">
      <c r="A2713" s="9"/>
      <c r="B2713" s="10"/>
      <c r="C2713" s="10"/>
      <c r="D2713" s="10"/>
      <c r="E2713" s="10"/>
      <c r="F2713" s="10"/>
      <c r="G2713" s="10"/>
      <c r="H2713" s="10"/>
      <c r="I2713" s="25" t="n">
        <v>4</v>
      </c>
      <c r="J2713" s="25"/>
      <c r="K2713" s="26"/>
      <c r="L2713" s="26"/>
      <c r="M2713" s="25"/>
      <c r="N2713" s="25"/>
      <c r="O2713" s="25"/>
      <c r="P2713" s="26"/>
      <c r="Q2713" s="26"/>
      <c r="R2713" s="25"/>
      <c r="S2713" s="25"/>
      <c r="T2713" s="25"/>
      <c r="U2713" s="27"/>
      <c r="V2713" s="21"/>
      <c r="W2713" s="16"/>
      <c r="X2713" s="16"/>
      <c r="Y2713" s="16"/>
    </row>
    <row r="2714" customFormat="false" ht="15.75" hidden="false" customHeight="false" outlineLevel="0" collapsed="false">
      <c r="A2714" s="9"/>
      <c r="B2714" s="10"/>
      <c r="C2714" s="11"/>
      <c r="D2714" s="10"/>
      <c r="E2714" s="10"/>
      <c r="F2714" s="10"/>
      <c r="G2714" s="10"/>
      <c r="H2714" s="10"/>
      <c r="I2714" s="12" t="n">
        <v>1</v>
      </c>
      <c r="J2714" s="12"/>
      <c r="K2714" s="13"/>
      <c r="L2714" s="13"/>
      <c r="M2714" s="12"/>
      <c r="N2714" s="12"/>
      <c r="O2714" s="12"/>
      <c r="P2714" s="13"/>
      <c r="Q2714" s="13"/>
      <c r="R2714" s="12"/>
      <c r="S2714" s="12"/>
      <c r="T2714" s="12"/>
      <c r="U2714" s="14"/>
      <c r="V2714" s="15"/>
      <c r="W2714" s="16" t="n">
        <f aca="false">A2714</f>
        <v>0</v>
      </c>
      <c r="X2714" s="17" t="e">
        <f aca="false">ifs(C2714="","",X2714="",NOW(),TRUE(),X2714)</f>
        <v>#VALUE!</v>
      </c>
      <c r="Y2714" s="17" t="e">
        <f aca="false">ifs(COUNTA(K2714:U2717)&lt;44,"",Y2714="",NOW(),TRUE(),Y2714)</f>
        <v>#VALUE!</v>
      </c>
    </row>
    <row r="2715" customFormat="false" ht="15.75" hidden="false" customHeight="false" outlineLevel="0" collapsed="false">
      <c r="A2715" s="9"/>
      <c r="B2715" s="10"/>
      <c r="C2715" s="10"/>
      <c r="D2715" s="10"/>
      <c r="E2715" s="10"/>
      <c r="F2715" s="10"/>
      <c r="G2715" s="10"/>
      <c r="H2715" s="10"/>
      <c r="I2715" s="18" t="n">
        <v>2</v>
      </c>
      <c r="J2715" s="18"/>
      <c r="K2715" s="19"/>
      <c r="L2715" s="19"/>
      <c r="M2715" s="18"/>
      <c r="N2715" s="18"/>
      <c r="O2715" s="18"/>
      <c r="P2715" s="19"/>
      <c r="Q2715" s="19"/>
      <c r="R2715" s="18"/>
      <c r="S2715" s="18"/>
      <c r="T2715" s="18"/>
      <c r="U2715" s="20"/>
      <c r="V2715" s="21"/>
      <c r="W2715" s="16"/>
      <c r="X2715" s="16"/>
      <c r="Y2715" s="16"/>
    </row>
    <row r="2716" customFormat="false" ht="15.75" hidden="false" customHeight="false" outlineLevel="0" collapsed="false">
      <c r="A2716" s="9"/>
      <c r="B2716" s="10"/>
      <c r="C2716" s="10"/>
      <c r="D2716" s="10"/>
      <c r="E2716" s="10"/>
      <c r="F2716" s="10"/>
      <c r="G2716" s="10"/>
      <c r="H2716" s="10"/>
      <c r="I2716" s="22" t="n">
        <v>3</v>
      </c>
      <c r="J2716" s="22"/>
      <c r="K2716" s="23"/>
      <c r="L2716" s="23"/>
      <c r="M2716" s="22"/>
      <c r="N2716" s="22"/>
      <c r="O2716" s="22"/>
      <c r="P2716" s="23"/>
      <c r="Q2716" s="23"/>
      <c r="R2716" s="22"/>
      <c r="S2716" s="22"/>
      <c r="T2716" s="22"/>
      <c r="U2716" s="24"/>
      <c r="V2716" s="15"/>
      <c r="W2716" s="16"/>
      <c r="X2716" s="16"/>
      <c r="Y2716" s="16"/>
    </row>
    <row r="2717" customFormat="false" ht="15.75" hidden="false" customHeight="false" outlineLevel="0" collapsed="false">
      <c r="A2717" s="9"/>
      <c r="B2717" s="10"/>
      <c r="C2717" s="10"/>
      <c r="D2717" s="10"/>
      <c r="E2717" s="10"/>
      <c r="F2717" s="10"/>
      <c r="G2717" s="10"/>
      <c r="H2717" s="10"/>
      <c r="I2717" s="25" t="n">
        <v>4</v>
      </c>
      <c r="J2717" s="25"/>
      <c r="K2717" s="26"/>
      <c r="L2717" s="26"/>
      <c r="M2717" s="25"/>
      <c r="N2717" s="25"/>
      <c r="O2717" s="25"/>
      <c r="P2717" s="26"/>
      <c r="Q2717" s="26"/>
      <c r="R2717" s="25"/>
      <c r="S2717" s="25"/>
      <c r="T2717" s="25"/>
      <c r="U2717" s="27"/>
      <c r="V2717" s="21"/>
      <c r="W2717" s="16"/>
      <c r="X2717" s="16"/>
      <c r="Y2717" s="16"/>
    </row>
    <row r="2718" customFormat="false" ht="15.75" hidden="false" customHeight="false" outlineLevel="0" collapsed="false">
      <c r="A2718" s="9"/>
      <c r="B2718" s="10"/>
      <c r="C2718" s="11"/>
      <c r="D2718" s="10"/>
      <c r="E2718" s="10"/>
      <c r="F2718" s="10"/>
      <c r="G2718" s="10"/>
      <c r="H2718" s="10"/>
      <c r="I2718" s="12" t="n">
        <v>1</v>
      </c>
      <c r="J2718" s="12"/>
      <c r="K2718" s="13"/>
      <c r="L2718" s="13"/>
      <c r="M2718" s="12"/>
      <c r="N2718" s="12"/>
      <c r="O2718" s="12"/>
      <c r="P2718" s="13"/>
      <c r="Q2718" s="13"/>
      <c r="R2718" s="12"/>
      <c r="S2718" s="12"/>
      <c r="T2718" s="12"/>
      <c r="U2718" s="14"/>
      <c r="V2718" s="15"/>
      <c r="W2718" s="16" t="n">
        <f aca="false">A2718</f>
        <v>0</v>
      </c>
      <c r="X2718" s="17" t="e">
        <f aca="false">ifs(C2718="","",X2718="",NOW(),TRUE(),X2718)</f>
        <v>#VALUE!</v>
      </c>
      <c r="Y2718" s="17" t="e">
        <f aca="false">ifs(COUNTA(K2718:U2721)&lt;44,"",Y2718="",NOW(),TRUE(),Y2718)</f>
        <v>#VALUE!</v>
      </c>
    </row>
    <row r="2719" customFormat="false" ht="15.75" hidden="false" customHeight="false" outlineLevel="0" collapsed="false">
      <c r="A2719" s="9"/>
      <c r="B2719" s="10"/>
      <c r="C2719" s="10"/>
      <c r="D2719" s="10"/>
      <c r="E2719" s="10"/>
      <c r="F2719" s="10"/>
      <c r="G2719" s="10"/>
      <c r="H2719" s="10"/>
      <c r="I2719" s="18" t="n">
        <v>2</v>
      </c>
      <c r="J2719" s="18"/>
      <c r="K2719" s="19"/>
      <c r="L2719" s="19"/>
      <c r="M2719" s="18"/>
      <c r="N2719" s="18"/>
      <c r="O2719" s="18"/>
      <c r="P2719" s="19"/>
      <c r="Q2719" s="19"/>
      <c r="R2719" s="18"/>
      <c r="S2719" s="18"/>
      <c r="T2719" s="18"/>
      <c r="U2719" s="20"/>
      <c r="V2719" s="21"/>
      <c r="W2719" s="16"/>
      <c r="X2719" s="16"/>
      <c r="Y2719" s="16"/>
    </row>
    <row r="2720" customFormat="false" ht="15.75" hidden="false" customHeight="false" outlineLevel="0" collapsed="false">
      <c r="A2720" s="9"/>
      <c r="B2720" s="10"/>
      <c r="C2720" s="10"/>
      <c r="D2720" s="10"/>
      <c r="E2720" s="10"/>
      <c r="F2720" s="10"/>
      <c r="G2720" s="10"/>
      <c r="H2720" s="10"/>
      <c r="I2720" s="22" t="n">
        <v>3</v>
      </c>
      <c r="J2720" s="22"/>
      <c r="K2720" s="23"/>
      <c r="L2720" s="23"/>
      <c r="M2720" s="22"/>
      <c r="N2720" s="22"/>
      <c r="O2720" s="22"/>
      <c r="P2720" s="23"/>
      <c r="Q2720" s="23"/>
      <c r="R2720" s="22"/>
      <c r="S2720" s="22"/>
      <c r="T2720" s="22"/>
      <c r="U2720" s="24"/>
      <c r="V2720" s="15"/>
      <c r="W2720" s="16"/>
      <c r="X2720" s="16"/>
      <c r="Y2720" s="16"/>
    </row>
    <row r="2721" customFormat="false" ht="15.75" hidden="false" customHeight="false" outlineLevel="0" collapsed="false">
      <c r="A2721" s="9"/>
      <c r="B2721" s="10"/>
      <c r="C2721" s="10"/>
      <c r="D2721" s="10"/>
      <c r="E2721" s="10"/>
      <c r="F2721" s="10"/>
      <c r="G2721" s="10"/>
      <c r="H2721" s="10"/>
      <c r="I2721" s="25" t="n">
        <v>4</v>
      </c>
      <c r="J2721" s="25"/>
      <c r="K2721" s="26"/>
      <c r="L2721" s="26"/>
      <c r="M2721" s="25"/>
      <c r="N2721" s="25"/>
      <c r="O2721" s="25"/>
      <c r="P2721" s="26"/>
      <c r="Q2721" s="26"/>
      <c r="R2721" s="25"/>
      <c r="S2721" s="25"/>
      <c r="T2721" s="25"/>
      <c r="U2721" s="27"/>
      <c r="V2721" s="21"/>
      <c r="W2721" s="16"/>
      <c r="X2721" s="16"/>
      <c r="Y2721" s="16"/>
    </row>
    <row r="2722" customFormat="false" ht="15.75" hidden="false" customHeight="false" outlineLevel="0" collapsed="false">
      <c r="A2722" s="9"/>
      <c r="B2722" s="10"/>
      <c r="C2722" s="11"/>
      <c r="D2722" s="10"/>
      <c r="E2722" s="10"/>
      <c r="F2722" s="10"/>
      <c r="G2722" s="10"/>
      <c r="H2722" s="10"/>
      <c r="I2722" s="12" t="n">
        <v>1</v>
      </c>
      <c r="J2722" s="12"/>
      <c r="K2722" s="13"/>
      <c r="L2722" s="13"/>
      <c r="M2722" s="12"/>
      <c r="N2722" s="12"/>
      <c r="O2722" s="12"/>
      <c r="P2722" s="13"/>
      <c r="Q2722" s="13"/>
      <c r="R2722" s="12"/>
      <c r="S2722" s="12"/>
      <c r="T2722" s="12"/>
      <c r="U2722" s="14"/>
      <c r="V2722" s="15"/>
      <c r="W2722" s="16" t="n">
        <f aca="false">A2722</f>
        <v>0</v>
      </c>
      <c r="X2722" s="17" t="e">
        <f aca="false">ifs(C2722="","",X2722="",NOW(),TRUE(),X2722)</f>
        <v>#VALUE!</v>
      </c>
      <c r="Y2722" s="17" t="e">
        <f aca="false">ifs(COUNTA(K2722:U2725)&lt;44,"",Y2722="",NOW(),TRUE(),Y2722)</f>
        <v>#VALUE!</v>
      </c>
    </row>
    <row r="2723" customFormat="false" ht="15.75" hidden="false" customHeight="false" outlineLevel="0" collapsed="false">
      <c r="A2723" s="9"/>
      <c r="B2723" s="10"/>
      <c r="C2723" s="10"/>
      <c r="D2723" s="10"/>
      <c r="E2723" s="10"/>
      <c r="F2723" s="10"/>
      <c r="G2723" s="10"/>
      <c r="H2723" s="10"/>
      <c r="I2723" s="18" t="n">
        <v>2</v>
      </c>
      <c r="J2723" s="18"/>
      <c r="K2723" s="19"/>
      <c r="L2723" s="19"/>
      <c r="M2723" s="18"/>
      <c r="N2723" s="18"/>
      <c r="O2723" s="18"/>
      <c r="P2723" s="19"/>
      <c r="Q2723" s="19"/>
      <c r="R2723" s="18"/>
      <c r="S2723" s="18"/>
      <c r="T2723" s="18"/>
      <c r="U2723" s="20"/>
      <c r="V2723" s="21"/>
      <c r="W2723" s="16"/>
      <c r="X2723" s="16"/>
      <c r="Y2723" s="16"/>
    </row>
    <row r="2724" customFormat="false" ht="15.75" hidden="false" customHeight="false" outlineLevel="0" collapsed="false">
      <c r="A2724" s="9"/>
      <c r="B2724" s="10"/>
      <c r="C2724" s="10"/>
      <c r="D2724" s="10"/>
      <c r="E2724" s="10"/>
      <c r="F2724" s="10"/>
      <c r="G2724" s="10"/>
      <c r="H2724" s="10"/>
      <c r="I2724" s="22" t="n">
        <v>3</v>
      </c>
      <c r="J2724" s="22"/>
      <c r="K2724" s="23"/>
      <c r="L2724" s="23"/>
      <c r="M2724" s="22"/>
      <c r="N2724" s="22"/>
      <c r="O2724" s="22"/>
      <c r="P2724" s="23"/>
      <c r="Q2724" s="23"/>
      <c r="R2724" s="22"/>
      <c r="S2724" s="22"/>
      <c r="T2724" s="22"/>
      <c r="U2724" s="24"/>
      <c r="V2724" s="15"/>
      <c r="W2724" s="16"/>
      <c r="X2724" s="16"/>
      <c r="Y2724" s="16"/>
    </row>
    <row r="2725" customFormat="false" ht="15.75" hidden="false" customHeight="false" outlineLevel="0" collapsed="false">
      <c r="A2725" s="9"/>
      <c r="B2725" s="10"/>
      <c r="C2725" s="10"/>
      <c r="D2725" s="10"/>
      <c r="E2725" s="10"/>
      <c r="F2725" s="10"/>
      <c r="G2725" s="10"/>
      <c r="H2725" s="10"/>
      <c r="I2725" s="25" t="n">
        <v>4</v>
      </c>
      <c r="J2725" s="25"/>
      <c r="K2725" s="26"/>
      <c r="L2725" s="26"/>
      <c r="M2725" s="25"/>
      <c r="N2725" s="25"/>
      <c r="O2725" s="25"/>
      <c r="P2725" s="26"/>
      <c r="Q2725" s="26"/>
      <c r="R2725" s="25"/>
      <c r="S2725" s="25"/>
      <c r="T2725" s="25"/>
      <c r="U2725" s="27"/>
      <c r="V2725" s="21"/>
      <c r="W2725" s="16"/>
      <c r="X2725" s="16"/>
      <c r="Y2725" s="16"/>
    </row>
    <row r="2726" customFormat="false" ht="15.75" hidden="false" customHeight="false" outlineLevel="0" collapsed="false">
      <c r="A2726" s="9"/>
      <c r="B2726" s="10"/>
      <c r="C2726" s="11"/>
      <c r="D2726" s="10"/>
      <c r="E2726" s="10"/>
      <c r="F2726" s="10"/>
      <c r="G2726" s="10"/>
      <c r="H2726" s="10"/>
      <c r="I2726" s="12" t="n">
        <v>1</v>
      </c>
      <c r="J2726" s="12"/>
      <c r="K2726" s="13"/>
      <c r="L2726" s="13"/>
      <c r="M2726" s="12"/>
      <c r="N2726" s="12"/>
      <c r="O2726" s="12"/>
      <c r="P2726" s="13"/>
      <c r="Q2726" s="13"/>
      <c r="R2726" s="12"/>
      <c r="S2726" s="12"/>
      <c r="T2726" s="12"/>
      <c r="U2726" s="14"/>
      <c r="V2726" s="15"/>
      <c r="W2726" s="16" t="n">
        <f aca="false">A2726</f>
        <v>0</v>
      </c>
      <c r="X2726" s="17" t="e">
        <f aca="false">ifs(C2726="","",X2726="",NOW(),TRUE(),X2726)</f>
        <v>#VALUE!</v>
      </c>
      <c r="Y2726" s="17" t="e">
        <f aca="false">ifs(COUNTA(K2726:U2729)&lt;44,"",Y2726="",NOW(),TRUE(),Y2726)</f>
        <v>#VALUE!</v>
      </c>
    </row>
    <row r="2727" customFormat="false" ht="15.75" hidden="false" customHeight="false" outlineLevel="0" collapsed="false">
      <c r="A2727" s="9"/>
      <c r="B2727" s="10"/>
      <c r="C2727" s="10"/>
      <c r="D2727" s="10"/>
      <c r="E2727" s="10"/>
      <c r="F2727" s="10"/>
      <c r="G2727" s="10"/>
      <c r="H2727" s="10"/>
      <c r="I2727" s="18" t="n">
        <v>2</v>
      </c>
      <c r="J2727" s="18"/>
      <c r="K2727" s="19"/>
      <c r="L2727" s="19"/>
      <c r="M2727" s="18"/>
      <c r="N2727" s="18"/>
      <c r="O2727" s="18"/>
      <c r="P2727" s="19"/>
      <c r="Q2727" s="19"/>
      <c r="R2727" s="18"/>
      <c r="S2727" s="18"/>
      <c r="T2727" s="18"/>
      <c r="U2727" s="20"/>
      <c r="V2727" s="21"/>
      <c r="W2727" s="16"/>
      <c r="X2727" s="16"/>
      <c r="Y2727" s="16"/>
    </row>
    <row r="2728" customFormat="false" ht="15.75" hidden="false" customHeight="false" outlineLevel="0" collapsed="false">
      <c r="A2728" s="9"/>
      <c r="B2728" s="10"/>
      <c r="C2728" s="10"/>
      <c r="D2728" s="10"/>
      <c r="E2728" s="10"/>
      <c r="F2728" s="10"/>
      <c r="G2728" s="10"/>
      <c r="H2728" s="10"/>
      <c r="I2728" s="22" t="n">
        <v>3</v>
      </c>
      <c r="J2728" s="22"/>
      <c r="K2728" s="23"/>
      <c r="L2728" s="23"/>
      <c r="M2728" s="22"/>
      <c r="N2728" s="22"/>
      <c r="O2728" s="22"/>
      <c r="P2728" s="23"/>
      <c r="Q2728" s="23"/>
      <c r="R2728" s="22"/>
      <c r="S2728" s="22"/>
      <c r="T2728" s="22"/>
      <c r="U2728" s="24"/>
      <c r="V2728" s="15"/>
      <c r="W2728" s="16"/>
      <c r="X2728" s="16"/>
      <c r="Y2728" s="16"/>
    </row>
    <row r="2729" customFormat="false" ht="15.75" hidden="false" customHeight="false" outlineLevel="0" collapsed="false">
      <c r="A2729" s="9"/>
      <c r="B2729" s="10"/>
      <c r="C2729" s="10"/>
      <c r="D2729" s="10"/>
      <c r="E2729" s="10"/>
      <c r="F2729" s="10"/>
      <c r="G2729" s="10"/>
      <c r="H2729" s="10"/>
      <c r="I2729" s="25" t="n">
        <v>4</v>
      </c>
      <c r="J2729" s="25"/>
      <c r="K2729" s="26"/>
      <c r="L2729" s="26"/>
      <c r="M2729" s="25"/>
      <c r="N2729" s="25"/>
      <c r="O2729" s="25"/>
      <c r="P2729" s="26"/>
      <c r="Q2729" s="26"/>
      <c r="R2729" s="25"/>
      <c r="S2729" s="25"/>
      <c r="T2729" s="25"/>
      <c r="U2729" s="27"/>
      <c r="V2729" s="21"/>
      <c r="W2729" s="16"/>
      <c r="X2729" s="16"/>
      <c r="Y2729" s="16"/>
    </row>
    <row r="2730" customFormat="false" ht="15.75" hidden="false" customHeight="false" outlineLevel="0" collapsed="false">
      <c r="A2730" s="9"/>
      <c r="B2730" s="10"/>
      <c r="C2730" s="11"/>
      <c r="D2730" s="10"/>
      <c r="E2730" s="10"/>
      <c r="F2730" s="10"/>
      <c r="G2730" s="10"/>
      <c r="H2730" s="10"/>
      <c r="I2730" s="12" t="n">
        <v>1</v>
      </c>
      <c r="J2730" s="12"/>
      <c r="K2730" s="13"/>
      <c r="L2730" s="13"/>
      <c r="M2730" s="12"/>
      <c r="N2730" s="12"/>
      <c r="O2730" s="12"/>
      <c r="P2730" s="13"/>
      <c r="Q2730" s="13"/>
      <c r="R2730" s="12"/>
      <c r="S2730" s="12"/>
      <c r="T2730" s="12"/>
      <c r="U2730" s="14"/>
      <c r="V2730" s="15"/>
      <c r="W2730" s="16" t="n">
        <f aca="false">A2730</f>
        <v>0</v>
      </c>
      <c r="X2730" s="17" t="e">
        <f aca="false">ifs(C2730="","",X2730="",NOW(),TRUE(),X2730)</f>
        <v>#VALUE!</v>
      </c>
      <c r="Y2730" s="17" t="e">
        <f aca="false">ifs(COUNTA(K2730:U2733)&lt;44,"",Y2730="",NOW(),TRUE(),Y2730)</f>
        <v>#VALUE!</v>
      </c>
    </row>
    <row r="2731" customFormat="false" ht="15.75" hidden="false" customHeight="false" outlineLevel="0" collapsed="false">
      <c r="A2731" s="9"/>
      <c r="B2731" s="10"/>
      <c r="C2731" s="10"/>
      <c r="D2731" s="10"/>
      <c r="E2731" s="10"/>
      <c r="F2731" s="10"/>
      <c r="G2731" s="10"/>
      <c r="H2731" s="10"/>
      <c r="I2731" s="18" t="n">
        <v>2</v>
      </c>
      <c r="J2731" s="18"/>
      <c r="K2731" s="19"/>
      <c r="L2731" s="19"/>
      <c r="M2731" s="18"/>
      <c r="N2731" s="18"/>
      <c r="O2731" s="18"/>
      <c r="P2731" s="19"/>
      <c r="Q2731" s="19"/>
      <c r="R2731" s="18"/>
      <c r="S2731" s="18"/>
      <c r="T2731" s="18"/>
      <c r="U2731" s="20"/>
      <c r="V2731" s="21"/>
      <c r="W2731" s="16"/>
      <c r="X2731" s="16"/>
      <c r="Y2731" s="16"/>
    </row>
    <row r="2732" customFormat="false" ht="15.75" hidden="false" customHeight="false" outlineLevel="0" collapsed="false">
      <c r="A2732" s="9"/>
      <c r="B2732" s="10"/>
      <c r="C2732" s="10"/>
      <c r="D2732" s="10"/>
      <c r="E2732" s="10"/>
      <c r="F2732" s="10"/>
      <c r="G2732" s="10"/>
      <c r="H2732" s="10"/>
      <c r="I2732" s="22" t="n">
        <v>3</v>
      </c>
      <c r="J2732" s="22"/>
      <c r="K2732" s="23"/>
      <c r="L2732" s="23"/>
      <c r="M2732" s="22"/>
      <c r="N2732" s="22"/>
      <c r="O2732" s="22"/>
      <c r="P2732" s="23"/>
      <c r="Q2732" s="23"/>
      <c r="R2732" s="22"/>
      <c r="S2732" s="22"/>
      <c r="T2732" s="22"/>
      <c r="U2732" s="24"/>
      <c r="V2732" s="15"/>
      <c r="W2732" s="16"/>
      <c r="X2732" s="16"/>
      <c r="Y2732" s="16"/>
    </row>
    <row r="2733" customFormat="false" ht="15.75" hidden="false" customHeight="false" outlineLevel="0" collapsed="false">
      <c r="A2733" s="9"/>
      <c r="B2733" s="10"/>
      <c r="C2733" s="10"/>
      <c r="D2733" s="10"/>
      <c r="E2733" s="10"/>
      <c r="F2733" s="10"/>
      <c r="G2733" s="10"/>
      <c r="H2733" s="10"/>
      <c r="I2733" s="25" t="n">
        <v>4</v>
      </c>
      <c r="J2733" s="25"/>
      <c r="K2733" s="26"/>
      <c r="L2733" s="26"/>
      <c r="M2733" s="25"/>
      <c r="N2733" s="25"/>
      <c r="O2733" s="25"/>
      <c r="P2733" s="26"/>
      <c r="Q2733" s="26"/>
      <c r="R2733" s="25"/>
      <c r="S2733" s="25"/>
      <c r="T2733" s="25"/>
      <c r="U2733" s="27"/>
      <c r="V2733" s="21"/>
      <c r="W2733" s="16"/>
      <c r="X2733" s="16"/>
      <c r="Y2733" s="16"/>
    </row>
    <row r="2734" customFormat="false" ht="15.75" hidden="false" customHeight="false" outlineLevel="0" collapsed="false">
      <c r="A2734" s="9"/>
      <c r="B2734" s="10"/>
      <c r="C2734" s="11"/>
      <c r="D2734" s="10"/>
      <c r="E2734" s="10"/>
      <c r="F2734" s="10"/>
      <c r="G2734" s="10"/>
      <c r="H2734" s="10"/>
      <c r="I2734" s="12" t="n">
        <v>1</v>
      </c>
      <c r="J2734" s="12"/>
      <c r="K2734" s="13"/>
      <c r="L2734" s="13"/>
      <c r="M2734" s="12"/>
      <c r="N2734" s="12"/>
      <c r="O2734" s="12"/>
      <c r="P2734" s="13"/>
      <c r="Q2734" s="13"/>
      <c r="R2734" s="12"/>
      <c r="S2734" s="12"/>
      <c r="T2734" s="12"/>
      <c r="U2734" s="14"/>
      <c r="V2734" s="15"/>
      <c r="W2734" s="16" t="n">
        <f aca="false">A2734</f>
        <v>0</v>
      </c>
      <c r="X2734" s="17" t="e">
        <f aca="false">ifs(C2734="","",X2734="",NOW(),TRUE(),X2734)</f>
        <v>#VALUE!</v>
      </c>
      <c r="Y2734" s="17" t="e">
        <f aca="false">ifs(COUNTA(K2734:U2737)&lt;44,"",Y2734="",NOW(),TRUE(),Y2734)</f>
        <v>#VALUE!</v>
      </c>
    </row>
    <row r="2735" customFormat="false" ht="15.75" hidden="false" customHeight="false" outlineLevel="0" collapsed="false">
      <c r="A2735" s="9"/>
      <c r="B2735" s="10"/>
      <c r="C2735" s="10"/>
      <c r="D2735" s="10"/>
      <c r="E2735" s="10"/>
      <c r="F2735" s="10"/>
      <c r="G2735" s="10"/>
      <c r="H2735" s="10"/>
      <c r="I2735" s="18" t="n">
        <v>2</v>
      </c>
      <c r="J2735" s="18"/>
      <c r="K2735" s="19"/>
      <c r="L2735" s="19"/>
      <c r="M2735" s="18"/>
      <c r="N2735" s="18"/>
      <c r="O2735" s="18"/>
      <c r="P2735" s="19"/>
      <c r="Q2735" s="19"/>
      <c r="R2735" s="18"/>
      <c r="S2735" s="18"/>
      <c r="T2735" s="18"/>
      <c r="U2735" s="20"/>
      <c r="V2735" s="21"/>
      <c r="W2735" s="16"/>
      <c r="X2735" s="16"/>
      <c r="Y2735" s="16"/>
    </row>
    <row r="2736" customFormat="false" ht="15.75" hidden="false" customHeight="false" outlineLevel="0" collapsed="false">
      <c r="A2736" s="9"/>
      <c r="B2736" s="10"/>
      <c r="C2736" s="10"/>
      <c r="D2736" s="10"/>
      <c r="E2736" s="10"/>
      <c r="F2736" s="10"/>
      <c r="G2736" s="10"/>
      <c r="H2736" s="10"/>
      <c r="I2736" s="22" t="n">
        <v>3</v>
      </c>
      <c r="J2736" s="22"/>
      <c r="K2736" s="23"/>
      <c r="L2736" s="23"/>
      <c r="M2736" s="22"/>
      <c r="N2736" s="22"/>
      <c r="O2736" s="22"/>
      <c r="P2736" s="23"/>
      <c r="Q2736" s="23"/>
      <c r="R2736" s="22"/>
      <c r="S2736" s="22"/>
      <c r="T2736" s="22"/>
      <c r="U2736" s="24"/>
      <c r="V2736" s="15"/>
      <c r="W2736" s="16"/>
      <c r="X2736" s="16"/>
      <c r="Y2736" s="16"/>
    </row>
    <row r="2737" customFormat="false" ht="15.75" hidden="false" customHeight="false" outlineLevel="0" collapsed="false">
      <c r="A2737" s="9"/>
      <c r="B2737" s="10"/>
      <c r="C2737" s="10"/>
      <c r="D2737" s="10"/>
      <c r="E2737" s="10"/>
      <c r="F2737" s="10"/>
      <c r="G2737" s="10"/>
      <c r="H2737" s="10"/>
      <c r="I2737" s="25" t="n">
        <v>4</v>
      </c>
      <c r="J2737" s="25"/>
      <c r="K2737" s="26"/>
      <c r="L2737" s="26"/>
      <c r="M2737" s="25"/>
      <c r="N2737" s="25"/>
      <c r="O2737" s="25"/>
      <c r="P2737" s="26"/>
      <c r="Q2737" s="26"/>
      <c r="R2737" s="25"/>
      <c r="S2737" s="25"/>
      <c r="T2737" s="25"/>
      <c r="U2737" s="27"/>
      <c r="V2737" s="21"/>
      <c r="W2737" s="16"/>
      <c r="X2737" s="16"/>
      <c r="Y2737" s="16"/>
    </row>
    <row r="2738" customFormat="false" ht="15.75" hidden="false" customHeight="false" outlineLevel="0" collapsed="false">
      <c r="A2738" s="9"/>
      <c r="B2738" s="10"/>
      <c r="C2738" s="11"/>
      <c r="D2738" s="10"/>
      <c r="E2738" s="10"/>
      <c r="F2738" s="10"/>
      <c r="G2738" s="10"/>
      <c r="H2738" s="10"/>
      <c r="I2738" s="12" t="n">
        <v>1</v>
      </c>
      <c r="J2738" s="12"/>
      <c r="K2738" s="13"/>
      <c r="L2738" s="13"/>
      <c r="M2738" s="12"/>
      <c r="N2738" s="12"/>
      <c r="O2738" s="12"/>
      <c r="P2738" s="13"/>
      <c r="Q2738" s="13"/>
      <c r="R2738" s="12"/>
      <c r="S2738" s="12"/>
      <c r="T2738" s="12"/>
      <c r="U2738" s="14"/>
      <c r="V2738" s="15"/>
      <c r="W2738" s="16" t="n">
        <f aca="false">A2738</f>
        <v>0</v>
      </c>
      <c r="X2738" s="17" t="e">
        <f aca="false">ifs(C2738="","",X2738="",NOW(),TRUE(),X2738)</f>
        <v>#VALUE!</v>
      </c>
      <c r="Y2738" s="17" t="e">
        <f aca="false">ifs(COUNTA(K2738:U2741)&lt;44,"",Y2738="",NOW(),TRUE(),Y2738)</f>
        <v>#VALUE!</v>
      </c>
    </row>
    <row r="2739" customFormat="false" ht="15.75" hidden="false" customHeight="false" outlineLevel="0" collapsed="false">
      <c r="A2739" s="9"/>
      <c r="B2739" s="10"/>
      <c r="C2739" s="10"/>
      <c r="D2739" s="10"/>
      <c r="E2739" s="10"/>
      <c r="F2739" s="10"/>
      <c r="G2739" s="10"/>
      <c r="H2739" s="10"/>
      <c r="I2739" s="18" t="n">
        <v>2</v>
      </c>
      <c r="J2739" s="18"/>
      <c r="K2739" s="19"/>
      <c r="L2739" s="19"/>
      <c r="M2739" s="18"/>
      <c r="N2739" s="18"/>
      <c r="O2739" s="18"/>
      <c r="P2739" s="19"/>
      <c r="Q2739" s="19"/>
      <c r="R2739" s="18"/>
      <c r="S2739" s="18"/>
      <c r="T2739" s="18"/>
      <c r="U2739" s="20"/>
      <c r="V2739" s="21"/>
      <c r="W2739" s="16"/>
      <c r="X2739" s="16"/>
      <c r="Y2739" s="16"/>
    </row>
    <row r="2740" customFormat="false" ht="15.75" hidden="false" customHeight="false" outlineLevel="0" collapsed="false">
      <c r="A2740" s="9"/>
      <c r="B2740" s="10"/>
      <c r="C2740" s="10"/>
      <c r="D2740" s="10"/>
      <c r="E2740" s="10"/>
      <c r="F2740" s="10"/>
      <c r="G2740" s="10"/>
      <c r="H2740" s="10"/>
      <c r="I2740" s="22" t="n">
        <v>3</v>
      </c>
      <c r="J2740" s="22"/>
      <c r="K2740" s="23"/>
      <c r="L2740" s="23"/>
      <c r="M2740" s="22"/>
      <c r="N2740" s="22"/>
      <c r="O2740" s="22"/>
      <c r="P2740" s="23"/>
      <c r="Q2740" s="23"/>
      <c r="R2740" s="22"/>
      <c r="S2740" s="22"/>
      <c r="T2740" s="22"/>
      <c r="U2740" s="24"/>
      <c r="V2740" s="15"/>
      <c r="W2740" s="16"/>
      <c r="X2740" s="16"/>
      <c r="Y2740" s="16"/>
    </row>
    <row r="2741" customFormat="false" ht="15.75" hidden="false" customHeight="false" outlineLevel="0" collapsed="false">
      <c r="A2741" s="9"/>
      <c r="B2741" s="10"/>
      <c r="C2741" s="10"/>
      <c r="D2741" s="10"/>
      <c r="E2741" s="10"/>
      <c r="F2741" s="10"/>
      <c r="G2741" s="10"/>
      <c r="H2741" s="10"/>
      <c r="I2741" s="25" t="n">
        <v>4</v>
      </c>
      <c r="J2741" s="25"/>
      <c r="K2741" s="26"/>
      <c r="L2741" s="26"/>
      <c r="M2741" s="25"/>
      <c r="N2741" s="25"/>
      <c r="O2741" s="25"/>
      <c r="P2741" s="26"/>
      <c r="Q2741" s="26"/>
      <c r="R2741" s="25"/>
      <c r="S2741" s="25"/>
      <c r="T2741" s="25"/>
      <c r="U2741" s="27"/>
      <c r="V2741" s="21"/>
      <c r="W2741" s="16"/>
      <c r="X2741" s="16"/>
      <c r="Y2741" s="16"/>
    </row>
    <row r="2742" customFormat="false" ht="15.75" hidden="false" customHeight="false" outlineLevel="0" collapsed="false">
      <c r="A2742" s="9"/>
      <c r="B2742" s="10"/>
      <c r="C2742" s="11"/>
      <c r="D2742" s="10"/>
      <c r="E2742" s="10"/>
      <c r="F2742" s="10"/>
      <c r="G2742" s="10"/>
      <c r="H2742" s="10"/>
      <c r="I2742" s="12" t="n">
        <v>1</v>
      </c>
      <c r="J2742" s="12"/>
      <c r="K2742" s="13"/>
      <c r="L2742" s="13"/>
      <c r="M2742" s="12"/>
      <c r="N2742" s="12"/>
      <c r="O2742" s="12"/>
      <c r="P2742" s="13"/>
      <c r="Q2742" s="13"/>
      <c r="R2742" s="12"/>
      <c r="S2742" s="12"/>
      <c r="T2742" s="12"/>
      <c r="U2742" s="14"/>
      <c r="V2742" s="15"/>
      <c r="W2742" s="16" t="n">
        <f aca="false">A2742</f>
        <v>0</v>
      </c>
      <c r="X2742" s="17" t="e">
        <f aca="false">ifs(C2742="","",X2742="",NOW(),TRUE(),X2742)</f>
        <v>#VALUE!</v>
      </c>
      <c r="Y2742" s="17" t="e">
        <f aca="false">ifs(COUNTA(K2742:U2745)&lt;44,"",Y2742="",NOW(),TRUE(),Y2742)</f>
        <v>#VALUE!</v>
      </c>
    </row>
    <row r="2743" customFormat="false" ht="15.75" hidden="false" customHeight="false" outlineLevel="0" collapsed="false">
      <c r="A2743" s="9"/>
      <c r="B2743" s="10"/>
      <c r="C2743" s="10"/>
      <c r="D2743" s="10"/>
      <c r="E2743" s="10"/>
      <c r="F2743" s="10"/>
      <c r="G2743" s="10"/>
      <c r="H2743" s="10"/>
      <c r="I2743" s="18" t="n">
        <v>2</v>
      </c>
      <c r="J2743" s="18"/>
      <c r="K2743" s="19"/>
      <c r="L2743" s="19"/>
      <c r="M2743" s="18"/>
      <c r="N2743" s="18"/>
      <c r="O2743" s="18"/>
      <c r="P2743" s="19"/>
      <c r="Q2743" s="19"/>
      <c r="R2743" s="18"/>
      <c r="S2743" s="18"/>
      <c r="T2743" s="18"/>
      <c r="U2743" s="20"/>
      <c r="V2743" s="21"/>
      <c r="W2743" s="16"/>
      <c r="X2743" s="16"/>
      <c r="Y2743" s="16"/>
    </row>
    <row r="2744" customFormat="false" ht="15.75" hidden="false" customHeight="false" outlineLevel="0" collapsed="false">
      <c r="A2744" s="9"/>
      <c r="B2744" s="10"/>
      <c r="C2744" s="10"/>
      <c r="D2744" s="10"/>
      <c r="E2744" s="10"/>
      <c r="F2744" s="10"/>
      <c r="G2744" s="10"/>
      <c r="H2744" s="10"/>
      <c r="I2744" s="22" t="n">
        <v>3</v>
      </c>
      <c r="J2744" s="22"/>
      <c r="K2744" s="23"/>
      <c r="L2744" s="23"/>
      <c r="M2744" s="22"/>
      <c r="N2744" s="22"/>
      <c r="O2744" s="22"/>
      <c r="P2744" s="23"/>
      <c r="Q2744" s="23"/>
      <c r="R2744" s="22"/>
      <c r="S2744" s="22"/>
      <c r="T2744" s="22"/>
      <c r="U2744" s="24"/>
      <c r="V2744" s="15"/>
      <c r="W2744" s="16"/>
      <c r="X2744" s="16"/>
      <c r="Y2744" s="16"/>
    </row>
    <row r="2745" customFormat="false" ht="15.75" hidden="false" customHeight="false" outlineLevel="0" collapsed="false">
      <c r="A2745" s="9"/>
      <c r="B2745" s="10"/>
      <c r="C2745" s="10"/>
      <c r="D2745" s="10"/>
      <c r="E2745" s="10"/>
      <c r="F2745" s="10"/>
      <c r="G2745" s="10"/>
      <c r="H2745" s="10"/>
      <c r="I2745" s="25" t="n">
        <v>4</v>
      </c>
      <c r="J2745" s="25"/>
      <c r="K2745" s="26"/>
      <c r="L2745" s="26"/>
      <c r="M2745" s="25"/>
      <c r="N2745" s="25"/>
      <c r="O2745" s="25"/>
      <c r="P2745" s="26"/>
      <c r="Q2745" s="26"/>
      <c r="R2745" s="25"/>
      <c r="S2745" s="25"/>
      <c r="T2745" s="25"/>
      <c r="U2745" s="27"/>
      <c r="V2745" s="21"/>
      <c r="W2745" s="16"/>
      <c r="X2745" s="16"/>
      <c r="Y2745" s="16"/>
    </row>
    <row r="2746" customFormat="false" ht="15.75" hidden="false" customHeight="false" outlineLevel="0" collapsed="false">
      <c r="A2746" s="9"/>
      <c r="B2746" s="10"/>
      <c r="C2746" s="11"/>
      <c r="D2746" s="10"/>
      <c r="E2746" s="10"/>
      <c r="F2746" s="10"/>
      <c r="G2746" s="10"/>
      <c r="H2746" s="10"/>
      <c r="I2746" s="12" t="n">
        <v>1</v>
      </c>
      <c r="J2746" s="12"/>
      <c r="K2746" s="13"/>
      <c r="L2746" s="13"/>
      <c r="M2746" s="12"/>
      <c r="N2746" s="12"/>
      <c r="O2746" s="12"/>
      <c r="P2746" s="13"/>
      <c r="Q2746" s="13"/>
      <c r="R2746" s="12"/>
      <c r="S2746" s="12"/>
      <c r="T2746" s="12"/>
      <c r="U2746" s="14"/>
      <c r="V2746" s="15"/>
      <c r="W2746" s="16" t="n">
        <f aca="false">A2746</f>
        <v>0</v>
      </c>
      <c r="X2746" s="17" t="e">
        <f aca="false">ifs(C2746="","",X2746="",NOW(),TRUE(),X2746)</f>
        <v>#VALUE!</v>
      </c>
      <c r="Y2746" s="17" t="e">
        <f aca="false">ifs(COUNTA(K2746:U2749)&lt;44,"",Y2746="",NOW(),TRUE(),Y2746)</f>
        <v>#VALUE!</v>
      </c>
    </row>
    <row r="2747" customFormat="false" ht="15.75" hidden="false" customHeight="false" outlineLevel="0" collapsed="false">
      <c r="A2747" s="9"/>
      <c r="B2747" s="10"/>
      <c r="C2747" s="10"/>
      <c r="D2747" s="10"/>
      <c r="E2747" s="10"/>
      <c r="F2747" s="10"/>
      <c r="G2747" s="10"/>
      <c r="H2747" s="10"/>
      <c r="I2747" s="18" t="n">
        <v>2</v>
      </c>
      <c r="J2747" s="18"/>
      <c r="K2747" s="19"/>
      <c r="L2747" s="19"/>
      <c r="M2747" s="18"/>
      <c r="N2747" s="18"/>
      <c r="O2747" s="18"/>
      <c r="P2747" s="19"/>
      <c r="Q2747" s="19"/>
      <c r="R2747" s="18"/>
      <c r="S2747" s="18"/>
      <c r="T2747" s="18"/>
      <c r="U2747" s="20"/>
      <c r="V2747" s="21"/>
      <c r="W2747" s="16"/>
      <c r="X2747" s="16"/>
      <c r="Y2747" s="16"/>
    </row>
    <row r="2748" customFormat="false" ht="15.75" hidden="false" customHeight="false" outlineLevel="0" collapsed="false">
      <c r="A2748" s="9"/>
      <c r="B2748" s="10"/>
      <c r="C2748" s="10"/>
      <c r="D2748" s="10"/>
      <c r="E2748" s="10"/>
      <c r="F2748" s="10"/>
      <c r="G2748" s="10"/>
      <c r="H2748" s="10"/>
      <c r="I2748" s="22" t="n">
        <v>3</v>
      </c>
      <c r="J2748" s="22"/>
      <c r="K2748" s="23"/>
      <c r="L2748" s="23"/>
      <c r="M2748" s="22"/>
      <c r="N2748" s="22"/>
      <c r="O2748" s="22"/>
      <c r="P2748" s="23"/>
      <c r="Q2748" s="23"/>
      <c r="R2748" s="22"/>
      <c r="S2748" s="22"/>
      <c r="T2748" s="22"/>
      <c r="U2748" s="24"/>
      <c r="V2748" s="15"/>
      <c r="W2748" s="16"/>
      <c r="X2748" s="16"/>
      <c r="Y2748" s="16"/>
    </row>
    <row r="2749" customFormat="false" ht="15.75" hidden="false" customHeight="false" outlineLevel="0" collapsed="false">
      <c r="A2749" s="9"/>
      <c r="B2749" s="10"/>
      <c r="C2749" s="10"/>
      <c r="D2749" s="10"/>
      <c r="E2749" s="10"/>
      <c r="F2749" s="10"/>
      <c r="G2749" s="10"/>
      <c r="H2749" s="10"/>
      <c r="I2749" s="25" t="n">
        <v>4</v>
      </c>
      <c r="J2749" s="25"/>
      <c r="K2749" s="26"/>
      <c r="L2749" s="26"/>
      <c r="M2749" s="25"/>
      <c r="N2749" s="25"/>
      <c r="O2749" s="25"/>
      <c r="P2749" s="26"/>
      <c r="Q2749" s="26"/>
      <c r="R2749" s="25"/>
      <c r="S2749" s="25"/>
      <c r="T2749" s="25"/>
      <c r="U2749" s="27"/>
      <c r="V2749" s="21"/>
      <c r="W2749" s="16"/>
      <c r="X2749" s="16"/>
      <c r="Y2749" s="16"/>
    </row>
    <row r="2750" customFormat="false" ht="15.75" hidden="false" customHeight="false" outlineLevel="0" collapsed="false">
      <c r="A2750" s="9"/>
      <c r="B2750" s="10"/>
      <c r="C2750" s="11"/>
      <c r="D2750" s="10"/>
      <c r="E2750" s="10"/>
      <c r="F2750" s="10"/>
      <c r="G2750" s="10"/>
      <c r="H2750" s="10"/>
      <c r="I2750" s="12" t="n">
        <v>1</v>
      </c>
      <c r="J2750" s="12"/>
      <c r="K2750" s="13"/>
      <c r="L2750" s="13"/>
      <c r="M2750" s="12"/>
      <c r="N2750" s="12"/>
      <c r="O2750" s="12"/>
      <c r="P2750" s="13"/>
      <c r="Q2750" s="13"/>
      <c r="R2750" s="12"/>
      <c r="S2750" s="12"/>
      <c r="T2750" s="12"/>
      <c r="U2750" s="14"/>
      <c r="V2750" s="15"/>
      <c r="W2750" s="16" t="n">
        <f aca="false">A2750</f>
        <v>0</v>
      </c>
      <c r="X2750" s="17" t="e">
        <f aca="false">ifs(C2750="","",X2750="",NOW(),TRUE(),X2750)</f>
        <v>#VALUE!</v>
      </c>
      <c r="Y2750" s="17" t="e">
        <f aca="false">ifs(COUNTA(K2750:U2753)&lt;44,"",Y2750="",NOW(),TRUE(),Y2750)</f>
        <v>#VALUE!</v>
      </c>
    </row>
    <row r="2751" customFormat="false" ht="15.75" hidden="false" customHeight="false" outlineLevel="0" collapsed="false">
      <c r="A2751" s="9"/>
      <c r="B2751" s="10"/>
      <c r="C2751" s="10"/>
      <c r="D2751" s="10"/>
      <c r="E2751" s="10"/>
      <c r="F2751" s="10"/>
      <c r="G2751" s="10"/>
      <c r="H2751" s="10"/>
      <c r="I2751" s="18" t="n">
        <v>2</v>
      </c>
      <c r="J2751" s="18"/>
      <c r="K2751" s="19"/>
      <c r="L2751" s="19"/>
      <c r="M2751" s="18"/>
      <c r="N2751" s="18"/>
      <c r="O2751" s="18"/>
      <c r="P2751" s="19"/>
      <c r="Q2751" s="19"/>
      <c r="R2751" s="18"/>
      <c r="S2751" s="18"/>
      <c r="T2751" s="18"/>
      <c r="U2751" s="20"/>
      <c r="V2751" s="21"/>
      <c r="W2751" s="16"/>
      <c r="X2751" s="16"/>
      <c r="Y2751" s="16"/>
    </row>
    <row r="2752" customFormat="false" ht="15.75" hidden="false" customHeight="false" outlineLevel="0" collapsed="false">
      <c r="A2752" s="9"/>
      <c r="B2752" s="10"/>
      <c r="C2752" s="10"/>
      <c r="D2752" s="10"/>
      <c r="E2752" s="10"/>
      <c r="F2752" s="10"/>
      <c r="G2752" s="10"/>
      <c r="H2752" s="10"/>
      <c r="I2752" s="22" t="n">
        <v>3</v>
      </c>
      <c r="J2752" s="22"/>
      <c r="K2752" s="23"/>
      <c r="L2752" s="23"/>
      <c r="M2752" s="22"/>
      <c r="N2752" s="22"/>
      <c r="O2752" s="22"/>
      <c r="P2752" s="23"/>
      <c r="Q2752" s="23"/>
      <c r="R2752" s="22"/>
      <c r="S2752" s="22"/>
      <c r="T2752" s="22"/>
      <c r="U2752" s="24"/>
      <c r="V2752" s="15"/>
      <c r="W2752" s="16"/>
      <c r="X2752" s="16"/>
      <c r="Y2752" s="16"/>
    </row>
    <row r="2753" customFormat="false" ht="15.75" hidden="false" customHeight="false" outlineLevel="0" collapsed="false">
      <c r="A2753" s="9"/>
      <c r="B2753" s="10"/>
      <c r="C2753" s="10"/>
      <c r="D2753" s="10"/>
      <c r="E2753" s="10"/>
      <c r="F2753" s="10"/>
      <c r="G2753" s="10"/>
      <c r="H2753" s="10"/>
      <c r="I2753" s="25" t="n">
        <v>4</v>
      </c>
      <c r="J2753" s="25"/>
      <c r="K2753" s="26"/>
      <c r="L2753" s="26"/>
      <c r="M2753" s="25"/>
      <c r="N2753" s="25"/>
      <c r="O2753" s="25"/>
      <c r="P2753" s="26"/>
      <c r="Q2753" s="26"/>
      <c r="R2753" s="25"/>
      <c r="S2753" s="25"/>
      <c r="T2753" s="25"/>
      <c r="U2753" s="27"/>
      <c r="V2753" s="21"/>
      <c r="W2753" s="16"/>
      <c r="X2753" s="16"/>
      <c r="Y2753" s="16"/>
    </row>
    <row r="2754" customFormat="false" ht="15.75" hidden="false" customHeight="false" outlineLevel="0" collapsed="false">
      <c r="A2754" s="9"/>
      <c r="B2754" s="10"/>
      <c r="C2754" s="11"/>
      <c r="D2754" s="10"/>
      <c r="E2754" s="10"/>
      <c r="F2754" s="10"/>
      <c r="G2754" s="10"/>
      <c r="H2754" s="10"/>
      <c r="I2754" s="12" t="n">
        <v>1</v>
      </c>
      <c r="J2754" s="12"/>
      <c r="K2754" s="13"/>
      <c r="L2754" s="13"/>
      <c r="M2754" s="12"/>
      <c r="N2754" s="12"/>
      <c r="O2754" s="12"/>
      <c r="P2754" s="13"/>
      <c r="Q2754" s="13"/>
      <c r="R2754" s="12"/>
      <c r="S2754" s="12"/>
      <c r="T2754" s="12"/>
      <c r="U2754" s="14"/>
      <c r="V2754" s="15"/>
      <c r="W2754" s="16" t="n">
        <f aca="false">A2754</f>
        <v>0</v>
      </c>
      <c r="X2754" s="17" t="e">
        <f aca="false">ifs(C2754="","",X2754="",NOW(),TRUE(),X2754)</f>
        <v>#VALUE!</v>
      </c>
      <c r="Y2754" s="17" t="e">
        <f aca="false">ifs(COUNTA(K2754:U2757)&lt;44,"",Y2754="",NOW(),TRUE(),Y2754)</f>
        <v>#VALUE!</v>
      </c>
    </row>
    <row r="2755" customFormat="false" ht="15.75" hidden="false" customHeight="false" outlineLevel="0" collapsed="false">
      <c r="A2755" s="9"/>
      <c r="B2755" s="10"/>
      <c r="C2755" s="10"/>
      <c r="D2755" s="10"/>
      <c r="E2755" s="10"/>
      <c r="F2755" s="10"/>
      <c r="G2755" s="10"/>
      <c r="H2755" s="10"/>
      <c r="I2755" s="18" t="n">
        <v>2</v>
      </c>
      <c r="J2755" s="18"/>
      <c r="K2755" s="19"/>
      <c r="L2755" s="19"/>
      <c r="M2755" s="18"/>
      <c r="N2755" s="18"/>
      <c r="O2755" s="18"/>
      <c r="P2755" s="19"/>
      <c r="Q2755" s="19"/>
      <c r="R2755" s="18"/>
      <c r="S2755" s="18"/>
      <c r="T2755" s="18"/>
      <c r="U2755" s="20"/>
      <c r="V2755" s="21"/>
      <c r="W2755" s="16"/>
      <c r="X2755" s="16"/>
      <c r="Y2755" s="16"/>
    </row>
    <row r="2756" customFormat="false" ht="15.75" hidden="false" customHeight="false" outlineLevel="0" collapsed="false">
      <c r="A2756" s="9"/>
      <c r="B2756" s="10"/>
      <c r="C2756" s="10"/>
      <c r="D2756" s="10"/>
      <c r="E2756" s="10"/>
      <c r="F2756" s="10"/>
      <c r="G2756" s="10"/>
      <c r="H2756" s="10"/>
      <c r="I2756" s="22" t="n">
        <v>3</v>
      </c>
      <c r="J2756" s="22"/>
      <c r="K2756" s="23"/>
      <c r="L2756" s="23"/>
      <c r="M2756" s="22"/>
      <c r="N2756" s="22"/>
      <c r="O2756" s="22"/>
      <c r="P2756" s="23"/>
      <c r="Q2756" s="23"/>
      <c r="R2756" s="22"/>
      <c r="S2756" s="22"/>
      <c r="T2756" s="22"/>
      <c r="U2756" s="24"/>
      <c r="V2756" s="15"/>
      <c r="W2756" s="16"/>
      <c r="X2756" s="16"/>
      <c r="Y2756" s="16"/>
    </row>
    <row r="2757" customFormat="false" ht="15.75" hidden="false" customHeight="false" outlineLevel="0" collapsed="false">
      <c r="A2757" s="9"/>
      <c r="B2757" s="10"/>
      <c r="C2757" s="10"/>
      <c r="D2757" s="10"/>
      <c r="E2757" s="10"/>
      <c r="F2757" s="10"/>
      <c r="G2757" s="10"/>
      <c r="H2757" s="10"/>
      <c r="I2757" s="25" t="n">
        <v>4</v>
      </c>
      <c r="J2757" s="25"/>
      <c r="K2757" s="26"/>
      <c r="L2757" s="26"/>
      <c r="M2757" s="25"/>
      <c r="N2757" s="25"/>
      <c r="O2757" s="25"/>
      <c r="P2757" s="26"/>
      <c r="Q2757" s="26"/>
      <c r="R2757" s="25"/>
      <c r="S2757" s="25"/>
      <c r="T2757" s="25"/>
      <c r="U2757" s="27"/>
      <c r="V2757" s="21"/>
      <c r="W2757" s="16"/>
      <c r="X2757" s="16"/>
      <c r="Y2757" s="16"/>
    </row>
    <row r="2758" customFormat="false" ht="15.75" hidden="false" customHeight="false" outlineLevel="0" collapsed="false">
      <c r="A2758" s="9"/>
      <c r="B2758" s="10"/>
      <c r="C2758" s="11"/>
      <c r="D2758" s="10"/>
      <c r="E2758" s="10"/>
      <c r="F2758" s="10"/>
      <c r="G2758" s="10"/>
      <c r="H2758" s="10"/>
      <c r="I2758" s="12" t="n">
        <v>1</v>
      </c>
      <c r="J2758" s="12"/>
      <c r="K2758" s="13"/>
      <c r="L2758" s="13"/>
      <c r="M2758" s="12"/>
      <c r="N2758" s="12"/>
      <c r="O2758" s="12"/>
      <c r="P2758" s="13"/>
      <c r="Q2758" s="13"/>
      <c r="R2758" s="12"/>
      <c r="S2758" s="12"/>
      <c r="T2758" s="12"/>
      <c r="U2758" s="14"/>
      <c r="V2758" s="15"/>
      <c r="W2758" s="16" t="n">
        <f aca="false">A2758</f>
        <v>0</v>
      </c>
      <c r="X2758" s="17" t="e">
        <f aca="false">ifs(C2758="","",X2758="",NOW(),TRUE(),X2758)</f>
        <v>#VALUE!</v>
      </c>
      <c r="Y2758" s="17" t="e">
        <f aca="false">ifs(COUNTA(K2758:U2761)&lt;44,"",Y2758="",NOW(),TRUE(),Y2758)</f>
        <v>#VALUE!</v>
      </c>
    </row>
    <row r="2759" customFormat="false" ht="15.75" hidden="false" customHeight="false" outlineLevel="0" collapsed="false">
      <c r="A2759" s="9"/>
      <c r="B2759" s="10"/>
      <c r="C2759" s="10"/>
      <c r="D2759" s="10"/>
      <c r="E2759" s="10"/>
      <c r="F2759" s="10"/>
      <c r="G2759" s="10"/>
      <c r="H2759" s="10"/>
      <c r="I2759" s="18" t="n">
        <v>2</v>
      </c>
      <c r="J2759" s="18"/>
      <c r="K2759" s="19"/>
      <c r="L2759" s="19"/>
      <c r="M2759" s="18"/>
      <c r="N2759" s="18"/>
      <c r="O2759" s="18"/>
      <c r="P2759" s="19"/>
      <c r="Q2759" s="19"/>
      <c r="R2759" s="18"/>
      <c r="S2759" s="18"/>
      <c r="T2759" s="18"/>
      <c r="U2759" s="20"/>
      <c r="V2759" s="21"/>
      <c r="W2759" s="16"/>
      <c r="X2759" s="16"/>
      <c r="Y2759" s="16"/>
    </row>
    <row r="2760" customFormat="false" ht="15.75" hidden="false" customHeight="false" outlineLevel="0" collapsed="false">
      <c r="A2760" s="9"/>
      <c r="B2760" s="10"/>
      <c r="C2760" s="10"/>
      <c r="D2760" s="10"/>
      <c r="E2760" s="10"/>
      <c r="F2760" s="10"/>
      <c r="G2760" s="10"/>
      <c r="H2760" s="10"/>
      <c r="I2760" s="22" t="n">
        <v>3</v>
      </c>
      <c r="J2760" s="22"/>
      <c r="K2760" s="23"/>
      <c r="L2760" s="23"/>
      <c r="M2760" s="22"/>
      <c r="N2760" s="22"/>
      <c r="O2760" s="22"/>
      <c r="P2760" s="23"/>
      <c r="Q2760" s="23"/>
      <c r="R2760" s="22"/>
      <c r="S2760" s="22"/>
      <c r="T2760" s="22"/>
      <c r="U2760" s="24"/>
      <c r="V2760" s="15"/>
      <c r="W2760" s="16"/>
      <c r="X2760" s="16"/>
      <c r="Y2760" s="16"/>
    </row>
    <row r="2761" customFormat="false" ht="15.75" hidden="false" customHeight="false" outlineLevel="0" collapsed="false">
      <c r="A2761" s="9"/>
      <c r="B2761" s="10"/>
      <c r="C2761" s="10"/>
      <c r="D2761" s="10"/>
      <c r="E2761" s="10"/>
      <c r="F2761" s="10"/>
      <c r="G2761" s="10"/>
      <c r="H2761" s="10"/>
      <c r="I2761" s="25" t="n">
        <v>4</v>
      </c>
      <c r="J2761" s="25"/>
      <c r="K2761" s="26"/>
      <c r="L2761" s="26"/>
      <c r="M2761" s="25"/>
      <c r="N2761" s="25"/>
      <c r="O2761" s="25"/>
      <c r="P2761" s="26"/>
      <c r="Q2761" s="26"/>
      <c r="R2761" s="25"/>
      <c r="S2761" s="25"/>
      <c r="T2761" s="25"/>
      <c r="U2761" s="27"/>
      <c r="V2761" s="21"/>
      <c r="W2761" s="16"/>
      <c r="X2761" s="16"/>
      <c r="Y2761" s="16"/>
    </row>
    <row r="2762" customFormat="false" ht="15.75" hidden="false" customHeight="false" outlineLevel="0" collapsed="false">
      <c r="A2762" s="9"/>
      <c r="B2762" s="10"/>
      <c r="C2762" s="11"/>
      <c r="D2762" s="10"/>
      <c r="E2762" s="10"/>
      <c r="F2762" s="10"/>
      <c r="G2762" s="10"/>
      <c r="H2762" s="10"/>
      <c r="I2762" s="12" t="n">
        <v>1</v>
      </c>
      <c r="J2762" s="12"/>
      <c r="K2762" s="13"/>
      <c r="L2762" s="13"/>
      <c r="M2762" s="12"/>
      <c r="N2762" s="12"/>
      <c r="O2762" s="12"/>
      <c r="P2762" s="13"/>
      <c r="Q2762" s="13"/>
      <c r="R2762" s="12"/>
      <c r="S2762" s="12"/>
      <c r="T2762" s="12"/>
      <c r="U2762" s="14"/>
      <c r="V2762" s="15"/>
      <c r="W2762" s="16" t="n">
        <f aca="false">A2762</f>
        <v>0</v>
      </c>
      <c r="X2762" s="17" t="e">
        <f aca="false">ifs(C2762="","",X2762="",NOW(),TRUE(),X2762)</f>
        <v>#VALUE!</v>
      </c>
      <c r="Y2762" s="17" t="e">
        <f aca="false">ifs(COUNTA(K2762:U2765)&lt;44,"",Y2762="",NOW(),TRUE(),Y2762)</f>
        <v>#VALUE!</v>
      </c>
    </row>
    <row r="2763" customFormat="false" ht="15.75" hidden="false" customHeight="false" outlineLevel="0" collapsed="false">
      <c r="A2763" s="9"/>
      <c r="B2763" s="10"/>
      <c r="C2763" s="10"/>
      <c r="D2763" s="10"/>
      <c r="E2763" s="10"/>
      <c r="F2763" s="10"/>
      <c r="G2763" s="10"/>
      <c r="H2763" s="10"/>
      <c r="I2763" s="18" t="n">
        <v>2</v>
      </c>
      <c r="J2763" s="18"/>
      <c r="K2763" s="19"/>
      <c r="L2763" s="19"/>
      <c r="M2763" s="18"/>
      <c r="N2763" s="18"/>
      <c r="O2763" s="18"/>
      <c r="P2763" s="19"/>
      <c r="Q2763" s="19"/>
      <c r="R2763" s="18"/>
      <c r="S2763" s="18"/>
      <c r="T2763" s="18"/>
      <c r="U2763" s="20"/>
      <c r="V2763" s="21"/>
      <c r="W2763" s="16"/>
      <c r="X2763" s="16"/>
      <c r="Y2763" s="16"/>
    </row>
    <row r="2764" customFormat="false" ht="15.75" hidden="false" customHeight="false" outlineLevel="0" collapsed="false">
      <c r="A2764" s="9"/>
      <c r="B2764" s="10"/>
      <c r="C2764" s="10"/>
      <c r="D2764" s="10"/>
      <c r="E2764" s="10"/>
      <c r="F2764" s="10"/>
      <c r="G2764" s="10"/>
      <c r="H2764" s="10"/>
      <c r="I2764" s="22" t="n">
        <v>3</v>
      </c>
      <c r="J2764" s="22"/>
      <c r="K2764" s="23"/>
      <c r="L2764" s="23"/>
      <c r="M2764" s="22"/>
      <c r="N2764" s="22"/>
      <c r="O2764" s="22"/>
      <c r="P2764" s="23"/>
      <c r="Q2764" s="23"/>
      <c r="R2764" s="22"/>
      <c r="S2764" s="22"/>
      <c r="T2764" s="22"/>
      <c r="U2764" s="24"/>
      <c r="V2764" s="15"/>
      <c r="W2764" s="16"/>
      <c r="X2764" s="16"/>
      <c r="Y2764" s="16"/>
    </row>
    <row r="2765" customFormat="false" ht="15.75" hidden="false" customHeight="false" outlineLevel="0" collapsed="false">
      <c r="A2765" s="9"/>
      <c r="B2765" s="10"/>
      <c r="C2765" s="10"/>
      <c r="D2765" s="10"/>
      <c r="E2765" s="10"/>
      <c r="F2765" s="10"/>
      <c r="G2765" s="10"/>
      <c r="H2765" s="10"/>
      <c r="I2765" s="25" t="n">
        <v>4</v>
      </c>
      <c r="J2765" s="25"/>
      <c r="K2765" s="26"/>
      <c r="L2765" s="26"/>
      <c r="M2765" s="25"/>
      <c r="N2765" s="25"/>
      <c r="O2765" s="25"/>
      <c r="P2765" s="26"/>
      <c r="Q2765" s="26"/>
      <c r="R2765" s="25"/>
      <c r="S2765" s="25"/>
      <c r="T2765" s="25"/>
      <c r="U2765" s="27"/>
      <c r="V2765" s="21"/>
      <c r="W2765" s="16"/>
      <c r="X2765" s="16"/>
      <c r="Y2765" s="16"/>
    </row>
    <row r="2766" customFormat="false" ht="15.75" hidden="false" customHeight="false" outlineLevel="0" collapsed="false">
      <c r="A2766" s="9"/>
      <c r="B2766" s="10"/>
      <c r="C2766" s="11"/>
      <c r="D2766" s="10"/>
      <c r="E2766" s="10"/>
      <c r="F2766" s="10"/>
      <c r="G2766" s="10"/>
      <c r="H2766" s="10"/>
      <c r="I2766" s="12" t="n">
        <v>1</v>
      </c>
      <c r="J2766" s="12"/>
      <c r="K2766" s="13"/>
      <c r="L2766" s="13"/>
      <c r="M2766" s="12"/>
      <c r="N2766" s="12"/>
      <c r="O2766" s="12"/>
      <c r="P2766" s="13"/>
      <c r="Q2766" s="13"/>
      <c r="R2766" s="12"/>
      <c r="S2766" s="12"/>
      <c r="T2766" s="12"/>
      <c r="U2766" s="14"/>
      <c r="V2766" s="15"/>
      <c r="W2766" s="16" t="n">
        <f aca="false">A2766</f>
        <v>0</v>
      </c>
      <c r="X2766" s="17" t="e">
        <f aca="false">ifs(C2766="","",X2766="",NOW(),TRUE(),X2766)</f>
        <v>#VALUE!</v>
      </c>
      <c r="Y2766" s="17" t="e">
        <f aca="false">ifs(COUNTA(K2766:U2769)&lt;44,"",Y2766="",NOW(),TRUE(),Y2766)</f>
        <v>#VALUE!</v>
      </c>
    </row>
    <row r="2767" customFormat="false" ht="15.75" hidden="false" customHeight="false" outlineLevel="0" collapsed="false">
      <c r="A2767" s="9"/>
      <c r="B2767" s="10"/>
      <c r="C2767" s="10"/>
      <c r="D2767" s="10"/>
      <c r="E2767" s="10"/>
      <c r="F2767" s="10"/>
      <c r="G2767" s="10"/>
      <c r="H2767" s="10"/>
      <c r="I2767" s="18" t="n">
        <v>2</v>
      </c>
      <c r="J2767" s="18"/>
      <c r="K2767" s="19"/>
      <c r="L2767" s="19"/>
      <c r="M2767" s="18"/>
      <c r="N2767" s="18"/>
      <c r="O2767" s="18"/>
      <c r="P2767" s="19"/>
      <c r="Q2767" s="19"/>
      <c r="R2767" s="18"/>
      <c r="S2767" s="18"/>
      <c r="T2767" s="18"/>
      <c r="U2767" s="20"/>
      <c r="V2767" s="21"/>
      <c r="W2767" s="16"/>
      <c r="X2767" s="16"/>
      <c r="Y2767" s="16"/>
    </row>
    <row r="2768" customFormat="false" ht="15.75" hidden="false" customHeight="false" outlineLevel="0" collapsed="false">
      <c r="A2768" s="9"/>
      <c r="B2768" s="10"/>
      <c r="C2768" s="10"/>
      <c r="D2768" s="10"/>
      <c r="E2768" s="10"/>
      <c r="F2768" s="10"/>
      <c r="G2768" s="10"/>
      <c r="H2768" s="10"/>
      <c r="I2768" s="22" t="n">
        <v>3</v>
      </c>
      <c r="J2768" s="22"/>
      <c r="K2768" s="23"/>
      <c r="L2768" s="23"/>
      <c r="M2768" s="22"/>
      <c r="N2768" s="22"/>
      <c r="O2768" s="22"/>
      <c r="P2768" s="23"/>
      <c r="Q2768" s="23"/>
      <c r="R2768" s="22"/>
      <c r="S2768" s="22"/>
      <c r="T2768" s="22"/>
      <c r="U2768" s="24"/>
      <c r="V2768" s="15"/>
      <c r="W2768" s="16"/>
      <c r="X2768" s="16"/>
      <c r="Y2768" s="16"/>
    </row>
    <row r="2769" customFormat="false" ht="15.75" hidden="false" customHeight="false" outlineLevel="0" collapsed="false">
      <c r="A2769" s="9"/>
      <c r="B2769" s="10"/>
      <c r="C2769" s="10"/>
      <c r="D2769" s="10"/>
      <c r="E2769" s="10"/>
      <c r="F2769" s="10"/>
      <c r="G2769" s="10"/>
      <c r="H2769" s="10"/>
      <c r="I2769" s="25" t="n">
        <v>4</v>
      </c>
      <c r="J2769" s="25"/>
      <c r="K2769" s="26"/>
      <c r="L2769" s="26"/>
      <c r="M2769" s="25"/>
      <c r="N2769" s="25"/>
      <c r="O2769" s="25"/>
      <c r="P2769" s="26"/>
      <c r="Q2769" s="26"/>
      <c r="R2769" s="25"/>
      <c r="S2769" s="25"/>
      <c r="T2769" s="25"/>
      <c r="U2769" s="27"/>
      <c r="V2769" s="21"/>
      <c r="W2769" s="16"/>
      <c r="X2769" s="16"/>
      <c r="Y2769" s="16"/>
    </row>
    <row r="2770" customFormat="false" ht="15.75" hidden="false" customHeight="false" outlineLevel="0" collapsed="false">
      <c r="A2770" s="9"/>
      <c r="B2770" s="10"/>
      <c r="C2770" s="11"/>
      <c r="D2770" s="10"/>
      <c r="E2770" s="10"/>
      <c r="F2770" s="10"/>
      <c r="G2770" s="10"/>
      <c r="H2770" s="10"/>
      <c r="I2770" s="12" t="n">
        <v>1</v>
      </c>
      <c r="J2770" s="12"/>
      <c r="K2770" s="13"/>
      <c r="L2770" s="13"/>
      <c r="M2770" s="12"/>
      <c r="N2770" s="12"/>
      <c r="O2770" s="12"/>
      <c r="P2770" s="13"/>
      <c r="Q2770" s="13"/>
      <c r="R2770" s="12"/>
      <c r="S2770" s="12"/>
      <c r="T2770" s="12"/>
      <c r="U2770" s="14"/>
      <c r="V2770" s="15"/>
      <c r="W2770" s="16" t="n">
        <f aca="false">A2770</f>
        <v>0</v>
      </c>
      <c r="X2770" s="17" t="e">
        <f aca="false">ifs(C2770="","",X2770="",NOW(),TRUE(),X2770)</f>
        <v>#VALUE!</v>
      </c>
      <c r="Y2770" s="17" t="e">
        <f aca="false">ifs(COUNTA(K2770:U2773)&lt;44,"",Y2770="",NOW(),TRUE(),Y2770)</f>
        <v>#VALUE!</v>
      </c>
    </row>
    <row r="2771" customFormat="false" ht="15.75" hidden="false" customHeight="false" outlineLevel="0" collapsed="false">
      <c r="A2771" s="9"/>
      <c r="B2771" s="10"/>
      <c r="C2771" s="10"/>
      <c r="D2771" s="10"/>
      <c r="E2771" s="10"/>
      <c r="F2771" s="10"/>
      <c r="G2771" s="10"/>
      <c r="H2771" s="10"/>
      <c r="I2771" s="18" t="n">
        <v>2</v>
      </c>
      <c r="J2771" s="18"/>
      <c r="K2771" s="19"/>
      <c r="L2771" s="19"/>
      <c r="M2771" s="18"/>
      <c r="N2771" s="18"/>
      <c r="O2771" s="18"/>
      <c r="P2771" s="19"/>
      <c r="Q2771" s="19"/>
      <c r="R2771" s="18"/>
      <c r="S2771" s="18"/>
      <c r="T2771" s="18"/>
      <c r="U2771" s="20"/>
      <c r="V2771" s="21"/>
      <c r="W2771" s="16"/>
      <c r="X2771" s="16"/>
      <c r="Y2771" s="16"/>
    </row>
    <row r="2772" customFormat="false" ht="15.75" hidden="false" customHeight="false" outlineLevel="0" collapsed="false">
      <c r="A2772" s="9"/>
      <c r="B2772" s="10"/>
      <c r="C2772" s="10"/>
      <c r="D2772" s="10"/>
      <c r="E2772" s="10"/>
      <c r="F2772" s="10"/>
      <c r="G2772" s="10"/>
      <c r="H2772" s="10"/>
      <c r="I2772" s="22" t="n">
        <v>3</v>
      </c>
      <c r="J2772" s="22"/>
      <c r="K2772" s="23"/>
      <c r="L2772" s="23"/>
      <c r="M2772" s="22"/>
      <c r="N2772" s="22"/>
      <c r="O2772" s="22"/>
      <c r="P2772" s="23"/>
      <c r="Q2772" s="23"/>
      <c r="R2772" s="22"/>
      <c r="S2772" s="22"/>
      <c r="T2772" s="22"/>
      <c r="U2772" s="24"/>
      <c r="V2772" s="15"/>
      <c r="W2772" s="16"/>
      <c r="X2772" s="16"/>
      <c r="Y2772" s="16"/>
    </row>
    <row r="2773" customFormat="false" ht="15.75" hidden="false" customHeight="false" outlineLevel="0" collapsed="false">
      <c r="A2773" s="9"/>
      <c r="B2773" s="10"/>
      <c r="C2773" s="10"/>
      <c r="D2773" s="10"/>
      <c r="E2773" s="10"/>
      <c r="F2773" s="10"/>
      <c r="G2773" s="10"/>
      <c r="H2773" s="10"/>
      <c r="I2773" s="25" t="n">
        <v>4</v>
      </c>
      <c r="J2773" s="25"/>
      <c r="K2773" s="26"/>
      <c r="L2773" s="26"/>
      <c r="M2773" s="25"/>
      <c r="N2773" s="25"/>
      <c r="O2773" s="25"/>
      <c r="P2773" s="26"/>
      <c r="Q2773" s="26"/>
      <c r="R2773" s="25"/>
      <c r="S2773" s="25"/>
      <c r="T2773" s="25"/>
      <c r="U2773" s="27"/>
      <c r="V2773" s="21"/>
      <c r="W2773" s="16"/>
      <c r="X2773" s="16"/>
      <c r="Y2773" s="16"/>
    </row>
    <row r="2774" customFormat="false" ht="15.75" hidden="false" customHeight="false" outlineLevel="0" collapsed="false">
      <c r="A2774" s="9"/>
      <c r="B2774" s="10"/>
      <c r="C2774" s="11"/>
      <c r="D2774" s="10"/>
      <c r="E2774" s="10"/>
      <c r="F2774" s="10"/>
      <c r="G2774" s="10"/>
      <c r="H2774" s="10"/>
      <c r="I2774" s="12" t="n">
        <v>1</v>
      </c>
      <c r="J2774" s="12"/>
      <c r="K2774" s="13"/>
      <c r="L2774" s="13"/>
      <c r="M2774" s="12"/>
      <c r="N2774" s="12"/>
      <c r="O2774" s="12"/>
      <c r="P2774" s="13"/>
      <c r="Q2774" s="13"/>
      <c r="R2774" s="12"/>
      <c r="S2774" s="12"/>
      <c r="T2774" s="12"/>
      <c r="U2774" s="14"/>
      <c r="V2774" s="15"/>
      <c r="W2774" s="16" t="n">
        <f aca="false">A2774</f>
        <v>0</v>
      </c>
      <c r="X2774" s="17" t="e">
        <f aca="false">ifs(C2774="","",X2774="",NOW(),TRUE(),X2774)</f>
        <v>#VALUE!</v>
      </c>
      <c r="Y2774" s="17" t="e">
        <f aca="false">ifs(COUNTA(K2774:U2777)&lt;44,"",Y2774="",NOW(),TRUE(),Y2774)</f>
        <v>#VALUE!</v>
      </c>
    </row>
    <row r="2775" customFormat="false" ht="15.75" hidden="false" customHeight="false" outlineLevel="0" collapsed="false">
      <c r="A2775" s="9"/>
      <c r="B2775" s="10"/>
      <c r="C2775" s="10"/>
      <c r="D2775" s="10"/>
      <c r="E2775" s="10"/>
      <c r="F2775" s="10"/>
      <c r="G2775" s="10"/>
      <c r="H2775" s="10"/>
      <c r="I2775" s="18" t="n">
        <v>2</v>
      </c>
      <c r="J2775" s="18"/>
      <c r="K2775" s="19"/>
      <c r="L2775" s="19"/>
      <c r="M2775" s="18"/>
      <c r="N2775" s="18"/>
      <c r="O2775" s="18"/>
      <c r="P2775" s="19"/>
      <c r="Q2775" s="19"/>
      <c r="R2775" s="18"/>
      <c r="S2775" s="18"/>
      <c r="T2775" s="18"/>
      <c r="U2775" s="20"/>
      <c r="V2775" s="21"/>
      <c r="W2775" s="16"/>
      <c r="X2775" s="16"/>
      <c r="Y2775" s="16"/>
    </row>
    <row r="2776" customFormat="false" ht="15.75" hidden="false" customHeight="false" outlineLevel="0" collapsed="false">
      <c r="A2776" s="9"/>
      <c r="B2776" s="10"/>
      <c r="C2776" s="10"/>
      <c r="D2776" s="10"/>
      <c r="E2776" s="10"/>
      <c r="F2776" s="10"/>
      <c r="G2776" s="10"/>
      <c r="H2776" s="10"/>
      <c r="I2776" s="22" t="n">
        <v>3</v>
      </c>
      <c r="J2776" s="22"/>
      <c r="K2776" s="23"/>
      <c r="L2776" s="23"/>
      <c r="M2776" s="22"/>
      <c r="N2776" s="22"/>
      <c r="O2776" s="22"/>
      <c r="P2776" s="23"/>
      <c r="Q2776" s="23"/>
      <c r="R2776" s="22"/>
      <c r="S2776" s="22"/>
      <c r="T2776" s="22"/>
      <c r="U2776" s="24"/>
      <c r="V2776" s="15"/>
      <c r="W2776" s="16"/>
      <c r="X2776" s="16"/>
      <c r="Y2776" s="16"/>
    </row>
    <row r="2777" customFormat="false" ht="15.75" hidden="false" customHeight="false" outlineLevel="0" collapsed="false">
      <c r="A2777" s="9"/>
      <c r="B2777" s="10"/>
      <c r="C2777" s="10"/>
      <c r="D2777" s="10"/>
      <c r="E2777" s="10"/>
      <c r="F2777" s="10"/>
      <c r="G2777" s="10"/>
      <c r="H2777" s="10"/>
      <c r="I2777" s="25" t="n">
        <v>4</v>
      </c>
      <c r="J2777" s="25"/>
      <c r="K2777" s="26"/>
      <c r="L2777" s="26"/>
      <c r="M2777" s="25"/>
      <c r="N2777" s="25"/>
      <c r="O2777" s="25"/>
      <c r="P2777" s="26"/>
      <c r="Q2777" s="26"/>
      <c r="R2777" s="25"/>
      <c r="S2777" s="25"/>
      <c r="T2777" s="25"/>
      <c r="U2777" s="27"/>
      <c r="V2777" s="21"/>
      <c r="W2777" s="16"/>
      <c r="X2777" s="16"/>
      <c r="Y2777" s="16"/>
    </row>
    <row r="2778" customFormat="false" ht="15.75" hidden="false" customHeight="false" outlineLevel="0" collapsed="false">
      <c r="A2778" s="9"/>
      <c r="B2778" s="10"/>
      <c r="C2778" s="11"/>
      <c r="D2778" s="10"/>
      <c r="E2778" s="10"/>
      <c r="F2778" s="10"/>
      <c r="G2778" s="10"/>
      <c r="H2778" s="10"/>
      <c r="I2778" s="12" t="n">
        <v>1</v>
      </c>
      <c r="J2778" s="12"/>
      <c r="K2778" s="13"/>
      <c r="L2778" s="13"/>
      <c r="M2778" s="12"/>
      <c r="N2778" s="12"/>
      <c r="O2778" s="12"/>
      <c r="P2778" s="13"/>
      <c r="Q2778" s="13"/>
      <c r="R2778" s="12"/>
      <c r="S2778" s="12"/>
      <c r="T2778" s="12"/>
      <c r="U2778" s="14"/>
      <c r="V2778" s="15"/>
      <c r="W2778" s="16" t="n">
        <f aca="false">A2778</f>
        <v>0</v>
      </c>
      <c r="X2778" s="17" t="e">
        <f aca="false">ifs(C2778="","",X2778="",NOW(),TRUE(),X2778)</f>
        <v>#VALUE!</v>
      </c>
      <c r="Y2778" s="17" t="e">
        <f aca="false">ifs(COUNTA(K2778:U2781)&lt;44,"",Y2778="",NOW(),TRUE(),Y2778)</f>
        <v>#VALUE!</v>
      </c>
    </row>
    <row r="2779" customFormat="false" ht="15.75" hidden="false" customHeight="false" outlineLevel="0" collapsed="false">
      <c r="A2779" s="9"/>
      <c r="B2779" s="10"/>
      <c r="C2779" s="10"/>
      <c r="D2779" s="10"/>
      <c r="E2779" s="10"/>
      <c r="F2779" s="10"/>
      <c r="G2779" s="10"/>
      <c r="H2779" s="10"/>
      <c r="I2779" s="18" t="n">
        <v>2</v>
      </c>
      <c r="J2779" s="18"/>
      <c r="K2779" s="19"/>
      <c r="L2779" s="19"/>
      <c r="M2779" s="18"/>
      <c r="N2779" s="18"/>
      <c r="O2779" s="18"/>
      <c r="P2779" s="19"/>
      <c r="Q2779" s="19"/>
      <c r="R2779" s="18"/>
      <c r="S2779" s="18"/>
      <c r="T2779" s="18"/>
      <c r="U2779" s="20"/>
      <c r="V2779" s="21"/>
      <c r="W2779" s="16"/>
      <c r="X2779" s="16"/>
      <c r="Y2779" s="16"/>
    </row>
    <row r="2780" customFormat="false" ht="15.75" hidden="false" customHeight="false" outlineLevel="0" collapsed="false">
      <c r="A2780" s="9"/>
      <c r="B2780" s="10"/>
      <c r="C2780" s="10"/>
      <c r="D2780" s="10"/>
      <c r="E2780" s="10"/>
      <c r="F2780" s="10"/>
      <c r="G2780" s="10"/>
      <c r="H2780" s="10"/>
      <c r="I2780" s="22" t="n">
        <v>3</v>
      </c>
      <c r="J2780" s="22"/>
      <c r="K2780" s="23"/>
      <c r="L2780" s="23"/>
      <c r="M2780" s="22"/>
      <c r="N2780" s="22"/>
      <c r="O2780" s="22"/>
      <c r="P2780" s="23"/>
      <c r="Q2780" s="23"/>
      <c r="R2780" s="22"/>
      <c r="S2780" s="22"/>
      <c r="T2780" s="22"/>
      <c r="U2780" s="24"/>
      <c r="V2780" s="15"/>
      <c r="W2780" s="16"/>
      <c r="X2780" s="16"/>
      <c r="Y2780" s="16"/>
    </row>
    <row r="2781" customFormat="false" ht="15.75" hidden="false" customHeight="false" outlineLevel="0" collapsed="false">
      <c r="A2781" s="9"/>
      <c r="B2781" s="10"/>
      <c r="C2781" s="10"/>
      <c r="D2781" s="10"/>
      <c r="E2781" s="10"/>
      <c r="F2781" s="10"/>
      <c r="G2781" s="10"/>
      <c r="H2781" s="10"/>
      <c r="I2781" s="25" t="n">
        <v>4</v>
      </c>
      <c r="J2781" s="25"/>
      <c r="K2781" s="26"/>
      <c r="L2781" s="26"/>
      <c r="M2781" s="25"/>
      <c r="N2781" s="25"/>
      <c r="O2781" s="25"/>
      <c r="P2781" s="26"/>
      <c r="Q2781" s="26"/>
      <c r="R2781" s="25"/>
      <c r="S2781" s="25"/>
      <c r="T2781" s="25"/>
      <c r="U2781" s="27"/>
      <c r="V2781" s="21"/>
      <c r="W2781" s="16"/>
      <c r="X2781" s="16"/>
      <c r="Y2781" s="16"/>
    </row>
    <row r="2782" customFormat="false" ht="15.75" hidden="false" customHeight="false" outlineLevel="0" collapsed="false">
      <c r="A2782" s="9"/>
      <c r="B2782" s="10"/>
      <c r="C2782" s="11"/>
      <c r="D2782" s="10"/>
      <c r="E2782" s="10"/>
      <c r="F2782" s="10"/>
      <c r="G2782" s="10"/>
      <c r="H2782" s="10"/>
      <c r="I2782" s="12" t="n">
        <v>1</v>
      </c>
      <c r="J2782" s="12"/>
      <c r="K2782" s="13"/>
      <c r="L2782" s="13"/>
      <c r="M2782" s="12"/>
      <c r="N2782" s="12"/>
      <c r="O2782" s="12"/>
      <c r="P2782" s="13"/>
      <c r="Q2782" s="13"/>
      <c r="R2782" s="12"/>
      <c r="S2782" s="12"/>
      <c r="T2782" s="12"/>
      <c r="U2782" s="14"/>
      <c r="V2782" s="15"/>
      <c r="W2782" s="16" t="n">
        <f aca="false">A2782</f>
        <v>0</v>
      </c>
      <c r="X2782" s="17" t="e">
        <f aca="false">ifs(C2782="","",X2782="",NOW(),TRUE(),X2782)</f>
        <v>#VALUE!</v>
      </c>
      <c r="Y2782" s="17" t="e">
        <f aca="false">ifs(COUNTA(K2782:U2785)&lt;44,"",Y2782="",NOW(),TRUE(),Y2782)</f>
        <v>#VALUE!</v>
      </c>
    </row>
    <row r="2783" customFormat="false" ht="15.75" hidden="false" customHeight="false" outlineLevel="0" collapsed="false">
      <c r="A2783" s="9"/>
      <c r="B2783" s="10"/>
      <c r="C2783" s="10"/>
      <c r="D2783" s="10"/>
      <c r="E2783" s="10"/>
      <c r="F2783" s="10"/>
      <c r="G2783" s="10"/>
      <c r="H2783" s="10"/>
      <c r="I2783" s="18" t="n">
        <v>2</v>
      </c>
      <c r="J2783" s="18"/>
      <c r="K2783" s="19"/>
      <c r="L2783" s="19"/>
      <c r="M2783" s="18"/>
      <c r="N2783" s="18"/>
      <c r="O2783" s="18"/>
      <c r="P2783" s="19"/>
      <c r="Q2783" s="19"/>
      <c r="R2783" s="18"/>
      <c r="S2783" s="18"/>
      <c r="T2783" s="18"/>
      <c r="U2783" s="20"/>
      <c r="V2783" s="21"/>
      <c r="W2783" s="16"/>
      <c r="X2783" s="16"/>
      <c r="Y2783" s="16"/>
    </row>
    <row r="2784" customFormat="false" ht="15.75" hidden="false" customHeight="false" outlineLevel="0" collapsed="false">
      <c r="A2784" s="9"/>
      <c r="B2784" s="10"/>
      <c r="C2784" s="10"/>
      <c r="D2784" s="10"/>
      <c r="E2784" s="10"/>
      <c r="F2784" s="10"/>
      <c r="G2784" s="10"/>
      <c r="H2784" s="10"/>
      <c r="I2784" s="22" t="n">
        <v>3</v>
      </c>
      <c r="J2784" s="22"/>
      <c r="K2784" s="23"/>
      <c r="L2784" s="23"/>
      <c r="M2784" s="22"/>
      <c r="N2784" s="22"/>
      <c r="O2784" s="22"/>
      <c r="P2784" s="23"/>
      <c r="Q2784" s="23"/>
      <c r="R2784" s="22"/>
      <c r="S2784" s="22"/>
      <c r="T2784" s="22"/>
      <c r="U2784" s="24"/>
      <c r="V2784" s="15"/>
      <c r="W2784" s="16"/>
      <c r="X2784" s="16"/>
      <c r="Y2784" s="16"/>
    </row>
    <row r="2785" customFormat="false" ht="15.75" hidden="false" customHeight="false" outlineLevel="0" collapsed="false">
      <c r="A2785" s="9"/>
      <c r="B2785" s="10"/>
      <c r="C2785" s="10"/>
      <c r="D2785" s="10"/>
      <c r="E2785" s="10"/>
      <c r="F2785" s="10"/>
      <c r="G2785" s="10"/>
      <c r="H2785" s="10"/>
      <c r="I2785" s="25" t="n">
        <v>4</v>
      </c>
      <c r="J2785" s="25"/>
      <c r="K2785" s="26"/>
      <c r="L2785" s="26"/>
      <c r="M2785" s="25"/>
      <c r="N2785" s="25"/>
      <c r="O2785" s="25"/>
      <c r="P2785" s="26"/>
      <c r="Q2785" s="26"/>
      <c r="R2785" s="25"/>
      <c r="S2785" s="25"/>
      <c r="T2785" s="25"/>
      <c r="U2785" s="27"/>
      <c r="V2785" s="21"/>
      <c r="W2785" s="16"/>
      <c r="X2785" s="16"/>
      <c r="Y2785" s="16"/>
    </row>
    <row r="2786" customFormat="false" ht="15.75" hidden="false" customHeight="false" outlineLevel="0" collapsed="false">
      <c r="A2786" s="9"/>
      <c r="B2786" s="10"/>
      <c r="C2786" s="11"/>
      <c r="D2786" s="10"/>
      <c r="E2786" s="10"/>
      <c r="F2786" s="10"/>
      <c r="G2786" s="10"/>
      <c r="H2786" s="10"/>
      <c r="I2786" s="12" t="n">
        <v>1</v>
      </c>
      <c r="J2786" s="12"/>
      <c r="K2786" s="13"/>
      <c r="L2786" s="13"/>
      <c r="M2786" s="12"/>
      <c r="N2786" s="12"/>
      <c r="O2786" s="12"/>
      <c r="P2786" s="13"/>
      <c r="Q2786" s="13"/>
      <c r="R2786" s="12"/>
      <c r="S2786" s="12"/>
      <c r="T2786" s="12"/>
      <c r="U2786" s="14"/>
      <c r="V2786" s="15"/>
      <c r="W2786" s="16" t="n">
        <f aca="false">A2786</f>
        <v>0</v>
      </c>
      <c r="X2786" s="17" t="e">
        <f aca="false">ifs(C2786="","",X2786="",NOW(),TRUE(),X2786)</f>
        <v>#VALUE!</v>
      </c>
      <c r="Y2786" s="17" t="e">
        <f aca="false">ifs(COUNTA(K2786:U2789)&lt;44,"",Y2786="",NOW(),TRUE(),Y2786)</f>
        <v>#VALUE!</v>
      </c>
    </row>
    <row r="2787" customFormat="false" ht="15.75" hidden="false" customHeight="false" outlineLevel="0" collapsed="false">
      <c r="A2787" s="9"/>
      <c r="B2787" s="10"/>
      <c r="C2787" s="10"/>
      <c r="D2787" s="10"/>
      <c r="E2787" s="10"/>
      <c r="F2787" s="10"/>
      <c r="G2787" s="10"/>
      <c r="H2787" s="10"/>
      <c r="I2787" s="18" t="n">
        <v>2</v>
      </c>
      <c r="J2787" s="18"/>
      <c r="K2787" s="19"/>
      <c r="L2787" s="19"/>
      <c r="M2787" s="18"/>
      <c r="N2787" s="18"/>
      <c r="O2787" s="18"/>
      <c r="P2787" s="19"/>
      <c r="Q2787" s="19"/>
      <c r="R2787" s="18"/>
      <c r="S2787" s="18"/>
      <c r="T2787" s="18"/>
      <c r="U2787" s="20"/>
      <c r="V2787" s="21"/>
      <c r="W2787" s="16"/>
      <c r="X2787" s="16"/>
      <c r="Y2787" s="16"/>
    </row>
    <row r="2788" customFormat="false" ht="15.75" hidden="false" customHeight="false" outlineLevel="0" collapsed="false">
      <c r="A2788" s="9"/>
      <c r="B2788" s="10"/>
      <c r="C2788" s="10"/>
      <c r="D2788" s="10"/>
      <c r="E2788" s="10"/>
      <c r="F2788" s="10"/>
      <c r="G2788" s="10"/>
      <c r="H2788" s="10"/>
      <c r="I2788" s="22" t="n">
        <v>3</v>
      </c>
      <c r="J2788" s="22"/>
      <c r="K2788" s="23"/>
      <c r="L2788" s="23"/>
      <c r="M2788" s="22"/>
      <c r="N2788" s="22"/>
      <c r="O2788" s="22"/>
      <c r="P2788" s="23"/>
      <c r="Q2788" s="23"/>
      <c r="R2788" s="22"/>
      <c r="S2788" s="22"/>
      <c r="T2788" s="22"/>
      <c r="U2788" s="24"/>
      <c r="V2788" s="15"/>
      <c r="W2788" s="16"/>
      <c r="X2788" s="16"/>
      <c r="Y2788" s="16"/>
    </row>
    <row r="2789" customFormat="false" ht="15.75" hidden="false" customHeight="false" outlineLevel="0" collapsed="false">
      <c r="A2789" s="9"/>
      <c r="B2789" s="10"/>
      <c r="C2789" s="10"/>
      <c r="D2789" s="10"/>
      <c r="E2789" s="10"/>
      <c r="F2789" s="10"/>
      <c r="G2789" s="10"/>
      <c r="H2789" s="10"/>
      <c r="I2789" s="25" t="n">
        <v>4</v>
      </c>
      <c r="J2789" s="25"/>
      <c r="K2789" s="26"/>
      <c r="L2789" s="26"/>
      <c r="M2789" s="25"/>
      <c r="N2789" s="25"/>
      <c r="O2789" s="25"/>
      <c r="P2789" s="26"/>
      <c r="Q2789" s="26"/>
      <c r="R2789" s="25"/>
      <c r="S2789" s="25"/>
      <c r="T2789" s="25"/>
      <c r="U2789" s="27"/>
      <c r="V2789" s="21"/>
      <c r="W2789" s="16"/>
      <c r="X2789" s="16"/>
      <c r="Y2789" s="16"/>
    </row>
    <row r="2790" customFormat="false" ht="15.75" hidden="false" customHeight="false" outlineLevel="0" collapsed="false">
      <c r="A2790" s="9"/>
      <c r="B2790" s="10"/>
      <c r="C2790" s="11"/>
      <c r="D2790" s="10"/>
      <c r="E2790" s="10"/>
      <c r="F2790" s="10"/>
      <c r="G2790" s="10"/>
      <c r="H2790" s="10"/>
      <c r="I2790" s="12" t="n">
        <v>1</v>
      </c>
      <c r="J2790" s="12"/>
      <c r="K2790" s="13"/>
      <c r="L2790" s="13"/>
      <c r="M2790" s="12"/>
      <c r="N2790" s="12"/>
      <c r="O2790" s="12"/>
      <c r="P2790" s="13"/>
      <c r="Q2790" s="13"/>
      <c r="R2790" s="12"/>
      <c r="S2790" s="12"/>
      <c r="T2790" s="12"/>
      <c r="U2790" s="14"/>
      <c r="V2790" s="15"/>
      <c r="W2790" s="16" t="n">
        <f aca="false">A2790</f>
        <v>0</v>
      </c>
      <c r="X2790" s="17" t="e">
        <f aca="false">ifs(C2790="","",X2790="",NOW(),TRUE(),X2790)</f>
        <v>#VALUE!</v>
      </c>
      <c r="Y2790" s="17" t="e">
        <f aca="false">ifs(COUNTA(K2790:U2793)&lt;44,"",Y2790="",NOW(),TRUE(),Y2790)</f>
        <v>#VALUE!</v>
      </c>
    </row>
    <row r="2791" customFormat="false" ht="15.75" hidden="false" customHeight="false" outlineLevel="0" collapsed="false">
      <c r="A2791" s="9"/>
      <c r="B2791" s="10"/>
      <c r="C2791" s="10"/>
      <c r="D2791" s="10"/>
      <c r="E2791" s="10"/>
      <c r="F2791" s="10"/>
      <c r="G2791" s="10"/>
      <c r="H2791" s="10"/>
      <c r="I2791" s="18" t="n">
        <v>2</v>
      </c>
      <c r="J2791" s="18"/>
      <c r="K2791" s="19"/>
      <c r="L2791" s="19"/>
      <c r="M2791" s="18"/>
      <c r="N2791" s="18"/>
      <c r="O2791" s="18"/>
      <c r="P2791" s="19"/>
      <c r="Q2791" s="19"/>
      <c r="R2791" s="18"/>
      <c r="S2791" s="18"/>
      <c r="T2791" s="18"/>
      <c r="U2791" s="20"/>
      <c r="V2791" s="21"/>
      <c r="W2791" s="16"/>
      <c r="X2791" s="16"/>
      <c r="Y2791" s="16"/>
    </row>
    <row r="2792" customFormat="false" ht="15.75" hidden="false" customHeight="false" outlineLevel="0" collapsed="false">
      <c r="A2792" s="9"/>
      <c r="B2792" s="10"/>
      <c r="C2792" s="10"/>
      <c r="D2792" s="10"/>
      <c r="E2792" s="10"/>
      <c r="F2792" s="10"/>
      <c r="G2792" s="10"/>
      <c r="H2792" s="10"/>
      <c r="I2792" s="22" t="n">
        <v>3</v>
      </c>
      <c r="J2792" s="22"/>
      <c r="K2792" s="23"/>
      <c r="L2792" s="23"/>
      <c r="M2792" s="22"/>
      <c r="N2792" s="22"/>
      <c r="O2792" s="22"/>
      <c r="P2792" s="23"/>
      <c r="Q2792" s="23"/>
      <c r="R2792" s="22"/>
      <c r="S2792" s="22"/>
      <c r="T2792" s="22"/>
      <c r="U2792" s="24"/>
      <c r="V2792" s="15"/>
      <c r="W2792" s="16"/>
      <c r="X2792" s="16"/>
      <c r="Y2792" s="16"/>
    </row>
    <row r="2793" customFormat="false" ht="15.75" hidden="false" customHeight="false" outlineLevel="0" collapsed="false">
      <c r="A2793" s="9"/>
      <c r="B2793" s="10"/>
      <c r="C2793" s="10"/>
      <c r="D2793" s="10"/>
      <c r="E2793" s="10"/>
      <c r="F2793" s="10"/>
      <c r="G2793" s="10"/>
      <c r="H2793" s="10"/>
      <c r="I2793" s="25" t="n">
        <v>4</v>
      </c>
      <c r="J2793" s="25"/>
      <c r="K2793" s="26"/>
      <c r="L2793" s="26"/>
      <c r="M2793" s="25"/>
      <c r="N2793" s="25"/>
      <c r="O2793" s="25"/>
      <c r="P2793" s="26"/>
      <c r="Q2793" s="26"/>
      <c r="R2793" s="25"/>
      <c r="S2793" s="25"/>
      <c r="T2793" s="25"/>
      <c r="U2793" s="27"/>
      <c r="V2793" s="21"/>
      <c r="W2793" s="16"/>
      <c r="X2793" s="16"/>
      <c r="Y2793" s="16"/>
    </row>
    <row r="2794" customFormat="false" ht="15.75" hidden="false" customHeight="false" outlineLevel="0" collapsed="false">
      <c r="A2794" s="9"/>
      <c r="B2794" s="10"/>
      <c r="C2794" s="11"/>
      <c r="D2794" s="10"/>
      <c r="E2794" s="10"/>
      <c r="F2794" s="10"/>
      <c r="G2794" s="10"/>
      <c r="H2794" s="10"/>
      <c r="I2794" s="12" t="n">
        <v>1</v>
      </c>
      <c r="J2794" s="12"/>
      <c r="K2794" s="13"/>
      <c r="L2794" s="13"/>
      <c r="M2794" s="12"/>
      <c r="N2794" s="12"/>
      <c r="O2794" s="12"/>
      <c r="P2794" s="13"/>
      <c r="Q2794" s="13"/>
      <c r="R2794" s="12"/>
      <c r="S2794" s="12"/>
      <c r="T2794" s="12"/>
      <c r="U2794" s="14"/>
      <c r="V2794" s="15"/>
      <c r="W2794" s="16" t="n">
        <f aca="false">A2794</f>
        <v>0</v>
      </c>
      <c r="X2794" s="17" t="e">
        <f aca="false">ifs(C2794="","",X2794="",NOW(),TRUE(),X2794)</f>
        <v>#VALUE!</v>
      </c>
      <c r="Y2794" s="17" t="e">
        <f aca="false">ifs(COUNTA(K2794:U2797)&lt;44,"",Y2794="",NOW(),TRUE(),Y2794)</f>
        <v>#VALUE!</v>
      </c>
    </row>
    <row r="2795" customFormat="false" ht="15.75" hidden="false" customHeight="false" outlineLevel="0" collapsed="false">
      <c r="A2795" s="9"/>
      <c r="B2795" s="10"/>
      <c r="C2795" s="10"/>
      <c r="D2795" s="10"/>
      <c r="E2795" s="10"/>
      <c r="F2795" s="10"/>
      <c r="G2795" s="10"/>
      <c r="H2795" s="10"/>
      <c r="I2795" s="18" t="n">
        <v>2</v>
      </c>
      <c r="J2795" s="18"/>
      <c r="K2795" s="19"/>
      <c r="L2795" s="19"/>
      <c r="M2795" s="18"/>
      <c r="N2795" s="18"/>
      <c r="O2795" s="18"/>
      <c r="P2795" s="19"/>
      <c r="Q2795" s="19"/>
      <c r="R2795" s="18"/>
      <c r="S2795" s="18"/>
      <c r="T2795" s="18"/>
      <c r="U2795" s="20"/>
      <c r="V2795" s="21"/>
      <c r="W2795" s="16"/>
      <c r="X2795" s="16"/>
      <c r="Y2795" s="16"/>
    </row>
    <row r="2796" customFormat="false" ht="15.75" hidden="false" customHeight="false" outlineLevel="0" collapsed="false">
      <c r="A2796" s="9"/>
      <c r="B2796" s="10"/>
      <c r="C2796" s="10"/>
      <c r="D2796" s="10"/>
      <c r="E2796" s="10"/>
      <c r="F2796" s="10"/>
      <c r="G2796" s="10"/>
      <c r="H2796" s="10"/>
      <c r="I2796" s="22" t="n">
        <v>3</v>
      </c>
      <c r="J2796" s="22"/>
      <c r="K2796" s="23"/>
      <c r="L2796" s="23"/>
      <c r="M2796" s="22"/>
      <c r="N2796" s="22"/>
      <c r="O2796" s="22"/>
      <c r="P2796" s="23"/>
      <c r="Q2796" s="23"/>
      <c r="R2796" s="22"/>
      <c r="S2796" s="22"/>
      <c r="T2796" s="22"/>
      <c r="U2796" s="24"/>
      <c r="V2796" s="15"/>
      <c r="W2796" s="16"/>
      <c r="X2796" s="16"/>
      <c r="Y2796" s="16"/>
    </row>
    <row r="2797" customFormat="false" ht="15.75" hidden="false" customHeight="false" outlineLevel="0" collapsed="false">
      <c r="A2797" s="9"/>
      <c r="B2797" s="10"/>
      <c r="C2797" s="10"/>
      <c r="D2797" s="10"/>
      <c r="E2797" s="10"/>
      <c r="F2797" s="10"/>
      <c r="G2797" s="10"/>
      <c r="H2797" s="10"/>
      <c r="I2797" s="25" t="n">
        <v>4</v>
      </c>
      <c r="J2797" s="25"/>
      <c r="K2797" s="26"/>
      <c r="L2797" s="26"/>
      <c r="M2797" s="25"/>
      <c r="N2797" s="25"/>
      <c r="O2797" s="25"/>
      <c r="P2797" s="26"/>
      <c r="Q2797" s="26"/>
      <c r="R2797" s="25"/>
      <c r="S2797" s="25"/>
      <c r="T2797" s="25"/>
      <c r="U2797" s="27"/>
      <c r="V2797" s="21"/>
      <c r="W2797" s="16"/>
      <c r="X2797" s="16"/>
      <c r="Y2797" s="16"/>
    </row>
    <row r="2798" customFormat="false" ht="15.75" hidden="false" customHeight="false" outlineLevel="0" collapsed="false">
      <c r="A2798" s="9"/>
      <c r="B2798" s="10"/>
      <c r="C2798" s="11"/>
      <c r="D2798" s="10"/>
      <c r="E2798" s="10"/>
      <c r="F2798" s="10"/>
      <c r="G2798" s="10"/>
      <c r="H2798" s="10"/>
      <c r="I2798" s="12" t="n">
        <v>1</v>
      </c>
      <c r="J2798" s="12"/>
      <c r="K2798" s="13"/>
      <c r="L2798" s="13"/>
      <c r="M2798" s="12"/>
      <c r="N2798" s="12"/>
      <c r="O2798" s="12"/>
      <c r="P2798" s="13"/>
      <c r="Q2798" s="13"/>
      <c r="R2798" s="12"/>
      <c r="S2798" s="12"/>
      <c r="T2798" s="12"/>
      <c r="U2798" s="14"/>
      <c r="V2798" s="15"/>
      <c r="W2798" s="16" t="n">
        <f aca="false">A2798</f>
        <v>0</v>
      </c>
      <c r="X2798" s="17" t="e">
        <f aca="false">ifs(C2798="","",X2798="",NOW(),TRUE(),X2798)</f>
        <v>#VALUE!</v>
      </c>
      <c r="Y2798" s="17" t="e">
        <f aca="false">ifs(COUNTA(K2798:U2801)&lt;44,"",Y2798="",NOW(),TRUE(),Y2798)</f>
        <v>#VALUE!</v>
      </c>
    </row>
    <row r="2799" customFormat="false" ht="15.75" hidden="false" customHeight="false" outlineLevel="0" collapsed="false">
      <c r="A2799" s="9"/>
      <c r="B2799" s="10"/>
      <c r="C2799" s="10"/>
      <c r="D2799" s="10"/>
      <c r="E2799" s="10"/>
      <c r="F2799" s="10"/>
      <c r="G2799" s="10"/>
      <c r="H2799" s="10"/>
      <c r="I2799" s="18" t="n">
        <v>2</v>
      </c>
      <c r="J2799" s="18"/>
      <c r="K2799" s="19"/>
      <c r="L2799" s="19"/>
      <c r="M2799" s="18"/>
      <c r="N2799" s="18"/>
      <c r="O2799" s="18"/>
      <c r="P2799" s="19"/>
      <c r="Q2799" s="19"/>
      <c r="R2799" s="18"/>
      <c r="S2799" s="18"/>
      <c r="T2799" s="18"/>
      <c r="U2799" s="20"/>
      <c r="V2799" s="21"/>
      <c r="W2799" s="16"/>
      <c r="X2799" s="16"/>
      <c r="Y2799" s="16"/>
    </row>
    <row r="2800" customFormat="false" ht="15.75" hidden="false" customHeight="false" outlineLevel="0" collapsed="false">
      <c r="A2800" s="9"/>
      <c r="B2800" s="10"/>
      <c r="C2800" s="10"/>
      <c r="D2800" s="10"/>
      <c r="E2800" s="10"/>
      <c r="F2800" s="10"/>
      <c r="G2800" s="10"/>
      <c r="H2800" s="10"/>
      <c r="I2800" s="22" t="n">
        <v>3</v>
      </c>
      <c r="J2800" s="22"/>
      <c r="K2800" s="23"/>
      <c r="L2800" s="23"/>
      <c r="M2800" s="22"/>
      <c r="N2800" s="22"/>
      <c r="O2800" s="22"/>
      <c r="P2800" s="23"/>
      <c r="Q2800" s="23"/>
      <c r="R2800" s="22"/>
      <c r="S2800" s="22"/>
      <c r="T2800" s="22"/>
      <c r="U2800" s="24"/>
      <c r="V2800" s="15"/>
      <c r="W2800" s="16"/>
      <c r="X2800" s="16"/>
      <c r="Y2800" s="16"/>
    </row>
    <row r="2801" customFormat="false" ht="15.75" hidden="false" customHeight="false" outlineLevel="0" collapsed="false">
      <c r="A2801" s="9"/>
      <c r="B2801" s="10"/>
      <c r="C2801" s="10"/>
      <c r="D2801" s="10"/>
      <c r="E2801" s="10"/>
      <c r="F2801" s="10"/>
      <c r="G2801" s="10"/>
      <c r="H2801" s="10"/>
      <c r="I2801" s="25" t="n">
        <v>4</v>
      </c>
      <c r="J2801" s="25"/>
      <c r="K2801" s="26"/>
      <c r="L2801" s="26"/>
      <c r="M2801" s="25"/>
      <c r="N2801" s="25"/>
      <c r="O2801" s="25"/>
      <c r="P2801" s="26"/>
      <c r="Q2801" s="26"/>
      <c r="R2801" s="25"/>
      <c r="S2801" s="25"/>
      <c r="T2801" s="25"/>
      <c r="U2801" s="27"/>
      <c r="V2801" s="21"/>
      <c r="W2801" s="16"/>
      <c r="X2801" s="16"/>
      <c r="Y2801" s="16"/>
    </row>
    <row r="2802" customFormat="false" ht="15.75" hidden="false" customHeight="false" outlineLevel="0" collapsed="false">
      <c r="A2802" s="9"/>
      <c r="B2802" s="10"/>
      <c r="C2802" s="11"/>
      <c r="D2802" s="10"/>
      <c r="E2802" s="10"/>
      <c r="F2802" s="10"/>
      <c r="G2802" s="10"/>
      <c r="H2802" s="10"/>
      <c r="I2802" s="12" t="n">
        <v>1</v>
      </c>
      <c r="J2802" s="12"/>
      <c r="K2802" s="13"/>
      <c r="L2802" s="13"/>
      <c r="M2802" s="12"/>
      <c r="N2802" s="12"/>
      <c r="O2802" s="12"/>
      <c r="P2802" s="13"/>
      <c r="Q2802" s="13"/>
      <c r="R2802" s="12"/>
      <c r="S2802" s="12"/>
      <c r="T2802" s="12"/>
      <c r="U2802" s="14"/>
      <c r="V2802" s="15"/>
      <c r="W2802" s="16" t="n">
        <f aca="false">A2802</f>
        <v>0</v>
      </c>
      <c r="X2802" s="17" t="e">
        <f aca="false">ifs(C2802="","",X2802="",NOW(),TRUE(),X2802)</f>
        <v>#VALUE!</v>
      </c>
      <c r="Y2802" s="17" t="e">
        <f aca="false">ifs(COUNTA(K2802:U2805)&lt;44,"",Y2802="",NOW(),TRUE(),Y2802)</f>
        <v>#VALUE!</v>
      </c>
    </row>
    <row r="2803" customFormat="false" ht="15.75" hidden="false" customHeight="false" outlineLevel="0" collapsed="false">
      <c r="A2803" s="9"/>
      <c r="B2803" s="10"/>
      <c r="C2803" s="10"/>
      <c r="D2803" s="10"/>
      <c r="E2803" s="10"/>
      <c r="F2803" s="10"/>
      <c r="G2803" s="10"/>
      <c r="H2803" s="10"/>
      <c r="I2803" s="18" t="n">
        <v>2</v>
      </c>
      <c r="J2803" s="18"/>
      <c r="K2803" s="19"/>
      <c r="L2803" s="19"/>
      <c r="M2803" s="18"/>
      <c r="N2803" s="18"/>
      <c r="O2803" s="18"/>
      <c r="P2803" s="19"/>
      <c r="Q2803" s="19"/>
      <c r="R2803" s="18"/>
      <c r="S2803" s="18"/>
      <c r="T2803" s="18"/>
      <c r="U2803" s="20"/>
      <c r="V2803" s="21"/>
      <c r="W2803" s="16"/>
      <c r="X2803" s="16"/>
      <c r="Y2803" s="16"/>
    </row>
    <row r="2804" customFormat="false" ht="15.75" hidden="false" customHeight="false" outlineLevel="0" collapsed="false">
      <c r="A2804" s="9"/>
      <c r="B2804" s="10"/>
      <c r="C2804" s="10"/>
      <c r="D2804" s="10"/>
      <c r="E2804" s="10"/>
      <c r="F2804" s="10"/>
      <c r="G2804" s="10"/>
      <c r="H2804" s="10"/>
      <c r="I2804" s="22" t="n">
        <v>3</v>
      </c>
      <c r="J2804" s="22"/>
      <c r="K2804" s="23"/>
      <c r="L2804" s="23"/>
      <c r="M2804" s="22"/>
      <c r="N2804" s="22"/>
      <c r="O2804" s="22"/>
      <c r="P2804" s="23"/>
      <c r="Q2804" s="23"/>
      <c r="R2804" s="22"/>
      <c r="S2804" s="22"/>
      <c r="T2804" s="22"/>
      <c r="U2804" s="24"/>
      <c r="V2804" s="15"/>
      <c r="W2804" s="16"/>
      <c r="X2804" s="16"/>
      <c r="Y2804" s="16"/>
    </row>
    <row r="2805" customFormat="false" ht="15.75" hidden="false" customHeight="false" outlineLevel="0" collapsed="false">
      <c r="A2805" s="9"/>
      <c r="B2805" s="10"/>
      <c r="C2805" s="10"/>
      <c r="D2805" s="10"/>
      <c r="E2805" s="10"/>
      <c r="F2805" s="10"/>
      <c r="G2805" s="10"/>
      <c r="H2805" s="10"/>
      <c r="I2805" s="25" t="n">
        <v>4</v>
      </c>
      <c r="J2805" s="25"/>
      <c r="K2805" s="26"/>
      <c r="L2805" s="26"/>
      <c r="M2805" s="25"/>
      <c r="N2805" s="25"/>
      <c r="O2805" s="25"/>
      <c r="P2805" s="26"/>
      <c r="Q2805" s="26"/>
      <c r="R2805" s="25"/>
      <c r="S2805" s="25"/>
      <c r="T2805" s="25"/>
      <c r="U2805" s="27"/>
      <c r="V2805" s="21"/>
      <c r="W2805" s="16"/>
      <c r="X2805" s="16"/>
      <c r="Y2805" s="16"/>
    </row>
    <row r="2806" customFormat="false" ht="15.75" hidden="false" customHeight="false" outlineLevel="0" collapsed="false">
      <c r="A2806" s="9"/>
      <c r="B2806" s="10"/>
      <c r="C2806" s="11"/>
      <c r="D2806" s="10"/>
      <c r="E2806" s="10"/>
      <c r="F2806" s="10"/>
      <c r="G2806" s="10"/>
      <c r="H2806" s="10"/>
      <c r="I2806" s="12" t="n">
        <v>1</v>
      </c>
      <c r="J2806" s="12"/>
      <c r="K2806" s="13"/>
      <c r="L2806" s="13"/>
      <c r="M2806" s="12"/>
      <c r="N2806" s="12"/>
      <c r="O2806" s="12"/>
      <c r="P2806" s="13"/>
      <c r="Q2806" s="13"/>
      <c r="R2806" s="12"/>
      <c r="S2806" s="12"/>
      <c r="T2806" s="12"/>
      <c r="U2806" s="14"/>
      <c r="V2806" s="15"/>
      <c r="W2806" s="16" t="n">
        <f aca="false">A2806</f>
        <v>0</v>
      </c>
      <c r="X2806" s="17" t="e">
        <f aca="false">ifs(C2806="","",X2806="",NOW(),TRUE(),X2806)</f>
        <v>#VALUE!</v>
      </c>
      <c r="Y2806" s="17" t="e">
        <f aca="false">ifs(COUNTA(K2806:U2809)&lt;44,"",Y2806="",NOW(),TRUE(),Y2806)</f>
        <v>#VALUE!</v>
      </c>
    </row>
    <row r="2807" customFormat="false" ht="15.75" hidden="false" customHeight="false" outlineLevel="0" collapsed="false">
      <c r="A2807" s="9"/>
      <c r="B2807" s="10"/>
      <c r="C2807" s="10"/>
      <c r="D2807" s="10"/>
      <c r="E2807" s="10"/>
      <c r="F2807" s="10"/>
      <c r="G2807" s="10"/>
      <c r="H2807" s="10"/>
      <c r="I2807" s="18" t="n">
        <v>2</v>
      </c>
      <c r="J2807" s="18"/>
      <c r="K2807" s="19"/>
      <c r="L2807" s="19"/>
      <c r="M2807" s="18"/>
      <c r="N2807" s="18"/>
      <c r="O2807" s="18"/>
      <c r="P2807" s="19"/>
      <c r="Q2807" s="19"/>
      <c r="R2807" s="18"/>
      <c r="S2807" s="18"/>
      <c r="T2807" s="18"/>
      <c r="U2807" s="20"/>
      <c r="V2807" s="21"/>
      <c r="W2807" s="16"/>
      <c r="X2807" s="16"/>
      <c r="Y2807" s="16"/>
    </row>
    <row r="2808" customFormat="false" ht="15.75" hidden="false" customHeight="false" outlineLevel="0" collapsed="false">
      <c r="A2808" s="9"/>
      <c r="B2808" s="10"/>
      <c r="C2808" s="10"/>
      <c r="D2808" s="10"/>
      <c r="E2808" s="10"/>
      <c r="F2808" s="10"/>
      <c r="G2808" s="10"/>
      <c r="H2808" s="10"/>
      <c r="I2808" s="22" t="n">
        <v>3</v>
      </c>
      <c r="J2808" s="22"/>
      <c r="K2808" s="23"/>
      <c r="L2808" s="23"/>
      <c r="M2808" s="22"/>
      <c r="N2808" s="22"/>
      <c r="O2808" s="22"/>
      <c r="P2808" s="23"/>
      <c r="Q2808" s="23"/>
      <c r="R2808" s="22"/>
      <c r="S2808" s="22"/>
      <c r="T2808" s="22"/>
      <c r="U2808" s="24"/>
      <c r="V2808" s="15"/>
      <c r="W2808" s="16"/>
      <c r="X2808" s="16"/>
      <c r="Y2808" s="16"/>
    </row>
    <row r="2809" customFormat="false" ht="15.75" hidden="false" customHeight="false" outlineLevel="0" collapsed="false">
      <c r="A2809" s="9"/>
      <c r="B2809" s="10"/>
      <c r="C2809" s="10"/>
      <c r="D2809" s="10"/>
      <c r="E2809" s="10"/>
      <c r="F2809" s="10"/>
      <c r="G2809" s="10"/>
      <c r="H2809" s="10"/>
      <c r="I2809" s="25" t="n">
        <v>4</v>
      </c>
      <c r="J2809" s="25"/>
      <c r="K2809" s="26"/>
      <c r="L2809" s="26"/>
      <c r="M2809" s="25"/>
      <c r="N2809" s="25"/>
      <c r="O2809" s="25"/>
      <c r="P2809" s="26"/>
      <c r="Q2809" s="26"/>
      <c r="R2809" s="25"/>
      <c r="S2809" s="25"/>
      <c r="T2809" s="25"/>
      <c r="U2809" s="27"/>
      <c r="V2809" s="21"/>
      <c r="W2809" s="16"/>
      <c r="X2809" s="16"/>
      <c r="Y2809" s="16"/>
    </row>
    <row r="2810" customFormat="false" ht="15.75" hidden="false" customHeight="false" outlineLevel="0" collapsed="false">
      <c r="A2810" s="9"/>
      <c r="B2810" s="10"/>
      <c r="C2810" s="11"/>
      <c r="D2810" s="10"/>
      <c r="E2810" s="10"/>
      <c r="F2810" s="10"/>
      <c r="G2810" s="10"/>
      <c r="H2810" s="10"/>
      <c r="I2810" s="12" t="n">
        <v>1</v>
      </c>
      <c r="J2810" s="12"/>
      <c r="K2810" s="13"/>
      <c r="L2810" s="13"/>
      <c r="M2810" s="12"/>
      <c r="N2810" s="12"/>
      <c r="O2810" s="12"/>
      <c r="P2810" s="13"/>
      <c r="Q2810" s="13"/>
      <c r="R2810" s="12"/>
      <c r="S2810" s="12"/>
      <c r="T2810" s="12"/>
      <c r="U2810" s="14"/>
      <c r="V2810" s="15"/>
      <c r="W2810" s="16" t="n">
        <f aca="false">A2810</f>
        <v>0</v>
      </c>
      <c r="X2810" s="17" t="e">
        <f aca="false">ifs(C2810="","",X2810="",NOW(),TRUE(),X2810)</f>
        <v>#VALUE!</v>
      </c>
      <c r="Y2810" s="17" t="e">
        <f aca="false">ifs(COUNTA(K2810:U2813)&lt;44,"",Y2810="",NOW(),TRUE(),Y2810)</f>
        <v>#VALUE!</v>
      </c>
    </row>
    <row r="2811" customFormat="false" ht="15.75" hidden="false" customHeight="false" outlineLevel="0" collapsed="false">
      <c r="A2811" s="9"/>
      <c r="B2811" s="10"/>
      <c r="C2811" s="10"/>
      <c r="D2811" s="10"/>
      <c r="E2811" s="10"/>
      <c r="F2811" s="10"/>
      <c r="G2811" s="10"/>
      <c r="H2811" s="10"/>
      <c r="I2811" s="18" t="n">
        <v>2</v>
      </c>
      <c r="J2811" s="18"/>
      <c r="K2811" s="19"/>
      <c r="L2811" s="19"/>
      <c r="M2811" s="18"/>
      <c r="N2811" s="18"/>
      <c r="O2811" s="18"/>
      <c r="P2811" s="19"/>
      <c r="Q2811" s="19"/>
      <c r="R2811" s="18"/>
      <c r="S2811" s="18"/>
      <c r="T2811" s="18"/>
      <c r="U2811" s="20"/>
      <c r="V2811" s="21"/>
      <c r="W2811" s="16"/>
      <c r="X2811" s="16"/>
      <c r="Y2811" s="16"/>
    </row>
    <row r="2812" customFormat="false" ht="15.75" hidden="false" customHeight="false" outlineLevel="0" collapsed="false">
      <c r="A2812" s="9"/>
      <c r="B2812" s="10"/>
      <c r="C2812" s="10"/>
      <c r="D2812" s="10"/>
      <c r="E2812" s="10"/>
      <c r="F2812" s="10"/>
      <c r="G2812" s="10"/>
      <c r="H2812" s="10"/>
      <c r="I2812" s="22" t="n">
        <v>3</v>
      </c>
      <c r="J2812" s="22"/>
      <c r="K2812" s="23"/>
      <c r="L2812" s="23"/>
      <c r="M2812" s="22"/>
      <c r="N2812" s="22"/>
      <c r="O2812" s="22"/>
      <c r="P2812" s="23"/>
      <c r="Q2812" s="23"/>
      <c r="R2812" s="22"/>
      <c r="S2812" s="22"/>
      <c r="T2812" s="22"/>
      <c r="U2812" s="24"/>
      <c r="V2812" s="15"/>
      <c r="W2812" s="16"/>
      <c r="X2812" s="16"/>
      <c r="Y2812" s="16"/>
    </row>
    <row r="2813" customFormat="false" ht="15.75" hidden="false" customHeight="false" outlineLevel="0" collapsed="false">
      <c r="A2813" s="9"/>
      <c r="B2813" s="10"/>
      <c r="C2813" s="10"/>
      <c r="D2813" s="10"/>
      <c r="E2813" s="10"/>
      <c r="F2813" s="10"/>
      <c r="G2813" s="10"/>
      <c r="H2813" s="10"/>
      <c r="I2813" s="25" t="n">
        <v>4</v>
      </c>
      <c r="J2813" s="25"/>
      <c r="K2813" s="26"/>
      <c r="L2813" s="26"/>
      <c r="M2813" s="25"/>
      <c r="N2813" s="25"/>
      <c r="O2813" s="25"/>
      <c r="P2813" s="26"/>
      <c r="Q2813" s="26"/>
      <c r="R2813" s="25"/>
      <c r="S2813" s="25"/>
      <c r="T2813" s="25"/>
      <c r="U2813" s="27"/>
      <c r="V2813" s="21"/>
      <c r="W2813" s="16"/>
      <c r="X2813" s="16"/>
      <c r="Y2813" s="16"/>
    </row>
    <row r="2814" customFormat="false" ht="15.75" hidden="false" customHeight="false" outlineLevel="0" collapsed="false">
      <c r="A2814" s="9"/>
      <c r="B2814" s="10"/>
      <c r="C2814" s="11"/>
      <c r="D2814" s="10"/>
      <c r="E2814" s="10"/>
      <c r="F2814" s="10"/>
      <c r="G2814" s="10"/>
      <c r="H2814" s="10"/>
      <c r="I2814" s="12" t="n">
        <v>1</v>
      </c>
      <c r="J2814" s="12"/>
      <c r="K2814" s="13"/>
      <c r="L2814" s="13"/>
      <c r="M2814" s="12"/>
      <c r="N2814" s="12"/>
      <c r="O2814" s="12"/>
      <c r="P2814" s="13"/>
      <c r="Q2814" s="13"/>
      <c r="R2814" s="12"/>
      <c r="S2814" s="12"/>
      <c r="T2814" s="12"/>
      <c r="U2814" s="14"/>
      <c r="V2814" s="15"/>
      <c r="W2814" s="16" t="n">
        <f aca="false">A2814</f>
        <v>0</v>
      </c>
      <c r="X2814" s="17" t="e">
        <f aca="false">ifs(C2814="","",X2814="",NOW(),TRUE(),X2814)</f>
        <v>#VALUE!</v>
      </c>
      <c r="Y2814" s="17" t="e">
        <f aca="false">ifs(COUNTA(K2814:U2817)&lt;44,"",Y2814="",NOW(),TRUE(),Y2814)</f>
        <v>#VALUE!</v>
      </c>
    </row>
    <row r="2815" customFormat="false" ht="15.75" hidden="false" customHeight="false" outlineLevel="0" collapsed="false">
      <c r="A2815" s="9"/>
      <c r="B2815" s="10"/>
      <c r="C2815" s="10"/>
      <c r="D2815" s="10"/>
      <c r="E2815" s="10"/>
      <c r="F2815" s="10"/>
      <c r="G2815" s="10"/>
      <c r="H2815" s="10"/>
      <c r="I2815" s="18" t="n">
        <v>2</v>
      </c>
      <c r="J2815" s="18"/>
      <c r="K2815" s="19"/>
      <c r="L2815" s="19"/>
      <c r="M2815" s="18"/>
      <c r="N2815" s="18"/>
      <c r="O2815" s="18"/>
      <c r="P2815" s="19"/>
      <c r="Q2815" s="19"/>
      <c r="R2815" s="18"/>
      <c r="S2815" s="18"/>
      <c r="T2815" s="18"/>
      <c r="U2815" s="20"/>
      <c r="V2815" s="21"/>
      <c r="W2815" s="16"/>
      <c r="X2815" s="16"/>
      <c r="Y2815" s="16"/>
    </row>
    <row r="2816" customFormat="false" ht="15.75" hidden="false" customHeight="false" outlineLevel="0" collapsed="false">
      <c r="A2816" s="9"/>
      <c r="B2816" s="10"/>
      <c r="C2816" s="10"/>
      <c r="D2816" s="10"/>
      <c r="E2816" s="10"/>
      <c r="F2816" s="10"/>
      <c r="G2816" s="10"/>
      <c r="H2816" s="10"/>
      <c r="I2816" s="22" t="n">
        <v>3</v>
      </c>
      <c r="J2816" s="22"/>
      <c r="K2816" s="23"/>
      <c r="L2816" s="23"/>
      <c r="M2816" s="22"/>
      <c r="N2816" s="22"/>
      <c r="O2816" s="22"/>
      <c r="P2816" s="23"/>
      <c r="Q2816" s="23"/>
      <c r="R2816" s="22"/>
      <c r="S2816" s="22"/>
      <c r="T2816" s="22"/>
      <c r="U2816" s="24"/>
      <c r="V2816" s="15"/>
      <c r="W2816" s="16"/>
      <c r="X2816" s="16"/>
      <c r="Y2816" s="16"/>
    </row>
    <row r="2817" customFormat="false" ht="15.75" hidden="false" customHeight="false" outlineLevel="0" collapsed="false">
      <c r="A2817" s="9"/>
      <c r="B2817" s="10"/>
      <c r="C2817" s="10"/>
      <c r="D2817" s="10"/>
      <c r="E2817" s="10"/>
      <c r="F2817" s="10"/>
      <c r="G2817" s="10"/>
      <c r="H2817" s="10"/>
      <c r="I2817" s="25" t="n">
        <v>4</v>
      </c>
      <c r="J2817" s="25"/>
      <c r="K2817" s="26"/>
      <c r="L2817" s="26"/>
      <c r="M2817" s="25"/>
      <c r="N2817" s="25"/>
      <c r="O2817" s="25"/>
      <c r="P2817" s="26"/>
      <c r="Q2817" s="26"/>
      <c r="R2817" s="25"/>
      <c r="S2817" s="25"/>
      <c r="T2817" s="25"/>
      <c r="U2817" s="27"/>
      <c r="V2817" s="21"/>
      <c r="W2817" s="16"/>
      <c r="X2817" s="16"/>
      <c r="Y2817" s="16"/>
    </row>
    <row r="2818" customFormat="false" ht="15.75" hidden="false" customHeight="false" outlineLevel="0" collapsed="false">
      <c r="A2818" s="9"/>
      <c r="B2818" s="10"/>
      <c r="C2818" s="11"/>
      <c r="D2818" s="10"/>
      <c r="E2818" s="10"/>
      <c r="F2818" s="10"/>
      <c r="G2818" s="10"/>
      <c r="H2818" s="10"/>
      <c r="I2818" s="12" t="n">
        <v>1</v>
      </c>
      <c r="J2818" s="12"/>
      <c r="K2818" s="13"/>
      <c r="L2818" s="13"/>
      <c r="M2818" s="12"/>
      <c r="N2818" s="12"/>
      <c r="O2818" s="12"/>
      <c r="P2818" s="13"/>
      <c r="Q2818" s="13"/>
      <c r="R2818" s="12"/>
      <c r="S2818" s="12"/>
      <c r="T2818" s="12"/>
      <c r="U2818" s="14"/>
      <c r="V2818" s="15"/>
      <c r="W2818" s="16" t="n">
        <f aca="false">A2818</f>
        <v>0</v>
      </c>
      <c r="X2818" s="17" t="e">
        <f aca="false">ifs(C2818="","",X2818="",NOW(),TRUE(),X2818)</f>
        <v>#VALUE!</v>
      </c>
      <c r="Y2818" s="17" t="e">
        <f aca="false">ifs(COUNTA(K2818:U2821)&lt;44,"",Y2818="",NOW(),TRUE(),Y2818)</f>
        <v>#VALUE!</v>
      </c>
    </row>
    <row r="2819" customFormat="false" ht="15.75" hidden="false" customHeight="false" outlineLevel="0" collapsed="false">
      <c r="A2819" s="9"/>
      <c r="B2819" s="10"/>
      <c r="C2819" s="10"/>
      <c r="D2819" s="10"/>
      <c r="E2819" s="10"/>
      <c r="F2819" s="10"/>
      <c r="G2819" s="10"/>
      <c r="H2819" s="10"/>
      <c r="I2819" s="18" t="n">
        <v>2</v>
      </c>
      <c r="J2819" s="18"/>
      <c r="K2819" s="19"/>
      <c r="L2819" s="19"/>
      <c r="M2819" s="18"/>
      <c r="N2819" s="18"/>
      <c r="O2819" s="18"/>
      <c r="P2819" s="19"/>
      <c r="Q2819" s="19"/>
      <c r="R2819" s="18"/>
      <c r="S2819" s="18"/>
      <c r="T2819" s="18"/>
      <c r="U2819" s="20"/>
      <c r="V2819" s="21"/>
      <c r="W2819" s="16"/>
      <c r="X2819" s="16"/>
      <c r="Y2819" s="16"/>
    </row>
    <row r="2820" customFormat="false" ht="15.75" hidden="false" customHeight="false" outlineLevel="0" collapsed="false">
      <c r="A2820" s="9"/>
      <c r="B2820" s="10"/>
      <c r="C2820" s="10"/>
      <c r="D2820" s="10"/>
      <c r="E2820" s="10"/>
      <c r="F2820" s="10"/>
      <c r="G2820" s="10"/>
      <c r="H2820" s="10"/>
      <c r="I2820" s="22" t="n">
        <v>3</v>
      </c>
      <c r="J2820" s="22"/>
      <c r="K2820" s="23"/>
      <c r="L2820" s="23"/>
      <c r="M2820" s="22"/>
      <c r="N2820" s="22"/>
      <c r="O2820" s="22"/>
      <c r="P2820" s="23"/>
      <c r="Q2820" s="23"/>
      <c r="R2820" s="22"/>
      <c r="S2820" s="22"/>
      <c r="T2820" s="22"/>
      <c r="U2820" s="24"/>
      <c r="V2820" s="15"/>
      <c r="W2820" s="16"/>
      <c r="X2820" s="16"/>
      <c r="Y2820" s="16"/>
    </row>
    <row r="2821" customFormat="false" ht="15.75" hidden="false" customHeight="false" outlineLevel="0" collapsed="false">
      <c r="A2821" s="9"/>
      <c r="B2821" s="10"/>
      <c r="C2821" s="10"/>
      <c r="D2821" s="10"/>
      <c r="E2821" s="10"/>
      <c r="F2821" s="10"/>
      <c r="G2821" s="10"/>
      <c r="H2821" s="10"/>
      <c r="I2821" s="25" t="n">
        <v>4</v>
      </c>
      <c r="J2821" s="25"/>
      <c r="K2821" s="26"/>
      <c r="L2821" s="26"/>
      <c r="M2821" s="25"/>
      <c r="N2821" s="25"/>
      <c r="O2821" s="25"/>
      <c r="P2821" s="26"/>
      <c r="Q2821" s="26"/>
      <c r="R2821" s="25"/>
      <c r="S2821" s="25"/>
      <c r="T2821" s="25"/>
      <c r="U2821" s="27"/>
      <c r="V2821" s="21"/>
      <c r="W2821" s="16"/>
      <c r="X2821" s="16"/>
      <c r="Y2821" s="16"/>
    </row>
    <row r="2822" customFormat="false" ht="15.75" hidden="false" customHeight="false" outlineLevel="0" collapsed="false">
      <c r="A2822" s="9"/>
      <c r="B2822" s="10"/>
      <c r="C2822" s="11"/>
      <c r="D2822" s="10"/>
      <c r="E2822" s="10"/>
      <c r="F2822" s="10"/>
      <c r="G2822" s="10"/>
      <c r="H2822" s="10"/>
      <c r="I2822" s="12" t="n">
        <v>1</v>
      </c>
      <c r="J2822" s="12"/>
      <c r="K2822" s="13"/>
      <c r="L2822" s="13"/>
      <c r="M2822" s="12"/>
      <c r="N2822" s="12"/>
      <c r="O2822" s="12"/>
      <c r="P2822" s="13"/>
      <c r="Q2822" s="13"/>
      <c r="R2822" s="12"/>
      <c r="S2822" s="12"/>
      <c r="T2822" s="12"/>
      <c r="U2822" s="14"/>
      <c r="V2822" s="15"/>
      <c r="W2822" s="16" t="n">
        <f aca="false">A2822</f>
        <v>0</v>
      </c>
      <c r="X2822" s="17" t="e">
        <f aca="false">ifs(C2822="","",X2822="",NOW(),TRUE(),X2822)</f>
        <v>#VALUE!</v>
      </c>
      <c r="Y2822" s="17" t="e">
        <f aca="false">ifs(COUNTA(K2822:U2825)&lt;44,"",Y2822="",NOW(),TRUE(),Y2822)</f>
        <v>#VALUE!</v>
      </c>
    </row>
    <row r="2823" customFormat="false" ht="15.75" hidden="false" customHeight="false" outlineLevel="0" collapsed="false">
      <c r="A2823" s="9"/>
      <c r="B2823" s="10"/>
      <c r="C2823" s="10"/>
      <c r="D2823" s="10"/>
      <c r="E2823" s="10"/>
      <c r="F2823" s="10"/>
      <c r="G2823" s="10"/>
      <c r="H2823" s="10"/>
      <c r="I2823" s="18" t="n">
        <v>2</v>
      </c>
      <c r="J2823" s="18"/>
      <c r="K2823" s="19"/>
      <c r="L2823" s="19"/>
      <c r="M2823" s="18"/>
      <c r="N2823" s="18"/>
      <c r="O2823" s="18"/>
      <c r="P2823" s="19"/>
      <c r="Q2823" s="19"/>
      <c r="R2823" s="18"/>
      <c r="S2823" s="18"/>
      <c r="T2823" s="18"/>
      <c r="U2823" s="20"/>
      <c r="V2823" s="21"/>
      <c r="W2823" s="16"/>
      <c r="X2823" s="16"/>
      <c r="Y2823" s="16"/>
    </row>
    <row r="2824" customFormat="false" ht="15.75" hidden="false" customHeight="false" outlineLevel="0" collapsed="false">
      <c r="A2824" s="9"/>
      <c r="B2824" s="10"/>
      <c r="C2824" s="10"/>
      <c r="D2824" s="10"/>
      <c r="E2824" s="10"/>
      <c r="F2824" s="10"/>
      <c r="G2824" s="10"/>
      <c r="H2824" s="10"/>
      <c r="I2824" s="22" t="n">
        <v>3</v>
      </c>
      <c r="J2824" s="22"/>
      <c r="K2824" s="23"/>
      <c r="L2824" s="23"/>
      <c r="M2824" s="22"/>
      <c r="N2824" s="22"/>
      <c r="O2824" s="22"/>
      <c r="P2824" s="23"/>
      <c r="Q2824" s="23"/>
      <c r="R2824" s="22"/>
      <c r="S2824" s="22"/>
      <c r="T2824" s="22"/>
      <c r="U2824" s="24"/>
      <c r="V2824" s="15"/>
      <c r="W2824" s="16"/>
      <c r="X2824" s="16"/>
      <c r="Y2824" s="16"/>
    </row>
    <row r="2825" customFormat="false" ht="15.75" hidden="false" customHeight="false" outlineLevel="0" collapsed="false">
      <c r="A2825" s="9"/>
      <c r="B2825" s="10"/>
      <c r="C2825" s="10"/>
      <c r="D2825" s="10"/>
      <c r="E2825" s="10"/>
      <c r="F2825" s="10"/>
      <c r="G2825" s="10"/>
      <c r="H2825" s="10"/>
      <c r="I2825" s="25" t="n">
        <v>4</v>
      </c>
      <c r="J2825" s="25"/>
      <c r="K2825" s="26"/>
      <c r="L2825" s="26"/>
      <c r="M2825" s="25"/>
      <c r="N2825" s="25"/>
      <c r="O2825" s="25"/>
      <c r="P2825" s="26"/>
      <c r="Q2825" s="26"/>
      <c r="R2825" s="25"/>
      <c r="S2825" s="25"/>
      <c r="T2825" s="25"/>
      <c r="U2825" s="27"/>
      <c r="V2825" s="21"/>
      <c r="W2825" s="16"/>
      <c r="X2825" s="16"/>
      <c r="Y2825" s="16"/>
    </row>
    <row r="2826" customFormat="false" ht="15.75" hidden="false" customHeight="false" outlineLevel="0" collapsed="false">
      <c r="A2826" s="9"/>
      <c r="B2826" s="10"/>
      <c r="C2826" s="11"/>
      <c r="D2826" s="10"/>
      <c r="E2826" s="10"/>
      <c r="F2826" s="10"/>
      <c r="G2826" s="10"/>
      <c r="H2826" s="10"/>
      <c r="I2826" s="12" t="n">
        <v>1</v>
      </c>
      <c r="J2826" s="12"/>
      <c r="K2826" s="13"/>
      <c r="L2826" s="13"/>
      <c r="M2826" s="12"/>
      <c r="N2826" s="12"/>
      <c r="O2826" s="12"/>
      <c r="P2826" s="13"/>
      <c r="Q2826" s="13"/>
      <c r="R2826" s="12"/>
      <c r="S2826" s="12"/>
      <c r="T2826" s="12"/>
      <c r="U2826" s="14"/>
      <c r="V2826" s="15"/>
      <c r="W2826" s="16" t="n">
        <f aca="false">A2826</f>
        <v>0</v>
      </c>
      <c r="X2826" s="17" t="e">
        <f aca="false">ifs(C2826="","",X2826="",NOW(),TRUE(),X2826)</f>
        <v>#VALUE!</v>
      </c>
      <c r="Y2826" s="17" t="e">
        <f aca="false">ifs(COUNTA(K2826:U2829)&lt;44,"",Y2826="",NOW(),TRUE(),Y2826)</f>
        <v>#VALUE!</v>
      </c>
    </row>
    <row r="2827" customFormat="false" ht="15.75" hidden="false" customHeight="false" outlineLevel="0" collapsed="false">
      <c r="A2827" s="9"/>
      <c r="B2827" s="10"/>
      <c r="C2827" s="10"/>
      <c r="D2827" s="10"/>
      <c r="E2827" s="10"/>
      <c r="F2827" s="10"/>
      <c r="G2827" s="10"/>
      <c r="H2827" s="10"/>
      <c r="I2827" s="18" t="n">
        <v>2</v>
      </c>
      <c r="J2827" s="18"/>
      <c r="K2827" s="19"/>
      <c r="L2827" s="19"/>
      <c r="M2827" s="18"/>
      <c r="N2827" s="18"/>
      <c r="O2827" s="18"/>
      <c r="P2827" s="19"/>
      <c r="Q2827" s="19"/>
      <c r="R2827" s="18"/>
      <c r="S2827" s="18"/>
      <c r="T2827" s="18"/>
      <c r="U2827" s="20"/>
      <c r="V2827" s="21"/>
      <c r="W2827" s="16"/>
      <c r="X2827" s="16"/>
      <c r="Y2827" s="16"/>
    </row>
    <row r="2828" customFormat="false" ht="15.75" hidden="false" customHeight="false" outlineLevel="0" collapsed="false">
      <c r="A2828" s="9"/>
      <c r="B2828" s="10"/>
      <c r="C2828" s="10"/>
      <c r="D2828" s="10"/>
      <c r="E2828" s="10"/>
      <c r="F2828" s="10"/>
      <c r="G2828" s="10"/>
      <c r="H2828" s="10"/>
      <c r="I2828" s="22" t="n">
        <v>3</v>
      </c>
      <c r="J2828" s="22"/>
      <c r="K2828" s="23"/>
      <c r="L2828" s="23"/>
      <c r="M2828" s="22"/>
      <c r="N2828" s="22"/>
      <c r="O2828" s="22"/>
      <c r="P2828" s="23"/>
      <c r="Q2828" s="23"/>
      <c r="R2828" s="22"/>
      <c r="S2828" s="22"/>
      <c r="T2828" s="22"/>
      <c r="U2828" s="24"/>
      <c r="V2828" s="15"/>
      <c r="W2828" s="16"/>
      <c r="X2828" s="16"/>
      <c r="Y2828" s="16"/>
    </row>
    <row r="2829" customFormat="false" ht="15.75" hidden="false" customHeight="false" outlineLevel="0" collapsed="false">
      <c r="A2829" s="9"/>
      <c r="B2829" s="10"/>
      <c r="C2829" s="10"/>
      <c r="D2829" s="10"/>
      <c r="E2829" s="10"/>
      <c r="F2829" s="10"/>
      <c r="G2829" s="10"/>
      <c r="H2829" s="10"/>
      <c r="I2829" s="25" t="n">
        <v>4</v>
      </c>
      <c r="J2829" s="25"/>
      <c r="K2829" s="26"/>
      <c r="L2829" s="26"/>
      <c r="M2829" s="25"/>
      <c r="N2829" s="25"/>
      <c r="O2829" s="25"/>
      <c r="P2829" s="26"/>
      <c r="Q2829" s="26"/>
      <c r="R2829" s="25"/>
      <c r="S2829" s="25"/>
      <c r="T2829" s="25"/>
      <c r="U2829" s="27"/>
      <c r="V2829" s="21"/>
      <c r="W2829" s="16"/>
      <c r="X2829" s="16"/>
      <c r="Y2829" s="16"/>
    </row>
    <row r="2830" customFormat="false" ht="15.75" hidden="false" customHeight="false" outlineLevel="0" collapsed="false">
      <c r="A2830" s="9"/>
      <c r="B2830" s="10"/>
      <c r="C2830" s="11"/>
      <c r="D2830" s="10"/>
      <c r="E2830" s="10"/>
      <c r="F2830" s="10"/>
      <c r="G2830" s="10"/>
      <c r="H2830" s="10"/>
      <c r="I2830" s="12" t="n">
        <v>1</v>
      </c>
      <c r="J2830" s="12"/>
      <c r="K2830" s="13"/>
      <c r="L2830" s="13"/>
      <c r="M2830" s="12"/>
      <c r="N2830" s="12"/>
      <c r="O2830" s="12"/>
      <c r="P2830" s="13"/>
      <c r="Q2830" s="13"/>
      <c r="R2830" s="12"/>
      <c r="S2830" s="12"/>
      <c r="T2830" s="12"/>
      <c r="U2830" s="14"/>
      <c r="V2830" s="15"/>
      <c r="W2830" s="16" t="n">
        <f aca="false">A2830</f>
        <v>0</v>
      </c>
      <c r="X2830" s="17" t="e">
        <f aca="false">ifs(C2830="","",X2830="",NOW(),TRUE(),X2830)</f>
        <v>#VALUE!</v>
      </c>
      <c r="Y2830" s="17" t="e">
        <f aca="false">ifs(COUNTA(K2830:U2833)&lt;44,"",Y2830="",NOW(),TRUE(),Y2830)</f>
        <v>#VALUE!</v>
      </c>
    </row>
    <row r="2831" customFormat="false" ht="15.75" hidden="false" customHeight="false" outlineLevel="0" collapsed="false">
      <c r="A2831" s="9"/>
      <c r="B2831" s="10"/>
      <c r="C2831" s="10"/>
      <c r="D2831" s="10"/>
      <c r="E2831" s="10"/>
      <c r="F2831" s="10"/>
      <c r="G2831" s="10"/>
      <c r="H2831" s="10"/>
      <c r="I2831" s="18" t="n">
        <v>2</v>
      </c>
      <c r="J2831" s="18"/>
      <c r="K2831" s="19"/>
      <c r="L2831" s="19"/>
      <c r="M2831" s="18"/>
      <c r="N2831" s="18"/>
      <c r="O2831" s="18"/>
      <c r="P2831" s="19"/>
      <c r="Q2831" s="19"/>
      <c r="R2831" s="18"/>
      <c r="S2831" s="18"/>
      <c r="T2831" s="18"/>
      <c r="U2831" s="20"/>
      <c r="V2831" s="21"/>
      <c r="W2831" s="16"/>
      <c r="X2831" s="16"/>
      <c r="Y2831" s="16"/>
    </row>
    <row r="2832" customFormat="false" ht="15.75" hidden="false" customHeight="false" outlineLevel="0" collapsed="false">
      <c r="A2832" s="9"/>
      <c r="B2832" s="10"/>
      <c r="C2832" s="10"/>
      <c r="D2832" s="10"/>
      <c r="E2832" s="10"/>
      <c r="F2832" s="10"/>
      <c r="G2832" s="10"/>
      <c r="H2832" s="10"/>
      <c r="I2832" s="22" t="n">
        <v>3</v>
      </c>
      <c r="J2832" s="22"/>
      <c r="K2832" s="23"/>
      <c r="L2832" s="23"/>
      <c r="M2832" s="22"/>
      <c r="N2832" s="22"/>
      <c r="O2832" s="22"/>
      <c r="P2832" s="23"/>
      <c r="Q2832" s="23"/>
      <c r="R2832" s="22"/>
      <c r="S2832" s="22"/>
      <c r="T2832" s="22"/>
      <c r="U2832" s="24"/>
      <c r="V2832" s="15"/>
      <c r="W2832" s="16"/>
      <c r="X2832" s="16"/>
      <c r="Y2832" s="16"/>
    </row>
    <row r="2833" customFormat="false" ht="15.75" hidden="false" customHeight="false" outlineLevel="0" collapsed="false">
      <c r="A2833" s="9"/>
      <c r="B2833" s="10"/>
      <c r="C2833" s="10"/>
      <c r="D2833" s="10"/>
      <c r="E2833" s="10"/>
      <c r="F2833" s="10"/>
      <c r="G2833" s="10"/>
      <c r="H2833" s="10"/>
      <c r="I2833" s="25" t="n">
        <v>4</v>
      </c>
      <c r="J2833" s="25"/>
      <c r="K2833" s="26"/>
      <c r="L2833" s="26"/>
      <c r="M2833" s="25"/>
      <c r="N2833" s="25"/>
      <c r="O2833" s="25"/>
      <c r="P2833" s="26"/>
      <c r="Q2833" s="26"/>
      <c r="R2833" s="25"/>
      <c r="S2833" s="25"/>
      <c r="T2833" s="25"/>
      <c r="U2833" s="27"/>
      <c r="V2833" s="21"/>
      <c r="W2833" s="16"/>
      <c r="X2833" s="16"/>
      <c r="Y2833" s="16"/>
    </row>
    <row r="2834" customFormat="false" ht="15.75" hidden="false" customHeight="false" outlineLevel="0" collapsed="false">
      <c r="A2834" s="9"/>
      <c r="B2834" s="10"/>
      <c r="C2834" s="11"/>
      <c r="D2834" s="10"/>
      <c r="E2834" s="10"/>
      <c r="F2834" s="10"/>
      <c r="G2834" s="10"/>
      <c r="H2834" s="10"/>
      <c r="I2834" s="12" t="n">
        <v>1</v>
      </c>
      <c r="J2834" s="12"/>
      <c r="K2834" s="13"/>
      <c r="L2834" s="13"/>
      <c r="M2834" s="12"/>
      <c r="N2834" s="12"/>
      <c r="O2834" s="12"/>
      <c r="P2834" s="13"/>
      <c r="Q2834" s="13"/>
      <c r="R2834" s="12"/>
      <c r="S2834" s="12"/>
      <c r="T2834" s="12"/>
      <c r="U2834" s="14"/>
      <c r="V2834" s="15"/>
      <c r="W2834" s="16" t="n">
        <f aca="false">A2834</f>
        <v>0</v>
      </c>
      <c r="X2834" s="17" t="e">
        <f aca="false">ifs(C2834="","",X2834="",NOW(),TRUE(),X2834)</f>
        <v>#VALUE!</v>
      </c>
      <c r="Y2834" s="17" t="e">
        <f aca="false">ifs(COUNTA(K2834:U2837)&lt;44,"",Y2834="",NOW(),TRUE(),Y2834)</f>
        <v>#VALUE!</v>
      </c>
    </row>
    <row r="2835" customFormat="false" ht="15.75" hidden="false" customHeight="false" outlineLevel="0" collapsed="false">
      <c r="A2835" s="9"/>
      <c r="B2835" s="10"/>
      <c r="C2835" s="10"/>
      <c r="D2835" s="10"/>
      <c r="E2835" s="10"/>
      <c r="F2835" s="10"/>
      <c r="G2835" s="10"/>
      <c r="H2835" s="10"/>
      <c r="I2835" s="18" t="n">
        <v>2</v>
      </c>
      <c r="J2835" s="18"/>
      <c r="K2835" s="19"/>
      <c r="L2835" s="19"/>
      <c r="M2835" s="18"/>
      <c r="N2835" s="18"/>
      <c r="O2835" s="18"/>
      <c r="P2835" s="19"/>
      <c r="Q2835" s="19"/>
      <c r="R2835" s="18"/>
      <c r="S2835" s="18"/>
      <c r="T2835" s="18"/>
      <c r="U2835" s="20"/>
      <c r="V2835" s="21"/>
      <c r="W2835" s="16"/>
      <c r="X2835" s="16"/>
      <c r="Y2835" s="16"/>
    </row>
    <row r="2836" customFormat="false" ht="15.75" hidden="false" customHeight="false" outlineLevel="0" collapsed="false">
      <c r="A2836" s="9"/>
      <c r="B2836" s="10"/>
      <c r="C2836" s="10"/>
      <c r="D2836" s="10"/>
      <c r="E2836" s="10"/>
      <c r="F2836" s="10"/>
      <c r="G2836" s="10"/>
      <c r="H2836" s="10"/>
      <c r="I2836" s="22" t="n">
        <v>3</v>
      </c>
      <c r="J2836" s="22"/>
      <c r="K2836" s="23"/>
      <c r="L2836" s="23"/>
      <c r="M2836" s="22"/>
      <c r="N2836" s="22"/>
      <c r="O2836" s="22"/>
      <c r="P2836" s="23"/>
      <c r="Q2836" s="23"/>
      <c r="R2836" s="22"/>
      <c r="S2836" s="22"/>
      <c r="T2836" s="22"/>
      <c r="U2836" s="24"/>
      <c r="V2836" s="15"/>
      <c r="W2836" s="16"/>
      <c r="X2836" s="16"/>
      <c r="Y2836" s="16"/>
    </row>
    <row r="2837" customFormat="false" ht="15.75" hidden="false" customHeight="false" outlineLevel="0" collapsed="false">
      <c r="A2837" s="9"/>
      <c r="B2837" s="10"/>
      <c r="C2837" s="10"/>
      <c r="D2837" s="10"/>
      <c r="E2837" s="10"/>
      <c r="F2837" s="10"/>
      <c r="G2837" s="10"/>
      <c r="H2837" s="10"/>
      <c r="I2837" s="25" t="n">
        <v>4</v>
      </c>
      <c r="J2837" s="25"/>
      <c r="K2837" s="26"/>
      <c r="L2837" s="26"/>
      <c r="M2837" s="25"/>
      <c r="N2837" s="25"/>
      <c r="O2837" s="25"/>
      <c r="P2837" s="26"/>
      <c r="Q2837" s="26"/>
      <c r="R2837" s="25"/>
      <c r="S2837" s="25"/>
      <c r="T2837" s="25"/>
      <c r="U2837" s="27"/>
      <c r="V2837" s="21"/>
      <c r="W2837" s="16"/>
      <c r="X2837" s="16"/>
      <c r="Y2837" s="16"/>
    </row>
    <row r="2838" customFormat="false" ht="15.75" hidden="false" customHeight="false" outlineLevel="0" collapsed="false">
      <c r="A2838" s="9"/>
      <c r="B2838" s="10"/>
      <c r="C2838" s="11"/>
      <c r="D2838" s="10"/>
      <c r="E2838" s="10"/>
      <c r="F2838" s="10"/>
      <c r="G2838" s="10"/>
      <c r="H2838" s="10"/>
      <c r="I2838" s="12" t="n">
        <v>1</v>
      </c>
      <c r="J2838" s="12"/>
      <c r="K2838" s="13"/>
      <c r="L2838" s="13"/>
      <c r="M2838" s="12"/>
      <c r="N2838" s="12"/>
      <c r="O2838" s="12"/>
      <c r="P2838" s="13"/>
      <c r="Q2838" s="13"/>
      <c r="R2838" s="12"/>
      <c r="S2838" s="12"/>
      <c r="T2838" s="12"/>
      <c r="U2838" s="14"/>
      <c r="V2838" s="15"/>
      <c r="W2838" s="16" t="n">
        <f aca="false">A2838</f>
        <v>0</v>
      </c>
      <c r="X2838" s="17" t="e">
        <f aca="false">ifs(C2838="","",X2838="",NOW(),TRUE(),X2838)</f>
        <v>#VALUE!</v>
      </c>
      <c r="Y2838" s="17" t="e">
        <f aca="false">ifs(COUNTA(K2838:U2841)&lt;44,"",Y2838="",NOW(),TRUE(),Y2838)</f>
        <v>#VALUE!</v>
      </c>
    </row>
    <row r="2839" customFormat="false" ht="15.75" hidden="false" customHeight="false" outlineLevel="0" collapsed="false">
      <c r="A2839" s="9"/>
      <c r="B2839" s="10"/>
      <c r="C2839" s="10"/>
      <c r="D2839" s="10"/>
      <c r="E2839" s="10"/>
      <c r="F2839" s="10"/>
      <c r="G2839" s="10"/>
      <c r="H2839" s="10"/>
      <c r="I2839" s="18" t="n">
        <v>2</v>
      </c>
      <c r="J2839" s="18"/>
      <c r="K2839" s="19"/>
      <c r="L2839" s="19"/>
      <c r="M2839" s="18"/>
      <c r="N2839" s="18"/>
      <c r="O2839" s="18"/>
      <c r="P2839" s="19"/>
      <c r="Q2839" s="19"/>
      <c r="R2839" s="18"/>
      <c r="S2839" s="18"/>
      <c r="T2839" s="18"/>
      <c r="U2839" s="20"/>
      <c r="V2839" s="21"/>
      <c r="W2839" s="16"/>
      <c r="X2839" s="16"/>
      <c r="Y2839" s="16"/>
    </row>
    <row r="2840" customFormat="false" ht="15.75" hidden="false" customHeight="false" outlineLevel="0" collapsed="false">
      <c r="A2840" s="9"/>
      <c r="B2840" s="10"/>
      <c r="C2840" s="10"/>
      <c r="D2840" s="10"/>
      <c r="E2840" s="10"/>
      <c r="F2840" s="10"/>
      <c r="G2840" s="10"/>
      <c r="H2840" s="10"/>
      <c r="I2840" s="22" t="n">
        <v>3</v>
      </c>
      <c r="J2840" s="22"/>
      <c r="K2840" s="23"/>
      <c r="L2840" s="23"/>
      <c r="M2840" s="22"/>
      <c r="N2840" s="22"/>
      <c r="O2840" s="22"/>
      <c r="P2840" s="23"/>
      <c r="Q2840" s="23"/>
      <c r="R2840" s="22"/>
      <c r="S2840" s="22"/>
      <c r="T2840" s="22"/>
      <c r="U2840" s="24"/>
      <c r="V2840" s="15"/>
      <c r="W2840" s="16"/>
      <c r="X2840" s="16"/>
      <c r="Y2840" s="16"/>
    </row>
    <row r="2841" customFormat="false" ht="15.75" hidden="false" customHeight="false" outlineLevel="0" collapsed="false">
      <c r="A2841" s="9"/>
      <c r="B2841" s="10"/>
      <c r="C2841" s="10"/>
      <c r="D2841" s="10"/>
      <c r="E2841" s="10"/>
      <c r="F2841" s="10"/>
      <c r="G2841" s="10"/>
      <c r="H2841" s="10"/>
      <c r="I2841" s="25" t="n">
        <v>4</v>
      </c>
      <c r="J2841" s="25"/>
      <c r="K2841" s="26"/>
      <c r="L2841" s="26"/>
      <c r="M2841" s="25"/>
      <c r="N2841" s="25"/>
      <c r="O2841" s="25"/>
      <c r="P2841" s="26"/>
      <c r="Q2841" s="26"/>
      <c r="R2841" s="25"/>
      <c r="S2841" s="25"/>
      <c r="T2841" s="25"/>
      <c r="U2841" s="27"/>
      <c r="V2841" s="21"/>
      <c r="W2841" s="16"/>
      <c r="X2841" s="16"/>
      <c r="Y2841" s="16"/>
    </row>
    <row r="2842" customFormat="false" ht="15.75" hidden="false" customHeight="false" outlineLevel="0" collapsed="false">
      <c r="A2842" s="9"/>
      <c r="B2842" s="10"/>
      <c r="C2842" s="11"/>
      <c r="D2842" s="10"/>
      <c r="E2842" s="10"/>
      <c r="F2842" s="10"/>
      <c r="G2842" s="10"/>
      <c r="H2842" s="10"/>
      <c r="I2842" s="12" t="n">
        <v>1</v>
      </c>
      <c r="J2842" s="12"/>
      <c r="K2842" s="13"/>
      <c r="L2842" s="13"/>
      <c r="M2842" s="12"/>
      <c r="N2842" s="12"/>
      <c r="O2842" s="12"/>
      <c r="P2842" s="13"/>
      <c r="Q2842" s="13"/>
      <c r="R2842" s="12"/>
      <c r="S2842" s="12"/>
      <c r="T2842" s="12"/>
      <c r="U2842" s="14"/>
      <c r="V2842" s="15"/>
      <c r="W2842" s="16" t="n">
        <f aca="false">A2842</f>
        <v>0</v>
      </c>
      <c r="X2842" s="17" t="e">
        <f aca="false">ifs(C2842="","",X2842="",NOW(),TRUE(),X2842)</f>
        <v>#VALUE!</v>
      </c>
      <c r="Y2842" s="17" t="e">
        <f aca="false">ifs(COUNTA(K2842:U2845)&lt;44,"",Y2842="",NOW(),TRUE(),Y2842)</f>
        <v>#VALUE!</v>
      </c>
    </row>
    <row r="2843" customFormat="false" ht="15.75" hidden="false" customHeight="false" outlineLevel="0" collapsed="false">
      <c r="A2843" s="9"/>
      <c r="B2843" s="10"/>
      <c r="C2843" s="10"/>
      <c r="D2843" s="10"/>
      <c r="E2843" s="10"/>
      <c r="F2843" s="10"/>
      <c r="G2843" s="10"/>
      <c r="H2843" s="10"/>
      <c r="I2843" s="18" t="n">
        <v>2</v>
      </c>
      <c r="J2843" s="18"/>
      <c r="K2843" s="19"/>
      <c r="L2843" s="19"/>
      <c r="M2843" s="18"/>
      <c r="N2843" s="18"/>
      <c r="O2843" s="18"/>
      <c r="P2843" s="19"/>
      <c r="Q2843" s="19"/>
      <c r="R2843" s="18"/>
      <c r="S2843" s="18"/>
      <c r="T2843" s="18"/>
      <c r="U2843" s="20"/>
      <c r="V2843" s="21"/>
      <c r="W2843" s="16"/>
      <c r="X2843" s="16"/>
      <c r="Y2843" s="16"/>
    </row>
    <row r="2844" customFormat="false" ht="15.75" hidden="false" customHeight="false" outlineLevel="0" collapsed="false">
      <c r="A2844" s="9"/>
      <c r="B2844" s="10"/>
      <c r="C2844" s="10"/>
      <c r="D2844" s="10"/>
      <c r="E2844" s="10"/>
      <c r="F2844" s="10"/>
      <c r="G2844" s="10"/>
      <c r="H2844" s="10"/>
      <c r="I2844" s="22" t="n">
        <v>3</v>
      </c>
      <c r="J2844" s="22"/>
      <c r="K2844" s="23"/>
      <c r="L2844" s="23"/>
      <c r="M2844" s="22"/>
      <c r="N2844" s="22"/>
      <c r="O2844" s="22"/>
      <c r="P2844" s="23"/>
      <c r="Q2844" s="23"/>
      <c r="R2844" s="22"/>
      <c r="S2844" s="22"/>
      <c r="T2844" s="22"/>
      <c r="U2844" s="24"/>
      <c r="V2844" s="15"/>
      <c r="W2844" s="16"/>
      <c r="X2844" s="16"/>
      <c r="Y2844" s="16"/>
    </row>
    <row r="2845" customFormat="false" ht="15.75" hidden="false" customHeight="false" outlineLevel="0" collapsed="false">
      <c r="A2845" s="9"/>
      <c r="B2845" s="10"/>
      <c r="C2845" s="10"/>
      <c r="D2845" s="10"/>
      <c r="E2845" s="10"/>
      <c r="F2845" s="10"/>
      <c r="G2845" s="10"/>
      <c r="H2845" s="10"/>
      <c r="I2845" s="25" t="n">
        <v>4</v>
      </c>
      <c r="J2845" s="25"/>
      <c r="K2845" s="26"/>
      <c r="L2845" s="26"/>
      <c r="M2845" s="25"/>
      <c r="N2845" s="25"/>
      <c r="O2845" s="25"/>
      <c r="P2845" s="26"/>
      <c r="Q2845" s="26"/>
      <c r="R2845" s="25"/>
      <c r="S2845" s="25"/>
      <c r="T2845" s="25"/>
      <c r="U2845" s="27"/>
      <c r="V2845" s="21"/>
      <c r="W2845" s="16"/>
      <c r="X2845" s="16"/>
      <c r="Y2845" s="16"/>
    </row>
    <row r="2846" customFormat="false" ht="15.75" hidden="false" customHeight="false" outlineLevel="0" collapsed="false">
      <c r="A2846" s="9"/>
      <c r="B2846" s="10"/>
      <c r="C2846" s="11"/>
      <c r="D2846" s="10"/>
      <c r="E2846" s="10"/>
      <c r="F2846" s="10"/>
      <c r="G2846" s="10"/>
      <c r="H2846" s="10"/>
      <c r="I2846" s="12" t="n">
        <v>1</v>
      </c>
      <c r="J2846" s="12"/>
      <c r="K2846" s="13"/>
      <c r="L2846" s="13"/>
      <c r="M2846" s="12"/>
      <c r="N2846" s="12"/>
      <c r="O2846" s="12"/>
      <c r="P2846" s="13"/>
      <c r="Q2846" s="13"/>
      <c r="R2846" s="12"/>
      <c r="S2846" s="12"/>
      <c r="T2846" s="12"/>
      <c r="U2846" s="14"/>
      <c r="V2846" s="15"/>
      <c r="W2846" s="16" t="n">
        <f aca="false">A2846</f>
        <v>0</v>
      </c>
      <c r="X2846" s="17" t="e">
        <f aca="false">ifs(C2846="","",X2846="",NOW(),TRUE(),X2846)</f>
        <v>#VALUE!</v>
      </c>
      <c r="Y2846" s="17" t="e">
        <f aca="false">ifs(COUNTA(K2846:U2849)&lt;44,"",Y2846="",NOW(),TRUE(),Y2846)</f>
        <v>#VALUE!</v>
      </c>
    </row>
    <row r="2847" customFormat="false" ht="15.75" hidden="false" customHeight="false" outlineLevel="0" collapsed="false">
      <c r="A2847" s="9"/>
      <c r="B2847" s="10"/>
      <c r="C2847" s="10"/>
      <c r="D2847" s="10"/>
      <c r="E2847" s="10"/>
      <c r="F2847" s="10"/>
      <c r="G2847" s="10"/>
      <c r="H2847" s="10"/>
      <c r="I2847" s="18" t="n">
        <v>2</v>
      </c>
      <c r="J2847" s="18"/>
      <c r="K2847" s="19"/>
      <c r="L2847" s="19"/>
      <c r="M2847" s="18"/>
      <c r="N2847" s="18"/>
      <c r="O2847" s="18"/>
      <c r="P2847" s="19"/>
      <c r="Q2847" s="19"/>
      <c r="R2847" s="18"/>
      <c r="S2847" s="18"/>
      <c r="T2847" s="18"/>
      <c r="U2847" s="20"/>
      <c r="V2847" s="21"/>
      <c r="W2847" s="16"/>
      <c r="X2847" s="16"/>
      <c r="Y2847" s="16"/>
    </row>
    <row r="2848" customFormat="false" ht="15.75" hidden="false" customHeight="false" outlineLevel="0" collapsed="false">
      <c r="A2848" s="9"/>
      <c r="B2848" s="10"/>
      <c r="C2848" s="10"/>
      <c r="D2848" s="10"/>
      <c r="E2848" s="10"/>
      <c r="F2848" s="10"/>
      <c r="G2848" s="10"/>
      <c r="H2848" s="10"/>
      <c r="I2848" s="22" t="n">
        <v>3</v>
      </c>
      <c r="J2848" s="22"/>
      <c r="K2848" s="23"/>
      <c r="L2848" s="23"/>
      <c r="M2848" s="22"/>
      <c r="N2848" s="22"/>
      <c r="O2848" s="22"/>
      <c r="P2848" s="23"/>
      <c r="Q2848" s="23"/>
      <c r="R2848" s="22"/>
      <c r="S2848" s="22"/>
      <c r="T2848" s="22"/>
      <c r="U2848" s="24"/>
      <c r="V2848" s="15"/>
      <c r="W2848" s="16"/>
      <c r="X2848" s="16"/>
      <c r="Y2848" s="16"/>
    </row>
    <row r="2849" customFormat="false" ht="15.75" hidden="false" customHeight="false" outlineLevel="0" collapsed="false">
      <c r="A2849" s="9"/>
      <c r="B2849" s="10"/>
      <c r="C2849" s="10"/>
      <c r="D2849" s="10"/>
      <c r="E2849" s="10"/>
      <c r="F2849" s="10"/>
      <c r="G2849" s="10"/>
      <c r="H2849" s="10"/>
      <c r="I2849" s="25" t="n">
        <v>4</v>
      </c>
      <c r="J2849" s="25"/>
      <c r="K2849" s="26"/>
      <c r="L2849" s="26"/>
      <c r="M2849" s="25"/>
      <c r="N2849" s="25"/>
      <c r="O2849" s="25"/>
      <c r="P2849" s="26"/>
      <c r="Q2849" s="26"/>
      <c r="R2849" s="25"/>
      <c r="S2849" s="25"/>
      <c r="T2849" s="25"/>
      <c r="U2849" s="27"/>
      <c r="V2849" s="21"/>
      <c r="W2849" s="16"/>
      <c r="X2849" s="16"/>
      <c r="Y2849" s="16"/>
    </row>
    <row r="2850" customFormat="false" ht="15.75" hidden="false" customHeight="false" outlineLevel="0" collapsed="false">
      <c r="A2850" s="9"/>
      <c r="B2850" s="10"/>
      <c r="C2850" s="11"/>
      <c r="D2850" s="10"/>
      <c r="E2850" s="10"/>
      <c r="F2850" s="10"/>
      <c r="G2850" s="10"/>
      <c r="H2850" s="10"/>
      <c r="I2850" s="12" t="n">
        <v>1</v>
      </c>
      <c r="J2850" s="12"/>
      <c r="K2850" s="13"/>
      <c r="L2850" s="13"/>
      <c r="M2850" s="12"/>
      <c r="N2850" s="12"/>
      <c r="O2850" s="12"/>
      <c r="P2850" s="13"/>
      <c r="Q2850" s="13"/>
      <c r="R2850" s="12"/>
      <c r="S2850" s="12"/>
      <c r="T2850" s="12"/>
      <c r="U2850" s="14"/>
      <c r="V2850" s="15"/>
      <c r="W2850" s="16" t="n">
        <f aca="false">A2850</f>
        <v>0</v>
      </c>
      <c r="X2850" s="17" t="e">
        <f aca="false">ifs(C2850="","",X2850="",NOW(),TRUE(),X2850)</f>
        <v>#VALUE!</v>
      </c>
      <c r="Y2850" s="17" t="e">
        <f aca="false">ifs(COUNTA(K2850:U2853)&lt;44,"",Y2850="",NOW(),TRUE(),Y2850)</f>
        <v>#VALUE!</v>
      </c>
    </row>
    <row r="2851" customFormat="false" ht="15.75" hidden="false" customHeight="false" outlineLevel="0" collapsed="false">
      <c r="A2851" s="9"/>
      <c r="B2851" s="10"/>
      <c r="C2851" s="10"/>
      <c r="D2851" s="10"/>
      <c r="E2851" s="10"/>
      <c r="F2851" s="10"/>
      <c r="G2851" s="10"/>
      <c r="H2851" s="10"/>
      <c r="I2851" s="18" t="n">
        <v>2</v>
      </c>
      <c r="J2851" s="18"/>
      <c r="K2851" s="19"/>
      <c r="L2851" s="19"/>
      <c r="M2851" s="18"/>
      <c r="N2851" s="18"/>
      <c r="O2851" s="18"/>
      <c r="P2851" s="19"/>
      <c r="Q2851" s="19"/>
      <c r="R2851" s="18"/>
      <c r="S2851" s="18"/>
      <c r="T2851" s="18"/>
      <c r="U2851" s="20"/>
      <c r="V2851" s="21"/>
      <c r="W2851" s="16"/>
      <c r="X2851" s="16"/>
      <c r="Y2851" s="16"/>
    </row>
    <row r="2852" customFormat="false" ht="15.75" hidden="false" customHeight="false" outlineLevel="0" collapsed="false">
      <c r="A2852" s="9"/>
      <c r="B2852" s="10"/>
      <c r="C2852" s="10"/>
      <c r="D2852" s="10"/>
      <c r="E2852" s="10"/>
      <c r="F2852" s="10"/>
      <c r="G2852" s="10"/>
      <c r="H2852" s="10"/>
      <c r="I2852" s="22" t="n">
        <v>3</v>
      </c>
      <c r="J2852" s="22"/>
      <c r="K2852" s="23"/>
      <c r="L2852" s="23"/>
      <c r="M2852" s="22"/>
      <c r="N2852" s="22"/>
      <c r="O2852" s="22"/>
      <c r="P2852" s="23"/>
      <c r="Q2852" s="23"/>
      <c r="R2852" s="22"/>
      <c r="S2852" s="22"/>
      <c r="T2852" s="22"/>
      <c r="U2852" s="24"/>
      <c r="V2852" s="15"/>
      <c r="W2852" s="16"/>
      <c r="X2852" s="16"/>
      <c r="Y2852" s="16"/>
    </row>
    <row r="2853" customFormat="false" ht="15.75" hidden="false" customHeight="false" outlineLevel="0" collapsed="false">
      <c r="A2853" s="9"/>
      <c r="B2853" s="10"/>
      <c r="C2853" s="10"/>
      <c r="D2853" s="10"/>
      <c r="E2853" s="10"/>
      <c r="F2853" s="10"/>
      <c r="G2853" s="10"/>
      <c r="H2853" s="10"/>
      <c r="I2853" s="25" t="n">
        <v>4</v>
      </c>
      <c r="J2853" s="25"/>
      <c r="K2853" s="26"/>
      <c r="L2853" s="26"/>
      <c r="M2853" s="25"/>
      <c r="N2853" s="25"/>
      <c r="O2853" s="25"/>
      <c r="P2853" s="26"/>
      <c r="Q2853" s="26"/>
      <c r="R2853" s="25"/>
      <c r="S2853" s="25"/>
      <c r="T2853" s="25"/>
      <c r="U2853" s="27"/>
      <c r="V2853" s="21"/>
      <c r="W2853" s="16"/>
      <c r="X2853" s="16"/>
      <c r="Y2853" s="16"/>
    </row>
    <row r="2854" customFormat="false" ht="15.75" hidden="false" customHeight="false" outlineLevel="0" collapsed="false">
      <c r="A2854" s="9"/>
      <c r="B2854" s="10"/>
      <c r="C2854" s="11"/>
      <c r="D2854" s="10"/>
      <c r="E2854" s="10"/>
      <c r="F2854" s="10"/>
      <c r="G2854" s="10"/>
      <c r="H2854" s="10"/>
      <c r="I2854" s="12" t="n">
        <v>1</v>
      </c>
      <c r="J2854" s="12"/>
      <c r="K2854" s="13"/>
      <c r="L2854" s="13"/>
      <c r="M2854" s="12"/>
      <c r="N2854" s="12"/>
      <c r="O2854" s="12"/>
      <c r="P2854" s="13"/>
      <c r="Q2854" s="13"/>
      <c r="R2854" s="12"/>
      <c r="S2854" s="12"/>
      <c r="T2854" s="12"/>
      <c r="U2854" s="14"/>
      <c r="V2854" s="15"/>
      <c r="W2854" s="16" t="n">
        <f aca="false">A2854</f>
        <v>0</v>
      </c>
      <c r="X2854" s="17" t="e">
        <f aca="false">ifs(C2854="","",X2854="",NOW(),TRUE(),X2854)</f>
        <v>#VALUE!</v>
      </c>
      <c r="Y2854" s="17" t="e">
        <f aca="false">ifs(COUNTA(K2854:U2857)&lt;44,"",Y2854="",NOW(),TRUE(),Y2854)</f>
        <v>#VALUE!</v>
      </c>
    </row>
    <row r="2855" customFormat="false" ht="15.75" hidden="false" customHeight="false" outlineLevel="0" collapsed="false">
      <c r="A2855" s="9"/>
      <c r="B2855" s="10"/>
      <c r="C2855" s="10"/>
      <c r="D2855" s="10"/>
      <c r="E2855" s="10"/>
      <c r="F2855" s="10"/>
      <c r="G2855" s="10"/>
      <c r="H2855" s="10"/>
      <c r="I2855" s="18" t="n">
        <v>2</v>
      </c>
      <c r="J2855" s="18"/>
      <c r="K2855" s="19"/>
      <c r="L2855" s="19"/>
      <c r="M2855" s="18"/>
      <c r="N2855" s="18"/>
      <c r="O2855" s="18"/>
      <c r="P2855" s="19"/>
      <c r="Q2855" s="19"/>
      <c r="R2855" s="18"/>
      <c r="S2855" s="18"/>
      <c r="T2855" s="18"/>
      <c r="U2855" s="20"/>
      <c r="V2855" s="21"/>
      <c r="W2855" s="16"/>
      <c r="X2855" s="16"/>
      <c r="Y2855" s="16"/>
    </row>
    <row r="2856" customFormat="false" ht="15.75" hidden="false" customHeight="false" outlineLevel="0" collapsed="false">
      <c r="A2856" s="9"/>
      <c r="B2856" s="10"/>
      <c r="C2856" s="10"/>
      <c r="D2856" s="10"/>
      <c r="E2856" s="10"/>
      <c r="F2856" s="10"/>
      <c r="G2856" s="10"/>
      <c r="H2856" s="10"/>
      <c r="I2856" s="22" t="n">
        <v>3</v>
      </c>
      <c r="J2856" s="22"/>
      <c r="K2856" s="23"/>
      <c r="L2856" s="23"/>
      <c r="M2856" s="22"/>
      <c r="N2856" s="22"/>
      <c r="O2856" s="22"/>
      <c r="P2856" s="23"/>
      <c r="Q2856" s="23"/>
      <c r="R2856" s="22"/>
      <c r="S2856" s="22"/>
      <c r="T2856" s="22"/>
      <c r="U2856" s="24"/>
      <c r="V2856" s="15"/>
      <c r="W2856" s="16"/>
      <c r="X2856" s="16"/>
      <c r="Y2856" s="16"/>
    </row>
    <row r="2857" customFormat="false" ht="15.75" hidden="false" customHeight="false" outlineLevel="0" collapsed="false">
      <c r="A2857" s="9"/>
      <c r="B2857" s="10"/>
      <c r="C2857" s="10"/>
      <c r="D2857" s="10"/>
      <c r="E2857" s="10"/>
      <c r="F2857" s="10"/>
      <c r="G2857" s="10"/>
      <c r="H2857" s="10"/>
      <c r="I2857" s="25" t="n">
        <v>4</v>
      </c>
      <c r="J2857" s="25"/>
      <c r="K2857" s="26"/>
      <c r="L2857" s="26"/>
      <c r="M2857" s="25"/>
      <c r="N2857" s="25"/>
      <c r="O2857" s="25"/>
      <c r="P2857" s="26"/>
      <c r="Q2857" s="26"/>
      <c r="R2857" s="25"/>
      <c r="S2857" s="25"/>
      <c r="T2857" s="25"/>
      <c r="U2857" s="27"/>
      <c r="V2857" s="21"/>
      <c r="W2857" s="16"/>
      <c r="X2857" s="16"/>
      <c r="Y2857" s="16"/>
    </row>
    <row r="2858" customFormat="false" ht="15.75" hidden="false" customHeight="false" outlineLevel="0" collapsed="false">
      <c r="A2858" s="9"/>
      <c r="B2858" s="10"/>
      <c r="C2858" s="11"/>
      <c r="D2858" s="10"/>
      <c r="E2858" s="10"/>
      <c r="F2858" s="10"/>
      <c r="G2858" s="10"/>
      <c r="H2858" s="10"/>
      <c r="I2858" s="12" t="n">
        <v>1</v>
      </c>
      <c r="J2858" s="12"/>
      <c r="K2858" s="13"/>
      <c r="L2858" s="13"/>
      <c r="M2858" s="12"/>
      <c r="N2858" s="12"/>
      <c r="O2858" s="12"/>
      <c r="P2858" s="13"/>
      <c r="Q2858" s="13"/>
      <c r="R2858" s="12"/>
      <c r="S2858" s="12"/>
      <c r="T2858" s="12"/>
      <c r="U2858" s="14"/>
      <c r="V2858" s="15"/>
      <c r="W2858" s="16" t="n">
        <f aca="false">A2858</f>
        <v>0</v>
      </c>
      <c r="X2858" s="17" t="e">
        <f aca="false">ifs(C2858="","",X2858="",NOW(),TRUE(),X2858)</f>
        <v>#VALUE!</v>
      </c>
      <c r="Y2858" s="17" t="e">
        <f aca="false">ifs(COUNTA(K2858:U2861)&lt;44,"",Y2858="",NOW(),TRUE(),Y2858)</f>
        <v>#VALUE!</v>
      </c>
    </row>
    <row r="2859" customFormat="false" ht="15.75" hidden="false" customHeight="false" outlineLevel="0" collapsed="false">
      <c r="A2859" s="9"/>
      <c r="B2859" s="10"/>
      <c r="C2859" s="10"/>
      <c r="D2859" s="10"/>
      <c r="E2859" s="10"/>
      <c r="F2859" s="10"/>
      <c r="G2859" s="10"/>
      <c r="H2859" s="10"/>
      <c r="I2859" s="18" t="n">
        <v>2</v>
      </c>
      <c r="J2859" s="18"/>
      <c r="K2859" s="19"/>
      <c r="L2859" s="19"/>
      <c r="M2859" s="18"/>
      <c r="N2859" s="18"/>
      <c r="O2859" s="18"/>
      <c r="P2859" s="19"/>
      <c r="Q2859" s="19"/>
      <c r="R2859" s="18"/>
      <c r="S2859" s="18"/>
      <c r="T2859" s="18"/>
      <c r="U2859" s="20"/>
      <c r="V2859" s="21"/>
      <c r="W2859" s="16"/>
      <c r="X2859" s="16"/>
      <c r="Y2859" s="16"/>
    </row>
    <row r="2860" customFormat="false" ht="15.75" hidden="false" customHeight="false" outlineLevel="0" collapsed="false">
      <c r="A2860" s="9"/>
      <c r="B2860" s="10"/>
      <c r="C2860" s="10"/>
      <c r="D2860" s="10"/>
      <c r="E2860" s="10"/>
      <c r="F2860" s="10"/>
      <c r="G2860" s="10"/>
      <c r="H2860" s="10"/>
      <c r="I2860" s="22" t="n">
        <v>3</v>
      </c>
      <c r="J2860" s="22"/>
      <c r="K2860" s="23"/>
      <c r="L2860" s="23"/>
      <c r="M2860" s="22"/>
      <c r="N2860" s="22"/>
      <c r="O2860" s="22"/>
      <c r="P2860" s="23"/>
      <c r="Q2860" s="23"/>
      <c r="R2860" s="22"/>
      <c r="S2860" s="22"/>
      <c r="T2860" s="22"/>
      <c r="U2860" s="24"/>
      <c r="V2860" s="15"/>
      <c r="W2860" s="16"/>
      <c r="X2860" s="16"/>
      <c r="Y2860" s="16"/>
    </row>
    <row r="2861" customFormat="false" ht="15.75" hidden="false" customHeight="false" outlineLevel="0" collapsed="false">
      <c r="A2861" s="9"/>
      <c r="B2861" s="10"/>
      <c r="C2861" s="10"/>
      <c r="D2861" s="10"/>
      <c r="E2861" s="10"/>
      <c r="F2861" s="10"/>
      <c r="G2861" s="10"/>
      <c r="H2861" s="10"/>
      <c r="I2861" s="25" t="n">
        <v>4</v>
      </c>
      <c r="J2861" s="25"/>
      <c r="K2861" s="26"/>
      <c r="L2861" s="26"/>
      <c r="M2861" s="25"/>
      <c r="N2861" s="25"/>
      <c r="O2861" s="25"/>
      <c r="P2861" s="26"/>
      <c r="Q2861" s="26"/>
      <c r="R2861" s="25"/>
      <c r="S2861" s="25"/>
      <c r="T2861" s="25"/>
      <c r="U2861" s="27"/>
      <c r="V2861" s="21"/>
      <c r="W2861" s="16"/>
      <c r="X2861" s="16"/>
      <c r="Y2861" s="16"/>
    </row>
    <row r="2862" customFormat="false" ht="15.75" hidden="false" customHeight="false" outlineLevel="0" collapsed="false">
      <c r="A2862" s="9"/>
      <c r="B2862" s="10"/>
      <c r="C2862" s="11"/>
      <c r="D2862" s="10"/>
      <c r="E2862" s="10"/>
      <c r="F2862" s="10"/>
      <c r="G2862" s="10"/>
      <c r="H2862" s="10"/>
      <c r="I2862" s="12" t="n">
        <v>1</v>
      </c>
      <c r="J2862" s="12"/>
      <c r="K2862" s="13"/>
      <c r="L2862" s="13"/>
      <c r="M2862" s="12"/>
      <c r="N2862" s="12"/>
      <c r="O2862" s="12"/>
      <c r="P2862" s="13"/>
      <c r="Q2862" s="13"/>
      <c r="R2862" s="12"/>
      <c r="S2862" s="12"/>
      <c r="T2862" s="12"/>
      <c r="U2862" s="14"/>
      <c r="V2862" s="15"/>
      <c r="W2862" s="16" t="n">
        <f aca="false">A2862</f>
        <v>0</v>
      </c>
      <c r="X2862" s="17" t="e">
        <f aca="false">ifs(C2862="","",X2862="",NOW(),TRUE(),X2862)</f>
        <v>#VALUE!</v>
      </c>
      <c r="Y2862" s="17" t="e">
        <f aca="false">ifs(COUNTA(K2862:U2865)&lt;44,"",Y2862="",NOW(),TRUE(),Y2862)</f>
        <v>#VALUE!</v>
      </c>
    </row>
    <row r="2863" customFormat="false" ht="15.75" hidden="false" customHeight="false" outlineLevel="0" collapsed="false">
      <c r="A2863" s="9"/>
      <c r="B2863" s="10"/>
      <c r="C2863" s="10"/>
      <c r="D2863" s="10"/>
      <c r="E2863" s="10"/>
      <c r="F2863" s="10"/>
      <c r="G2863" s="10"/>
      <c r="H2863" s="10"/>
      <c r="I2863" s="18" t="n">
        <v>2</v>
      </c>
      <c r="J2863" s="18"/>
      <c r="K2863" s="19"/>
      <c r="L2863" s="19"/>
      <c r="M2863" s="18"/>
      <c r="N2863" s="18"/>
      <c r="O2863" s="18"/>
      <c r="P2863" s="19"/>
      <c r="Q2863" s="19"/>
      <c r="R2863" s="18"/>
      <c r="S2863" s="18"/>
      <c r="T2863" s="18"/>
      <c r="U2863" s="20"/>
      <c r="V2863" s="21"/>
      <c r="W2863" s="16"/>
      <c r="X2863" s="16"/>
      <c r="Y2863" s="16"/>
    </row>
    <row r="2864" customFormat="false" ht="15.75" hidden="false" customHeight="false" outlineLevel="0" collapsed="false">
      <c r="A2864" s="9"/>
      <c r="B2864" s="10"/>
      <c r="C2864" s="10"/>
      <c r="D2864" s="10"/>
      <c r="E2864" s="10"/>
      <c r="F2864" s="10"/>
      <c r="G2864" s="10"/>
      <c r="H2864" s="10"/>
      <c r="I2864" s="22" t="n">
        <v>3</v>
      </c>
      <c r="J2864" s="22"/>
      <c r="K2864" s="23"/>
      <c r="L2864" s="23"/>
      <c r="M2864" s="22"/>
      <c r="N2864" s="22"/>
      <c r="O2864" s="22"/>
      <c r="P2864" s="23"/>
      <c r="Q2864" s="23"/>
      <c r="R2864" s="22"/>
      <c r="S2864" s="22"/>
      <c r="T2864" s="22"/>
      <c r="U2864" s="24"/>
      <c r="V2864" s="15"/>
      <c r="W2864" s="16"/>
      <c r="X2864" s="16"/>
      <c r="Y2864" s="16"/>
    </row>
    <row r="2865" customFormat="false" ht="15.75" hidden="false" customHeight="false" outlineLevel="0" collapsed="false">
      <c r="A2865" s="9"/>
      <c r="B2865" s="10"/>
      <c r="C2865" s="10"/>
      <c r="D2865" s="10"/>
      <c r="E2865" s="10"/>
      <c r="F2865" s="10"/>
      <c r="G2865" s="10"/>
      <c r="H2865" s="10"/>
      <c r="I2865" s="25" t="n">
        <v>4</v>
      </c>
      <c r="J2865" s="25"/>
      <c r="K2865" s="26"/>
      <c r="L2865" s="26"/>
      <c r="M2865" s="25"/>
      <c r="N2865" s="25"/>
      <c r="O2865" s="25"/>
      <c r="P2865" s="26"/>
      <c r="Q2865" s="26"/>
      <c r="R2865" s="25"/>
      <c r="S2865" s="25"/>
      <c r="T2865" s="25"/>
      <c r="U2865" s="27"/>
      <c r="V2865" s="21"/>
      <c r="W2865" s="16"/>
      <c r="X2865" s="16"/>
      <c r="Y2865" s="16"/>
    </row>
    <row r="2866" customFormat="false" ht="15.75" hidden="false" customHeight="false" outlineLevel="0" collapsed="false">
      <c r="A2866" s="9"/>
      <c r="B2866" s="10"/>
      <c r="C2866" s="11"/>
      <c r="D2866" s="10"/>
      <c r="E2866" s="10"/>
      <c r="F2866" s="10"/>
      <c r="G2866" s="10"/>
      <c r="H2866" s="10"/>
      <c r="I2866" s="12" t="n">
        <v>1</v>
      </c>
      <c r="J2866" s="12"/>
      <c r="K2866" s="13"/>
      <c r="L2866" s="13"/>
      <c r="M2866" s="12"/>
      <c r="N2866" s="12"/>
      <c r="O2866" s="12"/>
      <c r="P2866" s="13"/>
      <c r="Q2866" s="13"/>
      <c r="R2866" s="12"/>
      <c r="S2866" s="12"/>
      <c r="T2866" s="12"/>
      <c r="U2866" s="14"/>
      <c r="V2866" s="15"/>
      <c r="W2866" s="16" t="n">
        <f aca="false">A2866</f>
        <v>0</v>
      </c>
      <c r="X2866" s="17" t="e">
        <f aca="false">ifs(C2866="","",X2866="",NOW(),TRUE(),X2866)</f>
        <v>#VALUE!</v>
      </c>
      <c r="Y2866" s="17" t="e">
        <f aca="false">ifs(COUNTA(K2866:U2869)&lt;44,"",Y2866="",NOW(),TRUE(),Y2866)</f>
        <v>#VALUE!</v>
      </c>
    </row>
    <row r="2867" customFormat="false" ht="15.75" hidden="false" customHeight="false" outlineLevel="0" collapsed="false">
      <c r="A2867" s="9"/>
      <c r="B2867" s="10"/>
      <c r="C2867" s="10"/>
      <c r="D2867" s="10"/>
      <c r="E2867" s="10"/>
      <c r="F2867" s="10"/>
      <c r="G2867" s="10"/>
      <c r="H2867" s="10"/>
      <c r="I2867" s="18" t="n">
        <v>2</v>
      </c>
      <c r="J2867" s="18"/>
      <c r="K2867" s="19"/>
      <c r="L2867" s="19"/>
      <c r="M2867" s="18"/>
      <c r="N2867" s="18"/>
      <c r="O2867" s="18"/>
      <c r="P2867" s="19"/>
      <c r="Q2867" s="19"/>
      <c r="R2867" s="18"/>
      <c r="S2867" s="18"/>
      <c r="T2867" s="18"/>
      <c r="U2867" s="20"/>
      <c r="V2867" s="21"/>
      <c r="W2867" s="16"/>
      <c r="X2867" s="16"/>
      <c r="Y2867" s="16"/>
    </row>
    <row r="2868" customFormat="false" ht="15.75" hidden="false" customHeight="false" outlineLevel="0" collapsed="false">
      <c r="A2868" s="9"/>
      <c r="B2868" s="10"/>
      <c r="C2868" s="10"/>
      <c r="D2868" s="10"/>
      <c r="E2868" s="10"/>
      <c r="F2868" s="10"/>
      <c r="G2868" s="10"/>
      <c r="H2868" s="10"/>
      <c r="I2868" s="22" t="n">
        <v>3</v>
      </c>
      <c r="J2868" s="22"/>
      <c r="K2868" s="23"/>
      <c r="L2868" s="23"/>
      <c r="M2868" s="22"/>
      <c r="N2868" s="22"/>
      <c r="O2868" s="22"/>
      <c r="P2868" s="23"/>
      <c r="Q2868" s="23"/>
      <c r="R2868" s="22"/>
      <c r="S2868" s="22"/>
      <c r="T2868" s="22"/>
      <c r="U2868" s="24"/>
      <c r="V2868" s="15"/>
      <c r="W2868" s="16"/>
      <c r="X2868" s="16"/>
      <c r="Y2868" s="16"/>
    </row>
    <row r="2869" customFormat="false" ht="15.75" hidden="false" customHeight="false" outlineLevel="0" collapsed="false">
      <c r="A2869" s="9"/>
      <c r="B2869" s="10"/>
      <c r="C2869" s="10"/>
      <c r="D2869" s="10"/>
      <c r="E2869" s="10"/>
      <c r="F2869" s="10"/>
      <c r="G2869" s="10"/>
      <c r="H2869" s="10"/>
      <c r="I2869" s="25" t="n">
        <v>4</v>
      </c>
      <c r="J2869" s="25"/>
      <c r="K2869" s="26"/>
      <c r="L2869" s="26"/>
      <c r="M2869" s="25"/>
      <c r="N2869" s="25"/>
      <c r="O2869" s="25"/>
      <c r="P2869" s="26"/>
      <c r="Q2869" s="26"/>
      <c r="R2869" s="25"/>
      <c r="S2869" s="25"/>
      <c r="T2869" s="25"/>
      <c r="U2869" s="27"/>
      <c r="V2869" s="21"/>
      <c r="W2869" s="16"/>
      <c r="X2869" s="16"/>
      <c r="Y2869" s="16"/>
    </row>
    <row r="2870" customFormat="false" ht="15.75" hidden="false" customHeight="false" outlineLevel="0" collapsed="false">
      <c r="A2870" s="9"/>
      <c r="B2870" s="10"/>
      <c r="C2870" s="11"/>
      <c r="D2870" s="10"/>
      <c r="E2870" s="10"/>
      <c r="F2870" s="10"/>
      <c r="G2870" s="10"/>
      <c r="H2870" s="10"/>
      <c r="I2870" s="12" t="n">
        <v>1</v>
      </c>
      <c r="J2870" s="12"/>
      <c r="K2870" s="13"/>
      <c r="L2870" s="13"/>
      <c r="M2870" s="12"/>
      <c r="N2870" s="12"/>
      <c r="O2870" s="12"/>
      <c r="P2870" s="13"/>
      <c r="Q2870" s="13"/>
      <c r="R2870" s="12"/>
      <c r="S2870" s="12"/>
      <c r="T2870" s="12"/>
      <c r="U2870" s="14"/>
      <c r="V2870" s="15"/>
      <c r="W2870" s="16" t="n">
        <f aca="false">A2870</f>
        <v>0</v>
      </c>
      <c r="X2870" s="17" t="e">
        <f aca="false">ifs(C2870="","",X2870="",NOW(),TRUE(),X2870)</f>
        <v>#VALUE!</v>
      </c>
      <c r="Y2870" s="17" t="e">
        <f aca="false">ifs(COUNTA(K2870:U2873)&lt;44,"",Y2870="",NOW(),TRUE(),Y2870)</f>
        <v>#VALUE!</v>
      </c>
    </row>
    <row r="2871" customFormat="false" ht="15.75" hidden="false" customHeight="false" outlineLevel="0" collapsed="false">
      <c r="A2871" s="9"/>
      <c r="B2871" s="10"/>
      <c r="C2871" s="10"/>
      <c r="D2871" s="10"/>
      <c r="E2871" s="10"/>
      <c r="F2871" s="10"/>
      <c r="G2871" s="10"/>
      <c r="H2871" s="10"/>
      <c r="I2871" s="18" t="n">
        <v>2</v>
      </c>
      <c r="J2871" s="18"/>
      <c r="K2871" s="19"/>
      <c r="L2871" s="19"/>
      <c r="M2871" s="18"/>
      <c r="N2871" s="18"/>
      <c r="O2871" s="18"/>
      <c r="P2871" s="19"/>
      <c r="Q2871" s="19"/>
      <c r="R2871" s="18"/>
      <c r="S2871" s="18"/>
      <c r="T2871" s="18"/>
      <c r="U2871" s="20"/>
      <c r="V2871" s="21"/>
      <c r="W2871" s="16"/>
      <c r="X2871" s="16"/>
      <c r="Y2871" s="16"/>
    </row>
    <row r="2872" customFormat="false" ht="15.75" hidden="false" customHeight="false" outlineLevel="0" collapsed="false">
      <c r="A2872" s="9"/>
      <c r="B2872" s="10"/>
      <c r="C2872" s="10"/>
      <c r="D2872" s="10"/>
      <c r="E2872" s="10"/>
      <c r="F2872" s="10"/>
      <c r="G2872" s="10"/>
      <c r="H2872" s="10"/>
      <c r="I2872" s="22" t="n">
        <v>3</v>
      </c>
      <c r="J2872" s="22"/>
      <c r="K2872" s="23"/>
      <c r="L2872" s="23"/>
      <c r="M2872" s="22"/>
      <c r="N2872" s="22"/>
      <c r="O2872" s="22"/>
      <c r="P2872" s="23"/>
      <c r="Q2872" s="23"/>
      <c r="R2872" s="22"/>
      <c r="S2872" s="22"/>
      <c r="T2872" s="22"/>
      <c r="U2872" s="24"/>
      <c r="V2872" s="15"/>
      <c r="W2872" s="16"/>
      <c r="X2872" s="16"/>
      <c r="Y2872" s="16"/>
    </row>
    <row r="2873" customFormat="false" ht="15.75" hidden="false" customHeight="false" outlineLevel="0" collapsed="false">
      <c r="A2873" s="9"/>
      <c r="B2873" s="10"/>
      <c r="C2873" s="10"/>
      <c r="D2873" s="10"/>
      <c r="E2873" s="10"/>
      <c r="F2873" s="10"/>
      <c r="G2873" s="10"/>
      <c r="H2873" s="10"/>
      <c r="I2873" s="25" t="n">
        <v>4</v>
      </c>
      <c r="J2873" s="25"/>
      <c r="K2873" s="26"/>
      <c r="L2873" s="26"/>
      <c r="M2873" s="25"/>
      <c r="N2873" s="25"/>
      <c r="O2873" s="25"/>
      <c r="P2873" s="26"/>
      <c r="Q2873" s="26"/>
      <c r="R2873" s="25"/>
      <c r="S2873" s="25"/>
      <c r="T2873" s="25"/>
      <c r="U2873" s="27"/>
      <c r="V2873" s="21"/>
      <c r="W2873" s="16"/>
      <c r="X2873" s="16"/>
      <c r="Y2873" s="16"/>
    </row>
    <row r="2874" customFormat="false" ht="15.75" hidden="false" customHeight="false" outlineLevel="0" collapsed="false">
      <c r="A2874" s="9"/>
      <c r="B2874" s="10"/>
      <c r="C2874" s="11"/>
      <c r="D2874" s="10"/>
      <c r="E2874" s="10"/>
      <c r="F2874" s="10"/>
      <c r="G2874" s="10"/>
      <c r="H2874" s="10"/>
      <c r="I2874" s="12" t="n">
        <v>1</v>
      </c>
      <c r="J2874" s="12"/>
      <c r="K2874" s="13"/>
      <c r="L2874" s="13"/>
      <c r="M2874" s="12"/>
      <c r="N2874" s="12"/>
      <c r="O2874" s="12"/>
      <c r="P2874" s="13"/>
      <c r="Q2874" s="13"/>
      <c r="R2874" s="12"/>
      <c r="S2874" s="12"/>
      <c r="T2874" s="12"/>
      <c r="U2874" s="14"/>
      <c r="V2874" s="15"/>
      <c r="W2874" s="16" t="n">
        <f aca="false">A2874</f>
        <v>0</v>
      </c>
      <c r="X2874" s="17" t="e">
        <f aca="false">ifs(C2874="","",X2874="",NOW(),TRUE(),X2874)</f>
        <v>#VALUE!</v>
      </c>
      <c r="Y2874" s="17" t="e">
        <f aca="false">ifs(COUNTA(K2874:U2877)&lt;44,"",Y2874="",NOW(),TRUE(),Y2874)</f>
        <v>#VALUE!</v>
      </c>
    </row>
    <row r="2875" customFormat="false" ht="15.75" hidden="false" customHeight="false" outlineLevel="0" collapsed="false">
      <c r="A2875" s="9"/>
      <c r="B2875" s="10"/>
      <c r="C2875" s="10"/>
      <c r="D2875" s="10"/>
      <c r="E2875" s="10"/>
      <c r="F2875" s="10"/>
      <c r="G2875" s="10"/>
      <c r="H2875" s="10"/>
      <c r="I2875" s="18" t="n">
        <v>2</v>
      </c>
      <c r="J2875" s="18"/>
      <c r="K2875" s="19"/>
      <c r="L2875" s="19"/>
      <c r="M2875" s="18"/>
      <c r="N2875" s="18"/>
      <c r="O2875" s="18"/>
      <c r="P2875" s="19"/>
      <c r="Q2875" s="19"/>
      <c r="R2875" s="18"/>
      <c r="S2875" s="18"/>
      <c r="T2875" s="18"/>
      <c r="U2875" s="20"/>
      <c r="V2875" s="21"/>
      <c r="W2875" s="16"/>
      <c r="X2875" s="16"/>
      <c r="Y2875" s="16"/>
    </row>
    <row r="2876" customFormat="false" ht="15.75" hidden="false" customHeight="false" outlineLevel="0" collapsed="false">
      <c r="A2876" s="9"/>
      <c r="B2876" s="10"/>
      <c r="C2876" s="10"/>
      <c r="D2876" s="10"/>
      <c r="E2876" s="10"/>
      <c r="F2876" s="10"/>
      <c r="G2876" s="10"/>
      <c r="H2876" s="10"/>
      <c r="I2876" s="22" t="n">
        <v>3</v>
      </c>
      <c r="J2876" s="22"/>
      <c r="K2876" s="23"/>
      <c r="L2876" s="23"/>
      <c r="M2876" s="22"/>
      <c r="N2876" s="22"/>
      <c r="O2876" s="22"/>
      <c r="P2876" s="23"/>
      <c r="Q2876" s="23"/>
      <c r="R2876" s="22"/>
      <c r="S2876" s="22"/>
      <c r="T2876" s="22"/>
      <c r="U2876" s="24"/>
      <c r="V2876" s="15"/>
      <c r="W2876" s="16"/>
      <c r="X2876" s="16"/>
      <c r="Y2876" s="16"/>
    </row>
    <row r="2877" customFormat="false" ht="15.75" hidden="false" customHeight="false" outlineLevel="0" collapsed="false">
      <c r="A2877" s="9"/>
      <c r="B2877" s="10"/>
      <c r="C2877" s="10"/>
      <c r="D2877" s="10"/>
      <c r="E2877" s="10"/>
      <c r="F2877" s="10"/>
      <c r="G2877" s="10"/>
      <c r="H2877" s="10"/>
      <c r="I2877" s="25" t="n">
        <v>4</v>
      </c>
      <c r="J2877" s="25"/>
      <c r="K2877" s="26"/>
      <c r="L2877" s="26"/>
      <c r="M2877" s="25"/>
      <c r="N2877" s="25"/>
      <c r="O2877" s="25"/>
      <c r="P2877" s="26"/>
      <c r="Q2877" s="26"/>
      <c r="R2877" s="25"/>
      <c r="S2877" s="25"/>
      <c r="T2877" s="25"/>
      <c r="U2877" s="27"/>
      <c r="V2877" s="21"/>
      <c r="W2877" s="16"/>
      <c r="X2877" s="16"/>
      <c r="Y2877" s="16"/>
    </row>
    <row r="2878" customFormat="false" ht="15.75" hidden="false" customHeight="false" outlineLevel="0" collapsed="false">
      <c r="A2878" s="9"/>
      <c r="B2878" s="10"/>
      <c r="C2878" s="11"/>
      <c r="D2878" s="10"/>
      <c r="E2878" s="10"/>
      <c r="F2878" s="10"/>
      <c r="G2878" s="10"/>
      <c r="H2878" s="10"/>
      <c r="I2878" s="12" t="n">
        <v>1</v>
      </c>
      <c r="J2878" s="12"/>
      <c r="K2878" s="13"/>
      <c r="L2878" s="13"/>
      <c r="M2878" s="12"/>
      <c r="N2878" s="12"/>
      <c r="O2878" s="12"/>
      <c r="P2878" s="13"/>
      <c r="Q2878" s="13"/>
      <c r="R2878" s="12"/>
      <c r="S2878" s="12"/>
      <c r="T2878" s="12"/>
      <c r="U2878" s="14"/>
      <c r="V2878" s="15"/>
      <c r="W2878" s="16" t="n">
        <f aca="false">A2878</f>
        <v>0</v>
      </c>
      <c r="X2878" s="17" t="e">
        <f aca="false">ifs(C2878="","",X2878="",NOW(),TRUE(),X2878)</f>
        <v>#VALUE!</v>
      </c>
      <c r="Y2878" s="17" t="e">
        <f aca="false">ifs(COUNTA(K2878:U2881)&lt;44,"",Y2878="",NOW(),TRUE(),Y2878)</f>
        <v>#VALUE!</v>
      </c>
    </row>
    <row r="2879" customFormat="false" ht="15.75" hidden="false" customHeight="false" outlineLevel="0" collapsed="false">
      <c r="A2879" s="9"/>
      <c r="B2879" s="10"/>
      <c r="C2879" s="10"/>
      <c r="D2879" s="10"/>
      <c r="E2879" s="10"/>
      <c r="F2879" s="10"/>
      <c r="G2879" s="10"/>
      <c r="H2879" s="10"/>
      <c r="I2879" s="18" t="n">
        <v>2</v>
      </c>
      <c r="J2879" s="18"/>
      <c r="K2879" s="19"/>
      <c r="L2879" s="19"/>
      <c r="M2879" s="18"/>
      <c r="N2879" s="18"/>
      <c r="O2879" s="18"/>
      <c r="P2879" s="19"/>
      <c r="Q2879" s="19"/>
      <c r="R2879" s="18"/>
      <c r="S2879" s="18"/>
      <c r="T2879" s="18"/>
      <c r="U2879" s="20"/>
      <c r="V2879" s="21"/>
      <c r="W2879" s="16"/>
      <c r="X2879" s="16"/>
      <c r="Y2879" s="16"/>
    </row>
    <row r="2880" customFormat="false" ht="15.75" hidden="false" customHeight="false" outlineLevel="0" collapsed="false">
      <c r="A2880" s="9"/>
      <c r="B2880" s="10"/>
      <c r="C2880" s="10"/>
      <c r="D2880" s="10"/>
      <c r="E2880" s="10"/>
      <c r="F2880" s="10"/>
      <c r="G2880" s="10"/>
      <c r="H2880" s="10"/>
      <c r="I2880" s="22" t="n">
        <v>3</v>
      </c>
      <c r="J2880" s="22"/>
      <c r="K2880" s="23"/>
      <c r="L2880" s="23"/>
      <c r="M2880" s="22"/>
      <c r="N2880" s="22"/>
      <c r="O2880" s="22"/>
      <c r="P2880" s="23"/>
      <c r="Q2880" s="23"/>
      <c r="R2880" s="22"/>
      <c r="S2880" s="22"/>
      <c r="T2880" s="22"/>
      <c r="U2880" s="24"/>
      <c r="V2880" s="15"/>
      <c r="W2880" s="16"/>
      <c r="X2880" s="16"/>
      <c r="Y2880" s="16"/>
    </row>
    <row r="2881" customFormat="false" ht="15.75" hidden="false" customHeight="false" outlineLevel="0" collapsed="false">
      <c r="A2881" s="9"/>
      <c r="B2881" s="10"/>
      <c r="C2881" s="10"/>
      <c r="D2881" s="10"/>
      <c r="E2881" s="10"/>
      <c r="F2881" s="10"/>
      <c r="G2881" s="10"/>
      <c r="H2881" s="10"/>
      <c r="I2881" s="25" t="n">
        <v>4</v>
      </c>
      <c r="J2881" s="25"/>
      <c r="K2881" s="26"/>
      <c r="L2881" s="26"/>
      <c r="M2881" s="25"/>
      <c r="N2881" s="25"/>
      <c r="O2881" s="25"/>
      <c r="P2881" s="26"/>
      <c r="Q2881" s="26"/>
      <c r="R2881" s="25"/>
      <c r="S2881" s="25"/>
      <c r="T2881" s="25"/>
      <c r="U2881" s="27"/>
      <c r="V2881" s="21"/>
      <c r="W2881" s="16"/>
      <c r="X2881" s="16"/>
      <c r="Y2881" s="16"/>
    </row>
    <row r="2882" customFormat="false" ht="15.75" hidden="false" customHeight="false" outlineLevel="0" collapsed="false">
      <c r="A2882" s="9"/>
      <c r="B2882" s="10"/>
      <c r="C2882" s="11"/>
      <c r="D2882" s="10"/>
      <c r="E2882" s="10"/>
      <c r="F2882" s="10"/>
      <c r="G2882" s="10"/>
      <c r="H2882" s="10"/>
      <c r="I2882" s="12" t="n">
        <v>1</v>
      </c>
      <c r="J2882" s="12"/>
      <c r="K2882" s="13"/>
      <c r="L2882" s="13"/>
      <c r="M2882" s="12"/>
      <c r="N2882" s="12"/>
      <c r="O2882" s="12"/>
      <c r="P2882" s="13"/>
      <c r="Q2882" s="13"/>
      <c r="R2882" s="12"/>
      <c r="S2882" s="12"/>
      <c r="T2882" s="12"/>
      <c r="U2882" s="14"/>
      <c r="V2882" s="15"/>
      <c r="W2882" s="16" t="n">
        <f aca="false">A2882</f>
        <v>0</v>
      </c>
      <c r="X2882" s="17" t="e">
        <f aca="false">ifs(C2882="","",X2882="",NOW(),TRUE(),X2882)</f>
        <v>#VALUE!</v>
      </c>
      <c r="Y2882" s="17" t="e">
        <f aca="false">ifs(COUNTA(K2882:U2885)&lt;44,"",Y2882="",NOW(),TRUE(),Y2882)</f>
        <v>#VALUE!</v>
      </c>
    </row>
    <row r="2883" customFormat="false" ht="15.75" hidden="false" customHeight="false" outlineLevel="0" collapsed="false">
      <c r="A2883" s="9"/>
      <c r="B2883" s="10"/>
      <c r="C2883" s="10"/>
      <c r="D2883" s="10"/>
      <c r="E2883" s="10"/>
      <c r="F2883" s="10"/>
      <c r="G2883" s="10"/>
      <c r="H2883" s="10"/>
      <c r="I2883" s="18" t="n">
        <v>2</v>
      </c>
      <c r="J2883" s="18"/>
      <c r="K2883" s="19"/>
      <c r="L2883" s="19"/>
      <c r="M2883" s="18"/>
      <c r="N2883" s="18"/>
      <c r="O2883" s="18"/>
      <c r="P2883" s="19"/>
      <c r="Q2883" s="19"/>
      <c r="R2883" s="18"/>
      <c r="S2883" s="18"/>
      <c r="T2883" s="18"/>
      <c r="U2883" s="20"/>
      <c r="V2883" s="21"/>
      <c r="W2883" s="16"/>
      <c r="X2883" s="16"/>
      <c r="Y2883" s="16"/>
    </row>
    <row r="2884" customFormat="false" ht="15.75" hidden="false" customHeight="false" outlineLevel="0" collapsed="false">
      <c r="A2884" s="9"/>
      <c r="B2884" s="10"/>
      <c r="C2884" s="10"/>
      <c r="D2884" s="10"/>
      <c r="E2884" s="10"/>
      <c r="F2884" s="10"/>
      <c r="G2884" s="10"/>
      <c r="H2884" s="10"/>
      <c r="I2884" s="22" t="n">
        <v>3</v>
      </c>
      <c r="J2884" s="22"/>
      <c r="K2884" s="23"/>
      <c r="L2884" s="23"/>
      <c r="M2884" s="22"/>
      <c r="N2884" s="22"/>
      <c r="O2884" s="22"/>
      <c r="P2884" s="23"/>
      <c r="Q2884" s="23"/>
      <c r="R2884" s="22"/>
      <c r="S2884" s="22"/>
      <c r="T2884" s="22"/>
      <c r="U2884" s="24"/>
      <c r="V2884" s="15"/>
      <c r="W2884" s="16"/>
      <c r="X2884" s="16"/>
      <c r="Y2884" s="16"/>
    </row>
    <row r="2885" customFormat="false" ht="15.75" hidden="false" customHeight="false" outlineLevel="0" collapsed="false">
      <c r="A2885" s="9"/>
      <c r="B2885" s="10"/>
      <c r="C2885" s="10"/>
      <c r="D2885" s="10"/>
      <c r="E2885" s="10"/>
      <c r="F2885" s="10"/>
      <c r="G2885" s="10"/>
      <c r="H2885" s="10"/>
      <c r="I2885" s="25" t="n">
        <v>4</v>
      </c>
      <c r="J2885" s="25"/>
      <c r="K2885" s="26"/>
      <c r="L2885" s="26"/>
      <c r="M2885" s="25"/>
      <c r="N2885" s="25"/>
      <c r="O2885" s="25"/>
      <c r="P2885" s="26"/>
      <c r="Q2885" s="26"/>
      <c r="R2885" s="25"/>
      <c r="S2885" s="25"/>
      <c r="T2885" s="25"/>
      <c r="U2885" s="27"/>
      <c r="V2885" s="21"/>
      <c r="W2885" s="16"/>
      <c r="X2885" s="16"/>
      <c r="Y2885" s="16"/>
    </row>
    <row r="2886" customFormat="false" ht="15.75" hidden="false" customHeight="false" outlineLevel="0" collapsed="false">
      <c r="A2886" s="9"/>
      <c r="B2886" s="10"/>
      <c r="C2886" s="11"/>
      <c r="D2886" s="10"/>
      <c r="E2886" s="10"/>
      <c r="F2886" s="10"/>
      <c r="G2886" s="10"/>
      <c r="H2886" s="10"/>
      <c r="I2886" s="12" t="n">
        <v>1</v>
      </c>
      <c r="J2886" s="12"/>
      <c r="K2886" s="13"/>
      <c r="L2886" s="13"/>
      <c r="M2886" s="12"/>
      <c r="N2886" s="12"/>
      <c r="O2886" s="12"/>
      <c r="P2886" s="13"/>
      <c r="Q2886" s="13"/>
      <c r="R2886" s="12"/>
      <c r="S2886" s="12"/>
      <c r="T2886" s="12"/>
      <c r="U2886" s="14"/>
      <c r="V2886" s="15"/>
      <c r="W2886" s="16" t="n">
        <f aca="false">A2886</f>
        <v>0</v>
      </c>
      <c r="X2886" s="17" t="e">
        <f aca="false">ifs(C2886="","",X2886="",NOW(),TRUE(),X2886)</f>
        <v>#VALUE!</v>
      </c>
      <c r="Y2886" s="17" t="e">
        <f aca="false">ifs(COUNTA(K2886:U2889)&lt;44,"",Y2886="",NOW(),TRUE(),Y2886)</f>
        <v>#VALUE!</v>
      </c>
    </row>
    <row r="2887" customFormat="false" ht="15.75" hidden="false" customHeight="false" outlineLevel="0" collapsed="false">
      <c r="A2887" s="9"/>
      <c r="B2887" s="10"/>
      <c r="C2887" s="10"/>
      <c r="D2887" s="10"/>
      <c r="E2887" s="10"/>
      <c r="F2887" s="10"/>
      <c r="G2887" s="10"/>
      <c r="H2887" s="10"/>
      <c r="I2887" s="18" t="n">
        <v>2</v>
      </c>
      <c r="J2887" s="18"/>
      <c r="K2887" s="19"/>
      <c r="L2887" s="19"/>
      <c r="M2887" s="18"/>
      <c r="N2887" s="18"/>
      <c r="O2887" s="18"/>
      <c r="P2887" s="19"/>
      <c r="Q2887" s="19"/>
      <c r="R2887" s="18"/>
      <c r="S2887" s="18"/>
      <c r="T2887" s="18"/>
      <c r="U2887" s="20"/>
      <c r="V2887" s="21"/>
      <c r="W2887" s="16"/>
      <c r="X2887" s="16"/>
      <c r="Y2887" s="16"/>
    </row>
    <row r="2888" customFormat="false" ht="15.75" hidden="false" customHeight="false" outlineLevel="0" collapsed="false">
      <c r="A2888" s="9"/>
      <c r="B2888" s="10"/>
      <c r="C2888" s="10"/>
      <c r="D2888" s="10"/>
      <c r="E2888" s="10"/>
      <c r="F2888" s="10"/>
      <c r="G2888" s="10"/>
      <c r="H2888" s="10"/>
      <c r="I2888" s="22" t="n">
        <v>3</v>
      </c>
      <c r="J2888" s="22"/>
      <c r="K2888" s="23"/>
      <c r="L2888" s="23"/>
      <c r="M2888" s="22"/>
      <c r="N2888" s="22"/>
      <c r="O2888" s="22"/>
      <c r="P2888" s="23"/>
      <c r="Q2888" s="23"/>
      <c r="R2888" s="22"/>
      <c r="S2888" s="22"/>
      <c r="T2888" s="22"/>
      <c r="U2888" s="24"/>
      <c r="V2888" s="15"/>
      <c r="W2888" s="16"/>
      <c r="X2888" s="16"/>
      <c r="Y2888" s="16"/>
    </row>
    <row r="2889" customFormat="false" ht="15.75" hidden="false" customHeight="false" outlineLevel="0" collapsed="false">
      <c r="A2889" s="9"/>
      <c r="B2889" s="10"/>
      <c r="C2889" s="10"/>
      <c r="D2889" s="10"/>
      <c r="E2889" s="10"/>
      <c r="F2889" s="10"/>
      <c r="G2889" s="10"/>
      <c r="H2889" s="10"/>
      <c r="I2889" s="25" t="n">
        <v>4</v>
      </c>
      <c r="J2889" s="25"/>
      <c r="K2889" s="26"/>
      <c r="L2889" s="26"/>
      <c r="M2889" s="25"/>
      <c r="N2889" s="25"/>
      <c r="O2889" s="25"/>
      <c r="P2889" s="26"/>
      <c r="Q2889" s="26"/>
      <c r="R2889" s="25"/>
      <c r="S2889" s="25"/>
      <c r="T2889" s="25"/>
      <c r="U2889" s="27"/>
      <c r="V2889" s="21"/>
      <c r="W2889" s="16"/>
      <c r="X2889" s="16"/>
      <c r="Y2889" s="16"/>
    </row>
    <row r="2890" customFormat="false" ht="15.75" hidden="false" customHeight="false" outlineLevel="0" collapsed="false">
      <c r="A2890" s="9"/>
      <c r="B2890" s="10"/>
      <c r="C2890" s="11"/>
      <c r="D2890" s="10"/>
      <c r="E2890" s="10"/>
      <c r="F2890" s="10"/>
      <c r="G2890" s="10"/>
      <c r="H2890" s="10"/>
      <c r="I2890" s="12" t="n">
        <v>1</v>
      </c>
      <c r="J2890" s="12"/>
      <c r="K2890" s="13"/>
      <c r="L2890" s="13"/>
      <c r="M2890" s="12"/>
      <c r="N2890" s="12"/>
      <c r="O2890" s="12"/>
      <c r="P2890" s="13"/>
      <c r="Q2890" s="13"/>
      <c r="R2890" s="12"/>
      <c r="S2890" s="12"/>
      <c r="T2890" s="12"/>
      <c r="U2890" s="14"/>
      <c r="V2890" s="15"/>
      <c r="W2890" s="16" t="n">
        <f aca="false">A2890</f>
        <v>0</v>
      </c>
      <c r="X2890" s="17" t="e">
        <f aca="false">ifs(C2890="","",X2890="",NOW(),TRUE(),X2890)</f>
        <v>#VALUE!</v>
      </c>
      <c r="Y2890" s="17" t="e">
        <f aca="false">ifs(COUNTA(K2890:U2893)&lt;44,"",Y2890="",NOW(),TRUE(),Y2890)</f>
        <v>#VALUE!</v>
      </c>
    </row>
    <row r="2891" customFormat="false" ht="15.75" hidden="false" customHeight="false" outlineLevel="0" collapsed="false">
      <c r="A2891" s="9"/>
      <c r="B2891" s="10"/>
      <c r="C2891" s="10"/>
      <c r="D2891" s="10"/>
      <c r="E2891" s="10"/>
      <c r="F2891" s="10"/>
      <c r="G2891" s="10"/>
      <c r="H2891" s="10"/>
      <c r="I2891" s="18" t="n">
        <v>2</v>
      </c>
      <c r="J2891" s="18"/>
      <c r="K2891" s="19"/>
      <c r="L2891" s="19"/>
      <c r="M2891" s="18"/>
      <c r="N2891" s="18"/>
      <c r="O2891" s="18"/>
      <c r="P2891" s="19"/>
      <c r="Q2891" s="19"/>
      <c r="R2891" s="18"/>
      <c r="S2891" s="18"/>
      <c r="T2891" s="18"/>
      <c r="U2891" s="20"/>
      <c r="V2891" s="21"/>
      <c r="W2891" s="16"/>
      <c r="X2891" s="16"/>
      <c r="Y2891" s="16"/>
    </row>
    <row r="2892" customFormat="false" ht="15.75" hidden="false" customHeight="false" outlineLevel="0" collapsed="false">
      <c r="A2892" s="9"/>
      <c r="B2892" s="10"/>
      <c r="C2892" s="10"/>
      <c r="D2892" s="10"/>
      <c r="E2892" s="10"/>
      <c r="F2892" s="10"/>
      <c r="G2892" s="10"/>
      <c r="H2892" s="10"/>
      <c r="I2892" s="22" t="n">
        <v>3</v>
      </c>
      <c r="J2892" s="22"/>
      <c r="K2892" s="23"/>
      <c r="L2892" s="23"/>
      <c r="M2892" s="22"/>
      <c r="N2892" s="22"/>
      <c r="O2892" s="22"/>
      <c r="P2892" s="23"/>
      <c r="Q2892" s="23"/>
      <c r="R2892" s="22"/>
      <c r="S2892" s="22"/>
      <c r="T2892" s="22"/>
      <c r="U2892" s="24"/>
      <c r="V2892" s="15"/>
      <c r="W2892" s="16"/>
      <c r="X2892" s="16"/>
      <c r="Y2892" s="16"/>
    </row>
    <row r="2893" customFormat="false" ht="15.75" hidden="false" customHeight="false" outlineLevel="0" collapsed="false">
      <c r="A2893" s="9"/>
      <c r="B2893" s="10"/>
      <c r="C2893" s="10"/>
      <c r="D2893" s="10"/>
      <c r="E2893" s="10"/>
      <c r="F2893" s="10"/>
      <c r="G2893" s="10"/>
      <c r="H2893" s="10"/>
      <c r="I2893" s="25" t="n">
        <v>4</v>
      </c>
      <c r="J2893" s="25"/>
      <c r="K2893" s="26"/>
      <c r="L2893" s="26"/>
      <c r="M2893" s="25"/>
      <c r="N2893" s="25"/>
      <c r="O2893" s="25"/>
      <c r="P2893" s="26"/>
      <c r="Q2893" s="26"/>
      <c r="R2893" s="25"/>
      <c r="S2893" s="25"/>
      <c r="T2893" s="25"/>
      <c r="U2893" s="27"/>
      <c r="V2893" s="21"/>
      <c r="W2893" s="16"/>
      <c r="X2893" s="16"/>
      <c r="Y2893" s="16"/>
    </row>
    <row r="2894" customFormat="false" ht="15.75" hidden="false" customHeight="false" outlineLevel="0" collapsed="false">
      <c r="A2894" s="9"/>
      <c r="B2894" s="10"/>
      <c r="C2894" s="11"/>
      <c r="D2894" s="10"/>
      <c r="E2894" s="10"/>
      <c r="F2894" s="10"/>
      <c r="G2894" s="10"/>
      <c r="H2894" s="10"/>
      <c r="I2894" s="12" t="n">
        <v>1</v>
      </c>
      <c r="J2894" s="12"/>
      <c r="K2894" s="13"/>
      <c r="L2894" s="13"/>
      <c r="M2894" s="12"/>
      <c r="N2894" s="12"/>
      <c r="O2894" s="12"/>
      <c r="P2894" s="13"/>
      <c r="Q2894" s="13"/>
      <c r="R2894" s="12"/>
      <c r="S2894" s="12"/>
      <c r="T2894" s="12"/>
      <c r="U2894" s="14"/>
      <c r="V2894" s="15"/>
      <c r="W2894" s="16" t="n">
        <f aca="false">A2894</f>
        <v>0</v>
      </c>
      <c r="X2894" s="17" t="e">
        <f aca="false">ifs(C2894="","",X2894="",NOW(),TRUE(),X2894)</f>
        <v>#VALUE!</v>
      </c>
      <c r="Y2894" s="17" t="e">
        <f aca="false">ifs(COUNTA(K2894:U2897)&lt;44,"",Y2894="",NOW(),TRUE(),Y2894)</f>
        <v>#VALUE!</v>
      </c>
    </row>
    <row r="2895" customFormat="false" ht="15.75" hidden="false" customHeight="false" outlineLevel="0" collapsed="false">
      <c r="A2895" s="9"/>
      <c r="B2895" s="10"/>
      <c r="C2895" s="10"/>
      <c r="D2895" s="10"/>
      <c r="E2895" s="10"/>
      <c r="F2895" s="10"/>
      <c r="G2895" s="10"/>
      <c r="H2895" s="10"/>
      <c r="I2895" s="18" t="n">
        <v>2</v>
      </c>
      <c r="J2895" s="18"/>
      <c r="K2895" s="19"/>
      <c r="L2895" s="19"/>
      <c r="M2895" s="18"/>
      <c r="N2895" s="18"/>
      <c r="O2895" s="18"/>
      <c r="P2895" s="19"/>
      <c r="Q2895" s="19"/>
      <c r="R2895" s="18"/>
      <c r="S2895" s="18"/>
      <c r="T2895" s="18"/>
      <c r="U2895" s="20"/>
      <c r="V2895" s="21"/>
      <c r="W2895" s="16"/>
      <c r="X2895" s="16"/>
      <c r="Y2895" s="16"/>
    </row>
    <row r="2896" customFormat="false" ht="15.75" hidden="false" customHeight="false" outlineLevel="0" collapsed="false">
      <c r="A2896" s="9"/>
      <c r="B2896" s="10"/>
      <c r="C2896" s="10"/>
      <c r="D2896" s="10"/>
      <c r="E2896" s="10"/>
      <c r="F2896" s="10"/>
      <c r="G2896" s="10"/>
      <c r="H2896" s="10"/>
      <c r="I2896" s="22" t="n">
        <v>3</v>
      </c>
      <c r="J2896" s="22"/>
      <c r="K2896" s="23"/>
      <c r="L2896" s="23"/>
      <c r="M2896" s="22"/>
      <c r="N2896" s="22"/>
      <c r="O2896" s="22"/>
      <c r="P2896" s="23"/>
      <c r="Q2896" s="23"/>
      <c r="R2896" s="22"/>
      <c r="S2896" s="22"/>
      <c r="T2896" s="22"/>
      <c r="U2896" s="24"/>
      <c r="V2896" s="15"/>
      <c r="W2896" s="16"/>
      <c r="X2896" s="16"/>
      <c r="Y2896" s="16"/>
    </row>
    <row r="2897" customFormat="false" ht="15.75" hidden="false" customHeight="false" outlineLevel="0" collapsed="false">
      <c r="A2897" s="9"/>
      <c r="B2897" s="10"/>
      <c r="C2897" s="10"/>
      <c r="D2897" s="10"/>
      <c r="E2897" s="10"/>
      <c r="F2897" s="10"/>
      <c r="G2897" s="10"/>
      <c r="H2897" s="10"/>
      <c r="I2897" s="25" t="n">
        <v>4</v>
      </c>
      <c r="J2897" s="25"/>
      <c r="K2897" s="26"/>
      <c r="L2897" s="26"/>
      <c r="M2897" s="25"/>
      <c r="N2897" s="25"/>
      <c r="O2897" s="25"/>
      <c r="P2897" s="26"/>
      <c r="Q2897" s="26"/>
      <c r="R2897" s="25"/>
      <c r="S2897" s="25"/>
      <c r="T2897" s="25"/>
      <c r="U2897" s="27"/>
      <c r="V2897" s="21"/>
      <c r="W2897" s="16"/>
      <c r="X2897" s="16"/>
      <c r="Y2897" s="16"/>
    </row>
    <row r="2898" customFormat="false" ht="15.75" hidden="false" customHeight="false" outlineLevel="0" collapsed="false">
      <c r="A2898" s="9"/>
      <c r="B2898" s="10"/>
      <c r="C2898" s="11"/>
      <c r="D2898" s="10"/>
      <c r="E2898" s="10"/>
      <c r="F2898" s="10"/>
      <c r="G2898" s="10"/>
      <c r="H2898" s="10"/>
      <c r="I2898" s="12" t="n">
        <v>1</v>
      </c>
      <c r="J2898" s="12"/>
      <c r="K2898" s="13"/>
      <c r="L2898" s="13"/>
      <c r="M2898" s="12"/>
      <c r="N2898" s="12"/>
      <c r="O2898" s="12"/>
      <c r="P2898" s="13"/>
      <c r="Q2898" s="13"/>
      <c r="R2898" s="12"/>
      <c r="S2898" s="12"/>
      <c r="T2898" s="12"/>
      <c r="U2898" s="14"/>
      <c r="V2898" s="15"/>
      <c r="W2898" s="16" t="n">
        <f aca="false">A2898</f>
        <v>0</v>
      </c>
      <c r="X2898" s="17" t="e">
        <f aca="false">ifs(C2898="","",X2898="",NOW(),TRUE(),X2898)</f>
        <v>#VALUE!</v>
      </c>
      <c r="Y2898" s="17" t="e">
        <f aca="false">ifs(COUNTA(K2898:U2901)&lt;44,"",Y2898="",NOW(),TRUE(),Y2898)</f>
        <v>#VALUE!</v>
      </c>
    </row>
    <row r="2899" customFormat="false" ht="15.75" hidden="false" customHeight="false" outlineLevel="0" collapsed="false">
      <c r="A2899" s="9"/>
      <c r="B2899" s="10"/>
      <c r="C2899" s="10"/>
      <c r="D2899" s="10"/>
      <c r="E2899" s="10"/>
      <c r="F2899" s="10"/>
      <c r="G2899" s="10"/>
      <c r="H2899" s="10"/>
      <c r="I2899" s="18" t="n">
        <v>2</v>
      </c>
      <c r="J2899" s="18"/>
      <c r="K2899" s="19"/>
      <c r="L2899" s="19"/>
      <c r="M2899" s="18"/>
      <c r="N2899" s="18"/>
      <c r="O2899" s="18"/>
      <c r="P2899" s="19"/>
      <c r="Q2899" s="19"/>
      <c r="R2899" s="18"/>
      <c r="S2899" s="18"/>
      <c r="T2899" s="18"/>
      <c r="U2899" s="20"/>
      <c r="V2899" s="21"/>
      <c r="W2899" s="16"/>
      <c r="X2899" s="16"/>
      <c r="Y2899" s="16"/>
    </row>
    <row r="2900" customFormat="false" ht="15.75" hidden="false" customHeight="false" outlineLevel="0" collapsed="false">
      <c r="A2900" s="9"/>
      <c r="B2900" s="10"/>
      <c r="C2900" s="10"/>
      <c r="D2900" s="10"/>
      <c r="E2900" s="10"/>
      <c r="F2900" s="10"/>
      <c r="G2900" s="10"/>
      <c r="H2900" s="10"/>
      <c r="I2900" s="22" t="n">
        <v>3</v>
      </c>
      <c r="J2900" s="22"/>
      <c r="K2900" s="23"/>
      <c r="L2900" s="23"/>
      <c r="M2900" s="22"/>
      <c r="N2900" s="22"/>
      <c r="O2900" s="22"/>
      <c r="P2900" s="23"/>
      <c r="Q2900" s="23"/>
      <c r="R2900" s="22"/>
      <c r="S2900" s="22"/>
      <c r="T2900" s="22"/>
      <c r="U2900" s="24"/>
      <c r="V2900" s="15"/>
      <c r="W2900" s="16"/>
      <c r="X2900" s="16"/>
      <c r="Y2900" s="16"/>
    </row>
    <row r="2901" customFormat="false" ht="15.75" hidden="false" customHeight="false" outlineLevel="0" collapsed="false">
      <c r="A2901" s="9"/>
      <c r="B2901" s="10"/>
      <c r="C2901" s="10"/>
      <c r="D2901" s="10"/>
      <c r="E2901" s="10"/>
      <c r="F2901" s="10"/>
      <c r="G2901" s="10"/>
      <c r="H2901" s="10"/>
      <c r="I2901" s="25" t="n">
        <v>4</v>
      </c>
      <c r="J2901" s="25"/>
      <c r="K2901" s="26"/>
      <c r="L2901" s="26"/>
      <c r="M2901" s="25"/>
      <c r="N2901" s="25"/>
      <c r="O2901" s="25"/>
      <c r="P2901" s="26"/>
      <c r="Q2901" s="26"/>
      <c r="R2901" s="25"/>
      <c r="S2901" s="25"/>
      <c r="T2901" s="25"/>
      <c r="U2901" s="27"/>
      <c r="V2901" s="21"/>
      <c r="W2901" s="16"/>
      <c r="X2901" s="16"/>
      <c r="Y2901" s="16"/>
    </row>
    <row r="2902" customFormat="false" ht="15.75" hidden="false" customHeight="false" outlineLevel="0" collapsed="false">
      <c r="A2902" s="9"/>
      <c r="B2902" s="10"/>
      <c r="C2902" s="11"/>
      <c r="D2902" s="10"/>
      <c r="E2902" s="10"/>
      <c r="F2902" s="10"/>
      <c r="G2902" s="10"/>
      <c r="H2902" s="10"/>
      <c r="I2902" s="12" t="n">
        <v>1</v>
      </c>
      <c r="J2902" s="12"/>
      <c r="K2902" s="13"/>
      <c r="L2902" s="13"/>
      <c r="M2902" s="12"/>
      <c r="N2902" s="12"/>
      <c r="O2902" s="12"/>
      <c r="P2902" s="13"/>
      <c r="Q2902" s="13"/>
      <c r="R2902" s="12"/>
      <c r="S2902" s="12"/>
      <c r="T2902" s="12"/>
      <c r="U2902" s="14"/>
      <c r="V2902" s="15"/>
      <c r="W2902" s="16" t="n">
        <f aca="false">A2902</f>
        <v>0</v>
      </c>
      <c r="X2902" s="17" t="e">
        <f aca="false">ifs(C2902="","",X2902="",NOW(),TRUE(),X2902)</f>
        <v>#VALUE!</v>
      </c>
      <c r="Y2902" s="17" t="e">
        <f aca="false">ifs(COUNTA(K2902:U2905)&lt;44,"",Y2902="",NOW(),TRUE(),Y2902)</f>
        <v>#VALUE!</v>
      </c>
    </row>
    <row r="2903" customFormat="false" ht="15.75" hidden="false" customHeight="false" outlineLevel="0" collapsed="false">
      <c r="A2903" s="9"/>
      <c r="B2903" s="10"/>
      <c r="C2903" s="10"/>
      <c r="D2903" s="10"/>
      <c r="E2903" s="10"/>
      <c r="F2903" s="10"/>
      <c r="G2903" s="10"/>
      <c r="H2903" s="10"/>
      <c r="I2903" s="18" t="n">
        <v>2</v>
      </c>
      <c r="J2903" s="18"/>
      <c r="K2903" s="19"/>
      <c r="L2903" s="19"/>
      <c r="M2903" s="18"/>
      <c r="N2903" s="18"/>
      <c r="O2903" s="18"/>
      <c r="P2903" s="19"/>
      <c r="Q2903" s="19"/>
      <c r="R2903" s="18"/>
      <c r="S2903" s="18"/>
      <c r="T2903" s="18"/>
      <c r="U2903" s="20"/>
      <c r="V2903" s="21"/>
      <c r="W2903" s="16"/>
      <c r="X2903" s="16"/>
      <c r="Y2903" s="16"/>
    </row>
    <row r="2904" customFormat="false" ht="15.75" hidden="false" customHeight="false" outlineLevel="0" collapsed="false">
      <c r="A2904" s="9"/>
      <c r="B2904" s="10"/>
      <c r="C2904" s="10"/>
      <c r="D2904" s="10"/>
      <c r="E2904" s="10"/>
      <c r="F2904" s="10"/>
      <c r="G2904" s="10"/>
      <c r="H2904" s="10"/>
      <c r="I2904" s="22" t="n">
        <v>3</v>
      </c>
      <c r="J2904" s="22"/>
      <c r="K2904" s="23"/>
      <c r="L2904" s="23"/>
      <c r="M2904" s="22"/>
      <c r="N2904" s="22"/>
      <c r="O2904" s="22"/>
      <c r="P2904" s="23"/>
      <c r="Q2904" s="23"/>
      <c r="R2904" s="22"/>
      <c r="S2904" s="22"/>
      <c r="T2904" s="22"/>
      <c r="U2904" s="24"/>
      <c r="V2904" s="15"/>
      <c r="W2904" s="16"/>
      <c r="X2904" s="16"/>
      <c r="Y2904" s="16"/>
    </row>
    <row r="2905" customFormat="false" ht="15.75" hidden="false" customHeight="false" outlineLevel="0" collapsed="false">
      <c r="A2905" s="9"/>
      <c r="B2905" s="10"/>
      <c r="C2905" s="10"/>
      <c r="D2905" s="10"/>
      <c r="E2905" s="10"/>
      <c r="F2905" s="10"/>
      <c r="G2905" s="10"/>
      <c r="H2905" s="10"/>
      <c r="I2905" s="25" t="n">
        <v>4</v>
      </c>
      <c r="J2905" s="25"/>
      <c r="K2905" s="26"/>
      <c r="L2905" s="26"/>
      <c r="M2905" s="25"/>
      <c r="N2905" s="25"/>
      <c r="O2905" s="25"/>
      <c r="P2905" s="26"/>
      <c r="Q2905" s="26"/>
      <c r="R2905" s="25"/>
      <c r="S2905" s="25"/>
      <c r="T2905" s="25"/>
      <c r="U2905" s="27"/>
      <c r="V2905" s="21"/>
      <c r="W2905" s="16"/>
      <c r="X2905" s="16"/>
      <c r="Y2905" s="16"/>
    </row>
    <row r="2906" customFormat="false" ht="15.75" hidden="false" customHeight="false" outlineLevel="0" collapsed="false">
      <c r="A2906" s="9"/>
      <c r="B2906" s="10"/>
      <c r="C2906" s="11"/>
      <c r="D2906" s="10"/>
      <c r="E2906" s="10"/>
      <c r="F2906" s="10"/>
      <c r="G2906" s="10"/>
      <c r="H2906" s="10"/>
      <c r="I2906" s="12" t="n">
        <v>1</v>
      </c>
      <c r="J2906" s="12"/>
      <c r="K2906" s="13"/>
      <c r="L2906" s="13"/>
      <c r="M2906" s="12"/>
      <c r="N2906" s="12"/>
      <c r="O2906" s="12"/>
      <c r="P2906" s="13"/>
      <c r="Q2906" s="13"/>
      <c r="R2906" s="12"/>
      <c r="S2906" s="12"/>
      <c r="T2906" s="12"/>
      <c r="U2906" s="14"/>
      <c r="V2906" s="15"/>
      <c r="W2906" s="16" t="n">
        <f aca="false">A2906</f>
        <v>0</v>
      </c>
      <c r="X2906" s="17" t="e">
        <f aca="false">ifs(C2906="","",X2906="",NOW(),TRUE(),X2906)</f>
        <v>#VALUE!</v>
      </c>
      <c r="Y2906" s="17" t="e">
        <f aca="false">ifs(COUNTA(K2906:U2909)&lt;44,"",Y2906="",NOW(),TRUE(),Y2906)</f>
        <v>#VALUE!</v>
      </c>
    </row>
    <row r="2907" customFormat="false" ht="15.75" hidden="false" customHeight="false" outlineLevel="0" collapsed="false">
      <c r="A2907" s="9"/>
      <c r="B2907" s="10"/>
      <c r="C2907" s="10"/>
      <c r="D2907" s="10"/>
      <c r="E2907" s="10"/>
      <c r="F2907" s="10"/>
      <c r="G2907" s="10"/>
      <c r="H2907" s="10"/>
      <c r="I2907" s="18" t="n">
        <v>2</v>
      </c>
      <c r="J2907" s="18"/>
      <c r="K2907" s="19"/>
      <c r="L2907" s="19"/>
      <c r="M2907" s="18"/>
      <c r="N2907" s="18"/>
      <c r="O2907" s="18"/>
      <c r="P2907" s="19"/>
      <c r="Q2907" s="19"/>
      <c r="R2907" s="18"/>
      <c r="S2907" s="18"/>
      <c r="T2907" s="18"/>
      <c r="U2907" s="20"/>
      <c r="V2907" s="21"/>
      <c r="W2907" s="16"/>
      <c r="X2907" s="16"/>
      <c r="Y2907" s="16"/>
    </row>
    <row r="2908" customFormat="false" ht="15.75" hidden="false" customHeight="false" outlineLevel="0" collapsed="false">
      <c r="A2908" s="9"/>
      <c r="B2908" s="10"/>
      <c r="C2908" s="10"/>
      <c r="D2908" s="10"/>
      <c r="E2908" s="10"/>
      <c r="F2908" s="10"/>
      <c r="G2908" s="10"/>
      <c r="H2908" s="10"/>
      <c r="I2908" s="22" t="n">
        <v>3</v>
      </c>
      <c r="J2908" s="22"/>
      <c r="K2908" s="23"/>
      <c r="L2908" s="23"/>
      <c r="M2908" s="22"/>
      <c r="N2908" s="22"/>
      <c r="O2908" s="22"/>
      <c r="P2908" s="23"/>
      <c r="Q2908" s="23"/>
      <c r="R2908" s="22"/>
      <c r="S2908" s="22"/>
      <c r="T2908" s="22"/>
      <c r="U2908" s="24"/>
      <c r="V2908" s="15"/>
      <c r="W2908" s="16"/>
      <c r="X2908" s="16"/>
      <c r="Y2908" s="16"/>
    </row>
    <row r="2909" customFormat="false" ht="15.75" hidden="false" customHeight="false" outlineLevel="0" collapsed="false">
      <c r="A2909" s="9"/>
      <c r="B2909" s="10"/>
      <c r="C2909" s="10"/>
      <c r="D2909" s="10"/>
      <c r="E2909" s="10"/>
      <c r="F2909" s="10"/>
      <c r="G2909" s="10"/>
      <c r="H2909" s="10"/>
      <c r="I2909" s="25" t="n">
        <v>4</v>
      </c>
      <c r="J2909" s="25"/>
      <c r="K2909" s="26"/>
      <c r="L2909" s="26"/>
      <c r="M2909" s="25"/>
      <c r="N2909" s="25"/>
      <c r="O2909" s="25"/>
      <c r="P2909" s="26"/>
      <c r="Q2909" s="26"/>
      <c r="R2909" s="25"/>
      <c r="S2909" s="25"/>
      <c r="T2909" s="25"/>
      <c r="U2909" s="27"/>
      <c r="V2909" s="21"/>
      <c r="W2909" s="16"/>
      <c r="X2909" s="16"/>
      <c r="Y2909" s="16"/>
    </row>
    <row r="2910" customFormat="false" ht="15.75" hidden="false" customHeight="false" outlineLevel="0" collapsed="false">
      <c r="A2910" s="9"/>
      <c r="B2910" s="10"/>
      <c r="C2910" s="11"/>
      <c r="D2910" s="10"/>
      <c r="E2910" s="10"/>
      <c r="F2910" s="10"/>
      <c r="G2910" s="10"/>
      <c r="H2910" s="10"/>
      <c r="I2910" s="12" t="n">
        <v>1</v>
      </c>
      <c r="J2910" s="12"/>
      <c r="K2910" s="13"/>
      <c r="L2910" s="13"/>
      <c r="M2910" s="12"/>
      <c r="N2910" s="12"/>
      <c r="O2910" s="12"/>
      <c r="P2910" s="13"/>
      <c r="Q2910" s="13"/>
      <c r="R2910" s="12"/>
      <c r="S2910" s="12"/>
      <c r="T2910" s="12"/>
      <c r="U2910" s="14"/>
      <c r="V2910" s="15"/>
      <c r="W2910" s="16" t="n">
        <f aca="false">A2910</f>
        <v>0</v>
      </c>
      <c r="X2910" s="17" t="e">
        <f aca="false">ifs(C2910="","",X2910="",NOW(),TRUE(),X2910)</f>
        <v>#VALUE!</v>
      </c>
      <c r="Y2910" s="17" t="e">
        <f aca="false">ifs(COUNTA(K2910:U2913)&lt;44,"",Y2910="",NOW(),TRUE(),Y2910)</f>
        <v>#VALUE!</v>
      </c>
    </row>
    <row r="2911" customFormat="false" ht="15.75" hidden="false" customHeight="false" outlineLevel="0" collapsed="false">
      <c r="A2911" s="9"/>
      <c r="B2911" s="10"/>
      <c r="C2911" s="10"/>
      <c r="D2911" s="10"/>
      <c r="E2911" s="10"/>
      <c r="F2911" s="10"/>
      <c r="G2911" s="10"/>
      <c r="H2911" s="10"/>
      <c r="I2911" s="18" t="n">
        <v>2</v>
      </c>
      <c r="J2911" s="18"/>
      <c r="K2911" s="19"/>
      <c r="L2911" s="19"/>
      <c r="M2911" s="18"/>
      <c r="N2911" s="18"/>
      <c r="O2911" s="18"/>
      <c r="P2911" s="19"/>
      <c r="Q2911" s="19"/>
      <c r="R2911" s="18"/>
      <c r="S2911" s="18"/>
      <c r="T2911" s="18"/>
      <c r="U2911" s="20"/>
      <c r="V2911" s="21"/>
      <c r="W2911" s="16"/>
      <c r="X2911" s="16"/>
      <c r="Y2911" s="16"/>
    </row>
    <row r="2912" customFormat="false" ht="15.75" hidden="false" customHeight="false" outlineLevel="0" collapsed="false">
      <c r="A2912" s="9"/>
      <c r="B2912" s="10"/>
      <c r="C2912" s="10"/>
      <c r="D2912" s="10"/>
      <c r="E2912" s="10"/>
      <c r="F2912" s="10"/>
      <c r="G2912" s="10"/>
      <c r="H2912" s="10"/>
      <c r="I2912" s="22" t="n">
        <v>3</v>
      </c>
      <c r="J2912" s="22"/>
      <c r="K2912" s="23"/>
      <c r="L2912" s="23"/>
      <c r="M2912" s="22"/>
      <c r="N2912" s="22"/>
      <c r="O2912" s="22"/>
      <c r="P2912" s="23"/>
      <c r="Q2912" s="23"/>
      <c r="R2912" s="22"/>
      <c r="S2912" s="22"/>
      <c r="T2912" s="22"/>
      <c r="U2912" s="24"/>
      <c r="V2912" s="15"/>
      <c r="W2912" s="16"/>
      <c r="X2912" s="16"/>
      <c r="Y2912" s="16"/>
    </row>
    <row r="2913" customFormat="false" ht="15.75" hidden="false" customHeight="false" outlineLevel="0" collapsed="false">
      <c r="A2913" s="9"/>
      <c r="B2913" s="10"/>
      <c r="C2913" s="10"/>
      <c r="D2913" s="10"/>
      <c r="E2913" s="10"/>
      <c r="F2913" s="10"/>
      <c r="G2913" s="10"/>
      <c r="H2913" s="10"/>
      <c r="I2913" s="25" t="n">
        <v>4</v>
      </c>
      <c r="J2913" s="25"/>
      <c r="K2913" s="26"/>
      <c r="L2913" s="26"/>
      <c r="M2913" s="25"/>
      <c r="N2913" s="25"/>
      <c r="O2913" s="25"/>
      <c r="P2913" s="26"/>
      <c r="Q2913" s="26"/>
      <c r="R2913" s="25"/>
      <c r="S2913" s="25"/>
      <c r="T2913" s="25"/>
      <c r="U2913" s="27"/>
      <c r="V2913" s="21"/>
      <c r="W2913" s="16"/>
      <c r="X2913" s="16"/>
      <c r="Y2913" s="16"/>
    </row>
    <row r="2914" customFormat="false" ht="15.75" hidden="false" customHeight="false" outlineLevel="0" collapsed="false">
      <c r="A2914" s="9"/>
      <c r="B2914" s="10"/>
      <c r="C2914" s="11"/>
      <c r="D2914" s="10"/>
      <c r="E2914" s="10"/>
      <c r="F2914" s="10"/>
      <c r="G2914" s="10"/>
      <c r="H2914" s="10"/>
      <c r="I2914" s="12" t="n">
        <v>1</v>
      </c>
      <c r="J2914" s="12"/>
      <c r="K2914" s="13"/>
      <c r="L2914" s="13"/>
      <c r="M2914" s="12"/>
      <c r="N2914" s="12"/>
      <c r="O2914" s="12"/>
      <c r="P2914" s="13"/>
      <c r="Q2914" s="13"/>
      <c r="R2914" s="12"/>
      <c r="S2914" s="12"/>
      <c r="T2914" s="12"/>
      <c r="U2914" s="14"/>
      <c r="V2914" s="15"/>
      <c r="W2914" s="16" t="n">
        <f aca="false">A2914</f>
        <v>0</v>
      </c>
      <c r="X2914" s="17" t="e">
        <f aca="false">ifs(C2914="","",X2914="",NOW(),TRUE(),X2914)</f>
        <v>#VALUE!</v>
      </c>
      <c r="Y2914" s="17" t="e">
        <f aca="false">ifs(COUNTA(K2914:U2917)&lt;44,"",Y2914="",NOW(),TRUE(),Y2914)</f>
        <v>#VALUE!</v>
      </c>
    </row>
    <row r="2915" customFormat="false" ht="15.75" hidden="false" customHeight="false" outlineLevel="0" collapsed="false">
      <c r="A2915" s="9"/>
      <c r="B2915" s="10"/>
      <c r="C2915" s="10"/>
      <c r="D2915" s="10"/>
      <c r="E2915" s="10"/>
      <c r="F2915" s="10"/>
      <c r="G2915" s="10"/>
      <c r="H2915" s="10"/>
      <c r="I2915" s="18" t="n">
        <v>2</v>
      </c>
      <c r="J2915" s="18"/>
      <c r="K2915" s="19"/>
      <c r="L2915" s="19"/>
      <c r="M2915" s="18"/>
      <c r="N2915" s="18"/>
      <c r="O2915" s="18"/>
      <c r="P2915" s="19"/>
      <c r="Q2915" s="19"/>
      <c r="R2915" s="18"/>
      <c r="S2915" s="18"/>
      <c r="T2915" s="18"/>
      <c r="U2915" s="20"/>
      <c r="V2915" s="21"/>
      <c r="W2915" s="16"/>
      <c r="X2915" s="16"/>
      <c r="Y2915" s="16"/>
    </row>
    <row r="2916" customFormat="false" ht="15.75" hidden="false" customHeight="false" outlineLevel="0" collapsed="false">
      <c r="A2916" s="9"/>
      <c r="B2916" s="10"/>
      <c r="C2916" s="10"/>
      <c r="D2916" s="10"/>
      <c r="E2916" s="10"/>
      <c r="F2916" s="10"/>
      <c r="G2916" s="10"/>
      <c r="H2916" s="10"/>
      <c r="I2916" s="22" t="n">
        <v>3</v>
      </c>
      <c r="J2916" s="22"/>
      <c r="K2916" s="23"/>
      <c r="L2916" s="23"/>
      <c r="M2916" s="22"/>
      <c r="N2916" s="22"/>
      <c r="O2916" s="22"/>
      <c r="P2916" s="23"/>
      <c r="Q2916" s="23"/>
      <c r="R2916" s="22"/>
      <c r="S2916" s="22"/>
      <c r="T2916" s="22"/>
      <c r="U2916" s="24"/>
      <c r="V2916" s="15"/>
      <c r="W2916" s="16"/>
      <c r="X2916" s="16"/>
      <c r="Y2916" s="16"/>
    </row>
    <row r="2917" customFormat="false" ht="15.75" hidden="false" customHeight="false" outlineLevel="0" collapsed="false">
      <c r="A2917" s="9"/>
      <c r="B2917" s="10"/>
      <c r="C2917" s="10"/>
      <c r="D2917" s="10"/>
      <c r="E2917" s="10"/>
      <c r="F2917" s="10"/>
      <c r="G2917" s="10"/>
      <c r="H2917" s="10"/>
      <c r="I2917" s="25" t="n">
        <v>4</v>
      </c>
      <c r="J2917" s="25"/>
      <c r="K2917" s="26"/>
      <c r="L2917" s="26"/>
      <c r="M2917" s="25"/>
      <c r="N2917" s="25"/>
      <c r="O2917" s="25"/>
      <c r="P2917" s="26"/>
      <c r="Q2917" s="26"/>
      <c r="R2917" s="25"/>
      <c r="S2917" s="25"/>
      <c r="T2917" s="25"/>
      <c r="U2917" s="27"/>
      <c r="V2917" s="21"/>
      <c r="W2917" s="16"/>
      <c r="X2917" s="16"/>
      <c r="Y2917" s="16"/>
    </row>
    <row r="2918" customFormat="false" ht="15.75" hidden="false" customHeight="false" outlineLevel="0" collapsed="false">
      <c r="A2918" s="9"/>
      <c r="B2918" s="10"/>
      <c r="C2918" s="11"/>
      <c r="D2918" s="10"/>
      <c r="E2918" s="10"/>
      <c r="F2918" s="10"/>
      <c r="G2918" s="10"/>
      <c r="H2918" s="10"/>
      <c r="I2918" s="12" t="n">
        <v>1</v>
      </c>
      <c r="J2918" s="12"/>
      <c r="K2918" s="13"/>
      <c r="L2918" s="13"/>
      <c r="M2918" s="12"/>
      <c r="N2918" s="12"/>
      <c r="O2918" s="12"/>
      <c r="P2918" s="13"/>
      <c r="Q2918" s="13"/>
      <c r="R2918" s="12"/>
      <c r="S2918" s="12"/>
      <c r="T2918" s="12"/>
      <c r="U2918" s="14"/>
      <c r="V2918" s="15"/>
      <c r="W2918" s="16" t="n">
        <f aca="false">A2918</f>
        <v>0</v>
      </c>
      <c r="X2918" s="17" t="e">
        <f aca="false">ifs(C2918="","",X2918="",NOW(),TRUE(),X2918)</f>
        <v>#VALUE!</v>
      </c>
      <c r="Y2918" s="17" t="e">
        <f aca="false">ifs(COUNTA(K2918:U2921)&lt;44,"",Y2918="",NOW(),TRUE(),Y2918)</f>
        <v>#VALUE!</v>
      </c>
    </row>
    <row r="2919" customFormat="false" ht="15.75" hidden="false" customHeight="false" outlineLevel="0" collapsed="false">
      <c r="A2919" s="9"/>
      <c r="B2919" s="10"/>
      <c r="C2919" s="10"/>
      <c r="D2919" s="10"/>
      <c r="E2919" s="10"/>
      <c r="F2919" s="10"/>
      <c r="G2919" s="10"/>
      <c r="H2919" s="10"/>
      <c r="I2919" s="18" t="n">
        <v>2</v>
      </c>
      <c r="J2919" s="18"/>
      <c r="K2919" s="19"/>
      <c r="L2919" s="19"/>
      <c r="M2919" s="18"/>
      <c r="N2919" s="18"/>
      <c r="O2919" s="18"/>
      <c r="P2919" s="19"/>
      <c r="Q2919" s="19"/>
      <c r="R2919" s="18"/>
      <c r="S2919" s="18"/>
      <c r="T2919" s="18"/>
      <c r="U2919" s="20"/>
      <c r="V2919" s="21"/>
      <c r="W2919" s="16"/>
      <c r="X2919" s="16"/>
      <c r="Y2919" s="16"/>
    </row>
    <row r="2920" customFormat="false" ht="15.75" hidden="false" customHeight="false" outlineLevel="0" collapsed="false">
      <c r="A2920" s="9"/>
      <c r="B2920" s="10"/>
      <c r="C2920" s="10"/>
      <c r="D2920" s="10"/>
      <c r="E2920" s="10"/>
      <c r="F2920" s="10"/>
      <c r="G2920" s="10"/>
      <c r="H2920" s="10"/>
      <c r="I2920" s="22" t="n">
        <v>3</v>
      </c>
      <c r="J2920" s="22"/>
      <c r="K2920" s="23"/>
      <c r="L2920" s="23"/>
      <c r="M2920" s="22"/>
      <c r="N2920" s="22"/>
      <c r="O2920" s="22"/>
      <c r="P2920" s="23"/>
      <c r="Q2920" s="23"/>
      <c r="R2920" s="22"/>
      <c r="S2920" s="22"/>
      <c r="T2920" s="22"/>
      <c r="U2920" s="24"/>
      <c r="V2920" s="15"/>
      <c r="W2920" s="16"/>
      <c r="X2920" s="16"/>
      <c r="Y2920" s="16"/>
    </row>
    <row r="2921" customFormat="false" ht="15.75" hidden="false" customHeight="false" outlineLevel="0" collapsed="false">
      <c r="A2921" s="9"/>
      <c r="B2921" s="10"/>
      <c r="C2921" s="10"/>
      <c r="D2921" s="10"/>
      <c r="E2921" s="10"/>
      <c r="F2921" s="10"/>
      <c r="G2921" s="10"/>
      <c r="H2921" s="10"/>
      <c r="I2921" s="25" t="n">
        <v>4</v>
      </c>
      <c r="J2921" s="25"/>
      <c r="K2921" s="26"/>
      <c r="L2921" s="26"/>
      <c r="M2921" s="25"/>
      <c r="N2921" s="25"/>
      <c r="O2921" s="25"/>
      <c r="P2921" s="26"/>
      <c r="Q2921" s="26"/>
      <c r="R2921" s="25"/>
      <c r="S2921" s="25"/>
      <c r="T2921" s="25"/>
      <c r="U2921" s="27"/>
      <c r="V2921" s="21"/>
      <c r="W2921" s="16"/>
      <c r="X2921" s="16"/>
      <c r="Y2921" s="16"/>
    </row>
    <row r="2922" customFormat="false" ht="15.75" hidden="false" customHeight="false" outlineLevel="0" collapsed="false">
      <c r="A2922" s="9"/>
      <c r="B2922" s="10"/>
      <c r="C2922" s="11"/>
      <c r="D2922" s="10"/>
      <c r="E2922" s="10"/>
      <c r="F2922" s="10"/>
      <c r="G2922" s="10"/>
      <c r="H2922" s="10"/>
      <c r="I2922" s="12" t="n">
        <v>1</v>
      </c>
      <c r="J2922" s="12"/>
      <c r="K2922" s="13"/>
      <c r="L2922" s="13"/>
      <c r="M2922" s="12"/>
      <c r="N2922" s="12"/>
      <c r="O2922" s="12"/>
      <c r="P2922" s="13"/>
      <c r="Q2922" s="13"/>
      <c r="R2922" s="12"/>
      <c r="S2922" s="12"/>
      <c r="T2922" s="12"/>
      <c r="U2922" s="14"/>
      <c r="V2922" s="15"/>
      <c r="W2922" s="16" t="n">
        <f aca="false">A2922</f>
        <v>0</v>
      </c>
      <c r="X2922" s="17" t="e">
        <f aca="false">ifs(C2922="","",X2922="",NOW(),TRUE(),X2922)</f>
        <v>#VALUE!</v>
      </c>
      <c r="Y2922" s="17" t="e">
        <f aca="false">ifs(COUNTA(K2922:U2925)&lt;44,"",Y2922="",NOW(),TRUE(),Y2922)</f>
        <v>#VALUE!</v>
      </c>
    </row>
    <row r="2923" customFormat="false" ht="15.75" hidden="false" customHeight="false" outlineLevel="0" collapsed="false">
      <c r="A2923" s="9"/>
      <c r="B2923" s="10"/>
      <c r="C2923" s="10"/>
      <c r="D2923" s="10"/>
      <c r="E2923" s="10"/>
      <c r="F2923" s="10"/>
      <c r="G2923" s="10"/>
      <c r="H2923" s="10"/>
      <c r="I2923" s="18" t="n">
        <v>2</v>
      </c>
      <c r="J2923" s="18"/>
      <c r="K2923" s="19"/>
      <c r="L2923" s="19"/>
      <c r="M2923" s="18"/>
      <c r="N2923" s="18"/>
      <c r="O2923" s="18"/>
      <c r="P2923" s="19"/>
      <c r="Q2923" s="19"/>
      <c r="R2923" s="18"/>
      <c r="S2923" s="18"/>
      <c r="T2923" s="18"/>
      <c r="U2923" s="20"/>
      <c r="V2923" s="21"/>
      <c r="W2923" s="16"/>
      <c r="X2923" s="16"/>
      <c r="Y2923" s="16"/>
    </row>
    <row r="2924" customFormat="false" ht="15.75" hidden="false" customHeight="false" outlineLevel="0" collapsed="false">
      <c r="A2924" s="9"/>
      <c r="B2924" s="10"/>
      <c r="C2924" s="10"/>
      <c r="D2924" s="10"/>
      <c r="E2924" s="10"/>
      <c r="F2924" s="10"/>
      <c r="G2924" s="10"/>
      <c r="H2924" s="10"/>
      <c r="I2924" s="22" t="n">
        <v>3</v>
      </c>
      <c r="J2924" s="22"/>
      <c r="K2924" s="23"/>
      <c r="L2924" s="23"/>
      <c r="M2924" s="22"/>
      <c r="N2924" s="22"/>
      <c r="O2924" s="22"/>
      <c r="P2924" s="23"/>
      <c r="Q2924" s="23"/>
      <c r="R2924" s="22"/>
      <c r="S2924" s="22"/>
      <c r="T2924" s="22"/>
      <c r="U2924" s="24"/>
      <c r="V2924" s="15"/>
      <c r="W2924" s="16"/>
      <c r="X2924" s="16"/>
      <c r="Y2924" s="16"/>
    </row>
    <row r="2925" customFormat="false" ht="15.75" hidden="false" customHeight="false" outlineLevel="0" collapsed="false">
      <c r="A2925" s="9"/>
      <c r="B2925" s="10"/>
      <c r="C2925" s="10"/>
      <c r="D2925" s="10"/>
      <c r="E2925" s="10"/>
      <c r="F2925" s="10"/>
      <c r="G2925" s="10"/>
      <c r="H2925" s="10"/>
      <c r="I2925" s="25" t="n">
        <v>4</v>
      </c>
      <c r="J2925" s="25"/>
      <c r="K2925" s="26"/>
      <c r="L2925" s="26"/>
      <c r="M2925" s="25"/>
      <c r="N2925" s="25"/>
      <c r="O2925" s="25"/>
      <c r="P2925" s="26"/>
      <c r="Q2925" s="26"/>
      <c r="R2925" s="25"/>
      <c r="S2925" s="25"/>
      <c r="T2925" s="25"/>
      <c r="U2925" s="27"/>
      <c r="V2925" s="21"/>
      <c r="W2925" s="16"/>
      <c r="X2925" s="16"/>
      <c r="Y2925" s="16"/>
    </row>
    <row r="2926" customFormat="false" ht="15.75" hidden="false" customHeight="false" outlineLevel="0" collapsed="false">
      <c r="A2926" s="9"/>
      <c r="B2926" s="10"/>
      <c r="C2926" s="11"/>
      <c r="D2926" s="10"/>
      <c r="E2926" s="10"/>
      <c r="F2926" s="10"/>
      <c r="G2926" s="10"/>
      <c r="H2926" s="10"/>
      <c r="I2926" s="12" t="n">
        <v>1</v>
      </c>
      <c r="J2926" s="12"/>
      <c r="K2926" s="13"/>
      <c r="L2926" s="13"/>
      <c r="M2926" s="12"/>
      <c r="N2926" s="12"/>
      <c r="O2926" s="12"/>
      <c r="P2926" s="13"/>
      <c r="Q2926" s="13"/>
      <c r="R2926" s="12"/>
      <c r="S2926" s="12"/>
      <c r="T2926" s="12"/>
      <c r="U2926" s="14"/>
      <c r="V2926" s="15"/>
      <c r="W2926" s="16" t="n">
        <f aca="false">A2926</f>
        <v>0</v>
      </c>
      <c r="X2926" s="17" t="e">
        <f aca="false">ifs(C2926="","",X2926="",NOW(),TRUE(),X2926)</f>
        <v>#VALUE!</v>
      </c>
      <c r="Y2926" s="17" t="e">
        <f aca="false">ifs(COUNTA(K2926:U2929)&lt;44,"",Y2926="",NOW(),TRUE(),Y2926)</f>
        <v>#VALUE!</v>
      </c>
    </row>
    <row r="2927" customFormat="false" ht="15.75" hidden="false" customHeight="false" outlineLevel="0" collapsed="false">
      <c r="A2927" s="9"/>
      <c r="B2927" s="10"/>
      <c r="C2927" s="10"/>
      <c r="D2927" s="10"/>
      <c r="E2927" s="10"/>
      <c r="F2927" s="10"/>
      <c r="G2927" s="10"/>
      <c r="H2927" s="10"/>
      <c r="I2927" s="18" t="n">
        <v>2</v>
      </c>
      <c r="J2927" s="18"/>
      <c r="K2927" s="19"/>
      <c r="L2927" s="19"/>
      <c r="M2927" s="18"/>
      <c r="N2927" s="18"/>
      <c r="O2927" s="18"/>
      <c r="P2927" s="19"/>
      <c r="Q2927" s="19"/>
      <c r="R2927" s="18"/>
      <c r="S2927" s="18"/>
      <c r="T2927" s="18"/>
      <c r="U2927" s="20"/>
      <c r="V2927" s="21"/>
      <c r="W2927" s="16"/>
      <c r="X2927" s="16"/>
      <c r="Y2927" s="16"/>
    </row>
    <row r="2928" customFormat="false" ht="15.75" hidden="false" customHeight="false" outlineLevel="0" collapsed="false">
      <c r="A2928" s="9"/>
      <c r="B2928" s="10"/>
      <c r="C2928" s="10"/>
      <c r="D2928" s="10"/>
      <c r="E2928" s="10"/>
      <c r="F2928" s="10"/>
      <c r="G2928" s="10"/>
      <c r="H2928" s="10"/>
      <c r="I2928" s="22" t="n">
        <v>3</v>
      </c>
      <c r="J2928" s="22"/>
      <c r="K2928" s="23"/>
      <c r="L2928" s="23"/>
      <c r="M2928" s="22"/>
      <c r="N2928" s="22"/>
      <c r="O2928" s="22"/>
      <c r="P2928" s="23"/>
      <c r="Q2928" s="23"/>
      <c r="R2928" s="22"/>
      <c r="S2928" s="22"/>
      <c r="T2928" s="22"/>
      <c r="U2928" s="24"/>
      <c r="V2928" s="15"/>
      <c r="W2928" s="16"/>
      <c r="X2928" s="16"/>
      <c r="Y2928" s="16"/>
    </row>
    <row r="2929" customFormat="false" ht="15.75" hidden="false" customHeight="false" outlineLevel="0" collapsed="false">
      <c r="A2929" s="9"/>
      <c r="B2929" s="10"/>
      <c r="C2929" s="10"/>
      <c r="D2929" s="10"/>
      <c r="E2929" s="10"/>
      <c r="F2929" s="10"/>
      <c r="G2929" s="10"/>
      <c r="H2929" s="10"/>
      <c r="I2929" s="25" t="n">
        <v>4</v>
      </c>
      <c r="J2929" s="25"/>
      <c r="K2929" s="26"/>
      <c r="L2929" s="26"/>
      <c r="M2929" s="25"/>
      <c r="N2929" s="25"/>
      <c r="O2929" s="25"/>
      <c r="P2929" s="26"/>
      <c r="Q2929" s="26"/>
      <c r="R2929" s="25"/>
      <c r="S2929" s="25"/>
      <c r="T2929" s="25"/>
      <c r="U2929" s="27"/>
      <c r="V2929" s="21"/>
      <c r="W2929" s="16"/>
      <c r="X2929" s="16"/>
      <c r="Y2929" s="16"/>
    </row>
    <row r="2930" customFormat="false" ht="15.75" hidden="false" customHeight="false" outlineLevel="0" collapsed="false">
      <c r="A2930" s="9"/>
      <c r="B2930" s="10"/>
      <c r="C2930" s="11"/>
      <c r="D2930" s="10"/>
      <c r="E2930" s="10"/>
      <c r="F2930" s="10"/>
      <c r="G2930" s="10"/>
      <c r="H2930" s="10"/>
      <c r="I2930" s="12" t="n">
        <v>1</v>
      </c>
      <c r="J2930" s="12"/>
      <c r="K2930" s="13"/>
      <c r="L2930" s="13"/>
      <c r="M2930" s="12"/>
      <c r="N2930" s="12"/>
      <c r="O2930" s="12"/>
      <c r="P2930" s="13"/>
      <c r="Q2930" s="13"/>
      <c r="R2930" s="12"/>
      <c r="S2930" s="12"/>
      <c r="T2930" s="12"/>
      <c r="U2930" s="14"/>
      <c r="V2930" s="15"/>
      <c r="W2930" s="16" t="n">
        <f aca="false">A2930</f>
        <v>0</v>
      </c>
      <c r="X2930" s="17" t="e">
        <f aca="false">ifs(C2930="","",X2930="",NOW(),TRUE(),X2930)</f>
        <v>#VALUE!</v>
      </c>
      <c r="Y2930" s="17" t="e">
        <f aca="false">ifs(COUNTA(K2930:U2933)&lt;44,"",Y2930="",NOW(),TRUE(),Y2930)</f>
        <v>#VALUE!</v>
      </c>
    </row>
    <row r="2931" customFormat="false" ht="15.75" hidden="false" customHeight="false" outlineLevel="0" collapsed="false">
      <c r="A2931" s="9"/>
      <c r="B2931" s="10"/>
      <c r="C2931" s="10"/>
      <c r="D2931" s="10"/>
      <c r="E2931" s="10"/>
      <c r="F2931" s="10"/>
      <c r="G2931" s="10"/>
      <c r="H2931" s="10"/>
      <c r="I2931" s="18" t="n">
        <v>2</v>
      </c>
      <c r="J2931" s="18"/>
      <c r="K2931" s="19"/>
      <c r="L2931" s="19"/>
      <c r="M2931" s="18"/>
      <c r="N2931" s="18"/>
      <c r="O2931" s="18"/>
      <c r="P2931" s="19"/>
      <c r="Q2931" s="19"/>
      <c r="R2931" s="18"/>
      <c r="S2931" s="18"/>
      <c r="T2931" s="18"/>
      <c r="U2931" s="20"/>
      <c r="V2931" s="21"/>
      <c r="W2931" s="16"/>
      <c r="X2931" s="16"/>
      <c r="Y2931" s="16"/>
    </row>
    <row r="2932" customFormat="false" ht="15.75" hidden="false" customHeight="false" outlineLevel="0" collapsed="false">
      <c r="A2932" s="9"/>
      <c r="B2932" s="10"/>
      <c r="C2932" s="10"/>
      <c r="D2932" s="10"/>
      <c r="E2932" s="10"/>
      <c r="F2932" s="10"/>
      <c r="G2932" s="10"/>
      <c r="H2932" s="10"/>
      <c r="I2932" s="22" t="n">
        <v>3</v>
      </c>
      <c r="J2932" s="22"/>
      <c r="K2932" s="23"/>
      <c r="L2932" s="23"/>
      <c r="M2932" s="22"/>
      <c r="N2932" s="22"/>
      <c r="O2932" s="22"/>
      <c r="P2932" s="23"/>
      <c r="Q2932" s="23"/>
      <c r="R2932" s="22"/>
      <c r="S2932" s="22"/>
      <c r="T2932" s="22"/>
      <c r="U2932" s="24"/>
      <c r="V2932" s="15"/>
      <c r="W2932" s="16"/>
      <c r="X2932" s="16"/>
      <c r="Y2932" s="16"/>
    </row>
    <row r="2933" customFormat="false" ht="15.75" hidden="false" customHeight="false" outlineLevel="0" collapsed="false">
      <c r="A2933" s="9"/>
      <c r="B2933" s="10"/>
      <c r="C2933" s="10"/>
      <c r="D2933" s="10"/>
      <c r="E2933" s="10"/>
      <c r="F2933" s="10"/>
      <c r="G2933" s="10"/>
      <c r="H2933" s="10"/>
      <c r="I2933" s="25" t="n">
        <v>4</v>
      </c>
      <c r="J2933" s="25"/>
      <c r="K2933" s="26"/>
      <c r="L2933" s="26"/>
      <c r="M2933" s="25"/>
      <c r="N2933" s="25"/>
      <c r="O2933" s="25"/>
      <c r="P2933" s="26"/>
      <c r="Q2933" s="26"/>
      <c r="R2933" s="25"/>
      <c r="S2933" s="25"/>
      <c r="T2933" s="25"/>
      <c r="U2933" s="27"/>
      <c r="V2933" s="21"/>
      <c r="W2933" s="16"/>
      <c r="X2933" s="16"/>
      <c r="Y2933" s="16"/>
    </row>
    <row r="2934" customFormat="false" ht="15.75" hidden="false" customHeight="false" outlineLevel="0" collapsed="false">
      <c r="A2934" s="9"/>
      <c r="B2934" s="10"/>
      <c r="C2934" s="11"/>
      <c r="D2934" s="10"/>
      <c r="E2934" s="10"/>
      <c r="F2934" s="10"/>
      <c r="G2934" s="10"/>
      <c r="H2934" s="10"/>
      <c r="I2934" s="12" t="n">
        <v>1</v>
      </c>
      <c r="J2934" s="12"/>
      <c r="K2934" s="13"/>
      <c r="L2934" s="13"/>
      <c r="M2934" s="12"/>
      <c r="N2934" s="12"/>
      <c r="O2934" s="12"/>
      <c r="P2934" s="13"/>
      <c r="Q2934" s="13"/>
      <c r="R2934" s="12"/>
      <c r="S2934" s="12"/>
      <c r="T2934" s="12"/>
      <c r="U2934" s="14"/>
      <c r="V2934" s="15"/>
      <c r="W2934" s="16" t="n">
        <f aca="false">A2934</f>
        <v>0</v>
      </c>
      <c r="X2934" s="17" t="e">
        <f aca="false">ifs(C2934="","",X2934="",NOW(),TRUE(),X2934)</f>
        <v>#VALUE!</v>
      </c>
      <c r="Y2934" s="17" t="e">
        <f aca="false">ifs(COUNTA(K2934:U2937)&lt;44,"",Y2934="",NOW(),TRUE(),Y2934)</f>
        <v>#VALUE!</v>
      </c>
    </row>
    <row r="2935" customFormat="false" ht="15.75" hidden="false" customHeight="false" outlineLevel="0" collapsed="false">
      <c r="A2935" s="9"/>
      <c r="B2935" s="10"/>
      <c r="C2935" s="10"/>
      <c r="D2935" s="10"/>
      <c r="E2935" s="10"/>
      <c r="F2935" s="10"/>
      <c r="G2935" s="10"/>
      <c r="H2935" s="10"/>
      <c r="I2935" s="18" t="n">
        <v>2</v>
      </c>
      <c r="J2935" s="18"/>
      <c r="K2935" s="19"/>
      <c r="L2935" s="19"/>
      <c r="M2935" s="18"/>
      <c r="N2935" s="18"/>
      <c r="O2935" s="18"/>
      <c r="P2935" s="19"/>
      <c r="Q2935" s="19"/>
      <c r="R2935" s="18"/>
      <c r="S2935" s="18"/>
      <c r="T2935" s="18"/>
      <c r="U2935" s="20"/>
      <c r="V2935" s="21"/>
      <c r="W2935" s="16"/>
      <c r="X2935" s="16"/>
      <c r="Y2935" s="16"/>
    </row>
    <row r="2936" customFormat="false" ht="15.75" hidden="false" customHeight="false" outlineLevel="0" collapsed="false">
      <c r="A2936" s="9"/>
      <c r="B2936" s="10"/>
      <c r="C2936" s="10"/>
      <c r="D2936" s="10"/>
      <c r="E2936" s="10"/>
      <c r="F2936" s="10"/>
      <c r="G2936" s="10"/>
      <c r="H2936" s="10"/>
      <c r="I2936" s="22" t="n">
        <v>3</v>
      </c>
      <c r="J2936" s="22"/>
      <c r="K2936" s="23"/>
      <c r="L2936" s="23"/>
      <c r="M2936" s="22"/>
      <c r="N2936" s="22"/>
      <c r="O2936" s="22"/>
      <c r="P2936" s="23"/>
      <c r="Q2936" s="23"/>
      <c r="R2936" s="22"/>
      <c r="S2936" s="22"/>
      <c r="T2936" s="22"/>
      <c r="U2936" s="24"/>
      <c r="V2936" s="15"/>
      <c r="W2936" s="16"/>
      <c r="X2936" s="16"/>
      <c r="Y2936" s="16"/>
    </row>
    <row r="2937" customFormat="false" ht="15.75" hidden="false" customHeight="false" outlineLevel="0" collapsed="false">
      <c r="A2937" s="9"/>
      <c r="B2937" s="10"/>
      <c r="C2937" s="10"/>
      <c r="D2937" s="10"/>
      <c r="E2937" s="10"/>
      <c r="F2937" s="10"/>
      <c r="G2937" s="10"/>
      <c r="H2937" s="10"/>
      <c r="I2937" s="25" t="n">
        <v>4</v>
      </c>
      <c r="J2937" s="25"/>
      <c r="K2937" s="26"/>
      <c r="L2937" s="26"/>
      <c r="M2937" s="25"/>
      <c r="N2937" s="25"/>
      <c r="O2937" s="25"/>
      <c r="P2937" s="26"/>
      <c r="Q2937" s="26"/>
      <c r="R2937" s="25"/>
      <c r="S2937" s="25"/>
      <c r="T2937" s="25"/>
      <c r="U2937" s="27"/>
      <c r="V2937" s="21"/>
      <c r="W2937" s="16"/>
      <c r="X2937" s="16"/>
      <c r="Y2937" s="16"/>
    </row>
    <row r="2938" customFormat="false" ht="15.75" hidden="false" customHeight="false" outlineLevel="0" collapsed="false">
      <c r="A2938" s="9"/>
      <c r="B2938" s="10"/>
      <c r="C2938" s="11"/>
      <c r="D2938" s="10"/>
      <c r="E2938" s="10"/>
      <c r="F2938" s="10"/>
      <c r="G2938" s="10"/>
      <c r="H2938" s="10"/>
      <c r="I2938" s="12" t="n">
        <v>1</v>
      </c>
      <c r="J2938" s="12"/>
      <c r="K2938" s="13"/>
      <c r="L2938" s="13"/>
      <c r="M2938" s="12"/>
      <c r="N2938" s="12"/>
      <c r="O2938" s="12"/>
      <c r="P2938" s="13"/>
      <c r="Q2938" s="13"/>
      <c r="R2938" s="12"/>
      <c r="S2938" s="12"/>
      <c r="T2938" s="12"/>
      <c r="U2938" s="14"/>
      <c r="V2938" s="15"/>
      <c r="W2938" s="16" t="n">
        <f aca="false">A2938</f>
        <v>0</v>
      </c>
      <c r="X2938" s="17" t="e">
        <f aca="false">ifs(C2938="","",X2938="",NOW(),TRUE(),X2938)</f>
        <v>#VALUE!</v>
      </c>
      <c r="Y2938" s="17" t="e">
        <f aca="false">ifs(COUNTA(K2938:U2941)&lt;44,"",Y2938="",NOW(),TRUE(),Y2938)</f>
        <v>#VALUE!</v>
      </c>
    </row>
    <row r="2939" customFormat="false" ht="15.75" hidden="false" customHeight="false" outlineLevel="0" collapsed="false">
      <c r="A2939" s="9"/>
      <c r="B2939" s="10"/>
      <c r="C2939" s="10"/>
      <c r="D2939" s="10"/>
      <c r="E2939" s="10"/>
      <c r="F2939" s="10"/>
      <c r="G2939" s="10"/>
      <c r="H2939" s="10"/>
      <c r="I2939" s="18" t="n">
        <v>2</v>
      </c>
      <c r="J2939" s="18"/>
      <c r="K2939" s="19"/>
      <c r="L2939" s="19"/>
      <c r="M2939" s="18"/>
      <c r="N2939" s="18"/>
      <c r="O2939" s="18"/>
      <c r="P2939" s="19"/>
      <c r="Q2939" s="19"/>
      <c r="R2939" s="18"/>
      <c r="S2939" s="18"/>
      <c r="T2939" s="18"/>
      <c r="U2939" s="20"/>
      <c r="V2939" s="21"/>
      <c r="W2939" s="16"/>
      <c r="X2939" s="16"/>
      <c r="Y2939" s="16"/>
    </row>
    <row r="2940" customFormat="false" ht="15.75" hidden="false" customHeight="false" outlineLevel="0" collapsed="false">
      <c r="A2940" s="9"/>
      <c r="B2940" s="10"/>
      <c r="C2940" s="10"/>
      <c r="D2940" s="10"/>
      <c r="E2940" s="10"/>
      <c r="F2940" s="10"/>
      <c r="G2940" s="10"/>
      <c r="H2940" s="10"/>
      <c r="I2940" s="22" t="n">
        <v>3</v>
      </c>
      <c r="J2940" s="22"/>
      <c r="K2940" s="23"/>
      <c r="L2940" s="23"/>
      <c r="M2940" s="22"/>
      <c r="N2940" s="22"/>
      <c r="O2940" s="22"/>
      <c r="P2940" s="23"/>
      <c r="Q2940" s="23"/>
      <c r="R2940" s="22"/>
      <c r="S2940" s="22"/>
      <c r="T2940" s="22"/>
      <c r="U2940" s="24"/>
      <c r="V2940" s="15"/>
      <c r="W2940" s="16"/>
      <c r="X2940" s="16"/>
      <c r="Y2940" s="16"/>
    </row>
    <row r="2941" customFormat="false" ht="15.75" hidden="false" customHeight="false" outlineLevel="0" collapsed="false">
      <c r="A2941" s="9"/>
      <c r="B2941" s="10"/>
      <c r="C2941" s="10"/>
      <c r="D2941" s="10"/>
      <c r="E2941" s="10"/>
      <c r="F2941" s="10"/>
      <c r="G2941" s="10"/>
      <c r="H2941" s="10"/>
      <c r="I2941" s="25" t="n">
        <v>4</v>
      </c>
      <c r="J2941" s="25"/>
      <c r="K2941" s="26"/>
      <c r="L2941" s="26"/>
      <c r="M2941" s="25"/>
      <c r="N2941" s="25"/>
      <c r="O2941" s="25"/>
      <c r="P2941" s="26"/>
      <c r="Q2941" s="26"/>
      <c r="R2941" s="25"/>
      <c r="S2941" s="25"/>
      <c r="T2941" s="25"/>
      <c r="U2941" s="27"/>
      <c r="V2941" s="21"/>
      <c r="W2941" s="16"/>
      <c r="X2941" s="16"/>
      <c r="Y2941" s="16"/>
    </row>
    <row r="2942" customFormat="false" ht="15.75" hidden="false" customHeight="false" outlineLevel="0" collapsed="false">
      <c r="A2942" s="9"/>
      <c r="B2942" s="10"/>
      <c r="C2942" s="11"/>
      <c r="D2942" s="10"/>
      <c r="E2942" s="10"/>
      <c r="F2942" s="10"/>
      <c r="G2942" s="10"/>
      <c r="H2942" s="10"/>
      <c r="I2942" s="12" t="n">
        <v>1</v>
      </c>
      <c r="J2942" s="12"/>
      <c r="K2942" s="13"/>
      <c r="L2942" s="13"/>
      <c r="M2942" s="12"/>
      <c r="N2942" s="12"/>
      <c r="O2942" s="12"/>
      <c r="P2942" s="13"/>
      <c r="Q2942" s="13"/>
      <c r="R2942" s="12"/>
      <c r="S2942" s="12"/>
      <c r="T2942" s="12"/>
      <c r="U2942" s="14"/>
      <c r="V2942" s="15"/>
      <c r="W2942" s="16" t="n">
        <f aca="false">A2942</f>
        <v>0</v>
      </c>
      <c r="X2942" s="17" t="e">
        <f aca="false">ifs(C2942="","",X2942="",NOW(),TRUE(),X2942)</f>
        <v>#VALUE!</v>
      </c>
      <c r="Y2942" s="17" t="e">
        <f aca="false">ifs(COUNTA(K2942:U2945)&lt;44,"",Y2942="",NOW(),TRUE(),Y2942)</f>
        <v>#VALUE!</v>
      </c>
    </row>
    <row r="2943" customFormat="false" ht="15.75" hidden="false" customHeight="false" outlineLevel="0" collapsed="false">
      <c r="A2943" s="9"/>
      <c r="B2943" s="10"/>
      <c r="C2943" s="10"/>
      <c r="D2943" s="10"/>
      <c r="E2943" s="10"/>
      <c r="F2943" s="10"/>
      <c r="G2943" s="10"/>
      <c r="H2943" s="10"/>
      <c r="I2943" s="18" t="n">
        <v>2</v>
      </c>
      <c r="J2943" s="18"/>
      <c r="K2943" s="19"/>
      <c r="L2943" s="19"/>
      <c r="M2943" s="18"/>
      <c r="N2943" s="18"/>
      <c r="O2943" s="18"/>
      <c r="P2943" s="19"/>
      <c r="Q2943" s="19"/>
      <c r="R2943" s="18"/>
      <c r="S2943" s="18"/>
      <c r="T2943" s="18"/>
      <c r="U2943" s="20"/>
      <c r="V2943" s="21"/>
      <c r="W2943" s="16"/>
      <c r="X2943" s="16"/>
      <c r="Y2943" s="16"/>
    </row>
    <row r="2944" customFormat="false" ht="15.75" hidden="false" customHeight="false" outlineLevel="0" collapsed="false">
      <c r="A2944" s="9"/>
      <c r="B2944" s="10"/>
      <c r="C2944" s="10"/>
      <c r="D2944" s="10"/>
      <c r="E2944" s="10"/>
      <c r="F2944" s="10"/>
      <c r="G2944" s="10"/>
      <c r="H2944" s="10"/>
      <c r="I2944" s="22" t="n">
        <v>3</v>
      </c>
      <c r="J2944" s="22"/>
      <c r="K2944" s="23"/>
      <c r="L2944" s="23"/>
      <c r="M2944" s="22"/>
      <c r="N2944" s="22"/>
      <c r="O2944" s="22"/>
      <c r="P2944" s="23"/>
      <c r="Q2944" s="23"/>
      <c r="R2944" s="22"/>
      <c r="S2944" s="22"/>
      <c r="T2944" s="22"/>
      <c r="U2944" s="24"/>
      <c r="V2944" s="15"/>
      <c r="W2944" s="16"/>
      <c r="X2944" s="16"/>
      <c r="Y2944" s="16"/>
    </row>
    <row r="2945" customFormat="false" ht="15.75" hidden="false" customHeight="false" outlineLevel="0" collapsed="false">
      <c r="A2945" s="9"/>
      <c r="B2945" s="10"/>
      <c r="C2945" s="10"/>
      <c r="D2945" s="10"/>
      <c r="E2945" s="10"/>
      <c r="F2945" s="10"/>
      <c r="G2945" s="10"/>
      <c r="H2945" s="10"/>
      <c r="I2945" s="25" t="n">
        <v>4</v>
      </c>
      <c r="J2945" s="25"/>
      <c r="K2945" s="26"/>
      <c r="L2945" s="26"/>
      <c r="M2945" s="25"/>
      <c r="N2945" s="25"/>
      <c r="O2945" s="25"/>
      <c r="P2945" s="26"/>
      <c r="Q2945" s="26"/>
      <c r="R2945" s="25"/>
      <c r="S2945" s="25"/>
      <c r="T2945" s="25"/>
      <c r="U2945" s="27"/>
      <c r="V2945" s="21"/>
      <c r="W2945" s="16"/>
      <c r="X2945" s="16"/>
      <c r="Y2945" s="16"/>
    </row>
    <row r="2946" customFormat="false" ht="15.75" hidden="false" customHeight="false" outlineLevel="0" collapsed="false">
      <c r="A2946" s="9"/>
      <c r="B2946" s="10"/>
      <c r="C2946" s="11"/>
      <c r="D2946" s="10"/>
      <c r="E2946" s="10"/>
      <c r="F2946" s="10"/>
      <c r="G2946" s="10"/>
      <c r="H2946" s="10"/>
      <c r="I2946" s="12" t="n">
        <v>1</v>
      </c>
      <c r="J2946" s="12"/>
      <c r="K2946" s="13"/>
      <c r="L2946" s="13"/>
      <c r="M2946" s="12"/>
      <c r="N2946" s="12"/>
      <c r="O2946" s="12"/>
      <c r="P2946" s="13"/>
      <c r="Q2946" s="13"/>
      <c r="R2946" s="12"/>
      <c r="S2946" s="12"/>
      <c r="T2946" s="12"/>
      <c r="U2946" s="14"/>
      <c r="V2946" s="15"/>
      <c r="W2946" s="16" t="n">
        <f aca="false">A2946</f>
        <v>0</v>
      </c>
      <c r="X2946" s="17" t="e">
        <f aca="false">ifs(C2946="","",X2946="",NOW(),TRUE(),X2946)</f>
        <v>#VALUE!</v>
      </c>
      <c r="Y2946" s="17" t="e">
        <f aca="false">ifs(COUNTA(K2946:U2949)&lt;44,"",Y2946="",NOW(),TRUE(),Y2946)</f>
        <v>#VALUE!</v>
      </c>
    </row>
    <row r="2947" customFormat="false" ht="15.75" hidden="false" customHeight="false" outlineLevel="0" collapsed="false">
      <c r="A2947" s="9"/>
      <c r="B2947" s="10"/>
      <c r="C2947" s="10"/>
      <c r="D2947" s="10"/>
      <c r="E2947" s="10"/>
      <c r="F2947" s="10"/>
      <c r="G2947" s="10"/>
      <c r="H2947" s="10"/>
      <c r="I2947" s="18" t="n">
        <v>2</v>
      </c>
      <c r="J2947" s="18"/>
      <c r="K2947" s="19"/>
      <c r="L2947" s="19"/>
      <c r="M2947" s="18"/>
      <c r="N2947" s="18"/>
      <c r="O2947" s="18"/>
      <c r="P2947" s="19"/>
      <c r="Q2947" s="19"/>
      <c r="R2947" s="18"/>
      <c r="S2947" s="18"/>
      <c r="T2947" s="18"/>
      <c r="U2947" s="20"/>
      <c r="V2947" s="21"/>
      <c r="W2947" s="16"/>
      <c r="X2947" s="16"/>
      <c r="Y2947" s="16"/>
    </row>
    <row r="2948" customFormat="false" ht="15.75" hidden="false" customHeight="false" outlineLevel="0" collapsed="false">
      <c r="A2948" s="9"/>
      <c r="B2948" s="10"/>
      <c r="C2948" s="10"/>
      <c r="D2948" s="10"/>
      <c r="E2948" s="10"/>
      <c r="F2948" s="10"/>
      <c r="G2948" s="10"/>
      <c r="H2948" s="10"/>
      <c r="I2948" s="22" t="n">
        <v>3</v>
      </c>
      <c r="J2948" s="22"/>
      <c r="K2948" s="23"/>
      <c r="L2948" s="23"/>
      <c r="M2948" s="22"/>
      <c r="N2948" s="22"/>
      <c r="O2948" s="22"/>
      <c r="P2948" s="23"/>
      <c r="Q2948" s="23"/>
      <c r="R2948" s="22"/>
      <c r="S2948" s="22"/>
      <c r="T2948" s="22"/>
      <c r="U2948" s="24"/>
      <c r="V2948" s="15"/>
      <c r="W2948" s="16"/>
      <c r="X2948" s="16"/>
      <c r="Y2948" s="16"/>
    </row>
    <row r="2949" customFormat="false" ht="15.75" hidden="false" customHeight="false" outlineLevel="0" collapsed="false">
      <c r="A2949" s="9"/>
      <c r="B2949" s="10"/>
      <c r="C2949" s="10"/>
      <c r="D2949" s="10"/>
      <c r="E2949" s="10"/>
      <c r="F2949" s="10"/>
      <c r="G2949" s="10"/>
      <c r="H2949" s="10"/>
      <c r="I2949" s="25" t="n">
        <v>4</v>
      </c>
      <c r="J2949" s="25"/>
      <c r="K2949" s="26"/>
      <c r="L2949" s="26"/>
      <c r="M2949" s="25"/>
      <c r="N2949" s="25"/>
      <c r="O2949" s="25"/>
      <c r="P2949" s="26"/>
      <c r="Q2949" s="26"/>
      <c r="R2949" s="25"/>
      <c r="S2949" s="25"/>
      <c r="T2949" s="25"/>
      <c r="U2949" s="27"/>
      <c r="V2949" s="21"/>
      <c r="W2949" s="16"/>
      <c r="X2949" s="16"/>
      <c r="Y2949" s="16"/>
    </row>
    <row r="2950" customFormat="false" ht="15.75" hidden="false" customHeight="false" outlineLevel="0" collapsed="false">
      <c r="A2950" s="9"/>
      <c r="B2950" s="10"/>
      <c r="C2950" s="11"/>
      <c r="D2950" s="10"/>
      <c r="E2950" s="10"/>
      <c r="F2950" s="10"/>
      <c r="G2950" s="10"/>
      <c r="H2950" s="10"/>
      <c r="I2950" s="12" t="n">
        <v>1</v>
      </c>
      <c r="J2950" s="12"/>
      <c r="K2950" s="13"/>
      <c r="L2950" s="13"/>
      <c r="M2950" s="12"/>
      <c r="N2950" s="12"/>
      <c r="O2950" s="12"/>
      <c r="P2950" s="13"/>
      <c r="Q2950" s="13"/>
      <c r="R2950" s="12"/>
      <c r="S2950" s="12"/>
      <c r="T2950" s="12"/>
      <c r="U2950" s="14"/>
      <c r="V2950" s="15"/>
      <c r="W2950" s="16" t="n">
        <f aca="false">A2950</f>
        <v>0</v>
      </c>
      <c r="X2950" s="17" t="e">
        <f aca="false">ifs(C2950="","",X2950="",NOW(),TRUE(),X2950)</f>
        <v>#VALUE!</v>
      </c>
      <c r="Y2950" s="17" t="e">
        <f aca="false">ifs(COUNTA(K2950:U2953)&lt;44,"",Y2950="",NOW(),TRUE(),Y2950)</f>
        <v>#VALUE!</v>
      </c>
    </row>
    <row r="2951" customFormat="false" ht="15.75" hidden="false" customHeight="false" outlineLevel="0" collapsed="false">
      <c r="A2951" s="9"/>
      <c r="B2951" s="10"/>
      <c r="C2951" s="10"/>
      <c r="D2951" s="10"/>
      <c r="E2951" s="10"/>
      <c r="F2951" s="10"/>
      <c r="G2951" s="10"/>
      <c r="H2951" s="10"/>
      <c r="I2951" s="18" t="n">
        <v>2</v>
      </c>
      <c r="J2951" s="18"/>
      <c r="K2951" s="19"/>
      <c r="L2951" s="19"/>
      <c r="M2951" s="18"/>
      <c r="N2951" s="18"/>
      <c r="O2951" s="18"/>
      <c r="P2951" s="19"/>
      <c r="Q2951" s="19"/>
      <c r="R2951" s="18"/>
      <c r="S2951" s="18"/>
      <c r="T2951" s="18"/>
      <c r="U2951" s="20"/>
      <c r="V2951" s="21"/>
      <c r="W2951" s="16"/>
      <c r="X2951" s="16"/>
      <c r="Y2951" s="16"/>
    </row>
    <row r="2952" customFormat="false" ht="15.75" hidden="false" customHeight="false" outlineLevel="0" collapsed="false">
      <c r="A2952" s="9"/>
      <c r="B2952" s="10"/>
      <c r="C2952" s="10"/>
      <c r="D2952" s="10"/>
      <c r="E2952" s="10"/>
      <c r="F2952" s="10"/>
      <c r="G2952" s="10"/>
      <c r="H2952" s="10"/>
      <c r="I2952" s="22" t="n">
        <v>3</v>
      </c>
      <c r="J2952" s="22"/>
      <c r="K2952" s="23"/>
      <c r="L2952" s="23"/>
      <c r="M2952" s="22"/>
      <c r="N2952" s="22"/>
      <c r="O2952" s="22"/>
      <c r="P2952" s="23"/>
      <c r="Q2952" s="23"/>
      <c r="R2952" s="22"/>
      <c r="S2952" s="22"/>
      <c r="T2952" s="22"/>
      <c r="U2952" s="24"/>
      <c r="V2952" s="15"/>
      <c r="W2952" s="16"/>
      <c r="X2952" s="16"/>
      <c r="Y2952" s="16"/>
    </row>
    <row r="2953" customFormat="false" ht="15.75" hidden="false" customHeight="false" outlineLevel="0" collapsed="false">
      <c r="A2953" s="9"/>
      <c r="B2953" s="10"/>
      <c r="C2953" s="10"/>
      <c r="D2953" s="10"/>
      <c r="E2953" s="10"/>
      <c r="F2953" s="10"/>
      <c r="G2953" s="10"/>
      <c r="H2953" s="10"/>
      <c r="I2953" s="25" t="n">
        <v>4</v>
      </c>
      <c r="J2953" s="25"/>
      <c r="K2953" s="26"/>
      <c r="L2953" s="26"/>
      <c r="M2953" s="25"/>
      <c r="N2953" s="25"/>
      <c r="O2953" s="25"/>
      <c r="P2953" s="26"/>
      <c r="Q2953" s="26"/>
      <c r="R2953" s="25"/>
      <c r="S2953" s="25"/>
      <c r="T2953" s="25"/>
      <c r="U2953" s="27"/>
      <c r="V2953" s="21"/>
      <c r="W2953" s="16"/>
      <c r="X2953" s="16"/>
      <c r="Y2953" s="16"/>
    </row>
    <row r="2954" customFormat="false" ht="15.75" hidden="false" customHeight="false" outlineLevel="0" collapsed="false">
      <c r="A2954" s="9"/>
      <c r="B2954" s="10"/>
      <c r="C2954" s="11"/>
      <c r="D2954" s="10"/>
      <c r="E2954" s="10"/>
      <c r="F2954" s="10"/>
      <c r="G2954" s="10"/>
      <c r="H2954" s="10"/>
      <c r="I2954" s="12" t="n">
        <v>1</v>
      </c>
      <c r="J2954" s="12"/>
      <c r="K2954" s="13"/>
      <c r="L2954" s="13"/>
      <c r="M2954" s="12"/>
      <c r="N2954" s="12"/>
      <c r="O2954" s="12"/>
      <c r="P2954" s="13"/>
      <c r="Q2954" s="13"/>
      <c r="R2954" s="12"/>
      <c r="S2954" s="12"/>
      <c r="T2954" s="12"/>
      <c r="U2954" s="14"/>
      <c r="V2954" s="15"/>
      <c r="W2954" s="16" t="n">
        <f aca="false">A2954</f>
        <v>0</v>
      </c>
      <c r="X2954" s="17" t="e">
        <f aca="false">ifs(C2954="","",X2954="",NOW(),TRUE(),X2954)</f>
        <v>#VALUE!</v>
      </c>
      <c r="Y2954" s="17" t="e">
        <f aca="false">ifs(COUNTA(K2954:U2957)&lt;44,"",Y2954="",NOW(),TRUE(),Y2954)</f>
        <v>#VALUE!</v>
      </c>
    </row>
    <row r="2955" customFormat="false" ht="15.75" hidden="false" customHeight="false" outlineLevel="0" collapsed="false">
      <c r="A2955" s="9"/>
      <c r="B2955" s="10"/>
      <c r="C2955" s="10"/>
      <c r="D2955" s="10"/>
      <c r="E2955" s="10"/>
      <c r="F2955" s="10"/>
      <c r="G2955" s="10"/>
      <c r="H2955" s="10"/>
      <c r="I2955" s="18" t="n">
        <v>2</v>
      </c>
      <c r="J2955" s="18"/>
      <c r="K2955" s="19"/>
      <c r="L2955" s="19"/>
      <c r="M2955" s="18"/>
      <c r="N2955" s="18"/>
      <c r="O2955" s="18"/>
      <c r="P2955" s="19"/>
      <c r="Q2955" s="19"/>
      <c r="R2955" s="18"/>
      <c r="S2955" s="18"/>
      <c r="T2955" s="18"/>
      <c r="U2955" s="20"/>
      <c r="V2955" s="21"/>
      <c r="W2955" s="16"/>
      <c r="X2955" s="16"/>
      <c r="Y2955" s="16"/>
    </row>
    <row r="2956" customFormat="false" ht="15.75" hidden="false" customHeight="false" outlineLevel="0" collapsed="false">
      <c r="A2956" s="9"/>
      <c r="B2956" s="10"/>
      <c r="C2956" s="10"/>
      <c r="D2956" s="10"/>
      <c r="E2956" s="10"/>
      <c r="F2956" s="10"/>
      <c r="G2956" s="10"/>
      <c r="H2956" s="10"/>
      <c r="I2956" s="22" t="n">
        <v>3</v>
      </c>
      <c r="J2956" s="22"/>
      <c r="K2956" s="23"/>
      <c r="L2956" s="23"/>
      <c r="M2956" s="22"/>
      <c r="N2956" s="22"/>
      <c r="O2956" s="22"/>
      <c r="P2956" s="23"/>
      <c r="Q2956" s="23"/>
      <c r="R2956" s="22"/>
      <c r="S2956" s="22"/>
      <c r="T2956" s="22"/>
      <c r="U2956" s="24"/>
      <c r="V2956" s="15"/>
      <c r="W2956" s="16"/>
      <c r="X2956" s="16"/>
      <c r="Y2956" s="16"/>
    </row>
    <row r="2957" customFormat="false" ht="15.75" hidden="false" customHeight="false" outlineLevel="0" collapsed="false">
      <c r="A2957" s="9"/>
      <c r="B2957" s="10"/>
      <c r="C2957" s="10"/>
      <c r="D2957" s="10"/>
      <c r="E2957" s="10"/>
      <c r="F2957" s="10"/>
      <c r="G2957" s="10"/>
      <c r="H2957" s="10"/>
      <c r="I2957" s="25" t="n">
        <v>4</v>
      </c>
      <c r="J2957" s="25"/>
      <c r="K2957" s="26"/>
      <c r="L2957" s="26"/>
      <c r="M2957" s="25"/>
      <c r="N2957" s="25"/>
      <c r="O2957" s="25"/>
      <c r="P2957" s="26"/>
      <c r="Q2957" s="26"/>
      <c r="R2957" s="25"/>
      <c r="S2957" s="25"/>
      <c r="T2957" s="25"/>
      <c r="U2957" s="27"/>
      <c r="V2957" s="21"/>
      <c r="W2957" s="16"/>
      <c r="X2957" s="16"/>
      <c r="Y2957" s="16"/>
    </row>
    <row r="2958" customFormat="false" ht="15.75" hidden="false" customHeight="false" outlineLevel="0" collapsed="false">
      <c r="A2958" s="9"/>
      <c r="B2958" s="10"/>
      <c r="C2958" s="11"/>
      <c r="D2958" s="10"/>
      <c r="E2958" s="10"/>
      <c r="F2958" s="10"/>
      <c r="G2958" s="10"/>
      <c r="H2958" s="10"/>
      <c r="I2958" s="12" t="n">
        <v>1</v>
      </c>
      <c r="J2958" s="12"/>
      <c r="K2958" s="13"/>
      <c r="L2958" s="13"/>
      <c r="M2958" s="12"/>
      <c r="N2958" s="12"/>
      <c r="O2958" s="12"/>
      <c r="P2958" s="13"/>
      <c r="Q2958" s="13"/>
      <c r="R2958" s="12"/>
      <c r="S2958" s="12"/>
      <c r="T2958" s="12"/>
      <c r="U2958" s="14"/>
      <c r="V2958" s="15"/>
      <c r="W2958" s="16" t="n">
        <f aca="false">A2958</f>
        <v>0</v>
      </c>
      <c r="X2958" s="17" t="e">
        <f aca="false">ifs(C2958="","",X2958="",NOW(),TRUE(),X2958)</f>
        <v>#VALUE!</v>
      </c>
      <c r="Y2958" s="17" t="e">
        <f aca="false">ifs(COUNTA(K2958:U2961)&lt;44,"",Y2958="",NOW(),TRUE(),Y2958)</f>
        <v>#VALUE!</v>
      </c>
    </row>
    <row r="2959" customFormat="false" ht="15.75" hidden="false" customHeight="false" outlineLevel="0" collapsed="false">
      <c r="A2959" s="9"/>
      <c r="B2959" s="10"/>
      <c r="C2959" s="10"/>
      <c r="D2959" s="10"/>
      <c r="E2959" s="10"/>
      <c r="F2959" s="10"/>
      <c r="G2959" s="10"/>
      <c r="H2959" s="10"/>
      <c r="I2959" s="18" t="n">
        <v>2</v>
      </c>
      <c r="J2959" s="18"/>
      <c r="K2959" s="19"/>
      <c r="L2959" s="19"/>
      <c r="M2959" s="18"/>
      <c r="N2959" s="18"/>
      <c r="O2959" s="18"/>
      <c r="P2959" s="19"/>
      <c r="Q2959" s="19"/>
      <c r="R2959" s="18"/>
      <c r="S2959" s="18"/>
      <c r="T2959" s="18"/>
      <c r="U2959" s="20"/>
      <c r="V2959" s="21"/>
      <c r="W2959" s="16"/>
      <c r="X2959" s="16"/>
      <c r="Y2959" s="16"/>
    </row>
    <row r="2960" customFormat="false" ht="15.75" hidden="false" customHeight="false" outlineLevel="0" collapsed="false">
      <c r="A2960" s="9"/>
      <c r="B2960" s="10"/>
      <c r="C2960" s="10"/>
      <c r="D2960" s="10"/>
      <c r="E2960" s="10"/>
      <c r="F2960" s="10"/>
      <c r="G2960" s="10"/>
      <c r="H2960" s="10"/>
      <c r="I2960" s="22" t="n">
        <v>3</v>
      </c>
      <c r="J2960" s="22"/>
      <c r="K2960" s="23"/>
      <c r="L2960" s="23"/>
      <c r="M2960" s="22"/>
      <c r="N2960" s="22"/>
      <c r="O2960" s="22"/>
      <c r="P2960" s="23"/>
      <c r="Q2960" s="23"/>
      <c r="R2960" s="22"/>
      <c r="S2960" s="22"/>
      <c r="T2960" s="22"/>
      <c r="U2960" s="24"/>
      <c r="V2960" s="15"/>
      <c r="W2960" s="16"/>
      <c r="X2960" s="16"/>
      <c r="Y2960" s="16"/>
    </row>
    <row r="2961" customFormat="false" ht="15.75" hidden="false" customHeight="false" outlineLevel="0" collapsed="false">
      <c r="A2961" s="9"/>
      <c r="B2961" s="10"/>
      <c r="C2961" s="10"/>
      <c r="D2961" s="10"/>
      <c r="E2961" s="10"/>
      <c r="F2961" s="10"/>
      <c r="G2961" s="10"/>
      <c r="H2961" s="10"/>
      <c r="I2961" s="25" t="n">
        <v>4</v>
      </c>
      <c r="J2961" s="25"/>
      <c r="K2961" s="26"/>
      <c r="L2961" s="26"/>
      <c r="M2961" s="25"/>
      <c r="N2961" s="25"/>
      <c r="O2961" s="25"/>
      <c r="P2961" s="26"/>
      <c r="Q2961" s="26"/>
      <c r="R2961" s="25"/>
      <c r="S2961" s="25"/>
      <c r="T2961" s="25"/>
      <c r="U2961" s="27"/>
      <c r="V2961" s="21"/>
      <c r="W2961" s="16"/>
      <c r="X2961" s="16"/>
      <c r="Y2961" s="16"/>
    </row>
    <row r="2962" customFormat="false" ht="15.75" hidden="false" customHeight="false" outlineLevel="0" collapsed="false">
      <c r="A2962" s="9"/>
      <c r="B2962" s="10"/>
      <c r="C2962" s="11"/>
      <c r="D2962" s="10"/>
      <c r="E2962" s="10"/>
      <c r="F2962" s="10"/>
      <c r="G2962" s="10"/>
      <c r="H2962" s="10"/>
      <c r="I2962" s="12" t="n">
        <v>1</v>
      </c>
      <c r="J2962" s="12"/>
      <c r="K2962" s="13"/>
      <c r="L2962" s="13"/>
      <c r="M2962" s="12"/>
      <c r="N2962" s="12"/>
      <c r="O2962" s="12"/>
      <c r="P2962" s="13"/>
      <c r="Q2962" s="13"/>
      <c r="R2962" s="12"/>
      <c r="S2962" s="12"/>
      <c r="T2962" s="12"/>
      <c r="U2962" s="14"/>
      <c r="V2962" s="15"/>
      <c r="W2962" s="16" t="n">
        <f aca="false">A2962</f>
        <v>0</v>
      </c>
      <c r="X2962" s="17" t="e">
        <f aca="false">ifs(C2962="","",X2962="",NOW(),TRUE(),X2962)</f>
        <v>#VALUE!</v>
      </c>
      <c r="Y2962" s="17" t="e">
        <f aca="false">ifs(COUNTA(K2962:U2965)&lt;44,"",Y2962="",NOW(),TRUE(),Y2962)</f>
        <v>#VALUE!</v>
      </c>
    </row>
    <row r="2963" customFormat="false" ht="15.75" hidden="false" customHeight="false" outlineLevel="0" collapsed="false">
      <c r="A2963" s="9"/>
      <c r="B2963" s="10"/>
      <c r="C2963" s="10"/>
      <c r="D2963" s="10"/>
      <c r="E2963" s="10"/>
      <c r="F2963" s="10"/>
      <c r="G2963" s="10"/>
      <c r="H2963" s="10"/>
      <c r="I2963" s="18" t="n">
        <v>2</v>
      </c>
      <c r="J2963" s="18"/>
      <c r="K2963" s="19"/>
      <c r="L2963" s="19"/>
      <c r="M2963" s="18"/>
      <c r="N2963" s="18"/>
      <c r="O2963" s="18"/>
      <c r="P2963" s="19"/>
      <c r="Q2963" s="19"/>
      <c r="R2963" s="18"/>
      <c r="S2963" s="18"/>
      <c r="T2963" s="18"/>
      <c r="U2963" s="20"/>
      <c r="V2963" s="21"/>
      <c r="W2963" s="16"/>
      <c r="X2963" s="16"/>
      <c r="Y2963" s="16"/>
    </row>
    <row r="2964" customFormat="false" ht="15.75" hidden="false" customHeight="false" outlineLevel="0" collapsed="false">
      <c r="A2964" s="9"/>
      <c r="B2964" s="10"/>
      <c r="C2964" s="10"/>
      <c r="D2964" s="10"/>
      <c r="E2964" s="10"/>
      <c r="F2964" s="10"/>
      <c r="G2964" s="10"/>
      <c r="H2964" s="10"/>
      <c r="I2964" s="22" t="n">
        <v>3</v>
      </c>
      <c r="J2964" s="22"/>
      <c r="K2964" s="23"/>
      <c r="L2964" s="23"/>
      <c r="M2964" s="22"/>
      <c r="N2964" s="22"/>
      <c r="O2964" s="22"/>
      <c r="P2964" s="23"/>
      <c r="Q2964" s="23"/>
      <c r="R2964" s="22"/>
      <c r="S2964" s="22"/>
      <c r="T2964" s="22"/>
      <c r="U2964" s="24"/>
      <c r="V2964" s="15"/>
      <c r="W2964" s="16"/>
      <c r="X2964" s="16"/>
      <c r="Y2964" s="16"/>
    </row>
    <row r="2965" customFormat="false" ht="15.75" hidden="false" customHeight="false" outlineLevel="0" collapsed="false">
      <c r="A2965" s="9"/>
      <c r="B2965" s="10"/>
      <c r="C2965" s="10"/>
      <c r="D2965" s="10"/>
      <c r="E2965" s="10"/>
      <c r="F2965" s="10"/>
      <c r="G2965" s="10"/>
      <c r="H2965" s="10"/>
      <c r="I2965" s="25" t="n">
        <v>4</v>
      </c>
      <c r="J2965" s="25"/>
      <c r="K2965" s="26"/>
      <c r="L2965" s="26"/>
      <c r="M2965" s="25"/>
      <c r="N2965" s="25"/>
      <c r="O2965" s="25"/>
      <c r="P2965" s="26"/>
      <c r="Q2965" s="26"/>
      <c r="R2965" s="25"/>
      <c r="S2965" s="25"/>
      <c r="T2965" s="25"/>
      <c r="U2965" s="27"/>
      <c r="V2965" s="21"/>
      <c r="W2965" s="16"/>
      <c r="X2965" s="16"/>
      <c r="Y2965" s="16"/>
    </row>
    <row r="2966" customFormat="false" ht="15.75" hidden="false" customHeight="false" outlineLevel="0" collapsed="false">
      <c r="A2966" s="9"/>
      <c r="B2966" s="10"/>
      <c r="C2966" s="11"/>
      <c r="D2966" s="10"/>
      <c r="E2966" s="10"/>
      <c r="F2966" s="10"/>
      <c r="G2966" s="10"/>
      <c r="H2966" s="10"/>
      <c r="I2966" s="12" t="n">
        <v>1</v>
      </c>
      <c r="J2966" s="12"/>
      <c r="K2966" s="13"/>
      <c r="L2966" s="13"/>
      <c r="M2966" s="12"/>
      <c r="N2966" s="12"/>
      <c r="O2966" s="12"/>
      <c r="P2966" s="13"/>
      <c r="Q2966" s="13"/>
      <c r="R2966" s="12"/>
      <c r="S2966" s="12"/>
      <c r="T2966" s="12"/>
      <c r="U2966" s="14"/>
      <c r="V2966" s="15"/>
      <c r="W2966" s="16" t="n">
        <f aca="false">A2966</f>
        <v>0</v>
      </c>
      <c r="X2966" s="17" t="e">
        <f aca="false">ifs(C2966="","",X2966="",NOW(),TRUE(),X2966)</f>
        <v>#VALUE!</v>
      </c>
      <c r="Y2966" s="17" t="e">
        <f aca="false">ifs(COUNTA(K2966:U2969)&lt;44,"",Y2966="",NOW(),TRUE(),Y2966)</f>
        <v>#VALUE!</v>
      </c>
    </row>
    <row r="2967" customFormat="false" ht="15.75" hidden="false" customHeight="false" outlineLevel="0" collapsed="false">
      <c r="A2967" s="9"/>
      <c r="B2967" s="10"/>
      <c r="C2967" s="10"/>
      <c r="D2967" s="10"/>
      <c r="E2967" s="10"/>
      <c r="F2967" s="10"/>
      <c r="G2967" s="10"/>
      <c r="H2967" s="10"/>
      <c r="I2967" s="18" t="n">
        <v>2</v>
      </c>
      <c r="J2967" s="18"/>
      <c r="K2967" s="19"/>
      <c r="L2967" s="19"/>
      <c r="M2967" s="18"/>
      <c r="N2967" s="18"/>
      <c r="O2967" s="18"/>
      <c r="P2967" s="19"/>
      <c r="Q2967" s="19"/>
      <c r="R2967" s="18"/>
      <c r="S2967" s="18"/>
      <c r="T2967" s="18"/>
      <c r="U2967" s="20"/>
      <c r="V2967" s="21"/>
      <c r="W2967" s="16"/>
      <c r="X2967" s="16"/>
      <c r="Y2967" s="16"/>
    </row>
    <row r="2968" customFormat="false" ht="15.75" hidden="false" customHeight="false" outlineLevel="0" collapsed="false">
      <c r="A2968" s="9"/>
      <c r="B2968" s="10"/>
      <c r="C2968" s="10"/>
      <c r="D2968" s="10"/>
      <c r="E2968" s="10"/>
      <c r="F2968" s="10"/>
      <c r="G2968" s="10"/>
      <c r="H2968" s="10"/>
      <c r="I2968" s="22" t="n">
        <v>3</v>
      </c>
      <c r="J2968" s="22"/>
      <c r="K2968" s="23"/>
      <c r="L2968" s="23"/>
      <c r="M2968" s="22"/>
      <c r="N2968" s="22"/>
      <c r="O2968" s="22"/>
      <c r="P2968" s="23"/>
      <c r="Q2968" s="23"/>
      <c r="R2968" s="22"/>
      <c r="S2968" s="22"/>
      <c r="T2968" s="22"/>
      <c r="U2968" s="24"/>
      <c r="V2968" s="15"/>
      <c r="W2968" s="16"/>
      <c r="X2968" s="16"/>
      <c r="Y2968" s="16"/>
    </row>
    <row r="2969" customFormat="false" ht="15.75" hidden="false" customHeight="false" outlineLevel="0" collapsed="false">
      <c r="A2969" s="9"/>
      <c r="B2969" s="10"/>
      <c r="C2969" s="10"/>
      <c r="D2969" s="10"/>
      <c r="E2969" s="10"/>
      <c r="F2969" s="10"/>
      <c r="G2969" s="10"/>
      <c r="H2969" s="10"/>
      <c r="I2969" s="25" t="n">
        <v>4</v>
      </c>
      <c r="J2969" s="25"/>
      <c r="K2969" s="26"/>
      <c r="L2969" s="26"/>
      <c r="M2969" s="25"/>
      <c r="N2969" s="25"/>
      <c r="O2969" s="25"/>
      <c r="P2969" s="26"/>
      <c r="Q2969" s="26"/>
      <c r="R2969" s="25"/>
      <c r="S2969" s="25"/>
      <c r="T2969" s="25"/>
      <c r="U2969" s="27"/>
      <c r="V2969" s="21"/>
      <c r="W2969" s="16"/>
      <c r="X2969" s="16"/>
      <c r="Y2969" s="16"/>
    </row>
    <row r="2970" customFormat="false" ht="15.75" hidden="false" customHeight="false" outlineLevel="0" collapsed="false">
      <c r="A2970" s="9"/>
      <c r="B2970" s="10"/>
      <c r="C2970" s="11"/>
      <c r="D2970" s="10"/>
      <c r="E2970" s="10"/>
      <c r="F2970" s="10"/>
      <c r="G2970" s="10"/>
      <c r="H2970" s="10"/>
      <c r="I2970" s="12" t="n">
        <v>1</v>
      </c>
      <c r="J2970" s="12"/>
      <c r="K2970" s="13"/>
      <c r="L2970" s="13"/>
      <c r="M2970" s="12"/>
      <c r="N2970" s="12"/>
      <c r="O2970" s="12"/>
      <c r="P2970" s="13"/>
      <c r="Q2970" s="13"/>
      <c r="R2970" s="12"/>
      <c r="S2970" s="12"/>
      <c r="T2970" s="12"/>
      <c r="U2970" s="14"/>
      <c r="V2970" s="15"/>
      <c r="W2970" s="16" t="n">
        <f aca="false">A2970</f>
        <v>0</v>
      </c>
      <c r="X2970" s="17" t="e">
        <f aca="false">ifs(C2970="","",X2970="",NOW(),TRUE(),X2970)</f>
        <v>#VALUE!</v>
      </c>
      <c r="Y2970" s="17" t="e">
        <f aca="false">ifs(COUNTA(K2970:U2973)&lt;44,"",Y2970="",NOW(),TRUE(),Y2970)</f>
        <v>#VALUE!</v>
      </c>
    </row>
    <row r="2971" customFormat="false" ht="15.75" hidden="false" customHeight="false" outlineLevel="0" collapsed="false">
      <c r="A2971" s="9"/>
      <c r="B2971" s="10"/>
      <c r="C2971" s="10"/>
      <c r="D2971" s="10"/>
      <c r="E2971" s="10"/>
      <c r="F2971" s="10"/>
      <c r="G2971" s="10"/>
      <c r="H2971" s="10"/>
      <c r="I2971" s="18" t="n">
        <v>2</v>
      </c>
      <c r="J2971" s="18"/>
      <c r="K2971" s="19"/>
      <c r="L2971" s="19"/>
      <c r="M2971" s="18"/>
      <c r="N2971" s="18"/>
      <c r="O2971" s="18"/>
      <c r="P2971" s="19"/>
      <c r="Q2971" s="19"/>
      <c r="R2971" s="18"/>
      <c r="S2971" s="18"/>
      <c r="T2971" s="18"/>
      <c r="U2971" s="20"/>
      <c r="V2971" s="21"/>
      <c r="W2971" s="16"/>
      <c r="X2971" s="16"/>
      <c r="Y2971" s="16"/>
    </row>
    <row r="2972" customFormat="false" ht="15.75" hidden="false" customHeight="false" outlineLevel="0" collapsed="false">
      <c r="A2972" s="9"/>
      <c r="B2972" s="10"/>
      <c r="C2972" s="10"/>
      <c r="D2972" s="10"/>
      <c r="E2972" s="10"/>
      <c r="F2972" s="10"/>
      <c r="G2972" s="10"/>
      <c r="H2972" s="10"/>
      <c r="I2972" s="22" t="n">
        <v>3</v>
      </c>
      <c r="J2972" s="22"/>
      <c r="K2972" s="23"/>
      <c r="L2972" s="23"/>
      <c r="M2972" s="22"/>
      <c r="N2972" s="22"/>
      <c r="O2972" s="22"/>
      <c r="P2972" s="23"/>
      <c r="Q2972" s="23"/>
      <c r="R2972" s="22"/>
      <c r="S2972" s="22"/>
      <c r="T2972" s="22"/>
      <c r="U2972" s="24"/>
      <c r="V2972" s="15"/>
      <c r="W2972" s="16"/>
      <c r="X2972" s="16"/>
      <c r="Y2972" s="16"/>
    </row>
    <row r="2973" customFormat="false" ht="15.75" hidden="false" customHeight="false" outlineLevel="0" collapsed="false">
      <c r="A2973" s="9"/>
      <c r="B2973" s="10"/>
      <c r="C2973" s="10"/>
      <c r="D2973" s="10"/>
      <c r="E2973" s="10"/>
      <c r="F2973" s="10"/>
      <c r="G2973" s="10"/>
      <c r="H2973" s="10"/>
      <c r="I2973" s="25" t="n">
        <v>4</v>
      </c>
      <c r="J2973" s="25"/>
      <c r="K2973" s="26"/>
      <c r="L2973" s="26"/>
      <c r="M2973" s="25"/>
      <c r="N2973" s="25"/>
      <c r="O2973" s="25"/>
      <c r="P2973" s="26"/>
      <c r="Q2973" s="26"/>
      <c r="R2973" s="25"/>
      <c r="S2973" s="25"/>
      <c r="T2973" s="25"/>
      <c r="U2973" s="27"/>
      <c r="V2973" s="21"/>
      <c r="W2973" s="16"/>
      <c r="X2973" s="16"/>
      <c r="Y2973" s="16"/>
    </row>
    <row r="2974" customFormat="false" ht="15.75" hidden="false" customHeight="false" outlineLevel="0" collapsed="false">
      <c r="A2974" s="9"/>
      <c r="B2974" s="10"/>
      <c r="C2974" s="11"/>
      <c r="D2974" s="10"/>
      <c r="E2974" s="10"/>
      <c r="F2974" s="10"/>
      <c r="G2974" s="10"/>
      <c r="H2974" s="10"/>
      <c r="I2974" s="12" t="n">
        <v>1</v>
      </c>
      <c r="J2974" s="12"/>
      <c r="K2974" s="13"/>
      <c r="L2974" s="13"/>
      <c r="M2974" s="12"/>
      <c r="N2974" s="12"/>
      <c r="O2974" s="12"/>
      <c r="P2974" s="13"/>
      <c r="Q2974" s="13"/>
      <c r="R2974" s="12"/>
      <c r="S2974" s="12"/>
      <c r="T2974" s="12"/>
      <c r="U2974" s="14"/>
      <c r="V2974" s="15"/>
      <c r="W2974" s="16" t="n">
        <f aca="false">A2974</f>
        <v>0</v>
      </c>
      <c r="X2974" s="17" t="e">
        <f aca="false">ifs(C2974="","",X2974="",NOW(),TRUE(),X2974)</f>
        <v>#VALUE!</v>
      </c>
      <c r="Y2974" s="17" t="e">
        <f aca="false">ifs(COUNTA(K2974:U2977)&lt;44,"",Y2974="",NOW(),TRUE(),Y2974)</f>
        <v>#VALUE!</v>
      </c>
    </row>
    <row r="2975" customFormat="false" ht="15.75" hidden="false" customHeight="false" outlineLevel="0" collapsed="false">
      <c r="A2975" s="9"/>
      <c r="B2975" s="10"/>
      <c r="C2975" s="10"/>
      <c r="D2975" s="10"/>
      <c r="E2975" s="10"/>
      <c r="F2975" s="10"/>
      <c r="G2975" s="10"/>
      <c r="H2975" s="10"/>
      <c r="I2975" s="18" t="n">
        <v>2</v>
      </c>
      <c r="J2975" s="18"/>
      <c r="K2975" s="19"/>
      <c r="L2975" s="19"/>
      <c r="M2975" s="18"/>
      <c r="N2975" s="18"/>
      <c r="O2975" s="18"/>
      <c r="P2975" s="19"/>
      <c r="Q2975" s="19"/>
      <c r="R2975" s="18"/>
      <c r="S2975" s="18"/>
      <c r="T2975" s="18"/>
      <c r="U2975" s="20"/>
      <c r="V2975" s="21"/>
      <c r="W2975" s="16"/>
      <c r="X2975" s="16"/>
      <c r="Y2975" s="16"/>
    </row>
    <row r="2976" customFormat="false" ht="15.75" hidden="false" customHeight="false" outlineLevel="0" collapsed="false">
      <c r="A2976" s="9"/>
      <c r="B2976" s="10"/>
      <c r="C2976" s="10"/>
      <c r="D2976" s="10"/>
      <c r="E2976" s="10"/>
      <c r="F2976" s="10"/>
      <c r="G2976" s="10"/>
      <c r="H2976" s="10"/>
      <c r="I2976" s="22" t="n">
        <v>3</v>
      </c>
      <c r="J2976" s="22"/>
      <c r="K2976" s="23"/>
      <c r="L2976" s="23"/>
      <c r="M2976" s="22"/>
      <c r="N2976" s="22"/>
      <c r="O2976" s="22"/>
      <c r="P2976" s="23"/>
      <c r="Q2976" s="23"/>
      <c r="R2976" s="22"/>
      <c r="S2976" s="22"/>
      <c r="T2976" s="22"/>
      <c r="U2976" s="24"/>
      <c r="V2976" s="15"/>
      <c r="W2976" s="16"/>
      <c r="X2976" s="16"/>
      <c r="Y2976" s="16"/>
    </row>
    <row r="2977" customFormat="false" ht="15.75" hidden="false" customHeight="false" outlineLevel="0" collapsed="false">
      <c r="A2977" s="9"/>
      <c r="B2977" s="10"/>
      <c r="C2977" s="10"/>
      <c r="D2977" s="10"/>
      <c r="E2977" s="10"/>
      <c r="F2977" s="10"/>
      <c r="G2977" s="10"/>
      <c r="H2977" s="10"/>
      <c r="I2977" s="25" t="n">
        <v>4</v>
      </c>
      <c r="J2977" s="25"/>
      <c r="K2977" s="26"/>
      <c r="L2977" s="26"/>
      <c r="M2977" s="25"/>
      <c r="N2977" s="25"/>
      <c r="O2977" s="25"/>
      <c r="P2977" s="26"/>
      <c r="Q2977" s="26"/>
      <c r="R2977" s="25"/>
      <c r="S2977" s="25"/>
      <c r="T2977" s="25"/>
      <c r="U2977" s="27"/>
      <c r="V2977" s="21"/>
      <c r="W2977" s="16"/>
      <c r="X2977" s="16"/>
      <c r="Y2977" s="16"/>
    </row>
    <row r="2978" customFormat="false" ht="15.75" hidden="false" customHeight="false" outlineLevel="0" collapsed="false">
      <c r="A2978" s="9"/>
      <c r="B2978" s="10"/>
      <c r="C2978" s="11"/>
      <c r="D2978" s="10"/>
      <c r="E2978" s="10"/>
      <c r="F2978" s="10"/>
      <c r="G2978" s="10"/>
      <c r="H2978" s="10"/>
      <c r="I2978" s="12" t="n">
        <v>1</v>
      </c>
      <c r="J2978" s="12"/>
      <c r="K2978" s="13"/>
      <c r="L2978" s="13"/>
      <c r="M2978" s="12"/>
      <c r="N2978" s="12"/>
      <c r="O2978" s="12"/>
      <c r="P2978" s="13"/>
      <c r="Q2978" s="13"/>
      <c r="R2978" s="12"/>
      <c r="S2978" s="12"/>
      <c r="T2978" s="12"/>
      <c r="U2978" s="14"/>
      <c r="V2978" s="15"/>
      <c r="W2978" s="16" t="n">
        <f aca="false">A2978</f>
        <v>0</v>
      </c>
      <c r="X2978" s="17" t="e">
        <f aca="false">ifs(C2978="","",X2978="",NOW(),TRUE(),X2978)</f>
        <v>#VALUE!</v>
      </c>
      <c r="Y2978" s="17" t="e">
        <f aca="false">ifs(COUNTA(K2978:U2981)&lt;44,"",Y2978="",NOW(),TRUE(),Y2978)</f>
        <v>#VALUE!</v>
      </c>
    </row>
    <row r="2979" customFormat="false" ht="15.75" hidden="false" customHeight="false" outlineLevel="0" collapsed="false">
      <c r="A2979" s="9"/>
      <c r="B2979" s="10"/>
      <c r="C2979" s="10"/>
      <c r="D2979" s="10"/>
      <c r="E2979" s="10"/>
      <c r="F2979" s="10"/>
      <c r="G2979" s="10"/>
      <c r="H2979" s="10"/>
      <c r="I2979" s="18" t="n">
        <v>2</v>
      </c>
      <c r="J2979" s="18"/>
      <c r="K2979" s="19"/>
      <c r="L2979" s="19"/>
      <c r="M2979" s="18"/>
      <c r="N2979" s="18"/>
      <c r="O2979" s="18"/>
      <c r="P2979" s="19"/>
      <c r="Q2979" s="19"/>
      <c r="R2979" s="18"/>
      <c r="S2979" s="18"/>
      <c r="T2979" s="18"/>
      <c r="U2979" s="20"/>
      <c r="V2979" s="21"/>
      <c r="W2979" s="16"/>
      <c r="X2979" s="16"/>
      <c r="Y2979" s="16"/>
    </row>
    <row r="2980" customFormat="false" ht="15.75" hidden="false" customHeight="false" outlineLevel="0" collapsed="false">
      <c r="A2980" s="9"/>
      <c r="B2980" s="10"/>
      <c r="C2980" s="10"/>
      <c r="D2980" s="10"/>
      <c r="E2980" s="10"/>
      <c r="F2980" s="10"/>
      <c r="G2980" s="10"/>
      <c r="H2980" s="10"/>
      <c r="I2980" s="22" t="n">
        <v>3</v>
      </c>
      <c r="J2980" s="22"/>
      <c r="K2980" s="23"/>
      <c r="L2980" s="23"/>
      <c r="M2980" s="22"/>
      <c r="N2980" s="22"/>
      <c r="O2980" s="22"/>
      <c r="P2980" s="23"/>
      <c r="Q2980" s="23"/>
      <c r="R2980" s="22"/>
      <c r="S2980" s="22"/>
      <c r="T2980" s="22"/>
      <c r="U2980" s="24"/>
      <c r="V2980" s="15"/>
      <c r="W2980" s="16"/>
      <c r="X2980" s="16"/>
      <c r="Y2980" s="16"/>
    </row>
    <row r="2981" customFormat="false" ht="15.75" hidden="false" customHeight="false" outlineLevel="0" collapsed="false">
      <c r="A2981" s="9"/>
      <c r="B2981" s="10"/>
      <c r="C2981" s="10"/>
      <c r="D2981" s="10"/>
      <c r="E2981" s="10"/>
      <c r="F2981" s="10"/>
      <c r="G2981" s="10"/>
      <c r="H2981" s="10"/>
      <c r="I2981" s="25" t="n">
        <v>4</v>
      </c>
      <c r="J2981" s="25"/>
      <c r="K2981" s="26"/>
      <c r="L2981" s="26"/>
      <c r="M2981" s="25"/>
      <c r="N2981" s="25"/>
      <c r="O2981" s="25"/>
      <c r="P2981" s="26"/>
      <c r="Q2981" s="26"/>
      <c r="R2981" s="25"/>
      <c r="S2981" s="25"/>
      <c r="T2981" s="25"/>
      <c r="U2981" s="27"/>
      <c r="V2981" s="21"/>
      <c r="W2981" s="16"/>
      <c r="X2981" s="16"/>
      <c r="Y2981" s="16"/>
    </row>
    <row r="2982" customFormat="false" ht="15.75" hidden="false" customHeight="false" outlineLevel="0" collapsed="false">
      <c r="A2982" s="9"/>
      <c r="B2982" s="10"/>
      <c r="C2982" s="11"/>
      <c r="D2982" s="10"/>
      <c r="E2982" s="10"/>
      <c r="F2982" s="10"/>
      <c r="G2982" s="10"/>
      <c r="H2982" s="10"/>
      <c r="I2982" s="12" t="n">
        <v>1</v>
      </c>
      <c r="J2982" s="12"/>
      <c r="K2982" s="13"/>
      <c r="L2982" s="13"/>
      <c r="M2982" s="12"/>
      <c r="N2982" s="12"/>
      <c r="O2982" s="12"/>
      <c r="P2982" s="13"/>
      <c r="Q2982" s="13"/>
      <c r="R2982" s="12"/>
      <c r="S2982" s="12"/>
      <c r="T2982" s="12"/>
      <c r="U2982" s="14"/>
      <c r="V2982" s="15"/>
      <c r="W2982" s="16" t="n">
        <f aca="false">A2982</f>
        <v>0</v>
      </c>
      <c r="X2982" s="17" t="e">
        <f aca="false">ifs(C2982="","",X2982="",NOW(),TRUE(),X2982)</f>
        <v>#VALUE!</v>
      </c>
      <c r="Y2982" s="17" t="e">
        <f aca="false">ifs(COUNTA(K2982:U2985)&lt;44,"",Y2982="",NOW(),TRUE(),Y2982)</f>
        <v>#VALUE!</v>
      </c>
    </row>
    <row r="2983" customFormat="false" ht="15.75" hidden="false" customHeight="false" outlineLevel="0" collapsed="false">
      <c r="A2983" s="9"/>
      <c r="B2983" s="10"/>
      <c r="C2983" s="10"/>
      <c r="D2983" s="10"/>
      <c r="E2983" s="10"/>
      <c r="F2983" s="10"/>
      <c r="G2983" s="10"/>
      <c r="H2983" s="10"/>
      <c r="I2983" s="18" t="n">
        <v>2</v>
      </c>
      <c r="J2983" s="18"/>
      <c r="K2983" s="19"/>
      <c r="L2983" s="19"/>
      <c r="M2983" s="18"/>
      <c r="N2983" s="18"/>
      <c r="O2983" s="18"/>
      <c r="P2983" s="19"/>
      <c r="Q2983" s="19"/>
      <c r="R2983" s="18"/>
      <c r="S2983" s="18"/>
      <c r="T2983" s="18"/>
      <c r="U2983" s="20"/>
      <c r="V2983" s="21"/>
      <c r="W2983" s="16"/>
      <c r="X2983" s="16"/>
      <c r="Y2983" s="16"/>
    </row>
    <row r="2984" customFormat="false" ht="15.75" hidden="false" customHeight="false" outlineLevel="0" collapsed="false">
      <c r="A2984" s="9"/>
      <c r="B2984" s="10"/>
      <c r="C2984" s="10"/>
      <c r="D2984" s="10"/>
      <c r="E2984" s="10"/>
      <c r="F2984" s="10"/>
      <c r="G2984" s="10"/>
      <c r="H2984" s="10"/>
      <c r="I2984" s="22" t="n">
        <v>3</v>
      </c>
      <c r="J2984" s="22"/>
      <c r="K2984" s="23"/>
      <c r="L2984" s="23"/>
      <c r="M2984" s="22"/>
      <c r="N2984" s="22"/>
      <c r="O2984" s="22"/>
      <c r="P2984" s="23"/>
      <c r="Q2984" s="23"/>
      <c r="R2984" s="22"/>
      <c r="S2984" s="22"/>
      <c r="T2984" s="22"/>
      <c r="U2984" s="24"/>
      <c r="V2984" s="15"/>
      <c r="W2984" s="16"/>
      <c r="X2984" s="16"/>
      <c r="Y2984" s="16"/>
    </row>
    <row r="2985" customFormat="false" ht="15.75" hidden="false" customHeight="false" outlineLevel="0" collapsed="false">
      <c r="A2985" s="9"/>
      <c r="B2985" s="10"/>
      <c r="C2985" s="10"/>
      <c r="D2985" s="10"/>
      <c r="E2985" s="10"/>
      <c r="F2985" s="10"/>
      <c r="G2985" s="10"/>
      <c r="H2985" s="10"/>
      <c r="I2985" s="25" t="n">
        <v>4</v>
      </c>
      <c r="J2985" s="25"/>
      <c r="K2985" s="26"/>
      <c r="L2985" s="26"/>
      <c r="M2985" s="25"/>
      <c r="N2985" s="25"/>
      <c r="O2985" s="25"/>
      <c r="P2985" s="26"/>
      <c r="Q2985" s="26"/>
      <c r="R2985" s="25"/>
      <c r="S2985" s="25"/>
      <c r="T2985" s="25"/>
      <c r="U2985" s="27"/>
      <c r="V2985" s="21"/>
      <c r="W2985" s="16"/>
      <c r="X2985" s="16"/>
      <c r="Y2985" s="16"/>
    </row>
    <row r="2986" customFormat="false" ht="15.75" hidden="false" customHeight="false" outlineLevel="0" collapsed="false">
      <c r="A2986" s="9"/>
      <c r="B2986" s="10"/>
      <c r="C2986" s="11"/>
      <c r="D2986" s="10"/>
      <c r="E2986" s="10"/>
      <c r="F2986" s="10"/>
      <c r="G2986" s="10"/>
      <c r="H2986" s="10"/>
      <c r="I2986" s="12" t="n">
        <v>1</v>
      </c>
      <c r="J2986" s="12"/>
      <c r="K2986" s="13"/>
      <c r="L2986" s="13"/>
      <c r="M2986" s="12"/>
      <c r="N2986" s="12"/>
      <c r="O2986" s="12"/>
      <c r="P2986" s="13"/>
      <c r="Q2986" s="13"/>
      <c r="R2986" s="12"/>
      <c r="S2986" s="12"/>
      <c r="T2986" s="12"/>
      <c r="U2986" s="14"/>
      <c r="V2986" s="15"/>
      <c r="W2986" s="16" t="n">
        <f aca="false">A2986</f>
        <v>0</v>
      </c>
      <c r="X2986" s="17" t="e">
        <f aca="false">ifs(C2986="","",X2986="",NOW(),TRUE(),X2986)</f>
        <v>#VALUE!</v>
      </c>
      <c r="Y2986" s="17" t="e">
        <f aca="false">ifs(COUNTA(K2986:U2989)&lt;44,"",Y2986="",NOW(),TRUE(),Y2986)</f>
        <v>#VALUE!</v>
      </c>
    </row>
    <row r="2987" customFormat="false" ht="15.75" hidden="false" customHeight="false" outlineLevel="0" collapsed="false">
      <c r="A2987" s="9"/>
      <c r="B2987" s="10"/>
      <c r="C2987" s="10"/>
      <c r="D2987" s="10"/>
      <c r="E2987" s="10"/>
      <c r="F2987" s="10"/>
      <c r="G2987" s="10"/>
      <c r="H2987" s="10"/>
      <c r="I2987" s="18" t="n">
        <v>2</v>
      </c>
      <c r="J2987" s="18"/>
      <c r="K2987" s="19"/>
      <c r="L2987" s="19"/>
      <c r="M2987" s="18"/>
      <c r="N2987" s="18"/>
      <c r="O2987" s="18"/>
      <c r="P2987" s="19"/>
      <c r="Q2987" s="19"/>
      <c r="R2987" s="18"/>
      <c r="S2987" s="18"/>
      <c r="T2987" s="18"/>
      <c r="U2987" s="20"/>
      <c r="V2987" s="21"/>
      <c r="W2987" s="16"/>
      <c r="X2987" s="16"/>
      <c r="Y2987" s="16"/>
    </row>
    <row r="2988" customFormat="false" ht="15.75" hidden="false" customHeight="false" outlineLevel="0" collapsed="false">
      <c r="A2988" s="9"/>
      <c r="B2988" s="10"/>
      <c r="C2988" s="10"/>
      <c r="D2988" s="10"/>
      <c r="E2988" s="10"/>
      <c r="F2988" s="10"/>
      <c r="G2988" s="10"/>
      <c r="H2988" s="10"/>
      <c r="I2988" s="22" t="n">
        <v>3</v>
      </c>
      <c r="J2988" s="22"/>
      <c r="K2988" s="23"/>
      <c r="L2988" s="23"/>
      <c r="M2988" s="22"/>
      <c r="N2988" s="22"/>
      <c r="O2988" s="22"/>
      <c r="P2988" s="23"/>
      <c r="Q2988" s="23"/>
      <c r="R2988" s="22"/>
      <c r="S2988" s="22"/>
      <c r="T2988" s="22"/>
      <c r="U2988" s="24"/>
      <c r="V2988" s="15"/>
      <c r="W2988" s="16"/>
      <c r="X2988" s="16"/>
      <c r="Y2988" s="16"/>
    </row>
    <row r="2989" customFormat="false" ht="15.75" hidden="false" customHeight="false" outlineLevel="0" collapsed="false">
      <c r="A2989" s="9"/>
      <c r="B2989" s="10"/>
      <c r="C2989" s="10"/>
      <c r="D2989" s="10"/>
      <c r="E2989" s="10"/>
      <c r="F2989" s="10"/>
      <c r="G2989" s="10"/>
      <c r="H2989" s="10"/>
      <c r="I2989" s="25" t="n">
        <v>4</v>
      </c>
      <c r="J2989" s="25"/>
      <c r="K2989" s="26"/>
      <c r="L2989" s="26"/>
      <c r="M2989" s="25"/>
      <c r="N2989" s="25"/>
      <c r="O2989" s="25"/>
      <c r="P2989" s="26"/>
      <c r="Q2989" s="26"/>
      <c r="R2989" s="25"/>
      <c r="S2989" s="25"/>
      <c r="T2989" s="25"/>
      <c r="U2989" s="27"/>
      <c r="V2989" s="21"/>
      <c r="W2989" s="16"/>
      <c r="X2989" s="16"/>
      <c r="Y2989" s="16"/>
    </row>
    <row r="2990" customFormat="false" ht="15.75" hidden="false" customHeight="false" outlineLevel="0" collapsed="false">
      <c r="A2990" s="9"/>
      <c r="B2990" s="10"/>
      <c r="C2990" s="11"/>
      <c r="D2990" s="10"/>
      <c r="E2990" s="10"/>
      <c r="F2990" s="10"/>
      <c r="G2990" s="10"/>
      <c r="H2990" s="10"/>
      <c r="I2990" s="12" t="n">
        <v>1</v>
      </c>
      <c r="J2990" s="12"/>
      <c r="K2990" s="13"/>
      <c r="L2990" s="13"/>
      <c r="M2990" s="12"/>
      <c r="N2990" s="12"/>
      <c r="O2990" s="12"/>
      <c r="P2990" s="13"/>
      <c r="Q2990" s="13"/>
      <c r="R2990" s="12"/>
      <c r="S2990" s="12"/>
      <c r="T2990" s="12"/>
      <c r="U2990" s="14"/>
      <c r="V2990" s="15"/>
      <c r="W2990" s="16" t="n">
        <f aca="false">A2990</f>
        <v>0</v>
      </c>
      <c r="X2990" s="17" t="e">
        <f aca="false">ifs(C2990="","",X2990="",NOW(),TRUE(),X2990)</f>
        <v>#VALUE!</v>
      </c>
      <c r="Y2990" s="17" t="e">
        <f aca="false">ifs(COUNTA(K2990:U2993)&lt;44,"",Y2990="",NOW(),TRUE(),Y2990)</f>
        <v>#VALUE!</v>
      </c>
    </row>
    <row r="2991" customFormat="false" ht="15.75" hidden="false" customHeight="false" outlineLevel="0" collapsed="false">
      <c r="A2991" s="9"/>
      <c r="B2991" s="10"/>
      <c r="C2991" s="10"/>
      <c r="D2991" s="10"/>
      <c r="E2991" s="10"/>
      <c r="F2991" s="10"/>
      <c r="G2991" s="10"/>
      <c r="H2991" s="10"/>
      <c r="I2991" s="18" t="n">
        <v>2</v>
      </c>
      <c r="J2991" s="18"/>
      <c r="K2991" s="19"/>
      <c r="L2991" s="19"/>
      <c r="M2991" s="18"/>
      <c r="N2991" s="18"/>
      <c r="O2991" s="18"/>
      <c r="P2991" s="19"/>
      <c r="Q2991" s="19"/>
      <c r="R2991" s="18"/>
      <c r="S2991" s="18"/>
      <c r="T2991" s="18"/>
      <c r="U2991" s="20"/>
      <c r="V2991" s="21"/>
      <c r="W2991" s="16"/>
      <c r="X2991" s="16"/>
      <c r="Y2991" s="16"/>
    </row>
    <row r="2992" customFormat="false" ht="15.75" hidden="false" customHeight="false" outlineLevel="0" collapsed="false">
      <c r="A2992" s="9"/>
      <c r="B2992" s="10"/>
      <c r="C2992" s="10"/>
      <c r="D2992" s="10"/>
      <c r="E2992" s="10"/>
      <c r="F2992" s="10"/>
      <c r="G2992" s="10"/>
      <c r="H2992" s="10"/>
      <c r="I2992" s="22" t="n">
        <v>3</v>
      </c>
      <c r="J2992" s="22"/>
      <c r="K2992" s="23"/>
      <c r="L2992" s="23"/>
      <c r="M2992" s="22"/>
      <c r="N2992" s="22"/>
      <c r="O2992" s="22"/>
      <c r="P2992" s="23"/>
      <c r="Q2992" s="23"/>
      <c r="R2992" s="22"/>
      <c r="S2992" s="22"/>
      <c r="T2992" s="22"/>
      <c r="U2992" s="24"/>
      <c r="V2992" s="15"/>
      <c r="W2992" s="16"/>
      <c r="X2992" s="16"/>
      <c r="Y2992" s="16"/>
    </row>
    <row r="2993" customFormat="false" ht="15.75" hidden="false" customHeight="false" outlineLevel="0" collapsed="false">
      <c r="A2993" s="9"/>
      <c r="B2993" s="10"/>
      <c r="C2993" s="10"/>
      <c r="D2993" s="10"/>
      <c r="E2993" s="10"/>
      <c r="F2993" s="10"/>
      <c r="G2993" s="10"/>
      <c r="H2993" s="10"/>
      <c r="I2993" s="25" t="n">
        <v>4</v>
      </c>
      <c r="J2993" s="25"/>
      <c r="K2993" s="26"/>
      <c r="L2993" s="26"/>
      <c r="M2993" s="25"/>
      <c r="N2993" s="25"/>
      <c r="O2993" s="25"/>
      <c r="P2993" s="26"/>
      <c r="Q2993" s="26"/>
      <c r="R2993" s="25"/>
      <c r="S2993" s="25"/>
      <c r="T2993" s="25"/>
      <c r="U2993" s="27"/>
      <c r="V2993" s="21"/>
      <c r="W2993" s="16"/>
      <c r="X2993" s="16"/>
      <c r="Y2993" s="16"/>
    </row>
    <row r="2994" customFormat="false" ht="15.75" hidden="false" customHeight="false" outlineLevel="0" collapsed="false">
      <c r="A2994" s="9"/>
      <c r="B2994" s="10"/>
      <c r="C2994" s="11"/>
      <c r="D2994" s="10"/>
      <c r="E2994" s="10"/>
      <c r="F2994" s="10"/>
      <c r="G2994" s="10"/>
      <c r="H2994" s="10"/>
      <c r="I2994" s="12" t="n">
        <v>1</v>
      </c>
      <c r="J2994" s="12"/>
      <c r="K2994" s="13"/>
      <c r="L2994" s="13"/>
      <c r="M2994" s="12"/>
      <c r="N2994" s="12"/>
      <c r="O2994" s="12"/>
      <c r="P2994" s="13"/>
      <c r="Q2994" s="13"/>
      <c r="R2994" s="12"/>
      <c r="S2994" s="12"/>
      <c r="T2994" s="12"/>
      <c r="U2994" s="14"/>
      <c r="V2994" s="15"/>
      <c r="W2994" s="16" t="n">
        <f aca="false">A2994</f>
        <v>0</v>
      </c>
      <c r="X2994" s="17" t="e">
        <f aca="false">ifs(C2994="","",X2994="",NOW(),TRUE(),X2994)</f>
        <v>#VALUE!</v>
      </c>
      <c r="Y2994" s="17" t="e">
        <f aca="false">ifs(COUNTA(K2994:U2997)&lt;44,"",Y2994="",NOW(),TRUE(),Y2994)</f>
        <v>#VALUE!</v>
      </c>
    </row>
    <row r="2995" customFormat="false" ht="15.75" hidden="false" customHeight="false" outlineLevel="0" collapsed="false">
      <c r="A2995" s="9"/>
      <c r="B2995" s="10"/>
      <c r="C2995" s="10"/>
      <c r="D2995" s="10"/>
      <c r="E2995" s="10"/>
      <c r="F2995" s="10"/>
      <c r="G2995" s="10"/>
      <c r="H2995" s="10"/>
      <c r="I2995" s="18" t="n">
        <v>2</v>
      </c>
      <c r="J2995" s="18"/>
      <c r="K2995" s="19"/>
      <c r="L2995" s="19"/>
      <c r="M2995" s="18"/>
      <c r="N2995" s="18"/>
      <c r="O2995" s="18"/>
      <c r="P2995" s="19"/>
      <c r="Q2995" s="19"/>
      <c r="R2995" s="18"/>
      <c r="S2995" s="18"/>
      <c r="T2995" s="18"/>
      <c r="U2995" s="20"/>
      <c r="V2995" s="21"/>
      <c r="W2995" s="16"/>
      <c r="X2995" s="16"/>
      <c r="Y2995" s="16"/>
    </row>
    <row r="2996" customFormat="false" ht="15.75" hidden="false" customHeight="false" outlineLevel="0" collapsed="false">
      <c r="A2996" s="9"/>
      <c r="B2996" s="10"/>
      <c r="C2996" s="10"/>
      <c r="D2996" s="10"/>
      <c r="E2996" s="10"/>
      <c r="F2996" s="10"/>
      <c r="G2996" s="10"/>
      <c r="H2996" s="10"/>
      <c r="I2996" s="22" t="n">
        <v>3</v>
      </c>
      <c r="J2996" s="22"/>
      <c r="K2996" s="23"/>
      <c r="L2996" s="23"/>
      <c r="M2996" s="22"/>
      <c r="N2996" s="22"/>
      <c r="O2996" s="22"/>
      <c r="P2996" s="23"/>
      <c r="Q2996" s="23"/>
      <c r="R2996" s="22"/>
      <c r="S2996" s="22"/>
      <c r="T2996" s="22"/>
      <c r="U2996" s="24"/>
      <c r="V2996" s="15"/>
      <c r="W2996" s="16"/>
      <c r="X2996" s="16"/>
      <c r="Y2996" s="16"/>
    </row>
    <row r="2997" customFormat="false" ht="15.75" hidden="false" customHeight="false" outlineLevel="0" collapsed="false">
      <c r="A2997" s="9"/>
      <c r="B2997" s="10"/>
      <c r="C2997" s="10"/>
      <c r="D2997" s="10"/>
      <c r="E2997" s="10"/>
      <c r="F2997" s="10"/>
      <c r="G2997" s="10"/>
      <c r="H2997" s="10"/>
      <c r="I2997" s="25" t="n">
        <v>4</v>
      </c>
      <c r="J2997" s="25"/>
      <c r="K2997" s="26"/>
      <c r="L2997" s="26"/>
      <c r="M2997" s="25"/>
      <c r="N2997" s="25"/>
      <c r="O2997" s="25"/>
      <c r="P2997" s="26"/>
      <c r="Q2997" s="26"/>
      <c r="R2997" s="25"/>
      <c r="S2997" s="25"/>
      <c r="T2997" s="25"/>
      <c r="U2997" s="27"/>
      <c r="V2997" s="21"/>
      <c r="W2997" s="16"/>
      <c r="X2997" s="16"/>
      <c r="Y2997" s="16"/>
    </row>
    <row r="2998" customFormat="false" ht="15.75" hidden="false" customHeight="false" outlineLevel="0" collapsed="false">
      <c r="A2998" s="9"/>
      <c r="B2998" s="10"/>
      <c r="C2998" s="11"/>
      <c r="D2998" s="10"/>
      <c r="E2998" s="10"/>
      <c r="F2998" s="10"/>
      <c r="G2998" s="10"/>
      <c r="H2998" s="10"/>
      <c r="I2998" s="12" t="n">
        <v>1</v>
      </c>
      <c r="J2998" s="12"/>
      <c r="K2998" s="13"/>
      <c r="L2998" s="13"/>
      <c r="M2998" s="12"/>
      <c r="N2998" s="12"/>
      <c r="O2998" s="12"/>
      <c r="P2998" s="13"/>
      <c r="Q2998" s="13"/>
      <c r="R2998" s="12"/>
      <c r="S2998" s="12"/>
      <c r="T2998" s="12"/>
      <c r="U2998" s="14"/>
      <c r="V2998" s="15"/>
      <c r="W2998" s="16" t="n">
        <f aca="false">A2998</f>
        <v>0</v>
      </c>
      <c r="X2998" s="17" t="e">
        <f aca="false">ifs(C2998="","",X2998="",NOW(),TRUE(),X2998)</f>
        <v>#VALUE!</v>
      </c>
      <c r="Y2998" s="17" t="e">
        <f aca="false">ifs(COUNTA(K2998:U3001)&lt;44,"",Y2998="",NOW(),TRUE(),Y2998)</f>
        <v>#VALUE!</v>
      </c>
    </row>
    <row r="2999" customFormat="false" ht="15.75" hidden="false" customHeight="false" outlineLevel="0" collapsed="false">
      <c r="A2999" s="9"/>
      <c r="B2999" s="10"/>
      <c r="C2999" s="10"/>
      <c r="D2999" s="10"/>
      <c r="E2999" s="10"/>
      <c r="F2999" s="10"/>
      <c r="G2999" s="10"/>
      <c r="H2999" s="10"/>
      <c r="I2999" s="18" t="n">
        <v>2</v>
      </c>
      <c r="J2999" s="18"/>
      <c r="K2999" s="19"/>
      <c r="L2999" s="19"/>
      <c r="M2999" s="18"/>
      <c r="N2999" s="18"/>
      <c r="O2999" s="18"/>
      <c r="P2999" s="19"/>
      <c r="Q2999" s="19"/>
      <c r="R2999" s="18"/>
      <c r="S2999" s="18"/>
      <c r="T2999" s="18"/>
      <c r="U2999" s="20"/>
      <c r="V2999" s="21"/>
      <c r="W2999" s="16"/>
      <c r="X2999" s="16"/>
      <c r="Y2999" s="16"/>
    </row>
    <row r="3000" customFormat="false" ht="15.75" hidden="false" customHeight="false" outlineLevel="0" collapsed="false">
      <c r="A3000" s="9"/>
      <c r="B3000" s="10"/>
      <c r="C3000" s="10"/>
      <c r="D3000" s="10"/>
      <c r="E3000" s="10"/>
      <c r="F3000" s="10"/>
      <c r="G3000" s="10"/>
      <c r="H3000" s="10"/>
      <c r="I3000" s="22" t="n">
        <v>3</v>
      </c>
      <c r="J3000" s="22"/>
      <c r="K3000" s="23"/>
      <c r="L3000" s="23"/>
      <c r="M3000" s="22"/>
      <c r="N3000" s="22"/>
      <c r="O3000" s="22"/>
      <c r="P3000" s="23"/>
      <c r="Q3000" s="23"/>
      <c r="R3000" s="22"/>
      <c r="S3000" s="22"/>
      <c r="T3000" s="22"/>
      <c r="U3000" s="24"/>
      <c r="V3000" s="15"/>
      <c r="W3000" s="16"/>
      <c r="X3000" s="16"/>
      <c r="Y3000" s="16"/>
    </row>
    <row r="3001" customFormat="false" ht="15.75" hidden="false" customHeight="false" outlineLevel="0" collapsed="false">
      <c r="A3001" s="9"/>
      <c r="B3001" s="10"/>
      <c r="C3001" s="10"/>
      <c r="D3001" s="10"/>
      <c r="E3001" s="10"/>
      <c r="F3001" s="10"/>
      <c r="G3001" s="10"/>
      <c r="H3001" s="10"/>
      <c r="I3001" s="25" t="n">
        <v>4</v>
      </c>
      <c r="J3001" s="25"/>
      <c r="K3001" s="26"/>
      <c r="L3001" s="26"/>
      <c r="M3001" s="25"/>
      <c r="N3001" s="25"/>
      <c r="O3001" s="25"/>
      <c r="P3001" s="26"/>
      <c r="Q3001" s="26"/>
      <c r="R3001" s="25"/>
      <c r="S3001" s="25"/>
      <c r="T3001" s="25"/>
      <c r="U3001" s="27"/>
      <c r="V3001" s="21"/>
      <c r="W3001" s="16"/>
      <c r="X3001" s="16"/>
      <c r="Y3001" s="16"/>
    </row>
    <row r="3002" customFormat="false" ht="15.75" hidden="false" customHeight="false" outlineLevel="0" collapsed="false">
      <c r="A3002" s="9"/>
      <c r="B3002" s="10"/>
      <c r="C3002" s="11"/>
      <c r="D3002" s="10"/>
      <c r="E3002" s="10"/>
      <c r="F3002" s="10"/>
      <c r="G3002" s="10"/>
      <c r="H3002" s="10"/>
      <c r="I3002" s="12" t="n">
        <v>1</v>
      </c>
      <c r="J3002" s="12"/>
      <c r="K3002" s="13"/>
      <c r="L3002" s="13"/>
      <c r="M3002" s="12"/>
      <c r="N3002" s="12"/>
      <c r="O3002" s="12"/>
      <c r="P3002" s="13"/>
      <c r="Q3002" s="13"/>
      <c r="R3002" s="12"/>
      <c r="S3002" s="12"/>
      <c r="T3002" s="12"/>
      <c r="U3002" s="14"/>
      <c r="V3002" s="15"/>
      <c r="W3002" s="16" t="n">
        <f aca="false">A3002</f>
        <v>0</v>
      </c>
      <c r="X3002" s="17" t="e">
        <f aca="false">ifs(C3002="","",X3002="",NOW(),TRUE(),X3002)</f>
        <v>#VALUE!</v>
      </c>
      <c r="Y3002" s="17" t="e">
        <f aca="false">ifs(COUNTA(K3002:U3005)&lt;44,"",Y3002="",NOW(),TRUE(),Y3002)</f>
        <v>#VALUE!</v>
      </c>
    </row>
    <row r="3003" customFormat="false" ht="15.75" hidden="false" customHeight="false" outlineLevel="0" collapsed="false">
      <c r="A3003" s="9"/>
      <c r="B3003" s="10"/>
      <c r="C3003" s="10"/>
      <c r="D3003" s="10"/>
      <c r="E3003" s="10"/>
      <c r="F3003" s="10"/>
      <c r="G3003" s="10"/>
      <c r="H3003" s="10"/>
      <c r="I3003" s="18" t="n">
        <v>2</v>
      </c>
      <c r="J3003" s="18"/>
      <c r="K3003" s="19"/>
      <c r="L3003" s="19"/>
      <c r="M3003" s="18"/>
      <c r="N3003" s="18"/>
      <c r="O3003" s="18"/>
      <c r="P3003" s="19"/>
      <c r="Q3003" s="19"/>
      <c r="R3003" s="18"/>
      <c r="S3003" s="18"/>
      <c r="T3003" s="18"/>
      <c r="U3003" s="20"/>
      <c r="V3003" s="21"/>
      <c r="W3003" s="16"/>
      <c r="X3003" s="16"/>
      <c r="Y3003" s="16"/>
    </row>
    <row r="3004" customFormat="false" ht="15.75" hidden="false" customHeight="false" outlineLevel="0" collapsed="false">
      <c r="A3004" s="9"/>
      <c r="B3004" s="10"/>
      <c r="C3004" s="10"/>
      <c r="D3004" s="10"/>
      <c r="E3004" s="10"/>
      <c r="F3004" s="10"/>
      <c r="G3004" s="10"/>
      <c r="H3004" s="10"/>
      <c r="I3004" s="22" t="n">
        <v>3</v>
      </c>
      <c r="J3004" s="22"/>
      <c r="K3004" s="23"/>
      <c r="L3004" s="23"/>
      <c r="M3004" s="22"/>
      <c r="N3004" s="22"/>
      <c r="O3004" s="22"/>
      <c r="P3004" s="23"/>
      <c r="Q3004" s="23"/>
      <c r="R3004" s="22"/>
      <c r="S3004" s="22"/>
      <c r="T3004" s="22"/>
      <c r="U3004" s="24"/>
      <c r="V3004" s="15"/>
      <c r="W3004" s="16"/>
      <c r="X3004" s="16"/>
      <c r="Y3004" s="16"/>
    </row>
    <row r="3005" customFormat="false" ht="15.75" hidden="false" customHeight="false" outlineLevel="0" collapsed="false">
      <c r="A3005" s="9"/>
      <c r="B3005" s="10"/>
      <c r="C3005" s="10"/>
      <c r="D3005" s="10"/>
      <c r="E3005" s="10"/>
      <c r="F3005" s="10"/>
      <c r="G3005" s="10"/>
      <c r="H3005" s="10"/>
      <c r="I3005" s="25" t="n">
        <v>4</v>
      </c>
      <c r="J3005" s="25"/>
      <c r="K3005" s="26"/>
      <c r="L3005" s="26"/>
      <c r="M3005" s="25"/>
      <c r="N3005" s="25"/>
      <c r="O3005" s="25"/>
      <c r="P3005" s="26"/>
      <c r="Q3005" s="26"/>
      <c r="R3005" s="25"/>
      <c r="S3005" s="25"/>
      <c r="T3005" s="25"/>
      <c r="U3005" s="27"/>
      <c r="V3005" s="21"/>
      <c r="W3005" s="16"/>
      <c r="X3005" s="16"/>
      <c r="Y3005" s="16"/>
    </row>
    <row r="3006" customFormat="false" ht="15.75" hidden="false" customHeight="false" outlineLevel="0" collapsed="false">
      <c r="A3006" s="9"/>
      <c r="B3006" s="10"/>
      <c r="C3006" s="11"/>
      <c r="D3006" s="10"/>
      <c r="E3006" s="10"/>
      <c r="F3006" s="10"/>
      <c r="G3006" s="10"/>
      <c r="H3006" s="10"/>
      <c r="I3006" s="12" t="n">
        <v>1</v>
      </c>
      <c r="J3006" s="12"/>
      <c r="K3006" s="13"/>
      <c r="L3006" s="13"/>
      <c r="M3006" s="12"/>
      <c r="N3006" s="12"/>
      <c r="O3006" s="12"/>
      <c r="P3006" s="13"/>
      <c r="Q3006" s="13"/>
      <c r="R3006" s="12"/>
      <c r="S3006" s="12"/>
      <c r="T3006" s="12"/>
      <c r="U3006" s="14"/>
      <c r="V3006" s="15"/>
      <c r="W3006" s="16" t="n">
        <f aca="false">A3006</f>
        <v>0</v>
      </c>
      <c r="X3006" s="17" t="e">
        <f aca="false">ifs(C3006="","",X3006="",NOW(),TRUE(),X3006)</f>
        <v>#VALUE!</v>
      </c>
      <c r="Y3006" s="17" t="e">
        <f aca="false">ifs(COUNTA(K3006:U3009)&lt;44,"",Y3006="",NOW(),TRUE(),Y3006)</f>
        <v>#VALUE!</v>
      </c>
    </row>
    <row r="3007" customFormat="false" ht="15.75" hidden="false" customHeight="false" outlineLevel="0" collapsed="false">
      <c r="A3007" s="9"/>
      <c r="B3007" s="10"/>
      <c r="C3007" s="10"/>
      <c r="D3007" s="10"/>
      <c r="E3007" s="10"/>
      <c r="F3007" s="10"/>
      <c r="G3007" s="10"/>
      <c r="H3007" s="10"/>
      <c r="I3007" s="18" t="n">
        <v>2</v>
      </c>
      <c r="J3007" s="18"/>
      <c r="K3007" s="19"/>
      <c r="L3007" s="19"/>
      <c r="M3007" s="18"/>
      <c r="N3007" s="18"/>
      <c r="O3007" s="18"/>
      <c r="P3007" s="19"/>
      <c r="Q3007" s="19"/>
      <c r="R3007" s="18"/>
      <c r="S3007" s="18"/>
      <c r="T3007" s="18"/>
      <c r="U3007" s="20"/>
      <c r="V3007" s="21"/>
      <c r="W3007" s="16"/>
      <c r="X3007" s="16"/>
      <c r="Y3007" s="16"/>
    </row>
    <row r="3008" customFormat="false" ht="15.75" hidden="false" customHeight="false" outlineLevel="0" collapsed="false">
      <c r="A3008" s="9"/>
      <c r="B3008" s="10"/>
      <c r="C3008" s="10"/>
      <c r="D3008" s="10"/>
      <c r="E3008" s="10"/>
      <c r="F3008" s="10"/>
      <c r="G3008" s="10"/>
      <c r="H3008" s="10"/>
      <c r="I3008" s="22" t="n">
        <v>3</v>
      </c>
      <c r="J3008" s="22"/>
      <c r="K3008" s="23"/>
      <c r="L3008" s="23"/>
      <c r="M3008" s="22"/>
      <c r="N3008" s="22"/>
      <c r="O3008" s="22"/>
      <c r="P3008" s="23"/>
      <c r="Q3008" s="23"/>
      <c r="R3008" s="22"/>
      <c r="S3008" s="22"/>
      <c r="T3008" s="22"/>
      <c r="U3008" s="24"/>
      <c r="V3008" s="15"/>
      <c r="W3008" s="16"/>
      <c r="X3008" s="16"/>
      <c r="Y3008" s="16"/>
    </row>
    <row r="3009" customFormat="false" ht="15.75" hidden="false" customHeight="false" outlineLevel="0" collapsed="false">
      <c r="A3009" s="9"/>
      <c r="B3009" s="10"/>
      <c r="C3009" s="10"/>
      <c r="D3009" s="10"/>
      <c r="E3009" s="10"/>
      <c r="F3009" s="10"/>
      <c r="G3009" s="10"/>
      <c r="H3009" s="10"/>
      <c r="I3009" s="25" t="n">
        <v>4</v>
      </c>
      <c r="J3009" s="25"/>
      <c r="K3009" s="26"/>
      <c r="L3009" s="26"/>
      <c r="M3009" s="25"/>
      <c r="N3009" s="25"/>
      <c r="O3009" s="25"/>
      <c r="P3009" s="26"/>
      <c r="Q3009" s="26"/>
      <c r="R3009" s="25"/>
      <c r="S3009" s="25"/>
      <c r="T3009" s="25"/>
      <c r="U3009" s="27"/>
      <c r="V3009" s="21"/>
      <c r="W3009" s="16"/>
      <c r="X3009" s="16"/>
      <c r="Y3009" s="16"/>
    </row>
    <row r="3010" customFormat="false" ht="15.75" hidden="false" customHeight="false" outlineLevel="0" collapsed="false">
      <c r="A3010" s="9"/>
      <c r="B3010" s="10"/>
      <c r="C3010" s="11"/>
      <c r="D3010" s="10"/>
      <c r="E3010" s="10"/>
      <c r="F3010" s="10"/>
      <c r="G3010" s="10"/>
      <c r="H3010" s="10"/>
      <c r="I3010" s="12" t="n">
        <v>1</v>
      </c>
      <c r="J3010" s="12"/>
      <c r="K3010" s="13"/>
      <c r="L3010" s="13"/>
      <c r="M3010" s="12"/>
      <c r="N3010" s="12"/>
      <c r="O3010" s="12"/>
      <c r="P3010" s="13"/>
      <c r="Q3010" s="13"/>
      <c r="R3010" s="12"/>
      <c r="S3010" s="12"/>
      <c r="T3010" s="12"/>
      <c r="U3010" s="14"/>
      <c r="V3010" s="15"/>
      <c r="W3010" s="16" t="n">
        <f aca="false">A3010</f>
        <v>0</v>
      </c>
      <c r="X3010" s="17" t="e">
        <f aca="false">ifs(C3010="","",X3010="",NOW(),TRUE(),X3010)</f>
        <v>#VALUE!</v>
      </c>
      <c r="Y3010" s="17" t="e">
        <f aca="false">ifs(COUNTA(K3010:U3013)&lt;44,"",Y3010="",NOW(),TRUE(),Y3010)</f>
        <v>#VALUE!</v>
      </c>
    </row>
    <row r="3011" customFormat="false" ht="15.75" hidden="false" customHeight="false" outlineLevel="0" collapsed="false">
      <c r="A3011" s="9"/>
      <c r="B3011" s="10"/>
      <c r="C3011" s="10"/>
      <c r="D3011" s="10"/>
      <c r="E3011" s="10"/>
      <c r="F3011" s="10"/>
      <c r="G3011" s="10"/>
      <c r="H3011" s="10"/>
      <c r="I3011" s="18" t="n">
        <v>2</v>
      </c>
      <c r="J3011" s="18"/>
      <c r="K3011" s="19"/>
      <c r="L3011" s="19"/>
      <c r="M3011" s="18"/>
      <c r="N3011" s="18"/>
      <c r="O3011" s="18"/>
      <c r="P3011" s="19"/>
      <c r="Q3011" s="19"/>
      <c r="R3011" s="18"/>
      <c r="S3011" s="18"/>
      <c r="T3011" s="18"/>
      <c r="U3011" s="20"/>
      <c r="V3011" s="21"/>
      <c r="W3011" s="16"/>
      <c r="X3011" s="16"/>
      <c r="Y3011" s="16"/>
    </row>
    <row r="3012" customFormat="false" ht="15.75" hidden="false" customHeight="false" outlineLevel="0" collapsed="false">
      <c r="A3012" s="9"/>
      <c r="B3012" s="10"/>
      <c r="C3012" s="10"/>
      <c r="D3012" s="10"/>
      <c r="E3012" s="10"/>
      <c r="F3012" s="10"/>
      <c r="G3012" s="10"/>
      <c r="H3012" s="10"/>
      <c r="I3012" s="22" t="n">
        <v>3</v>
      </c>
      <c r="J3012" s="22"/>
      <c r="K3012" s="23"/>
      <c r="L3012" s="23"/>
      <c r="M3012" s="22"/>
      <c r="N3012" s="22"/>
      <c r="O3012" s="22"/>
      <c r="P3012" s="23"/>
      <c r="Q3012" s="23"/>
      <c r="R3012" s="22"/>
      <c r="S3012" s="22"/>
      <c r="T3012" s="22"/>
      <c r="U3012" s="24"/>
      <c r="V3012" s="15"/>
      <c r="W3012" s="16"/>
      <c r="X3012" s="16"/>
      <c r="Y3012" s="16"/>
    </row>
    <row r="3013" customFormat="false" ht="15.75" hidden="false" customHeight="false" outlineLevel="0" collapsed="false">
      <c r="A3013" s="9"/>
      <c r="B3013" s="10"/>
      <c r="C3013" s="10"/>
      <c r="D3013" s="10"/>
      <c r="E3013" s="10"/>
      <c r="F3013" s="10"/>
      <c r="G3013" s="10"/>
      <c r="H3013" s="10"/>
      <c r="I3013" s="25" t="n">
        <v>4</v>
      </c>
      <c r="J3013" s="25"/>
      <c r="K3013" s="26"/>
      <c r="L3013" s="26"/>
      <c r="M3013" s="25"/>
      <c r="N3013" s="25"/>
      <c r="O3013" s="25"/>
      <c r="P3013" s="26"/>
      <c r="Q3013" s="26"/>
      <c r="R3013" s="25"/>
      <c r="S3013" s="25"/>
      <c r="T3013" s="25"/>
      <c r="U3013" s="27"/>
      <c r="V3013" s="21"/>
      <c r="W3013" s="16"/>
      <c r="X3013" s="16"/>
      <c r="Y3013" s="16"/>
    </row>
    <row r="3014" customFormat="false" ht="15.75" hidden="false" customHeight="false" outlineLevel="0" collapsed="false">
      <c r="A3014" s="9"/>
      <c r="B3014" s="10"/>
      <c r="C3014" s="11"/>
      <c r="D3014" s="10"/>
      <c r="E3014" s="10"/>
      <c r="F3014" s="10"/>
      <c r="G3014" s="10"/>
      <c r="H3014" s="10"/>
      <c r="I3014" s="12" t="n">
        <v>1</v>
      </c>
      <c r="J3014" s="12"/>
      <c r="K3014" s="13"/>
      <c r="L3014" s="13"/>
      <c r="M3014" s="12"/>
      <c r="N3014" s="12"/>
      <c r="O3014" s="12"/>
      <c r="P3014" s="13"/>
      <c r="Q3014" s="13"/>
      <c r="R3014" s="12"/>
      <c r="S3014" s="12"/>
      <c r="T3014" s="12"/>
      <c r="U3014" s="14"/>
      <c r="V3014" s="15"/>
      <c r="W3014" s="16" t="n">
        <f aca="false">A3014</f>
        <v>0</v>
      </c>
      <c r="X3014" s="17" t="e">
        <f aca="false">ifs(C3014="","",X3014="",NOW(),TRUE(),X3014)</f>
        <v>#VALUE!</v>
      </c>
      <c r="Y3014" s="17" t="e">
        <f aca="false">ifs(COUNTA(K3014:U3017)&lt;44,"",Y3014="",NOW(),TRUE(),Y3014)</f>
        <v>#VALUE!</v>
      </c>
    </row>
    <row r="3015" customFormat="false" ht="15.75" hidden="false" customHeight="false" outlineLevel="0" collapsed="false">
      <c r="A3015" s="9"/>
      <c r="B3015" s="10"/>
      <c r="C3015" s="10"/>
      <c r="D3015" s="10"/>
      <c r="E3015" s="10"/>
      <c r="F3015" s="10"/>
      <c r="G3015" s="10"/>
      <c r="H3015" s="10"/>
      <c r="I3015" s="18" t="n">
        <v>2</v>
      </c>
      <c r="J3015" s="18"/>
      <c r="K3015" s="19"/>
      <c r="L3015" s="19"/>
      <c r="M3015" s="18"/>
      <c r="N3015" s="18"/>
      <c r="O3015" s="18"/>
      <c r="P3015" s="19"/>
      <c r="Q3015" s="19"/>
      <c r="R3015" s="18"/>
      <c r="S3015" s="18"/>
      <c r="T3015" s="18"/>
      <c r="U3015" s="20"/>
      <c r="V3015" s="21"/>
      <c r="W3015" s="16"/>
      <c r="X3015" s="16"/>
      <c r="Y3015" s="16"/>
    </row>
    <row r="3016" customFormat="false" ht="15.75" hidden="false" customHeight="false" outlineLevel="0" collapsed="false">
      <c r="A3016" s="9"/>
      <c r="B3016" s="10"/>
      <c r="C3016" s="10"/>
      <c r="D3016" s="10"/>
      <c r="E3016" s="10"/>
      <c r="F3016" s="10"/>
      <c r="G3016" s="10"/>
      <c r="H3016" s="10"/>
      <c r="I3016" s="22" t="n">
        <v>3</v>
      </c>
      <c r="J3016" s="22"/>
      <c r="K3016" s="23"/>
      <c r="L3016" s="23"/>
      <c r="M3016" s="22"/>
      <c r="N3016" s="22"/>
      <c r="O3016" s="22"/>
      <c r="P3016" s="23"/>
      <c r="Q3016" s="23"/>
      <c r="R3016" s="22"/>
      <c r="S3016" s="22"/>
      <c r="T3016" s="22"/>
      <c r="U3016" s="24"/>
      <c r="V3016" s="15"/>
      <c r="W3016" s="16"/>
      <c r="X3016" s="16"/>
      <c r="Y3016" s="16"/>
    </row>
    <row r="3017" customFormat="false" ht="15.75" hidden="false" customHeight="false" outlineLevel="0" collapsed="false">
      <c r="A3017" s="9"/>
      <c r="B3017" s="10"/>
      <c r="C3017" s="10"/>
      <c r="D3017" s="10"/>
      <c r="E3017" s="10"/>
      <c r="F3017" s="10"/>
      <c r="G3017" s="10"/>
      <c r="H3017" s="10"/>
      <c r="I3017" s="25" t="n">
        <v>4</v>
      </c>
      <c r="J3017" s="25"/>
      <c r="K3017" s="26"/>
      <c r="L3017" s="26"/>
      <c r="M3017" s="25"/>
      <c r="N3017" s="25"/>
      <c r="O3017" s="25"/>
      <c r="P3017" s="26"/>
      <c r="Q3017" s="26"/>
      <c r="R3017" s="25"/>
      <c r="S3017" s="25"/>
      <c r="T3017" s="25"/>
      <c r="U3017" s="27"/>
      <c r="V3017" s="21"/>
      <c r="W3017" s="16"/>
      <c r="X3017" s="16"/>
      <c r="Y3017" s="16"/>
    </row>
    <row r="3018" customFormat="false" ht="15.75" hidden="false" customHeight="false" outlineLevel="0" collapsed="false">
      <c r="A3018" s="9"/>
      <c r="B3018" s="10"/>
      <c r="C3018" s="11"/>
      <c r="D3018" s="10"/>
      <c r="E3018" s="10"/>
      <c r="F3018" s="10"/>
      <c r="G3018" s="10"/>
      <c r="H3018" s="10"/>
      <c r="I3018" s="12" t="n">
        <v>1</v>
      </c>
      <c r="J3018" s="12"/>
      <c r="K3018" s="13"/>
      <c r="L3018" s="13"/>
      <c r="M3018" s="12"/>
      <c r="N3018" s="12"/>
      <c r="O3018" s="12"/>
      <c r="P3018" s="13"/>
      <c r="Q3018" s="13"/>
      <c r="R3018" s="12"/>
      <c r="S3018" s="12"/>
      <c r="T3018" s="12"/>
      <c r="U3018" s="14"/>
      <c r="V3018" s="15"/>
      <c r="W3018" s="16" t="n">
        <f aca="false">A3018</f>
        <v>0</v>
      </c>
      <c r="X3018" s="17" t="e">
        <f aca="false">ifs(C3018="","",X3018="",NOW(),TRUE(),X3018)</f>
        <v>#VALUE!</v>
      </c>
      <c r="Y3018" s="17" t="e">
        <f aca="false">ifs(COUNTA(K3018:U3021)&lt;44,"",Y3018="",NOW(),TRUE(),Y3018)</f>
        <v>#VALUE!</v>
      </c>
    </row>
    <row r="3019" customFormat="false" ht="15.75" hidden="false" customHeight="false" outlineLevel="0" collapsed="false">
      <c r="A3019" s="9"/>
      <c r="B3019" s="10"/>
      <c r="C3019" s="10"/>
      <c r="D3019" s="10"/>
      <c r="E3019" s="10"/>
      <c r="F3019" s="10"/>
      <c r="G3019" s="10"/>
      <c r="H3019" s="10"/>
      <c r="I3019" s="18" t="n">
        <v>2</v>
      </c>
      <c r="J3019" s="18"/>
      <c r="K3019" s="19"/>
      <c r="L3019" s="19"/>
      <c r="M3019" s="18"/>
      <c r="N3019" s="18"/>
      <c r="O3019" s="18"/>
      <c r="P3019" s="19"/>
      <c r="Q3019" s="19"/>
      <c r="R3019" s="18"/>
      <c r="S3019" s="18"/>
      <c r="T3019" s="18"/>
      <c r="U3019" s="20"/>
      <c r="V3019" s="21"/>
      <c r="W3019" s="16"/>
      <c r="X3019" s="16"/>
      <c r="Y3019" s="16"/>
    </row>
    <row r="3020" customFormat="false" ht="15.75" hidden="false" customHeight="false" outlineLevel="0" collapsed="false">
      <c r="A3020" s="9"/>
      <c r="B3020" s="10"/>
      <c r="C3020" s="10"/>
      <c r="D3020" s="10"/>
      <c r="E3020" s="10"/>
      <c r="F3020" s="10"/>
      <c r="G3020" s="10"/>
      <c r="H3020" s="10"/>
      <c r="I3020" s="22" t="n">
        <v>3</v>
      </c>
      <c r="J3020" s="22"/>
      <c r="K3020" s="23"/>
      <c r="L3020" s="23"/>
      <c r="M3020" s="22"/>
      <c r="N3020" s="22"/>
      <c r="O3020" s="22"/>
      <c r="P3020" s="23"/>
      <c r="Q3020" s="23"/>
      <c r="R3020" s="22"/>
      <c r="S3020" s="22"/>
      <c r="T3020" s="22"/>
      <c r="U3020" s="24"/>
      <c r="V3020" s="15"/>
      <c r="W3020" s="16"/>
      <c r="X3020" s="16"/>
      <c r="Y3020" s="16"/>
    </row>
    <row r="3021" customFormat="false" ht="15.75" hidden="false" customHeight="false" outlineLevel="0" collapsed="false">
      <c r="A3021" s="9"/>
      <c r="B3021" s="10"/>
      <c r="C3021" s="10"/>
      <c r="D3021" s="10"/>
      <c r="E3021" s="10"/>
      <c r="F3021" s="10"/>
      <c r="G3021" s="10"/>
      <c r="H3021" s="10"/>
      <c r="I3021" s="25" t="n">
        <v>4</v>
      </c>
      <c r="J3021" s="25"/>
      <c r="K3021" s="26"/>
      <c r="L3021" s="26"/>
      <c r="M3021" s="25"/>
      <c r="N3021" s="25"/>
      <c r="O3021" s="25"/>
      <c r="P3021" s="26"/>
      <c r="Q3021" s="26"/>
      <c r="R3021" s="25"/>
      <c r="S3021" s="25"/>
      <c r="T3021" s="25"/>
      <c r="U3021" s="27"/>
      <c r="V3021" s="21"/>
      <c r="W3021" s="16"/>
      <c r="X3021" s="16"/>
      <c r="Y3021" s="16"/>
    </row>
    <row r="3022" customFormat="false" ht="15.75" hidden="false" customHeight="false" outlineLevel="0" collapsed="false">
      <c r="A3022" s="9"/>
      <c r="B3022" s="10"/>
      <c r="C3022" s="11"/>
      <c r="D3022" s="10"/>
      <c r="E3022" s="10"/>
      <c r="F3022" s="10"/>
      <c r="G3022" s="10"/>
      <c r="H3022" s="10"/>
      <c r="I3022" s="12" t="n">
        <v>1</v>
      </c>
      <c r="J3022" s="12"/>
      <c r="K3022" s="13"/>
      <c r="L3022" s="13"/>
      <c r="M3022" s="12"/>
      <c r="N3022" s="12"/>
      <c r="O3022" s="12"/>
      <c r="P3022" s="13"/>
      <c r="Q3022" s="13"/>
      <c r="R3022" s="12"/>
      <c r="S3022" s="12"/>
      <c r="T3022" s="12"/>
      <c r="U3022" s="14"/>
      <c r="V3022" s="15"/>
      <c r="W3022" s="16" t="n">
        <f aca="false">A3022</f>
        <v>0</v>
      </c>
      <c r="X3022" s="17" t="e">
        <f aca="false">ifs(C3022="","",X3022="",NOW(),TRUE(),X3022)</f>
        <v>#VALUE!</v>
      </c>
      <c r="Y3022" s="17" t="e">
        <f aca="false">ifs(COUNTA(K3022:U3025)&lt;44,"",Y3022="",NOW(),TRUE(),Y3022)</f>
        <v>#VALUE!</v>
      </c>
    </row>
    <row r="3023" customFormat="false" ht="15.75" hidden="false" customHeight="false" outlineLevel="0" collapsed="false">
      <c r="A3023" s="9"/>
      <c r="B3023" s="10"/>
      <c r="C3023" s="10"/>
      <c r="D3023" s="10"/>
      <c r="E3023" s="10"/>
      <c r="F3023" s="10"/>
      <c r="G3023" s="10"/>
      <c r="H3023" s="10"/>
      <c r="I3023" s="18" t="n">
        <v>2</v>
      </c>
      <c r="J3023" s="18"/>
      <c r="K3023" s="19"/>
      <c r="L3023" s="19"/>
      <c r="M3023" s="18"/>
      <c r="N3023" s="18"/>
      <c r="O3023" s="18"/>
      <c r="P3023" s="19"/>
      <c r="Q3023" s="19"/>
      <c r="R3023" s="18"/>
      <c r="S3023" s="18"/>
      <c r="T3023" s="18"/>
      <c r="U3023" s="20"/>
      <c r="V3023" s="21"/>
      <c r="W3023" s="16"/>
      <c r="X3023" s="16"/>
      <c r="Y3023" s="16"/>
    </row>
    <row r="3024" customFormat="false" ht="15.75" hidden="false" customHeight="false" outlineLevel="0" collapsed="false">
      <c r="A3024" s="9"/>
      <c r="B3024" s="10"/>
      <c r="C3024" s="10"/>
      <c r="D3024" s="10"/>
      <c r="E3024" s="10"/>
      <c r="F3024" s="10"/>
      <c r="G3024" s="10"/>
      <c r="H3024" s="10"/>
      <c r="I3024" s="22" t="n">
        <v>3</v>
      </c>
      <c r="J3024" s="22"/>
      <c r="K3024" s="23"/>
      <c r="L3024" s="23"/>
      <c r="M3024" s="22"/>
      <c r="N3024" s="22"/>
      <c r="O3024" s="22"/>
      <c r="P3024" s="23"/>
      <c r="Q3024" s="23"/>
      <c r="R3024" s="22"/>
      <c r="S3024" s="22"/>
      <c r="T3024" s="22"/>
      <c r="U3024" s="24"/>
      <c r="V3024" s="15"/>
      <c r="W3024" s="16"/>
      <c r="X3024" s="16"/>
      <c r="Y3024" s="16"/>
    </row>
    <row r="3025" customFormat="false" ht="15.75" hidden="false" customHeight="false" outlineLevel="0" collapsed="false">
      <c r="A3025" s="9"/>
      <c r="B3025" s="10"/>
      <c r="C3025" s="10"/>
      <c r="D3025" s="10"/>
      <c r="E3025" s="10"/>
      <c r="F3025" s="10"/>
      <c r="G3025" s="10"/>
      <c r="H3025" s="10"/>
      <c r="I3025" s="25" t="n">
        <v>4</v>
      </c>
      <c r="J3025" s="25"/>
      <c r="K3025" s="26"/>
      <c r="L3025" s="26"/>
      <c r="M3025" s="25"/>
      <c r="N3025" s="25"/>
      <c r="O3025" s="25"/>
      <c r="P3025" s="26"/>
      <c r="Q3025" s="26"/>
      <c r="R3025" s="25"/>
      <c r="S3025" s="25"/>
      <c r="T3025" s="25"/>
      <c r="U3025" s="27"/>
      <c r="V3025" s="21"/>
      <c r="W3025" s="16"/>
      <c r="X3025" s="16"/>
      <c r="Y3025" s="16"/>
    </row>
    <row r="3026" customFormat="false" ht="15.75" hidden="false" customHeight="false" outlineLevel="0" collapsed="false">
      <c r="A3026" s="9"/>
      <c r="B3026" s="10"/>
      <c r="C3026" s="11"/>
      <c r="D3026" s="10"/>
      <c r="E3026" s="10"/>
      <c r="F3026" s="10"/>
      <c r="G3026" s="10"/>
      <c r="H3026" s="10"/>
      <c r="I3026" s="12" t="n">
        <v>1</v>
      </c>
      <c r="J3026" s="12"/>
      <c r="K3026" s="13"/>
      <c r="L3026" s="13"/>
      <c r="M3026" s="12"/>
      <c r="N3026" s="12"/>
      <c r="O3026" s="12"/>
      <c r="P3026" s="13"/>
      <c r="Q3026" s="13"/>
      <c r="R3026" s="12"/>
      <c r="S3026" s="12"/>
      <c r="T3026" s="12"/>
      <c r="U3026" s="14"/>
      <c r="V3026" s="15"/>
      <c r="W3026" s="16" t="n">
        <f aca="false">A3026</f>
        <v>0</v>
      </c>
      <c r="X3026" s="17" t="e">
        <f aca="false">ifs(C3026="","",X3026="",NOW(),TRUE(),X3026)</f>
        <v>#VALUE!</v>
      </c>
      <c r="Y3026" s="17" t="e">
        <f aca="false">ifs(COUNTA(K3026:U3029)&lt;44,"",Y3026="",NOW(),TRUE(),Y3026)</f>
        <v>#VALUE!</v>
      </c>
    </row>
    <row r="3027" customFormat="false" ht="15.75" hidden="false" customHeight="false" outlineLevel="0" collapsed="false">
      <c r="A3027" s="9"/>
      <c r="B3027" s="10"/>
      <c r="C3027" s="10"/>
      <c r="D3027" s="10"/>
      <c r="E3027" s="10"/>
      <c r="F3027" s="10"/>
      <c r="G3027" s="10"/>
      <c r="H3027" s="10"/>
      <c r="I3027" s="18" t="n">
        <v>2</v>
      </c>
      <c r="J3027" s="18"/>
      <c r="K3027" s="19"/>
      <c r="L3027" s="19"/>
      <c r="M3027" s="18"/>
      <c r="N3027" s="18"/>
      <c r="O3027" s="18"/>
      <c r="P3027" s="19"/>
      <c r="Q3027" s="19"/>
      <c r="R3027" s="18"/>
      <c r="S3027" s="18"/>
      <c r="T3027" s="18"/>
      <c r="U3027" s="20"/>
      <c r="V3027" s="21"/>
      <c r="W3027" s="16"/>
      <c r="X3027" s="16"/>
      <c r="Y3027" s="16"/>
    </row>
    <row r="3028" customFormat="false" ht="15.75" hidden="false" customHeight="false" outlineLevel="0" collapsed="false">
      <c r="A3028" s="9"/>
      <c r="B3028" s="10"/>
      <c r="C3028" s="10"/>
      <c r="D3028" s="10"/>
      <c r="E3028" s="10"/>
      <c r="F3028" s="10"/>
      <c r="G3028" s="10"/>
      <c r="H3028" s="10"/>
      <c r="I3028" s="22" t="n">
        <v>3</v>
      </c>
      <c r="J3028" s="22"/>
      <c r="K3028" s="23"/>
      <c r="L3028" s="23"/>
      <c r="M3028" s="22"/>
      <c r="N3028" s="22"/>
      <c r="O3028" s="22"/>
      <c r="P3028" s="23"/>
      <c r="Q3028" s="23"/>
      <c r="R3028" s="22"/>
      <c r="S3028" s="22"/>
      <c r="T3028" s="22"/>
      <c r="U3028" s="24"/>
      <c r="V3028" s="15"/>
      <c r="W3028" s="16"/>
      <c r="X3028" s="16"/>
      <c r="Y3028" s="16"/>
    </row>
    <row r="3029" customFormat="false" ht="15.75" hidden="false" customHeight="false" outlineLevel="0" collapsed="false">
      <c r="A3029" s="9"/>
      <c r="B3029" s="10"/>
      <c r="C3029" s="10"/>
      <c r="D3029" s="10"/>
      <c r="E3029" s="10"/>
      <c r="F3029" s="10"/>
      <c r="G3029" s="10"/>
      <c r="H3029" s="10"/>
      <c r="I3029" s="25" t="n">
        <v>4</v>
      </c>
      <c r="J3029" s="25"/>
      <c r="K3029" s="26"/>
      <c r="L3029" s="26"/>
      <c r="M3029" s="25"/>
      <c r="N3029" s="25"/>
      <c r="O3029" s="25"/>
      <c r="P3029" s="26"/>
      <c r="Q3029" s="26"/>
      <c r="R3029" s="25"/>
      <c r="S3029" s="25"/>
      <c r="T3029" s="25"/>
      <c r="U3029" s="27"/>
      <c r="V3029" s="21"/>
      <c r="W3029" s="16"/>
      <c r="X3029" s="16"/>
      <c r="Y3029" s="16"/>
    </row>
    <row r="3030" customFormat="false" ht="15.75" hidden="false" customHeight="false" outlineLevel="0" collapsed="false">
      <c r="A3030" s="9"/>
      <c r="B3030" s="10"/>
      <c r="C3030" s="11"/>
      <c r="D3030" s="10"/>
      <c r="E3030" s="10"/>
      <c r="F3030" s="10"/>
      <c r="G3030" s="10"/>
      <c r="H3030" s="10"/>
      <c r="I3030" s="12" t="n">
        <v>1</v>
      </c>
      <c r="J3030" s="12"/>
      <c r="K3030" s="13"/>
      <c r="L3030" s="13"/>
      <c r="M3030" s="12"/>
      <c r="N3030" s="12"/>
      <c r="O3030" s="12"/>
      <c r="P3030" s="13"/>
      <c r="Q3030" s="13"/>
      <c r="R3030" s="12"/>
      <c r="S3030" s="12"/>
      <c r="T3030" s="12"/>
      <c r="U3030" s="14"/>
      <c r="V3030" s="15"/>
      <c r="W3030" s="16" t="n">
        <f aca="false">A3030</f>
        <v>0</v>
      </c>
      <c r="X3030" s="17" t="e">
        <f aca="false">ifs(C3030="","",X3030="",NOW(),TRUE(),X3030)</f>
        <v>#VALUE!</v>
      </c>
      <c r="Y3030" s="17" t="e">
        <f aca="false">ifs(COUNTA(K3030:U3033)&lt;44,"",Y3030="",NOW(),TRUE(),Y3030)</f>
        <v>#VALUE!</v>
      </c>
    </row>
    <row r="3031" customFormat="false" ht="15.75" hidden="false" customHeight="false" outlineLevel="0" collapsed="false">
      <c r="A3031" s="9"/>
      <c r="B3031" s="10"/>
      <c r="C3031" s="10"/>
      <c r="D3031" s="10"/>
      <c r="E3031" s="10"/>
      <c r="F3031" s="10"/>
      <c r="G3031" s="10"/>
      <c r="H3031" s="10"/>
      <c r="I3031" s="18" t="n">
        <v>2</v>
      </c>
      <c r="J3031" s="18"/>
      <c r="K3031" s="19"/>
      <c r="L3031" s="19"/>
      <c r="M3031" s="18"/>
      <c r="N3031" s="18"/>
      <c r="O3031" s="18"/>
      <c r="P3031" s="19"/>
      <c r="Q3031" s="19"/>
      <c r="R3031" s="18"/>
      <c r="S3031" s="18"/>
      <c r="T3031" s="18"/>
      <c r="U3031" s="20"/>
      <c r="V3031" s="21"/>
      <c r="W3031" s="16"/>
      <c r="X3031" s="16"/>
      <c r="Y3031" s="16"/>
    </row>
    <row r="3032" customFormat="false" ht="15.75" hidden="false" customHeight="false" outlineLevel="0" collapsed="false">
      <c r="A3032" s="9"/>
      <c r="B3032" s="10"/>
      <c r="C3032" s="10"/>
      <c r="D3032" s="10"/>
      <c r="E3032" s="10"/>
      <c r="F3032" s="10"/>
      <c r="G3032" s="10"/>
      <c r="H3032" s="10"/>
      <c r="I3032" s="22" t="n">
        <v>3</v>
      </c>
      <c r="J3032" s="22"/>
      <c r="K3032" s="23"/>
      <c r="L3032" s="23"/>
      <c r="M3032" s="22"/>
      <c r="N3032" s="22"/>
      <c r="O3032" s="22"/>
      <c r="P3032" s="23"/>
      <c r="Q3032" s="23"/>
      <c r="R3032" s="22"/>
      <c r="S3032" s="22"/>
      <c r="T3032" s="22"/>
      <c r="U3032" s="24"/>
      <c r="V3032" s="15"/>
      <c r="W3032" s="16"/>
      <c r="X3032" s="16"/>
      <c r="Y3032" s="16"/>
    </row>
    <row r="3033" customFormat="false" ht="15.75" hidden="false" customHeight="false" outlineLevel="0" collapsed="false">
      <c r="A3033" s="9"/>
      <c r="B3033" s="10"/>
      <c r="C3033" s="10"/>
      <c r="D3033" s="10"/>
      <c r="E3033" s="10"/>
      <c r="F3033" s="10"/>
      <c r="G3033" s="10"/>
      <c r="H3033" s="10"/>
      <c r="I3033" s="25" t="n">
        <v>4</v>
      </c>
      <c r="J3033" s="25"/>
      <c r="K3033" s="26"/>
      <c r="L3033" s="26"/>
      <c r="M3033" s="25"/>
      <c r="N3033" s="25"/>
      <c r="O3033" s="25"/>
      <c r="P3033" s="26"/>
      <c r="Q3033" s="26"/>
      <c r="R3033" s="25"/>
      <c r="S3033" s="25"/>
      <c r="T3033" s="25"/>
      <c r="U3033" s="27"/>
      <c r="V3033" s="21"/>
      <c r="W3033" s="16"/>
      <c r="X3033" s="16"/>
      <c r="Y3033" s="16"/>
    </row>
    <row r="3034" customFormat="false" ht="15.75" hidden="false" customHeight="false" outlineLevel="0" collapsed="false">
      <c r="A3034" s="9"/>
      <c r="B3034" s="10"/>
      <c r="C3034" s="11"/>
      <c r="D3034" s="10"/>
      <c r="E3034" s="10"/>
      <c r="F3034" s="10"/>
      <c r="G3034" s="10"/>
      <c r="H3034" s="10"/>
      <c r="I3034" s="12" t="n">
        <v>1</v>
      </c>
      <c r="J3034" s="12"/>
      <c r="K3034" s="13"/>
      <c r="L3034" s="13"/>
      <c r="M3034" s="12"/>
      <c r="N3034" s="12"/>
      <c r="O3034" s="12"/>
      <c r="P3034" s="13"/>
      <c r="Q3034" s="13"/>
      <c r="R3034" s="12"/>
      <c r="S3034" s="12"/>
      <c r="T3034" s="12"/>
      <c r="U3034" s="14"/>
      <c r="V3034" s="15"/>
      <c r="W3034" s="16" t="n">
        <f aca="false">A3034</f>
        <v>0</v>
      </c>
      <c r="X3034" s="17" t="e">
        <f aca="false">ifs(C3034="","",X3034="",NOW(),TRUE(),X3034)</f>
        <v>#VALUE!</v>
      </c>
      <c r="Y3034" s="17" t="e">
        <f aca="false">ifs(COUNTA(K3034:U3037)&lt;44,"",Y3034="",NOW(),TRUE(),Y3034)</f>
        <v>#VALUE!</v>
      </c>
    </row>
    <row r="3035" customFormat="false" ht="15.75" hidden="false" customHeight="false" outlineLevel="0" collapsed="false">
      <c r="A3035" s="9"/>
      <c r="B3035" s="10"/>
      <c r="C3035" s="10"/>
      <c r="D3035" s="10"/>
      <c r="E3035" s="10"/>
      <c r="F3035" s="10"/>
      <c r="G3035" s="10"/>
      <c r="H3035" s="10"/>
      <c r="I3035" s="18" t="n">
        <v>2</v>
      </c>
      <c r="J3035" s="18"/>
      <c r="K3035" s="19"/>
      <c r="L3035" s="19"/>
      <c r="M3035" s="18"/>
      <c r="N3035" s="18"/>
      <c r="O3035" s="18"/>
      <c r="P3035" s="19"/>
      <c r="Q3035" s="19"/>
      <c r="R3035" s="18"/>
      <c r="S3035" s="18"/>
      <c r="T3035" s="18"/>
      <c r="U3035" s="20"/>
      <c r="V3035" s="21"/>
      <c r="W3035" s="16"/>
      <c r="X3035" s="16"/>
      <c r="Y3035" s="16"/>
    </row>
    <row r="3036" customFormat="false" ht="15.75" hidden="false" customHeight="false" outlineLevel="0" collapsed="false">
      <c r="A3036" s="9"/>
      <c r="B3036" s="10"/>
      <c r="C3036" s="10"/>
      <c r="D3036" s="10"/>
      <c r="E3036" s="10"/>
      <c r="F3036" s="10"/>
      <c r="G3036" s="10"/>
      <c r="H3036" s="10"/>
      <c r="I3036" s="22" t="n">
        <v>3</v>
      </c>
      <c r="J3036" s="22"/>
      <c r="K3036" s="23"/>
      <c r="L3036" s="23"/>
      <c r="M3036" s="22"/>
      <c r="N3036" s="22"/>
      <c r="O3036" s="22"/>
      <c r="P3036" s="23"/>
      <c r="Q3036" s="23"/>
      <c r="R3036" s="22"/>
      <c r="S3036" s="22"/>
      <c r="T3036" s="22"/>
      <c r="U3036" s="24"/>
      <c r="V3036" s="15"/>
      <c r="W3036" s="16"/>
      <c r="X3036" s="16"/>
      <c r="Y3036" s="16"/>
    </row>
    <row r="3037" customFormat="false" ht="15.75" hidden="false" customHeight="false" outlineLevel="0" collapsed="false">
      <c r="A3037" s="9"/>
      <c r="B3037" s="10"/>
      <c r="C3037" s="10"/>
      <c r="D3037" s="10"/>
      <c r="E3037" s="10"/>
      <c r="F3037" s="10"/>
      <c r="G3037" s="10"/>
      <c r="H3037" s="10"/>
      <c r="I3037" s="25" t="n">
        <v>4</v>
      </c>
      <c r="J3037" s="25"/>
      <c r="K3037" s="26"/>
      <c r="L3037" s="26"/>
      <c r="M3037" s="25"/>
      <c r="N3037" s="25"/>
      <c r="O3037" s="25"/>
      <c r="P3037" s="26"/>
      <c r="Q3037" s="26"/>
      <c r="R3037" s="25"/>
      <c r="S3037" s="25"/>
      <c r="T3037" s="25"/>
      <c r="U3037" s="27"/>
      <c r="V3037" s="21"/>
      <c r="W3037" s="16"/>
      <c r="X3037" s="16"/>
      <c r="Y3037" s="16"/>
    </row>
    <row r="3038" customFormat="false" ht="15.75" hidden="false" customHeight="false" outlineLevel="0" collapsed="false">
      <c r="A3038" s="9"/>
      <c r="B3038" s="10"/>
      <c r="C3038" s="11"/>
      <c r="D3038" s="10"/>
      <c r="E3038" s="10"/>
      <c r="F3038" s="10"/>
      <c r="G3038" s="10"/>
      <c r="H3038" s="10"/>
      <c r="I3038" s="12" t="n">
        <v>1</v>
      </c>
      <c r="J3038" s="12"/>
      <c r="K3038" s="13"/>
      <c r="L3038" s="13"/>
      <c r="M3038" s="12"/>
      <c r="N3038" s="12"/>
      <c r="O3038" s="12"/>
      <c r="P3038" s="13"/>
      <c r="Q3038" s="13"/>
      <c r="R3038" s="12"/>
      <c r="S3038" s="12"/>
      <c r="T3038" s="12"/>
      <c r="U3038" s="14"/>
      <c r="V3038" s="15"/>
      <c r="W3038" s="16" t="n">
        <f aca="false">A3038</f>
        <v>0</v>
      </c>
      <c r="X3038" s="17" t="e">
        <f aca="false">ifs(C3038="","",X3038="",NOW(),TRUE(),X3038)</f>
        <v>#VALUE!</v>
      </c>
      <c r="Y3038" s="17" t="e">
        <f aca="false">ifs(COUNTA(K3038:U3041)&lt;44,"",Y3038="",NOW(),TRUE(),Y3038)</f>
        <v>#VALUE!</v>
      </c>
    </row>
    <row r="3039" customFormat="false" ht="15.75" hidden="false" customHeight="false" outlineLevel="0" collapsed="false">
      <c r="A3039" s="9"/>
      <c r="B3039" s="10"/>
      <c r="C3039" s="10"/>
      <c r="D3039" s="10"/>
      <c r="E3039" s="10"/>
      <c r="F3039" s="10"/>
      <c r="G3039" s="10"/>
      <c r="H3039" s="10"/>
      <c r="I3039" s="18" t="n">
        <v>2</v>
      </c>
      <c r="J3039" s="18"/>
      <c r="K3039" s="19"/>
      <c r="L3039" s="19"/>
      <c r="M3039" s="18"/>
      <c r="N3039" s="18"/>
      <c r="O3039" s="18"/>
      <c r="P3039" s="19"/>
      <c r="Q3039" s="19"/>
      <c r="R3039" s="18"/>
      <c r="S3039" s="18"/>
      <c r="T3039" s="18"/>
      <c r="U3039" s="20"/>
      <c r="V3039" s="21"/>
      <c r="W3039" s="16"/>
      <c r="X3039" s="16"/>
      <c r="Y3039" s="16"/>
    </row>
    <row r="3040" customFormat="false" ht="15.75" hidden="false" customHeight="false" outlineLevel="0" collapsed="false">
      <c r="A3040" s="9"/>
      <c r="B3040" s="10"/>
      <c r="C3040" s="10"/>
      <c r="D3040" s="10"/>
      <c r="E3040" s="10"/>
      <c r="F3040" s="10"/>
      <c r="G3040" s="10"/>
      <c r="H3040" s="10"/>
      <c r="I3040" s="22" t="n">
        <v>3</v>
      </c>
      <c r="J3040" s="22"/>
      <c r="K3040" s="23"/>
      <c r="L3040" s="23"/>
      <c r="M3040" s="22"/>
      <c r="N3040" s="22"/>
      <c r="O3040" s="22"/>
      <c r="P3040" s="23"/>
      <c r="Q3040" s="23"/>
      <c r="R3040" s="22"/>
      <c r="S3040" s="22"/>
      <c r="T3040" s="22"/>
      <c r="U3040" s="24"/>
      <c r="V3040" s="15"/>
      <c r="W3040" s="16"/>
      <c r="X3040" s="16"/>
      <c r="Y3040" s="16"/>
    </row>
    <row r="3041" customFormat="false" ht="15.75" hidden="false" customHeight="false" outlineLevel="0" collapsed="false">
      <c r="A3041" s="9"/>
      <c r="B3041" s="10"/>
      <c r="C3041" s="10"/>
      <c r="D3041" s="10"/>
      <c r="E3041" s="10"/>
      <c r="F3041" s="10"/>
      <c r="G3041" s="10"/>
      <c r="H3041" s="10"/>
      <c r="I3041" s="25" t="n">
        <v>4</v>
      </c>
      <c r="J3041" s="25"/>
      <c r="K3041" s="26"/>
      <c r="L3041" s="26"/>
      <c r="M3041" s="25"/>
      <c r="N3041" s="25"/>
      <c r="O3041" s="25"/>
      <c r="P3041" s="26"/>
      <c r="Q3041" s="26"/>
      <c r="R3041" s="25"/>
      <c r="S3041" s="25"/>
      <c r="T3041" s="25"/>
      <c r="U3041" s="27"/>
      <c r="V3041" s="21"/>
      <c r="W3041" s="16"/>
      <c r="X3041" s="16"/>
      <c r="Y3041" s="16"/>
    </row>
    <row r="3042" customFormat="false" ht="15.75" hidden="false" customHeight="false" outlineLevel="0" collapsed="false">
      <c r="A3042" s="9"/>
      <c r="B3042" s="10"/>
      <c r="C3042" s="11"/>
      <c r="D3042" s="10"/>
      <c r="E3042" s="10"/>
      <c r="F3042" s="10"/>
      <c r="G3042" s="10"/>
      <c r="H3042" s="10"/>
      <c r="I3042" s="12" t="n">
        <v>1</v>
      </c>
      <c r="J3042" s="12"/>
      <c r="K3042" s="13"/>
      <c r="L3042" s="13"/>
      <c r="M3042" s="12"/>
      <c r="N3042" s="12"/>
      <c r="O3042" s="12"/>
      <c r="P3042" s="13"/>
      <c r="Q3042" s="13"/>
      <c r="R3042" s="12"/>
      <c r="S3042" s="12"/>
      <c r="T3042" s="12"/>
      <c r="U3042" s="14"/>
      <c r="V3042" s="15"/>
      <c r="W3042" s="16" t="n">
        <f aca="false">A3042</f>
        <v>0</v>
      </c>
      <c r="X3042" s="17" t="e">
        <f aca="false">ifs(C3042="","",X3042="",NOW(),TRUE(),X3042)</f>
        <v>#VALUE!</v>
      </c>
      <c r="Y3042" s="17" t="e">
        <f aca="false">ifs(COUNTA(K3042:U3045)&lt;44,"",Y3042="",NOW(),TRUE(),Y3042)</f>
        <v>#VALUE!</v>
      </c>
    </row>
    <row r="3043" customFormat="false" ht="15.75" hidden="false" customHeight="false" outlineLevel="0" collapsed="false">
      <c r="A3043" s="9"/>
      <c r="B3043" s="10"/>
      <c r="C3043" s="10"/>
      <c r="D3043" s="10"/>
      <c r="E3043" s="10"/>
      <c r="F3043" s="10"/>
      <c r="G3043" s="10"/>
      <c r="H3043" s="10"/>
      <c r="I3043" s="18" t="n">
        <v>2</v>
      </c>
      <c r="J3043" s="18"/>
      <c r="K3043" s="19"/>
      <c r="L3043" s="19"/>
      <c r="M3043" s="18"/>
      <c r="N3043" s="18"/>
      <c r="O3043" s="18"/>
      <c r="P3043" s="19"/>
      <c r="Q3043" s="19"/>
      <c r="R3043" s="18"/>
      <c r="S3043" s="18"/>
      <c r="T3043" s="18"/>
      <c r="U3043" s="20"/>
      <c r="V3043" s="21"/>
      <c r="W3043" s="16"/>
      <c r="X3043" s="16"/>
      <c r="Y3043" s="16"/>
    </row>
    <row r="3044" customFormat="false" ht="15.75" hidden="false" customHeight="false" outlineLevel="0" collapsed="false">
      <c r="A3044" s="9"/>
      <c r="B3044" s="10"/>
      <c r="C3044" s="10"/>
      <c r="D3044" s="10"/>
      <c r="E3044" s="10"/>
      <c r="F3044" s="10"/>
      <c r="G3044" s="10"/>
      <c r="H3044" s="10"/>
      <c r="I3044" s="22" t="n">
        <v>3</v>
      </c>
      <c r="J3044" s="22"/>
      <c r="K3044" s="23"/>
      <c r="L3044" s="23"/>
      <c r="M3044" s="22"/>
      <c r="N3044" s="22"/>
      <c r="O3044" s="22"/>
      <c r="P3044" s="23"/>
      <c r="Q3044" s="23"/>
      <c r="R3044" s="22"/>
      <c r="S3044" s="22"/>
      <c r="T3044" s="22"/>
      <c r="U3044" s="24"/>
      <c r="V3044" s="15"/>
      <c r="W3044" s="16"/>
      <c r="X3044" s="16"/>
      <c r="Y3044" s="16"/>
    </row>
    <row r="3045" customFormat="false" ht="15.75" hidden="false" customHeight="false" outlineLevel="0" collapsed="false">
      <c r="A3045" s="9"/>
      <c r="B3045" s="10"/>
      <c r="C3045" s="10"/>
      <c r="D3045" s="10"/>
      <c r="E3045" s="10"/>
      <c r="F3045" s="10"/>
      <c r="G3045" s="10"/>
      <c r="H3045" s="10"/>
      <c r="I3045" s="25" t="n">
        <v>4</v>
      </c>
      <c r="J3045" s="25"/>
      <c r="K3045" s="26"/>
      <c r="L3045" s="26"/>
      <c r="M3045" s="25"/>
      <c r="N3045" s="25"/>
      <c r="O3045" s="25"/>
      <c r="P3045" s="26"/>
      <c r="Q3045" s="26"/>
      <c r="R3045" s="25"/>
      <c r="S3045" s="25"/>
      <c r="T3045" s="25"/>
      <c r="U3045" s="27"/>
      <c r="V3045" s="21"/>
      <c r="W3045" s="16"/>
      <c r="X3045" s="16"/>
      <c r="Y3045" s="16"/>
    </row>
    <row r="3046" customFormat="false" ht="15.75" hidden="false" customHeight="false" outlineLevel="0" collapsed="false">
      <c r="A3046" s="9"/>
      <c r="B3046" s="10"/>
      <c r="C3046" s="11"/>
      <c r="D3046" s="10"/>
      <c r="E3046" s="10"/>
      <c r="F3046" s="10"/>
      <c r="G3046" s="10"/>
      <c r="H3046" s="10"/>
      <c r="I3046" s="12" t="n">
        <v>1</v>
      </c>
      <c r="J3046" s="12"/>
      <c r="K3046" s="13"/>
      <c r="L3046" s="13"/>
      <c r="M3046" s="12"/>
      <c r="N3046" s="12"/>
      <c r="O3046" s="12"/>
      <c r="P3046" s="13"/>
      <c r="Q3046" s="13"/>
      <c r="R3046" s="12"/>
      <c r="S3046" s="12"/>
      <c r="T3046" s="12"/>
      <c r="U3046" s="14"/>
      <c r="V3046" s="15"/>
      <c r="W3046" s="16" t="n">
        <f aca="false">A3046</f>
        <v>0</v>
      </c>
      <c r="X3046" s="17" t="e">
        <f aca="false">ifs(C3046="","",X3046="",NOW(),TRUE(),X3046)</f>
        <v>#VALUE!</v>
      </c>
      <c r="Y3046" s="17" t="e">
        <f aca="false">ifs(COUNTA(K3046:U3049)&lt;44,"",Y3046="",NOW(),TRUE(),Y3046)</f>
        <v>#VALUE!</v>
      </c>
    </row>
    <row r="3047" customFormat="false" ht="15.75" hidden="false" customHeight="false" outlineLevel="0" collapsed="false">
      <c r="A3047" s="9"/>
      <c r="B3047" s="10"/>
      <c r="C3047" s="10"/>
      <c r="D3047" s="10"/>
      <c r="E3047" s="10"/>
      <c r="F3047" s="10"/>
      <c r="G3047" s="10"/>
      <c r="H3047" s="10"/>
      <c r="I3047" s="18" t="n">
        <v>2</v>
      </c>
      <c r="J3047" s="18"/>
      <c r="K3047" s="19"/>
      <c r="L3047" s="19"/>
      <c r="M3047" s="18"/>
      <c r="N3047" s="18"/>
      <c r="O3047" s="18"/>
      <c r="P3047" s="19"/>
      <c r="Q3047" s="19"/>
      <c r="R3047" s="18"/>
      <c r="S3047" s="18"/>
      <c r="T3047" s="18"/>
      <c r="U3047" s="20"/>
      <c r="V3047" s="21"/>
      <c r="W3047" s="16"/>
      <c r="X3047" s="16"/>
      <c r="Y3047" s="16"/>
    </row>
    <row r="3048" customFormat="false" ht="15.75" hidden="false" customHeight="false" outlineLevel="0" collapsed="false">
      <c r="A3048" s="9"/>
      <c r="B3048" s="10"/>
      <c r="C3048" s="10"/>
      <c r="D3048" s="10"/>
      <c r="E3048" s="10"/>
      <c r="F3048" s="10"/>
      <c r="G3048" s="10"/>
      <c r="H3048" s="10"/>
      <c r="I3048" s="22" t="n">
        <v>3</v>
      </c>
      <c r="J3048" s="22"/>
      <c r="K3048" s="23"/>
      <c r="L3048" s="23"/>
      <c r="M3048" s="22"/>
      <c r="N3048" s="22"/>
      <c r="O3048" s="22"/>
      <c r="P3048" s="23"/>
      <c r="Q3048" s="23"/>
      <c r="R3048" s="22"/>
      <c r="S3048" s="22"/>
      <c r="T3048" s="22"/>
      <c r="U3048" s="24"/>
      <c r="V3048" s="15"/>
      <c r="W3048" s="16"/>
      <c r="X3048" s="16"/>
      <c r="Y3048" s="16"/>
    </row>
    <row r="3049" customFormat="false" ht="15.75" hidden="false" customHeight="false" outlineLevel="0" collapsed="false">
      <c r="A3049" s="9"/>
      <c r="B3049" s="10"/>
      <c r="C3049" s="10"/>
      <c r="D3049" s="10"/>
      <c r="E3049" s="10"/>
      <c r="F3049" s="10"/>
      <c r="G3049" s="10"/>
      <c r="H3049" s="10"/>
      <c r="I3049" s="25" t="n">
        <v>4</v>
      </c>
      <c r="J3049" s="25"/>
      <c r="K3049" s="26"/>
      <c r="L3049" s="26"/>
      <c r="M3049" s="25"/>
      <c r="N3049" s="25"/>
      <c r="O3049" s="25"/>
      <c r="P3049" s="26"/>
      <c r="Q3049" s="26"/>
      <c r="R3049" s="25"/>
      <c r="S3049" s="25"/>
      <c r="T3049" s="25"/>
      <c r="U3049" s="27"/>
      <c r="V3049" s="21"/>
      <c r="W3049" s="16"/>
      <c r="X3049" s="16"/>
      <c r="Y3049" s="16"/>
    </row>
    <row r="3050" customFormat="false" ht="15.75" hidden="false" customHeight="false" outlineLevel="0" collapsed="false">
      <c r="A3050" s="9"/>
      <c r="B3050" s="10"/>
      <c r="C3050" s="11"/>
      <c r="D3050" s="10"/>
      <c r="E3050" s="10"/>
      <c r="F3050" s="10"/>
      <c r="G3050" s="10"/>
      <c r="H3050" s="10"/>
      <c r="I3050" s="12" t="n">
        <v>1</v>
      </c>
      <c r="J3050" s="12"/>
      <c r="K3050" s="13"/>
      <c r="L3050" s="13"/>
      <c r="M3050" s="12"/>
      <c r="N3050" s="12"/>
      <c r="O3050" s="12"/>
      <c r="P3050" s="13"/>
      <c r="Q3050" s="13"/>
      <c r="R3050" s="12"/>
      <c r="S3050" s="12"/>
      <c r="T3050" s="12"/>
      <c r="U3050" s="14"/>
      <c r="V3050" s="15"/>
      <c r="W3050" s="16" t="n">
        <f aca="false">A3050</f>
        <v>0</v>
      </c>
      <c r="X3050" s="17" t="e">
        <f aca="false">ifs(C3050="","",X3050="",NOW(),TRUE(),X3050)</f>
        <v>#VALUE!</v>
      </c>
      <c r="Y3050" s="17" t="e">
        <f aca="false">ifs(COUNTA(K3050:U3053)&lt;44,"",Y3050="",NOW(),TRUE(),Y3050)</f>
        <v>#VALUE!</v>
      </c>
    </row>
    <row r="3051" customFormat="false" ht="15.75" hidden="false" customHeight="false" outlineLevel="0" collapsed="false">
      <c r="A3051" s="9"/>
      <c r="B3051" s="10"/>
      <c r="C3051" s="10"/>
      <c r="D3051" s="10"/>
      <c r="E3051" s="10"/>
      <c r="F3051" s="10"/>
      <c r="G3051" s="10"/>
      <c r="H3051" s="10"/>
      <c r="I3051" s="18" t="n">
        <v>2</v>
      </c>
      <c r="J3051" s="18"/>
      <c r="K3051" s="19"/>
      <c r="L3051" s="19"/>
      <c r="M3051" s="18"/>
      <c r="N3051" s="18"/>
      <c r="O3051" s="18"/>
      <c r="P3051" s="19"/>
      <c r="Q3051" s="19"/>
      <c r="R3051" s="18"/>
      <c r="S3051" s="18"/>
      <c r="T3051" s="18"/>
      <c r="U3051" s="20"/>
      <c r="V3051" s="21"/>
      <c r="W3051" s="16"/>
      <c r="X3051" s="16"/>
      <c r="Y3051" s="16"/>
    </row>
    <row r="3052" customFormat="false" ht="15.75" hidden="false" customHeight="false" outlineLevel="0" collapsed="false">
      <c r="A3052" s="9"/>
      <c r="B3052" s="10"/>
      <c r="C3052" s="10"/>
      <c r="D3052" s="10"/>
      <c r="E3052" s="10"/>
      <c r="F3052" s="10"/>
      <c r="G3052" s="10"/>
      <c r="H3052" s="10"/>
      <c r="I3052" s="22" t="n">
        <v>3</v>
      </c>
      <c r="J3052" s="22"/>
      <c r="K3052" s="23"/>
      <c r="L3052" s="23"/>
      <c r="M3052" s="22"/>
      <c r="N3052" s="22"/>
      <c r="O3052" s="22"/>
      <c r="P3052" s="23"/>
      <c r="Q3052" s="23"/>
      <c r="R3052" s="22"/>
      <c r="S3052" s="22"/>
      <c r="T3052" s="22"/>
      <c r="U3052" s="24"/>
      <c r="V3052" s="15"/>
      <c r="W3052" s="16"/>
      <c r="X3052" s="16"/>
      <c r="Y3052" s="16"/>
    </row>
    <row r="3053" customFormat="false" ht="15.75" hidden="false" customHeight="false" outlineLevel="0" collapsed="false">
      <c r="A3053" s="9"/>
      <c r="B3053" s="10"/>
      <c r="C3053" s="10"/>
      <c r="D3053" s="10"/>
      <c r="E3053" s="10"/>
      <c r="F3053" s="10"/>
      <c r="G3053" s="10"/>
      <c r="H3053" s="10"/>
      <c r="I3053" s="25" t="n">
        <v>4</v>
      </c>
      <c r="J3053" s="25"/>
      <c r="K3053" s="26"/>
      <c r="L3053" s="26"/>
      <c r="M3053" s="25"/>
      <c r="N3053" s="25"/>
      <c r="O3053" s="25"/>
      <c r="P3053" s="26"/>
      <c r="Q3053" s="26"/>
      <c r="R3053" s="25"/>
      <c r="S3053" s="25"/>
      <c r="T3053" s="25"/>
      <c r="U3053" s="27"/>
      <c r="V3053" s="21"/>
      <c r="W3053" s="16"/>
      <c r="X3053" s="16"/>
      <c r="Y3053" s="16"/>
    </row>
    <row r="3054" customFormat="false" ht="15.75" hidden="false" customHeight="false" outlineLevel="0" collapsed="false">
      <c r="A3054" s="9"/>
      <c r="B3054" s="10"/>
      <c r="C3054" s="11"/>
      <c r="D3054" s="10"/>
      <c r="E3054" s="10"/>
      <c r="F3054" s="10"/>
      <c r="G3054" s="10"/>
      <c r="H3054" s="10"/>
      <c r="I3054" s="12" t="n">
        <v>1</v>
      </c>
      <c r="J3054" s="12"/>
      <c r="K3054" s="13"/>
      <c r="L3054" s="13"/>
      <c r="M3054" s="12"/>
      <c r="N3054" s="12"/>
      <c r="O3054" s="12"/>
      <c r="P3054" s="13"/>
      <c r="Q3054" s="13"/>
      <c r="R3054" s="12"/>
      <c r="S3054" s="12"/>
      <c r="T3054" s="12"/>
      <c r="U3054" s="14"/>
      <c r="V3054" s="15"/>
      <c r="W3054" s="16" t="n">
        <f aca="false">A3054</f>
        <v>0</v>
      </c>
      <c r="X3054" s="17" t="e">
        <f aca="false">ifs(C3054="","",X3054="",NOW(),TRUE(),X3054)</f>
        <v>#VALUE!</v>
      </c>
      <c r="Y3054" s="17" t="e">
        <f aca="false">ifs(COUNTA(K3054:U3057)&lt;44,"",Y3054="",NOW(),TRUE(),Y3054)</f>
        <v>#VALUE!</v>
      </c>
    </row>
    <row r="3055" customFormat="false" ht="15.75" hidden="false" customHeight="false" outlineLevel="0" collapsed="false">
      <c r="A3055" s="9"/>
      <c r="B3055" s="10"/>
      <c r="C3055" s="10"/>
      <c r="D3055" s="10"/>
      <c r="E3055" s="10"/>
      <c r="F3055" s="10"/>
      <c r="G3055" s="10"/>
      <c r="H3055" s="10"/>
      <c r="I3055" s="18" t="n">
        <v>2</v>
      </c>
      <c r="J3055" s="18"/>
      <c r="K3055" s="19"/>
      <c r="L3055" s="19"/>
      <c r="M3055" s="18"/>
      <c r="N3055" s="18"/>
      <c r="O3055" s="18"/>
      <c r="P3055" s="19"/>
      <c r="Q3055" s="19"/>
      <c r="R3055" s="18"/>
      <c r="S3055" s="18"/>
      <c r="T3055" s="18"/>
      <c r="U3055" s="20"/>
      <c r="V3055" s="21"/>
      <c r="W3055" s="16"/>
      <c r="X3055" s="16"/>
      <c r="Y3055" s="16"/>
    </row>
    <row r="3056" customFormat="false" ht="15.75" hidden="false" customHeight="false" outlineLevel="0" collapsed="false">
      <c r="A3056" s="9"/>
      <c r="B3056" s="10"/>
      <c r="C3056" s="10"/>
      <c r="D3056" s="10"/>
      <c r="E3056" s="10"/>
      <c r="F3056" s="10"/>
      <c r="G3056" s="10"/>
      <c r="H3056" s="10"/>
      <c r="I3056" s="22" t="n">
        <v>3</v>
      </c>
      <c r="J3056" s="22"/>
      <c r="K3056" s="23"/>
      <c r="L3056" s="23"/>
      <c r="M3056" s="22"/>
      <c r="N3056" s="22"/>
      <c r="O3056" s="22"/>
      <c r="P3056" s="23"/>
      <c r="Q3056" s="23"/>
      <c r="R3056" s="22"/>
      <c r="S3056" s="22"/>
      <c r="T3056" s="22"/>
      <c r="U3056" s="24"/>
      <c r="V3056" s="15"/>
      <c r="W3056" s="16"/>
      <c r="X3056" s="16"/>
      <c r="Y3056" s="16"/>
    </row>
    <row r="3057" customFormat="false" ht="15.75" hidden="false" customHeight="false" outlineLevel="0" collapsed="false">
      <c r="A3057" s="9"/>
      <c r="B3057" s="10"/>
      <c r="C3057" s="10"/>
      <c r="D3057" s="10"/>
      <c r="E3057" s="10"/>
      <c r="F3057" s="10"/>
      <c r="G3057" s="10"/>
      <c r="H3057" s="10"/>
      <c r="I3057" s="25" t="n">
        <v>4</v>
      </c>
      <c r="J3057" s="25"/>
      <c r="K3057" s="26"/>
      <c r="L3057" s="26"/>
      <c r="M3057" s="25"/>
      <c r="N3057" s="25"/>
      <c r="O3057" s="25"/>
      <c r="P3057" s="26"/>
      <c r="Q3057" s="26"/>
      <c r="R3057" s="25"/>
      <c r="S3057" s="25"/>
      <c r="T3057" s="25"/>
      <c r="U3057" s="27"/>
      <c r="V3057" s="21"/>
      <c r="W3057" s="16"/>
      <c r="X3057" s="16"/>
      <c r="Y3057" s="16"/>
    </row>
    <row r="3058" customFormat="false" ht="15.75" hidden="false" customHeight="false" outlineLevel="0" collapsed="false">
      <c r="A3058" s="9"/>
      <c r="B3058" s="10"/>
      <c r="C3058" s="11"/>
      <c r="D3058" s="10"/>
      <c r="E3058" s="10"/>
      <c r="F3058" s="10"/>
      <c r="G3058" s="10"/>
      <c r="H3058" s="10"/>
      <c r="I3058" s="12" t="n">
        <v>1</v>
      </c>
      <c r="J3058" s="12"/>
      <c r="K3058" s="13"/>
      <c r="L3058" s="13"/>
      <c r="M3058" s="12"/>
      <c r="N3058" s="12"/>
      <c r="O3058" s="12"/>
      <c r="P3058" s="13"/>
      <c r="Q3058" s="13"/>
      <c r="R3058" s="12"/>
      <c r="S3058" s="12"/>
      <c r="T3058" s="12"/>
      <c r="U3058" s="14"/>
      <c r="V3058" s="15"/>
      <c r="W3058" s="16" t="n">
        <f aca="false">A3058</f>
        <v>0</v>
      </c>
      <c r="X3058" s="17" t="e">
        <f aca="false">ifs(C3058="","",X3058="",NOW(),TRUE(),X3058)</f>
        <v>#VALUE!</v>
      </c>
      <c r="Y3058" s="17" t="e">
        <f aca="false">ifs(COUNTA(K3058:U3061)&lt;44,"",Y3058="",NOW(),TRUE(),Y3058)</f>
        <v>#VALUE!</v>
      </c>
    </row>
    <row r="3059" customFormat="false" ht="15.75" hidden="false" customHeight="false" outlineLevel="0" collapsed="false">
      <c r="A3059" s="9"/>
      <c r="B3059" s="10"/>
      <c r="C3059" s="10"/>
      <c r="D3059" s="10"/>
      <c r="E3059" s="10"/>
      <c r="F3059" s="10"/>
      <c r="G3059" s="10"/>
      <c r="H3059" s="10"/>
      <c r="I3059" s="18" t="n">
        <v>2</v>
      </c>
      <c r="J3059" s="18"/>
      <c r="K3059" s="19"/>
      <c r="L3059" s="19"/>
      <c r="M3059" s="18"/>
      <c r="N3059" s="18"/>
      <c r="O3059" s="18"/>
      <c r="P3059" s="19"/>
      <c r="Q3059" s="19"/>
      <c r="R3059" s="18"/>
      <c r="S3059" s="18"/>
      <c r="T3059" s="18"/>
      <c r="U3059" s="20"/>
      <c r="V3059" s="21"/>
      <c r="W3059" s="16"/>
      <c r="X3059" s="16"/>
      <c r="Y3059" s="16"/>
    </row>
    <row r="3060" customFormat="false" ht="15.75" hidden="false" customHeight="false" outlineLevel="0" collapsed="false">
      <c r="A3060" s="9"/>
      <c r="B3060" s="10"/>
      <c r="C3060" s="10"/>
      <c r="D3060" s="10"/>
      <c r="E3060" s="10"/>
      <c r="F3060" s="10"/>
      <c r="G3060" s="10"/>
      <c r="H3060" s="10"/>
      <c r="I3060" s="22" t="n">
        <v>3</v>
      </c>
      <c r="J3060" s="22"/>
      <c r="K3060" s="23"/>
      <c r="L3060" s="23"/>
      <c r="M3060" s="22"/>
      <c r="N3060" s="22"/>
      <c r="O3060" s="22"/>
      <c r="P3060" s="23"/>
      <c r="Q3060" s="23"/>
      <c r="R3060" s="22"/>
      <c r="S3060" s="22"/>
      <c r="T3060" s="22"/>
      <c r="U3060" s="24"/>
      <c r="V3060" s="15"/>
      <c r="W3060" s="16"/>
      <c r="X3060" s="16"/>
      <c r="Y3060" s="16"/>
    </row>
    <row r="3061" customFormat="false" ht="15.75" hidden="false" customHeight="false" outlineLevel="0" collapsed="false">
      <c r="A3061" s="9"/>
      <c r="B3061" s="10"/>
      <c r="C3061" s="10"/>
      <c r="D3061" s="10"/>
      <c r="E3061" s="10"/>
      <c r="F3061" s="10"/>
      <c r="G3061" s="10"/>
      <c r="H3061" s="10"/>
      <c r="I3061" s="25" t="n">
        <v>4</v>
      </c>
      <c r="J3061" s="25"/>
      <c r="K3061" s="26"/>
      <c r="L3061" s="26"/>
      <c r="M3061" s="25"/>
      <c r="N3061" s="25"/>
      <c r="O3061" s="25"/>
      <c r="P3061" s="26"/>
      <c r="Q3061" s="26"/>
      <c r="R3061" s="25"/>
      <c r="S3061" s="25"/>
      <c r="T3061" s="25"/>
      <c r="U3061" s="27"/>
      <c r="V3061" s="21"/>
      <c r="W3061" s="16"/>
      <c r="X3061" s="16"/>
      <c r="Y3061" s="16"/>
    </row>
    <row r="3062" customFormat="false" ht="15.75" hidden="false" customHeight="false" outlineLevel="0" collapsed="false">
      <c r="A3062" s="9"/>
      <c r="B3062" s="10"/>
      <c r="C3062" s="11"/>
      <c r="D3062" s="10"/>
      <c r="E3062" s="10"/>
      <c r="F3062" s="10"/>
      <c r="G3062" s="10"/>
      <c r="H3062" s="10"/>
      <c r="I3062" s="12" t="n">
        <v>1</v>
      </c>
      <c r="J3062" s="12"/>
      <c r="K3062" s="13"/>
      <c r="L3062" s="13"/>
      <c r="M3062" s="12"/>
      <c r="N3062" s="12"/>
      <c r="O3062" s="12"/>
      <c r="P3062" s="13"/>
      <c r="Q3062" s="13"/>
      <c r="R3062" s="12"/>
      <c r="S3062" s="12"/>
      <c r="T3062" s="12"/>
      <c r="U3062" s="14"/>
      <c r="V3062" s="15"/>
      <c r="W3062" s="16" t="n">
        <f aca="false">A3062</f>
        <v>0</v>
      </c>
      <c r="X3062" s="17" t="e">
        <f aca="false">ifs(C3062="","",X3062="",NOW(),TRUE(),X3062)</f>
        <v>#VALUE!</v>
      </c>
      <c r="Y3062" s="17" t="e">
        <f aca="false">ifs(COUNTA(K3062:U3065)&lt;44,"",Y3062="",NOW(),TRUE(),Y3062)</f>
        <v>#VALUE!</v>
      </c>
    </row>
    <row r="3063" customFormat="false" ht="15.75" hidden="false" customHeight="false" outlineLevel="0" collapsed="false">
      <c r="A3063" s="9"/>
      <c r="B3063" s="10"/>
      <c r="C3063" s="10"/>
      <c r="D3063" s="10"/>
      <c r="E3063" s="10"/>
      <c r="F3063" s="10"/>
      <c r="G3063" s="10"/>
      <c r="H3063" s="10"/>
      <c r="I3063" s="18" t="n">
        <v>2</v>
      </c>
      <c r="J3063" s="18"/>
      <c r="K3063" s="19"/>
      <c r="L3063" s="19"/>
      <c r="M3063" s="18"/>
      <c r="N3063" s="18"/>
      <c r="O3063" s="18"/>
      <c r="P3063" s="19"/>
      <c r="Q3063" s="19"/>
      <c r="R3063" s="18"/>
      <c r="S3063" s="18"/>
      <c r="T3063" s="18"/>
      <c r="U3063" s="20"/>
      <c r="V3063" s="21"/>
      <c r="W3063" s="16"/>
      <c r="X3063" s="16"/>
      <c r="Y3063" s="16"/>
    </row>
    <row r="3064" customFormat="false" ht="15.75" hidden="false" customHeight="false" outlineLevel="0" collapsed="false">
      <c r="A3064" s="9"/>
      <c r="B3064" s="10"/>
      <c r="C3064" s="10"/>
      <c r="D3064" s="10"/>
      <c r="E3064" s="10"/>
      <c r="F3064" s="10"/>
      <c r="G3064" s="10"/>
      <c r="H3064" s="10"/>
      <c r="I3064" s="22" t="n">
        <v>3</v>
      </c>
      <c r="J3064" s="22"/>
      <c r="K3064" s="23"/>
      <c r="L3064" s="23"/>
      <c r="M3064" s="22"/>
      <c r="N3064" s="22"/>
      <c r="O3064" s="22"/>
      <c r="P3064" s="23"/>
      <c r="Q3064" s="23"/>
      <c r="R3064" s="22"/>
      <c r="S3064" s="22"/>
      <c r="T3064" s="22"/>
      <c r="U3064" s="24"/>
      <c r="V3064" s="15"/>
      <c r="W3064" s="16"/>
      <c r="X3064" s="16"/>
      <c r="Y3064" s="16"/>
    </row>
    <row r="3065" customFormat="false" ht="15.75" hidden="false" customHeight="false" outlineLevel="0" collapsed="false">
      <c r="A3065" s="9"/>
      <c r="B3065" s="10"/>
      <c r="C3065" s="10"/>
      <c r="D3065" s="10"/>
      <c r="E3065" s="10"/>
      <c r="F3065" s="10"/>
      <c r="G3065" s="10"/>
      <c r="H3065" s="10"/>
      <c r="I3065" s="25" t="n">
        <v>4</v>
      </c>
      <c r="J3065" s="25"/>
      <c r="K3065" s="26"/>
      <c r="L3065" s="26"/>
      <c r="M3065" s="25"/>
      <c r="N3065" s="25"/>
      <c r="O3065" s="25"/>
      <c r="P3065" s="26"/>
      <c r="Q3065" s="26"/>
      <c r="R3065" s="25"/>
      <c r="S3065" s="25"/>
      <c r="T3065" s="25"/>
      <c r="U3065" s="27"/>
      <c r="V3065" s="21"/>
      <c r="W3065" s="16"/>
      <c r="X3065" s="16"/>
      <c r="Y3065" s="16"/>
    </row>
    <row r="3066" customFormat="false" ht="15.75" hidden="false" customHeight="false" outlineLevel="0" collapsed="false">
      <c r="A3066" s="9"/>
      <c r="B3066" s="10"/>
      <c r="C3066" s="11"/>
      <c r="D3066" s="10"/>
      <c r="E3066" s="10"/>
      <c r="F3066" s="10"/>
      <c r="G3066" s="10"/>
      <c r="H3066" s="10"/>
      <c r="I3066" s="12" t="n">
        <v>1</v>
      </c>
      <c r="J3066" s="12"/>
      <c r="K3066" s="13"/>
      <c r="L3066" s="13"/>
      <c r="M3066" s="12"/>
      <c r="N3066" s="12"/>
      <c r="O3066" s="12"/>
      <c r="P3066" s="13"/>
      <c r="Q3066" s="13"/>
      <c r="R3066" s="12"/>
      <c r="S3066" s="12"/>
      <c r="T3066" s="12"/>
      <c r="U3066" s="14"/>
      <c r="V3066" s="15"/>
      <c r="W3066" s="16" t="n">
        <f aca="false">A3066</f>
        <v>0</v>
      </c>
      <c r="X3066" s="17" t="e">
        <f aca="false">ifs(C3066="","",X3066="",NOW(),TRUE(),X3066)</f>
        <v>#VALUE!</v>
      </c>
      <c r="Y3066" s="17" t="e">
        <f aca="false">ifs(COUNTA(K3066:U3069)&lt;44,"",Y3066="",NOW(),TRUE(),Y3066)</f>
        <v>#VALUE!</v>
      </c>
    </row>
    <row r="3067" customFormat="false" ht="15.75" hidden="false" customHeight="false" outlineLevel="0" collapsed="false">
      <c r="A3067" s="9"/>
      <c r="B3067" s="10"/>
      <c r="C3067" s="10"/>
      <c r="D3067" s="10"/>
      <c r="E3067" s="10"/>
      <c r="F3067" s="10"/>
      <c r="G3067" s="10"/>
      <c r="H3067" s="10"/>
      <c r="I3067" s="18" t="n">
        <v>2</v>
      </c>
      <c r="J3067" s="18"/>
      <c r="K3067" s="19"/>
      <c r="L3067" s="19"/>
      <c r="M3067" s="18"/>
      <c r="N3067" s="18"/>
      <c r="O3067" s="18"/>
      <c r="P3067" s="19"/>
      <c r="Q3067" s="19"/>
      <c r="R3067" s="18"/>
      <c r="S3067" s="18"/>
      <c r="T3067" s="18"/>
      <c r="U3067" s="20"/>
      <c r="V3067" s="21"/>
      <c r="W3067" s="16"/>
      <c r="X3067" s="16"/>
      <c r="Y3067" s="16"/>
    </row>
    <row r="3068" customFormat="false" ht="15.75" hidden="false" customHeight="false" outlineLevel="0" collapsed="false">
      <c r="A3068" s="9"/>
      <c r="B3068" s="10"/>
      <c r="C3068" s="10"/>
      <c r="D3068" s="10"/>
      <c r="E3068" s="10"/>
      <c r="F3068" s="10"/>
      <c r="G3068" s="10"/>
      <c r="H3068" s="10"/>
      <c r="I3068" s="22" t="n">
        <v>3</v>
      </c>
      <c r="J3068" s="22"/>
      <c r="K3068" s="23"/>
      <c r="L3068" s="23"/>
      <c r="M3068" s="22"/>
      <c r="N3068" s="22"/>
      <c r="O3068" s="22"/>
      <c r="P3068" s="23"/>
      <c r="Q3068" s="23"/>
      <c r="R3068" s="22"/>
      <c r="S3068" s="22"/>
      <c r="T3068" s="22"/>
      <c r="U3068" s="24"/>
      <c r="V3068" s="15"/>
      <c r="W3068" s="16"/>
      <c r="X3068" s="16"/>
      <c r="Y3068" s="16"/>
    </row>
    <row r="3069" customFormat="false" ht="15.75" hidden="false" customHeight="false" outlineLevel="0" collapsed="false">
      <c r="A3069" s="9"/>
      <c r="B3069" s="10"/>
      <c r="C3069" s="10"/>
      <c r="D3069" s="10"/>
      <c r="E3069" s="10"/>
      <c r="F3069" s="10"/>
      <c r="G3069" s="10"/>
      <c r="H3069" s="10"/>
      <c r="I3069" s="25" t="n">
        <v>4</v>
      </c>
      <c r="J3069" s="25"/>
      <c r="K3069" s="26"/>
      <c r="L3069" s="26"/>
      <c r="M3069" s="25"/>
      <c r="N3069" s="25"/>
      <c r="O3069" s="25"/>
      <c r="P3069" s="26"/>
      <c r="Q3069" s="26"/>
      <c r="R3069" s="25"/>
      <c r="S3069" s="25"/>
      <c r="T3069" s="25"/>
      <c r="U3069" s="27"/>
      <c r="V3069" s="21"/>
      <c r="W3069" s="16"/>
      <c r="X3069" s="16"/>
      <c r="Y3069" s="16"/>
    </row>
    <row r="3070" customFormat="false" ht="15.75" hidden="false" customHeight="false" outlineLevel="0" collapsed="false">
      <c r="A3070" s="9"/>
      <c r="B3070" s="10"/>
      <c r="C3070" s="11"/>
      <c r="D3070" s="10"/>
      <c r="E3070" s="10"/>
      <c r="F3070" s="10"/>
      <c r="G3070" s="10"/>
      <c r="H3070" s="10"/>
      <c r="I3070" s="12" t="n">
        <v>1</v>
      </c>
      <c r="J3070" s="12"/>
      <c r="K3070" s="13"/>
      <c r="L3070" s="13"/>
      <c r="M3070" s="12"/>
      <c r="N3070" s="12"/>
      <c r="O3070" s="12"/>
      <c r="P3070" s="13"/>
      <c r="Q3070" s="13"/>
      <c r="R3070" s="12"/>
      <c r="S3070" s="12"/>
      <c r="T3070" s="12"/>
      <c r="U3070" s="14"/>
      <c r="V3070" s="15"/>
      <c r="W3070" s="16" t="n">
        <f aca="false">A3070</f>
        <v>0</v>
      </c>
      <c r="X3070" s="17" t="e">
        <f aca="false">ifs(C3070="","",X3070="",NOW(),TRUE(),X3070)</f>
        <v>#VALUE!</v>
      </c>
      <c r="Y3070" s="17" t="e">
        <f aca="false">ifs(COUNTA(K3070:U3073)&lt;44,"",Y3070="",NOW(),TRUE(),Y3070)</f>
        <v>#VALUE!</v>
      </c>
    </row>
    <row r="3071" customFormat="false" ht="15.75" hidden="false" customHeight="false" outlineLevel="0" collapsed="false">
      <c r="A3071" s="9"/>
      <c r="B3071" s="10"/>
      <c r="C3071" s="10"/>
      <c r="D3071" s="10"/>
      <c r="E3071" s="10"/>
      <c r="F3071" s="10"/>
      <c r="G3071" s="10"/>
      <c r="H3071" s="10"/>
      <c r="I3071" s="18" t="n">
        <v>2</v>
      </c>
      <c r="J3071" s="18"/>
      <c r="K3071" s="19"/>
      <c r="L3071" s="19"/>
      <c r="M3071" s="18"/>
      <c r="N3071" s="18"/>
      <c r="O3071" s="18"/>
      <c r="P3071" s="19"/>
      <c r="Q3071" s="19"/>
      <c r="R3071" s="18"/>
      <c r="S3071" s="18"/>
      <c r="T3071" s="18"/>
      <c r="U3071" s="20"/>
      <c r="V3071" s="21"/>
      <c r="W3071" s="16"/>
      <c r="X3071" s="16"/>
      <c r="Y3071" s="16"/>
    </row>
    <row r="3072" customFormat="false" ht="15.75" hidden="false" customHeight="false" outlineLevel="0" collapsed="false">
      <c r="A3072" s="9"/>
      <c r="B3072" s="10"/>
      <c r="C3072" s="10"/>
      <c r="D3072" s="10"/>
      <c r="E3072" s="10"/>
      <c r="F3072" s="10"/>
      <c r="G3072" s="10"/>
      <c r="H3072" s="10"/>
      <c r="I3072" s="22" t="n">
        <v>3</v>
      </c>
      <c r="J3072" s="22"/>
      <c r="K3072" s="23"/>
      <c r="L3072" s="23"/>
      <c r="M3072" s="22"/>
      <c r="N3072" s="22"/>
      <c r="O3072" s="22"/>
      <c r="P3072" s="23"/>
      <c r="Q3072" s="23"/>
      <c r="R3072" s="22"/>
      <c r="S3072" s="22"/>
      <c r="T3072" s="22"/>
      <c r="U3072" s="24"/>
      <c r="V3072" s="15"/>
      <c r="W3072" s="16"/>
      <c r="X3072" s="16"/>
      <c r="Y3072" s="16"/>
    </row>
    <row r="3073" customFormat="false" ht="15.75" hidden="false" customHeight="false" outlineLevel="0" collapsed="false">
      <c r="A3073" s="9"/>
      <c r="B3073" s="10"/>
      <c r="C3073" s="10"/>
      <c r="D3073" s="10"/>
      <c r="E3073" s="10"/>
      <c r="F3073" s="10"/>
      <c r="G3073" s="10"/>
      <c r="H3073" s="10"/>
      <c r="I3073" s="25" t="n">
        <v>4</v>
      </c>
      <c r="J3073" s="25"/>
      <c r="K3073" s="26"/>
      <c r="L3073" s="26"/>
      <c r="M3073" s="25"/>
      <c r="N3073" s="25"/>
      <c r="O3073" s="25"/>
      <c r="P3073" s="26"/>
      <c r="Q3073" s="26"/>
      <c r="R3073" s="25"/>
      <c r="S3073" s="25"/>
      <c r="T3073" s="25"/>
      <c r="U3073" s="27"/>
      <c r="V3073" s="21"/>
      <c r="W3073" s="16"/>
      <c r="X3073" s="16"/>
      <c r="Y3073" s="16"/>
    </row>
    <row r="3074" customFormat="false" ht="15.75" hidden="false" customHeight="false" outlineLevel="0" collapsed="false">
      <c r="A3074" s="9"/>
      <c r="B3074" s="10"/>
      <c r="C3074" s="11"/>
      <c r="D3074" s="10"/>
      <c r="E3074" s="10"/>
      <c r="F3074" s="10"/>
      <c r="G3074" s="10"/>
      <c r="H3074" s="10"/>
      <c r="I3074" s="12" t="n">
        <v>1</v>
      </c>
      <c r="J3074" s="12"/>
      <c r="K3074" s="13"/>
      <c r="L3074" s="13"/>
      <c r="M3074" s="12"/>
      <c r="N3074" s="12"/>
      <c r="O3074" s="12"/>
      <c r="P3074" s="13"/>
      <c r="Q3074" s="13"/>
      <c r="R3074" s="12"/>
      <c r="S3074" s="12"/>
      <c r="T3074" s="12"/>
      <c r="U3074" s="14"/>
      <c r="V3074" s="15"/>
      <c r="W3074" s="16" t="n">
        <f aca="false">A3074</f>
        <v>0</v>
      </c>
      <c r="X3074" s="17" t="e">
        <f aca="false">ifs(C3074="","",X3074="",NOW(),TRUE(),X3074)</f>
        <v>#VALUE!</v>
      </c>
      <c r="Y3074" s="17" t="e">
        <f aca="false">ifs(COUNTA(K3074:U3077)&lt;44,"",Y3074="",NOW(),TRUE(),Y3074)</f>
        <v>#VALUE!</v>
      </c>
    </row>
    <row r="3075" customFormat="false" ht="15.75" hidden="false" customHeight="false" outlineLevel="0" collapsed="false">
      <c r="A3075" s="9"/>
      <c r="B3075" s="10"/>
      <c r="C3075" s="10"/>
      <c r="D3075" s="10"/>
      <c r="E3075" s="10"/>
      <c r="F3075" s="10"/>
      <c r="G3075" s="10"/>
      <c r="H3075" s="10"/>
      <c r="I3075" s="18" t="n">
        <v>2</v>
      </c>
      <c r="J3075" s="18"/>
      <c r="K3075" s="19"/>
      <c r="L3075" s="19"/>
      <c r="M3075" s="18"/>
      <c r="N3075" s="18"/>
      <c r="O3075" s="18"/>
      <c r="P3075" s="19"/>
      <c r="Q3075" s="19"/>
      <c r="R3075" s="18"/>
      <c r="S3075" s="18"/>
      <c r="T3075" s="18"/>
      <c r="U3075" s="20"/>
      <c r="V3075" s="21"/>
      <c r="W3075" s="16"/>
      <c r="X3075" s="16"/>
      <c r="Y3075" s="16"/>
    </row>
    <row r="3076" customFormat="false" ht="15.75" hidden="false" customHeight="false" outlineLevel="0" collapsed="false">
      <c r="A3076" s="9"/>
      <c r="B3076" s="10"/>
      <c r="C3076" s="10"/>
      <c r="D3076" s="10"/>
      <c r="E3076" s="10"/>
      <c r="F3076" s="10"/>
      <c r="G3076" s="10"/>
      <c r="H3076" s="10"/>
      <c r="I3076" s="22" t="n">
        <v>3</v>
      </c>
      <c r="J3076" s="22"/>
      <c r="K3076" s="23"/>
      <c r="L3076" s="23"/>
      <c r="M3076" s="22"/>
      <c r="N3076" s="22"/>
      <c r="O3076" s="22"/>
      <c r="P3076" s="23"/>
      <c r="Q3076" s="23"/>
      <c r="R3076" s="22"/>
      <c r="S3076" s="22"/>
      <c r="T3076" s="22"/>
      <c r="U3076" s="24"/>
      <c r="V3076" s="15"/>
      <c r="W3076" s="16"/>
      <c r="X3076" s="16"/>
      <c r="Y3076" s="16"/>
    </row>
    <row r="3077" customFormat="false" ht="15.75" hidden="false" customHeight="false" outlineLevel="0" collapsed="false">
      <c r="A3077" s="9"/>
      <c r="B3077" s="10"/>
      <c r="C3077" s="10"/>
      <c r="D3077" s="10"/>
      <c r="E3077" s="10"/>
      <c r="F3077" s="10"/>
      <c r="G3077" s="10"/>
      <c r="H3077" s="10"/>
      <c r="I3077" s="25" t="n">
        <v>4</v>
      </c>
      <c r="J3077" s="25"/>
      <c r="K3077" s="26"/>
      <c r="L3077" s="26"/>
      <c r="M3077" s="25"/>
      <c r="N3077" s="25"/>
      <c r="O3077" s="25"/>
      <c r="P3077" s="26"/>
      <c r="Q3077" s="26"/>
      <c r="R3077" s="25"/>
      <c r="S3077" s="25"/>
      <c r="T3077" s="25"/>
      <c r="U3077" s="27"/>
      <c r="V3077" s="21"/>
      <c r="W3077" s="16"/>
      <c r="X3077" s="16"/>
      <c r="Y3077" s="16"/>
    </row>
    <row r="3078" customFormat="false" ht="15.75" hidden="false" customHeight="false" outlineLevel="0" collapsed="false">
      <c r="A3078" s="9"/>
      <c r="B3078" s="10"/>
      <c r="C3078" s="11"/>
      <c r="D3078" s="10"/>
      <c r="E3078" s="10"/>
      <c r="F3078" s="10"/>
      <c r="G3078" s="10"/>
      <c r="H3078" s="10"/>
      <c r="I3078" s="12" t="n">
        <v>1</v>
      </c>
      <c r="J3078" s="12"/>
      <c r="K3078" s="13"/>
      <c r="L3078" s="13"/>
      <c r="M3078" s="12"/>
      <c r="N3078" s="12"/>
      <c r="O3078" s="12"/>
      <c r="P3078" s="13"/>
      <c r="Q3078" s="13"/>
      <c r="R3078" s="12"/>
      <c r="S3078" s="12"/>
      <c r="T3078" s="12"/>
      <c r="U3078" s="14"/>
      <c r="V3078" s="15"/>
      <c r="W3078" s="16" t="n">
        <f aca="false">A3078</f>
        <v>0</v>
      </c>
      <c r="X3078" s="17" t="e">
        <f aca="false">ifs(C3078="","",X3078="",NOW(),TRUE(),X3078)</f>
        <v>#VALUE!</v>
      </c>
      <c r="Y3078" s="17" t="e">
        <f aca="false">ifs(COUNTA(K3078:U3081)&lt;44,"",Y3078="",NOW(),TRUE(),Y3078)</f>
        <v>#VALUE!</v>
      </c>
    </row>
    <row r="3079" customFormat="false" ht="15.75" hidden="false" customHeight="false" outlineLevel="0" collapsed="false">
      <c r="A3079" s="9"/>
      <c r="B3079" s="10"/>
      <c r="C3079" s="10"/>
      <c r="D3079" s="10"/>
      <c r="E3079" s="10"/>
      <c r="F3079" s="10"/>
      <c r="G3079" s="10"/>
      <c r="H3079" s="10"/>
      <c r="I3079" s="18" t="n">
        <v>2</v>
      </c>
      <c r="J3079" s="18"/>
      <c r="K3079" s="19"/>
      <c r="L3079" s="19"/>
      <c r="M3079" s="18"/>
      <c r="N3079" s="18"/>
      <c r="O3079" s="18"/>
      <c r="P3079" s="19"/>
      <c r="Q3079" s="19"/>
      <c r="R3079" s="18"/>
      <c r="S3079" s="18"/>
      <c r="T3079" s="18"/>
      <c r="U3079" s="20"/>
      <c r="V3079" s="21"/>
      <c r="W3079" s="16"/>
      <c r="X3079" s="16"/>
      <c r="Y3079" s="16"/>
    </row>
    <row r="3080" customFormat="false" ht="15.75" hidden="false" customHeight="false" outlineLevel="0" collapsed="false">
      <c r="A3080" s="9"/>
      <c r="B3080" s="10"/>
      <c r="C3080" s="10"/>
      <c r="D3080" s="10"/>
      <c r="E3080" s="10"/>
      <c r="F3080" s="10"/>
      <c r="G3080" s="10"/>
      <c r="H3080" s="10"/>
      <c r="I3080" s="22" t="n">
        <v>3</v>
      </c>
      <c r="J3080" s="22"/>
      <c r="K3080" s="23"/>
      <c r="L3080" s="23"/>
      <c r="M3080" s="22"/>
      <c r="N3080" s="22"/>
      <c r="O3080" s="22"/>
      <c r="P3080" s="23"/>
      <c r="Q3080" s="23"/>
      <c r="R3080" s="22"/>
      <c r="S3080" s="22"/>
      <c r="T3080" s="22"/>
      <c r="U3080" s="24"/>
      <c r="V3080" s="15"/>
      <c r="W3080" s="16"/>
      <c r="X3080" s="16"/>
      <c r="Y3080" s="16"/>
    </row>
    <row r="3081" customFormat="false" ht="15.75" hidden="false" customHeight="false" outlineLevel="0" collapsed="false">
      <c r="A3081" s="9"/>
      <c r="B3081" s="10"/>
      <c r="C3081" s="10"/>
      <c r="D3081" s="10"/>
      <c r="E3081" s="10"/>
      <c r="F3081" s="10"/>
      <c r="G3081" s="10"/>
      <c r="H3081" s="10"/>
      <c r="I3081" s="25" t="n">
        <v>4</v>
      </c>
      <c r="J3081" s="25"/>
      <c r="K3081" s="26"/>
      <c r="L3081" s="26"/>
      <c r="M3081" s="25"/>
      <c r="N3081" s="25"/>
      <c r="O3081" s="25"/>
      <c r="P3081" s="26"/>
      <c r="Q3081" s="26"/>
      <c r="R3081" s="25"/>
      <c r="S3081" s="25"/>
      <c r="T3081" s="25"/>
      <c r="U3081" s="27"/>
      <c r="V3081" s="21"/>
      <c r="W3081" s="16"/>
      <c r="X3081" s="16"/>
      <c r="Y3081" s="16"/>
    </row>
    <row r="3082" customFormat="false" ht="15.75" hidden="false" customHeight="false" outlineLevel="0" collapsed="false">
      <c r="A3082" s="9"/>
      <c r="B3082" s="10"/>
      <c r="C3082" s="11"/>
      <c r="D3082" s="10"/>
      <c r="E3082" s="10"/>
      <c r="F3082" s="10"/>
      <c r="G3082" s="10"/>
      <c r="H3082" s="10"/>
      <c r="I3082" s="12" t="n">
        <v>1</v>
      </c>
      <c r="J3082" s="12"/>
      <c r="K3082" s="13"/>
      <c r="L3082" s="13"/>
      <c r="M3082" s="12"/>
      <c r="N3082" s="12"/>
      <c r="O3082" s="12"/>
      <c r="P3082" s="13"/>
      <c r="Q3082" s="13"/>
      <c r="R3082" s="12"/>
      <c r="S3082" s="12"/>
      <c r="T3082" s="12"/>
      <c r="U3082" s="14"/>
      <c r="V3082" s="15"/>
      <c r="W3082" s="16" t="n">
        <f aca="false">A3082</f>
        <v>0</v>
      </c>
      <c r="X3082" s="17" t="e">
        <f aca="false">ifs(C3082="","",X3082="",NOW(),TRUE(),X3082)</f>
        <v>#VALUE!</v>
      </c>
      <c r="Y3082" s="17" t="e">
        <f aca="false">ifs(COUNTA(K3082:U3085)&lt;44,"",Y3082="",NOW(),TRUE(),Y3082)</f>
        <v>#VALUE!</v>
      </c>
    </row>
    <row r="3083" customFormat="false" ht="15.75" hidden="false" customHeight="false" outlineLevel="0" collapsed="false">
      <c r="A3083" s="9"/>
      <c r="B3083" s="10"/>
      <c r="C3083" s="10"/>
      <c r="D3083" s="10"/>
      <c r="E3083" s="10"/>
      <c r="F3083" s="10"/>
      <c r="G3083" s="10"/>
      <c r="H3083" s="10"/>
      <c r="I3083" s="18" t="n">
        <v>2</v>
      </c>
      <c r="J3083" s="18"/>
      <c r="K3083" s="19"/>
      <c r="L3083" s="19"/>
      <c r="M3083" s="18"/>
      <c r="N3083" s="18"/>
      <c r="O3083" s="18"/>
      <c r="P3083" s="19"/>
      <c r="Q3083" s="19"/>
      <c r="R3083" s="18"/>
      <c r="S3083" s="18"/>
      <c r="T3083" s="18"/>
      <c r="U3083" s="20"/>
      <c r="V3083" s="21"/>
      <c r="W3083" s="16"/>
      <c r="X3083" s="16"/>
      <c r="Y3083" s="16"/>
    </row>
    <row r="3084" customFormat="false" ht="15.75" hidden="false" customHeight="false" outlineLevel="0" collapsed="false">
      <c r="A3084" s="9"/>
      <c r="B3084" s="10"/>
      <c r="C3084" s="10"/>
      <c r="D3084" s="10"/>
      <c r="E3084" s="10"/>
      <c r="F3084" s="10"/>
      <c r="G3084" s="10"/>
      <c r="H3084" s="10"/>
      <c r="I3084" s="22" t="n">
        <v>3</v>
      </c>
      <c r="J3084" s="22"/>
      <c r="K3084" s="23"/>
      <c r="L3084" s="23"/>
      <c r="M3084" s="22"/>
      <c r="N3084" s="22"/>
      <c r="O3084" s="22"/>
      <c r="P3084" s="23"/>
      <c r="Q3084" s="23"/>
      <c r="R3084" s="22"/>
      <c r="S3084" s="22"/>
      <c r="T3084" s="22"/>
      <c r="U3084" s="24"/>
      <c r="V3084" s="15"/>
      <c r="W3084" s="16"/>
      <c r="X3084" s="16"/>
      <c r="Y3084" s="16"/>
    </row>
    <row r="3085" customFormat="false" ht="15.75" hidden="false" customHeight="false" outlineLevel="0" collapsed="false">
      <c r="A3085" s="9"/>
      <c r="B3085" s="10"/>
      <c r="C3085" s="10"/>
      <c r="D3085" s="10"/>
      <c r="E3085" s="10"/>
      <c r="F3085" s="10"/>
      <c r="G3085" s="10"/>
      <c r="H3085" s="10"/>
      <c r="I3085" s="25" t="n">
        <v>4</v>
      </c>
      <c r="J3085" s="25"/>
      <c r="K3085" s="26"/>
      <c r="L3085" s="26"/>
      <c r="M3085" s="25"/>
      <c r="N3085" s="25"/>
      <c r="O3085" s="25"/>
      <c r="P3085" s="26"/>
      <c r="Q3085" s="26"/>
      <c r="R3085" s="25"/>
      <c r="S3085" s="25"/>
      <c r="T3085" s="25"/>
      <c r="U3085" s="27"/>
      <c r="V3085" s="21"/>
      <c r="W3085" s="16"/>
      <c r="X3085" s="16"/>
      <c r="Y3085" s="16"/>
    </row>
    <row r="3086" customFormat="false" ht="15.75" hidden="false" customHeight="false" outlineLevel="0" collapsed="false">
      <c r="A3086" s="9"/>
      <c r="B3086" s="10"/>
      <c r="C3086" s="11"/>
      <c r="D3086" s="10"/>
      <c r="E3086" s="10"/>
      <c r="F3086" s="10"/>
      <c r="G3086" s="10"/>
      <c r="H3086" s="10"/>
      <c r="I3086" s="12" t="n">
        <v>1</v>
      </c>
      <c r="J3086" s="12"/>
      <c r="K3086" s="13"/>
      <c r="L3086" s="13"/>
      <c r="M3086" s="12"/>
      <c r="N3086" s="12"/>
      <c r="O3086" s="12"/>
      <c r="P3086" s="13"/>
      <c r="Q3086" s="13"/>
      <c r="R3086" s="12"/>
      <c r="S3086" s="12"/>
      <c r="T3086" s="12"/>
      <c r="U3086" s="14"/>
      <c r="V3086" s="15"/>
      <c r="W3086" s="16" t="n">
        <f aca="false">A3086</f>
        <v>0</v>
      </c>
      <c r="X3086" s="17" t="e">
        <f aca="false">ifs(C3086="","",X3086="",NOW(),TRUE(),X3086)</f>
        <v>#VALUE!</v>
      </c>
      <c r="Y3086" s="17" t="e">
        <f aca="false">ifs(COUNTA(K3086:U3089)&lt;44,"",Y3086="",NOW(),TRUE(),Y3086)</f>
        <v>#VALUE!</v>
      </c>
    </row>
    <row r="3087" customFormat="false" ht="15.75" hidden="false" customHeight="false" outlineLevel="0" collapsed="false">
      <c r="A3087" s="9"/>
      <c r="B3087" s="10"/>
      <c r="C3087" s="10"/>
      <c r="D3087" s="10"/>
      <c r="E3087" s="10"/>
      <c r="F3087" s="10"/>
      <c r="G3087" s="10"/>
      <c r="H3087" s="10"/>
      <c r="I3087" s="18" t="n">
        <v>2</v>
      </c>
      <c r="J3087" s="18"/>
      <c r="K3087" s="19"/>
      <c r="L3087" s="19"/>
      <c r="M3087" s="18"/>
      <c r="N3087" s="18"/>
      <c r="O3087" s="18"/>
      <c r="P3087" s="19"/>
      <c r="Q3087" s="19"/>
      <c r="R3087" s="18"/>
      <c r="S3087" s="18"/>
      <c r="T3087" s="18"/>
      <c r="U3087" s="20"/>
      <c r="V3087" s="21"/>
      <c r="W3087" s="16"/>
      <c r="X3087" s="16"/>
      <c r="Y3087" s="16"/>
    </row>
    <row r="3088" customFormat="false" ht="15.75" hidden="false" customHeight="false" outlineLevel="0" collapsed="false">
      <c r="A3088" s="9"/>
      <c r="B3088" s="10"/>
      <c r="C3088" s="10"/>
      <c r="D3088" s="10"/>
      <c r="E3088" s="10"/>
      <c r="F3088" s="10"/>
      <c r="G3088" s="10"/>
      <c r="H3088" s="10"/>
      <c r="I3088" s="22" t="n">
        <v>3</v>
      </c>
      <c r="J3088" s="22"/>
      <c r="K3088" s="23"/>
      <c r="L3088" s="23"/>
      <c r="M3088" s="22"/>
      <c r="N3088" s="22"/>
      <c r="O3088" s="22"/>
      <c r="P3088" s="23"/>
      <c r="Q3088" s="23"/>
      <c r="R3088" s="22"/>
      <c r="S3088" s="22"/>
      <c r="T3088" s="22"/>
      <c r="U3088" s="24"/>
      <c r="V3088" s="15"/>
      <c r="W3088" s="16"/>
      <c r="X3088" s="16"/>
      <c r="Y3088" s="16"/>
    </row>
    <row r="3089" customFormat="false" ht="15.75" hidden="false" customHeight="false" outlineLevel="0" collapsed="false">
      <c r="A3089" s="9"/>
      <c r="B3089" s="10"/>
      <c r="C3089" s="10"/>
      <c r="D3089" s="10"/>
      <c r="E3089" s="10"/>
      <c r="F3089" s="10"/>
      <c r="G3089" s="10"/>
      <c r="H3089" s="10"/>
      <c r="I3089" s="25" t="n">
        <v>4</v>
      </c>
      <c r="J3089" s="25"/>
      <c r="K3089" s="26"/>
      <c r="L3089" s="26"/>
      <c r="M3089" s="25"/>
      <c r="N3089" s="25"/>
      <c r="O3089" s="25"/>
      <c r="P3089" s="26"/>
      <c r="Q3089" s="26"/>
      <c r="R3089" s="25"/>
      <c r="S3089" s="25"/>
      <c r="T3089" s="25"/>
      <c r="U3089" s="27"/>
      <c r="V3089" s="21"/>
      <c r="W3089" s="16"/>
      <c r="X3089" s="16"/>
      <c r="Y3089" s="16"/>
    </row>
    <row r="3090" customFormat="false" ht="15.75" hidden="false" customHeight="false" outlineLevel="0" collapsed="false">
      <c r="A3090" s="9"/>
      <c r="B3090" s="10"/>
      <c r="C3090" s="11"/>
      <c r="D3090" s="10"/>
      <c r="E3090" s="10"/>
      <c r="F3090" s="10"/>
      <c r="G3090" s="10"/>
      <c r="H3090" s="10"/>
      <c r="I3090" s="12" t="n">
        <v>1</v>
      </c>
      <c r="J3090" s="12"/>
      <c r="K3090" s="13"/>
      <c r="L3090" s="13"/>
      <c r="M3090" s="12"/>
      <c r="N3090" s="12"/>
      <c r="O3090" s="12"/>
      <c r="P3090" s="13"/>
      <c r="Q3090" s="13"/>
      <c r="R3090" s="12"/>
      <c r="S3090" s="12"/>
      <c r="T3090" s="12"/>
      <c r="U3090" s="14"/>
      <c r="V3090" s="15"/>
      <c r="W3090" s="16" t="n">
        <f aca="false">A3090</f>
        <v>0</v>
      </c>
      <c r="X3090" s="17" t="e">
        <f aca="false">ifs(C3090="","",X3090="",NOW(),TRUE(),X3090)</f>
        <v>#VALUE!</v>
      </c>
      <c r="Y3090" s="17" t="e">
        <f aca="false">ifs(COUNTA(K3090:U3093)&lt;44,"",Y3090="",NOW(),TRUE(),Y3090)</f>
        <v>#VALUE!</v>
      </c>
    </row>
    <row r="3091" customFormat="false" ht="15.75" hidden="false" customHeight="false" outlineLevel="0" collapsed="false">
      <c r="A3091" s="9"/>
      <c r="B3091" s="10"/>
      <c r="C3091" s="10"/>
      <c r="D3091" s="10"/>
      <c r="E3091" s="10"/>
      <c r="F3091" s="10"/>
      <c r="G3091" s="10"/>
      <c r="H3091" s="10"/>
      <c r="I3091" s="18" t="n">
        <v>2</v>
      </c>
      <c r="J3091" s="18"/>
      <c r="K3091" s="19"/>
      <c r="L3091" s="19"/>
      <c r="M3091" s="18"/>
      <c r="N3091" s="18"/>
      <c r="O3091" s="18"/>
      <c r="P3091" s="19"/>
      <c r="Q3091" s="19"/>
      <c r="R3091" s="18"/>
      <c r="S3091" s="18"/>
      <c r="T3091" s="18"/>
      <c r="U3091" s="20"/>
      <c r="V3091" s="21"/>
      <c r="W3091" s="16"/>
      <c r="X3091" s="16"/>
      <c r="Y3091" s="16"/>
    </row>
    <row r="3092" customFormat="false" ht="15.75" hidden="false" customHeight="false" outlineLevel="0" collapsed="false">
      <c r="A3092" s="9"/>
      <c r="B3092" s="10"/>
      <c r="C3092" s="10"/>
      <c r="D3092" s="10"/>
      <c r="E3092" s="10"/>
      <c r="F3092" s="10"/>
      <c r="G3092" s="10"/>
      <c r="H3092" s="10"/>
      <c r="I3092" s="22" t="n">
        <v>3</v>
      </c>
      <c r="J3092" s="22"/>
      <c r="K3092" s="23"/>
      <c r="L3092" s="23"/>
      <c r="M3092" s="22"/>
      <c r="N3092" s="22"/>
      <c r="O3092" s="22"/>
      <c r="P3092" s="23"/>
      <c r="Q3092" s="23"/>
      <c r="R3092" s="22"/>
      <c r="S3092" s="22"/>
      <c r="T3092" s="22"/>
      <c r="U3092" s="24"/>
      <c r="V3092" s="15"/>
      <c r="W3092" s="16"/>
      <c r="X3092" s="16"/>
      <c r="Y3092" s="16"/>
    </row>
    <row r="3093" customFormat="false" ht="15.75" hidden="false" customHeight="false" outlineLevel="0" collapsed="false">
      <c r="A3093" s="9"/>
      <c r="B3093" s="10"/>
      <c r="C3093" s="10"/>
      <c r="D3093" s="10"/>
      <c r="E3093" s="10"/>
      <c r="F3093" s="10"/>
      <c r="G3093" s="10"/>
      <c r="H3093" s="10"/>
      <c r="I3093" s="25" t="n">
        <v>4</v>
      </c>
      <c r="J3093" s="25"/>
      <c r="K3093" s="26"/>
      <c r="L3093" s="26"/>
      <c r="M3093" s="25"/>
      <c r="N3093" s="25"/>
      <c r="O3093" s="25"/>
      <c r="P3093" s="26"/>
      <c r="Q3093" s="26"/>
      <c r="R3093" s="25"/>
      <c r="S3093" s="25"/>
      <c r="T3093" s="25"/>
      <c r="U3093" s="27"/>
      <c r="V3093" s="21"/>
      <c r="W3093" s="16"/>
      <c r="X3093" s="16"/>
      <c r="Y3093" s="16"/>
    </row>
    <row r="3094" customFormat="false" ht="15.75" hidden="false" customHeight="false" outlineLevel="0" collapsed="false">
      <c r="A3094" s="9"/>
      <c r="B3094" s="10"/>
      <c r="C3094" s="11"/>
      <c r="D3094" s="10"/>
      <c r="E3094" s="10"/>
      <c r="F3094" s="10"/>
      <c r="G3094" s="10"/>
      <c r="H3094" s="10"/>
      <c r="I3094" s="12" t="n">
        <v>1</v>
      </c>
      <c r="J3094" s="12"/>
      <c r="K3094" s="13"/>
      <c r="L3094" s="13"/>
      <c r="M3094" s="12"/>
      <c r="N3094" s="12"/>
      <c r="O3094" s="12"/>
      <c r="P3094" s="13"/>
      <c r="Q3094" s="13"/>
      <c r="R3094" s="12"/>
      <c r="S3094" s="12"/>
      <c r="T3094" s="12"/>
      <c r="U3094" s="14"/>
      <c r="V3094" s="15"/>
      <c r="W3094" s="16" t="n">
        <f aca="false">A3094</f>
        <v>0</v>
      </c>
      <c r="X3094" s="17" t="e">
        <f aca="false">ifs(C3094="","",X3094="",NOW(),TRUE(),X3094)</f>
        <v>#VALUE!</v>
      </c>
      <c r="Y3094" s="17" t="e">
        <f aca="false">ifs(COUNTA(K3094:U3097)&lt;44,"",Y3094="",NOW(),TRUE(),Y3094)</f>
        <v>#VALUE!</v>
      </c>
    </row>
    <row r="3095" customFormat="false" ht="15.75" hidden="false" customHeight="false" outlineLevel="0" collapsed="false">
      <c r="A3095" s="9"/>
      <c r="B3095" s="10"/>
      <c r="C3095" s="10"/>
      <c r="D3095" s="10"/>
      <c r="E3095" s="10"/>
      <c r="F3095" s="10"/>
      <c r="G3095" s="10"/>
      <c r="H3095" s="10"/>
      <c r="I3095" s="18" t="n">
        <v>2</v>
      </c>
      <c r="J3095" s="18"/>
      <c r="K3095" s="19"/>
      <c r="L3095" s="19"/>
      <c r="M3095" s="18"/>
      <c r="N3095" s="18"/>
      <c r="O3095" s="18"/>
      <c r="P3095" s="19"/>
      <c r="Q3095" s="19"/>
      <c r="R3095" s="18"/>
      <c r="S3095" s="18"/>
      <c r="T3095" s="18"/>
      <c r="U3095" s="20"/>
      <c r="V3095" s="21"/>
      <c r="W3095" s="16"/>
      <c r="X3095" s="16"/>
      <c r="Y3095" s="16"/>
    </row>
    <row r="3096" customFormat="false" ht="15.75" hidden="false" customHeight="false" outlineLevel="0" collapsed="false">
      <c r="A3096" s="9"/>
      <c r="B3096" s="10"/>
      <c r="C3096" s="10"/>
      <c r="D3096" s="10"/>
      <c r="E3096" s="10"/>
      <c r="F3096" s="10"/>
      <c r="G3096" s="10"/>
      <c r="H3096" s="10"/>
      <c r="I3096" s="22" t="n">
        <v>3</v>
      </c>
      <c r="J3096" s="22"/>
      <c r="K3096" s="23"/>
      <c r="L3096" s="23"/>
      <c r="M3096" s="22"/>
      <c r="N3096" s="22"/>
      <c r="O3096" s="22"/>
      <c r="P3096" s="23"/>
      <c r="Q3096" s="23"/>
      <c r="R3096" s="22"/>
      <c r="S3096" s="22"/>
      <c r="T3096" s="22"/>
      <c r="U3096" s="24"/>
      <c r="V3096" s="15"/>
      <c r="W3096" s="16"/>
      <c r="X3096" s="16"/>
      <c r="Y3096" s="16"/>
    </row>
    <row r="3097" customFormat="false" ht="15.75" hidden="false" customHeight="false" outlineLevel="0" collapsed="false">
      <c r="A3097" s="9"/>
      <c r="B3097" s="10"/>
      <c r="C3097" s="10"/>
      <c r="D3097" s="10"/>
      <c r="E3097" s="10"/>
      <c r="F3097" s="10"/>
      <c r="G3097" s="10"/>
      <c r="H3097" s="10"/>
      <c r="I3097" s="25" t="n">
        <v>4</v>
      </c>
      <c r="J3097" s="25"/>
      <c r="K3097" s="26"/>
      <c r="L3097" s="26"/>
      <c r="M3097" s="25"/>
      <c r="N3097" s="25"/>
      <c r="O3097" s="25"/>
      <c r="P3097" s="26"/>
      <c r="Q3097" s="26"/>
      <c r="R3097" s="25"/>
      <c r="S3097" s="25"/>
      <c r="T3097" s="25"/>
      <c r="U3097" s="27"/>
      <c r="V3097" s="21"/>
      <c r="W3097" s="16"/>
      <c r="X3097" s="16"/>
      <c r="Y3097" s="16"/>
    </row>
    <row r="3098" customFormat="false" ht="15.75" hidden="false" customHeight="false" outlineLevel="0" collapsed="false">
      <c r="A3098" s="9"/>
      <c r="B3098" s="10"/>
      <c r="C3098" s="11"/>
      <c r="D3098" s="10"/>
      <c r="E3098" s="10"/>
      <c r="F3098" s="10"/>
      <c r="G3098" s="10"/>
      <c r="H3098" s="10"/>
      <c r="I3098" s="12" t="n">
        <v>1</v>
      </c>
      <c r="J3098" s="12"/>
      <c r="K3098" s="13"/>
      <c r="L3098" s="13"/>
      <c r="M3098" s="12"/>
      <c r="N3098" s="12"/>
      <c r="O3098" s="12"/>
      <c r="P3098" s="13"/>
      <c r="Q3098" s="13"/>
      <c r="R3098" s="12"/>
      <c r="S3098" s="12"/>
      <c r="T3098" s="12"/>
      <c r="U3098" s="14"/>
      <c r="V3098" s="15"/>
      <c r="W3098" s="16" t="n">
        <f aca="false">A3098</f>
        <v>0</v>
      </c>
      <c r="X3098" s="17" t="e">
        <f aca="false">ifs(C3098="","",X3098="",NOW(),TRUE(),X3098)</f>
        <v>#VALUE!</v>
      </c>
      <c r="Y3098" s="17" t="e">
        <f aca="false">ifs(COUNTA(K3098:U3101)&lt;44,"",Y3098="",NOW(),TRUE(),Y3098)</f>
        <v>#VALUE!</v>
      </c>
    </row>
    <row r="3099" customFormat="false" ht="15.75" hidden="false" customHeight="false" outlineLevel="0" collapsed="false">
      <c r="A3099" s="9"/>
      <c r="B3099" s="10"/>
      <c r="C3099" s="10"/>
      <c r="D3099" s="10"/>
      <c r="E3099" s="10"/>
      <c r="F3099" s="10"/>
      <c r="G3099" s="10"/>
      <c r="H3099" s="10"/>
      <c r="I3099" s="18" t="n">
        <v>2</v>
      </c>
      <c r="J3099" s="18"/>
      <c r="K3099" s="19"/>
      <c r="L3099" s="19"/>
      <c r="M3099" s="18"/>
      <c r="N3099" s="18"/>
      <c r="O3099" s="18"/>
      <c r="P3099" s="19"/>
      <c r="Q3099" s="19"/>
      <c r="R3099" s="18"/>
      <c r="S3099" s="18"/>
      <c r="T3099" s="18"/>
      <c r="U3099" s="20"/>
      <c r="V3099" s="21"/>
      <c r="W3099" s="16"/>
      <c r="X3099" s="16"/>
      <c r="Y3099" s="16"/>
    </row>
    <row r="3100" customFormat="false" ht="15.75" hidden="false" customHeight="false" outlineLevel="0" collapsed="false">
      <c r="A3100" s="9"/>
      <c r="B3100" s="10"/>
      <c r="C3100" s="10"/>
      <c r="D3100" s="10"/>
      <c r="E3100" s="10"/>
      <c r="F3100" s="10"/>
      <c r="G3100" s="10"/>
      <c r="H3100" s="10"/>
      <c r="I3100" s="22" t="n">
        <v>3</v>
      </c>
      <c r="J3100" s="22"/>
      <c r="K3100" s="23"/>
      <c r="L3100" s="23"/>
      <c r="M3100" s="22"/>
      <c r="N3100" s="22"/>
      <c r="O3100" s="22"/>
      <c r="P3100" s="23"/>
      <c r="Q3100" s="23"/>
      <c r="R3100" s="22"/>
      <c r="S3100" s="22"/>
      <c r="T3100" s="22"/>
      <c r="U3100" s="24"/>
      <c r="V3100" s="15"/>
      <c r="W3100" s="16"/>
      <c r="X3100" s="16"/>
      <c r="Y3100" s="16"/>
    </row>
    <row r="3101" customFormat="false" ht="15.75" hidden="false" customHeight="false" outlineLevel="0" collapsed="false">
      <c r="A3101" s="9"/>
      <c r="B3101" s="10"/>
      <c r="C3101" s="10"/>
      <c r="D3101" s="10"/>
      <c r="E3101" s="10"/>
      <c r="F3101" s="10"/>
      <c r="G3101" s="10"/>
      <c r="H3101" s="10"/>
      <c r="I3101" s="25" t="n">
        <v>4</v>
      </c>
      <c r="J3101" s="25"/>
      <c r="K3101" s="26"/>
      <c r="L3101" s="26"/>
      <c r="M3101" s="25"/>
      <c r="N3101" s="25"/>
      <c r="O3101" s="25"/>
      <c r="P3101" s="26"/>
      <c r="Q3101" s="26"/>
      <c r="R3101" s="25"/>
      <c r="S3101" s="25"/>
      <c r="T3101" s="25"/>
      <c r="U3101" s="27"/>
      <c r="V3101" s="21"/>
      <c r="W3101" s="16"/>
      <c r="X3101" s="16"/>
      <c r="Y3101" s="16"/>
    </row>
    <row r="3102" customFormat="false" ht="15.75" hidden="false" customHeight="false" outlineLevel="0" collapsed="false">
      <c r="A3102" s="9"/>
      <c r="B3102" s="10"/>
      <c r="C3102" s="11"/>
      <c r="D3102" s="10"/>
      <c r="E3102" s="10"/>
      <c r="F3102" s="10"/>
      <c r="G3102" s="10"/>
      <c r="H3102" s="10"/>
      <c r="I3102" s="12" t="n">
        <v>1</v>
      </c>
      <c r="J3102" s="12"/>
      <c r="K3102" s="13"/>
      <c r="L3102" s="13"/>
      <c r="M3102" s="12"/>
      <c r="N3102" s="12"/>
      <c r="O3102" s="12"/>
      <c r="P3102" s="13"/>
      <c r="Q3102" s="13"/>
      <c r="R3102" s="12"/>
      <c r="S3102" s="12"/>
      <c r="T3102" s="12"/>
      <c r="U3102" s="14"/>
      <c r="V3102" s="15"/>
      <c r="W3102" s="16" t="n">
        <f aca="false">A3102</f>
        <v>0</v>
      </c>
      <c r="X3102" s="17" t="e">
        <f aca="false">ifs(C3102="","",X3102="",NOW(),TRUE(),X3102)</f>
        <v>#VALUE!</v>
      </c>
      <c r="Y3102" s="17" t="e">
        <f aca="false">ifs(COUNTA(K3102:U3105)&lt;44,"",Y3102="",NOW(),TRUE(),Y3102)</f>
        <v>#VALUE!</v>
      </c>
    </row>
    <row r="3103" customFormat="false" ht="15.75" hidden="false" customHeight="false" outlineLevel="0" collapsed="false">
      <c r="A3103" s="9"/>
      <c r="B3103" s="10"/>
      <c r="C3103" s="10"/>
      <c r="D3103" s="10"/>
      <c r="E3103" s="10"/>
      <c r="F3103" s="10"/>
      <c r="G3103" s="10"/>
      <c r="H3103" s="10"/>
      <c r="I3103" s="18" t="n">
        <v>2</v>
      </c>
      <c r="J3103" s="18"/>
      <c r="K3103" s="19"/>
      <c r="L3103" s="19"/>
      <c r="M3103" s="18"/>
      <c r="N3103" s="18"/>
      <c r="O3103" s="18"/>
      <c r="P3103" s="19"/>
      <c r="Q3103" s="19"/>
      <c r="R3103" s="18"/>
      <c r="S3103" s="18"/>
      <c r="T3103" s="18"/>
      <c r="U3103" s="20"/>
      <c r="V3103" s="21"/>
      <c r="W3103" s="16"/>
      <c r="X3103" s="16"/>
      <c r="Y3103" s="16"/>
    </row>
    <row r="3104" customFormat="false" ht="15.75" hidden="false" customHeight="false" outlineLevel="0" collapsed="false">
      <c r="A3104" s="9"/>
      <c r="B3104" s="10"/>
      <c r="C3104" s="10"/>
      <c r="D3104" s="10"/>
      <c r="E3104" s="10"/>
      <c r="F3104" s="10"/>
      <c r="G3104" s="10"/>
      <c r="H3104" s="10"/>
      <c r="I3104" s="22" t="n">
        <v>3</v>
      </c>
      <c r="J3104" s="22"/>
      <c r="K3104" s="23"/>
      <c r="L3104" s="23"/>
      <c r="M3104" s="22"/>
      <c r="N3104" s="22"/>
      <c r="O3104" s="22"/>
      <c r="P3104" s="23"/>
      <c r="Q3104" s="23"/>
      <c r="R3104" s="22"/>
      <c r="S3104" s="22"/>
      <c r="T3104" s="22"/>
      <c r="U3104" s="24"/>
      <c r="V3104" s="15"/>
      <c r="W3104" s="16"/>
      <c r="X3104" s="16"/>
      <c r="Y3104" s="16"/>
    </row>
    <row r="3105" customFormat="false" ht="15.75" hidden="false" customHeight="false" outlineLevel="0" collapsed="false">
      <c r="A3105" s="9"/>
      <c r="B3105" s="10"/>
      <c r="C3105" s="10"/>
      <c r="D3105" s="10"/>
      <c r="E3105" s="10"/>
      <c r="F3105" s="10"/>
      <c r="G3105" s="10"/>
      <c r="H3105" s="10"/>
      <c r="I3105" s="25" t="n">
        <v>4</v>
      </c>
      <c r="J3105" s="25"/>
      <c r="K3105" s="26"/>
      <c r="L3105" s="26"/>
      <c r="M3105" s="25"/>
      <c r="N3105" s="25"/>
      <c r="O3105" s="25"/>
      <c r="P3105" s="26"/>
      <c r="Q3105" s="26"/>
      <c r="R3105" s="25"/>
      <c r="S3105" s="25"/>
      <c r="T3105" s="25"/>
      <c r="U3105" s="27"/>
      <c r="V3105" s="21"/>
      <c r="W3105" s="16"/>
      <c r="X3105" s="16"/>
      <c r="Y3105" s="16"/>
    </row>
    <row r="3106" customFormat="false" ht="15.75" hidden="false" customHeight="false" outlineLevel="0" collapsed="false">
      <c r="A3106" s="9"/>
      <c r="B3106" s="10"/>
      <c r="C3106" s="11"/>
      <c r="D3106" s="10"/>
      <c r="E3106" s="10"/>
      <c r="F3106" s="10"/>
      <c r="G3106" s="10"/>
      <c r="H3106" s="10"/>
      <c r="I3106" s="12" t="n">
        <v>1</v>
      </c>
      <c r="J3106" s="12"/>
      <c r="K3106" s="13"/>
      <c r="L3106" s="13"/>
      <c r="M3106" s="12"/>
      <c r="N3106" s="12"/>
      <c r="O3106" s="12"/>
      <c r="P3106" s="13"/>
      <c r="Q3106" s="13"/>
      <c r="R3106" s="12"/>
      <c r="S3106" s="12"/>
      <c r="T3106" s="12"/>
      <c r="U3106" s="14"/>
      <c r="V3106" s="15"/>
      <c r="W3106" s="16" t="n">
        <f aca="false">A3106</f>
        <v>0</v>
      </c>
      <c r="X3106" s="17" t="e">
        <f aca="false">ifs(C3106="","",X3106="",NOW(),TRUE(),X3106)</f>
        <v>#VALUE!</v>
      </c>
      <c r="Y3106" s="17" t="e">
        <f aca="false">ifs(COUNTA(K3106:U3109)&lt;44,"",Y3106="",NOW(),TRUE(),Y3106)</f>
        <v>#VALUE!</v>
      </c>
    </row>
    <row r="3107" customFormat="false" ht="15.75" hidden="false" customHeight="false" outlineLevel="0" collapsed="false">
      <c r="A3107" s="9"/>
      <c r="B3107" s="10"/>
      <c r="C3107" s="10"/>
      <c r="D3107" s="10"/>
      <c r="E3107" s="10"/>
      <c r="F3107" s="10"/>
      <c r="G3107" s="10"/>
      <c r="H3107" s="10"/>
      <c r="I3107" s="18" t="n">
        <v>2</v>
      </c>
      <c r="J3107" s="18"/>
      <c r="K3107" s="19"/>
      <c r="L3107" s="19"/>
      <c r="M3107" s="18"/>
      <c r="N3107" s="18"/>
      <c r="O3107" s="18"/>
      <c r="P3107" s="19"/>
      <c r="Q3107" s="19"/>
      <c r="R3107" s="18"/>
      <c r="S3107" s="18"/>
      <c r="T3107" s="18"/>
      <c r="U3107" s="20"/>
      <c r="V3107" s="21"/>
      <c r="W3107" s="16"/>
      <c r="X3107" s="16"/>
      <c r="Y3107" s="16"/>
    </row>
    <row r="3108" customFormat="false" ht="15.75" hidden="false" customHeight="false" outlineLevel="0" collapsed="false">
      <c r="A3108" s="9"/>
      <c r="B3108" s="10"/>
      <c r="C3108" s="10"/>
      <c r="D3108" s="10"/>
      <c r="E3108" s="10"/>
      <c r="F3108" s="10"/>
      <c r="G3108" s="10"/>
      <c r="H3108" s="10"/>
      <c r="I3108" s="22" t="n">
        <v>3</v>
      </c>
      <c r="J3108" s="22"/>
      <c r="K3108" s="23"/>
      <c r="L3108" s="23"/>
      <c r="M3108" s="22"/>
      <c r="N3108" s="22"/>
      <c r="O3108" s="22"/>
      <c r="P3108" s="23"/>
      <c r="Q3108" s="23"/>
      <c r="R3108" s="22"/>
      <c r="S3108" s="22"/>
      <c r="T3108" s="22"/>
      <c r="U3108" s="24"/>
      <c r="V3108" s="15"/>
      <c r="W3108" s="16"/>
      <c r="X3108" s="16"/>
      <c r="Y3108" s="16"/>
    </row>
    <row r="3109" customFormat="false" ht="15.75" hidden="false" customHeight="false" outlineLevel="0" collapsed="false">
      <c r="A3109" s="9"/>
      <c r="B3109" s="10"/>
      <c r="C3109" s="10"/>
      <c r="D3109" s="10"/>
      <c r="E3109" s="10"/>
      <c r="F3109" s="10"/>
      <c r="G3109" s="10"/>
      <c r="H3109" s="10"/>
      <c r="I3109" s="25" t="n">
        <v>4</v>
      </c>
      <c r="J3109" s="25"/>
      <c r="K3109" s="26"/>
      <c r="L3109" s="26"/>
      <c r="M3109" s="25"/>
      <c r="N3109" s="25"/>
      <c r="O3109" s="25"/>
      <c r="P3109" s="26"/>
      <c r="Q3109" s="26"/>
      <c r="R3109" s="25"/>
      <c r="S3109" s="25"/>
      <c r="T3109" s="25"/>
      <c r="U3109" s="27"/>
      <c r="V3109" s="21"/>
      <c r="W3109" s="16"/>
      <c r="X3109" s="16"/>
      <c r="Y3109" s="16"/>
    </row>
    <row r="3110" customFormat="false" ht="15.75" hidden="false" customHeight="false" outlineLevel="0" collapsed="false">
      <c r="A3110" s="9"/>
      <c r="B3110" s="10"/>
      <c r="C3110" s="11"/>
      <c r="D3110" s="10"/>
      <c r="E3110" s="10"/>
      <c r="F3110" s="10"/>
      <c r="G3110" s="10"/>
      <c r="H3110" s="10"/>
      <c r="I3110" s="12" t="n">
        <v>1</v>
      </c>
      <c r="J3110" s="12"/>
      <c r="K3110" s="13"/>
      <c r="L3110" s="13"/>
      <c r="M3110" s="12"/>
      <c r="N3110" s="12"/>
      <c r="O3110" s="12"/>
      <c r="P3110" s="13"/>
      <c r="Q3110" s="13"/>
      <c r="R3110" s="12"/>
      <c r="S3110" s="12"/>
      <c r="T3110" s="12"/>
      <c r="U3110" s="14"/>
      <c r="V3110" s="15"/>
      <c r="W3110" s="16" t="n">
        <f aca="false">A3110</f>
        <v>0</v>
      </c>
      <c r="X3110" s="17" t="e">
        <f aca="false">ifs(C3110="","",X3110="",NOW(),TRUE(),X3110)</f>
        <v>#VALUE!</v>
      </c>
      <c r="Y3110" s="17" t="e">
        <f aca="false">ifs(COUNTA(K3110:U3113)&lt;44,"",Y3110="",NOW(),TRUE(),Y3110)</f>
        <v>#VALUE!</v>
      </c>
    </row>
    <row r="3111" customFormat="false" ht="15.75" hidden="false" customHeight="false" outlineLevel="0" collapsed="false">
      <c r="A3111" s="9"/>
      <c r="B3111" s="10"/>
      <c r="C3111" s="10"/>
      <c r="D3111" s="10"/>
      <c r="E3111" s="10"/>
      <c r="F3111" s="10"/>
      <c r="G3111" s="10"/>
      <c r="H3111" s="10"/>
      <c r="I3111" s="18" t="n">
        <v>2</v>
      </c>
      <c r="J3111" s="18"/>
      <c r="K3111" s="19"/>
      <c r="L3111" s="19"/>
      <c r="M3111" s="18"/>
      <c r="N3111" s="18"/>
      <c r="O3111" s="18"/>
      <c r="P3111" s="19"/>
      <c r="Q3111" s="19"/>
      <c r="R3111" s="18"/>
      <c r="S3111" s="18"/>
      <c r="T3111" s="18"/>
      <c r="U3111" s="20"/>
      <c r="V3111" s="21"/>
      <c r="W3111" s="16"/>
      <c r="X3111" s="16"/>
      <c r="Y3111" s="16"/>
    </row>
    <row r="3112" customFormat="false" ht="15.75" hidden="false" customHeight="false" outlineLevel="0" collapsed="false">
      <c r="A3112" s="9"/>
      <c r="B3112" s="10"/>
      <c r="C3112" s="10"/>
      <c r="D3112" s="10"/>
      <c r="E3112" s="10"/>
      <c r="F3112" s="10"/>
      <c r="G3112" s="10"/>
      <c r="H3112" s="10"/>
      <c r="I3112" s="22" t="n">
        <v>3</v>
      </c>
      <c r="J3112" s="22"/>
      <c r="K3112" s="23"/>
      <c r="L3112" s="23"/>
      <c r="M3112" s="22"/>
      <c r="N3112" s="22"/>
      <c r="O3112" s="22"/>
      <c r="P3112" s="23"/>
      <c r="Q3112" s="23"/>
      <c r="R3112" s="22"/>
      <c r="S3112" s="22"/>
      <c r="T3112" s="22"/>
      <c r="U3112" s="24"/>
      <c r="V3112" s="15"/>
      <c r="W3112" s="16"/>
      <c r="X3112" s="16"/>
      <c r="Y3112" s="16"/>
    </row>
    <row r="3113" customFormat="false" ht="15.75" hidden="false" customHeight="false" outlineLevel="0" collapsed="false">
      <c r="A3113" s="9"/>
      <c r="B3113" s="10"/>
      <c r="C3113" s="10"/>
      <c r="D3113" s="10"/>
      <c r="E3113" s="10"/>
      <c r="F3113" s="10"/>
      <c r="G3113" s="10"/>
      <c r="H3113" s="10"/>
      <c r="I3113" s="25" t="n">
        <v>4</v>
      </c>
      <c r="J3113" s="25"/>
      <c r="K3113" s="26"/>
      <c r="L3113" s="26"/>
      <c r="M3113" s="25"/>
      <c r="N3113" s="25"/>
      <c r="O3113" s="25"/>
      <c r="P3113" s="26"/>
      <c r="Q3113" s="26"/>
      <c r="R3113" s="25"/>
      <c r="S3113" s="25"/>
      <c r="T3113" s="25"/>
      <c r="U3113" s="27"/>
      <c r="V3113" s="21"/>
      <c r="W3113" s="16"/>
      <c r="X3113" s="16"/>
      <c r="Y3113" s="16"/>
    </row>
    <row r="3114" customFormat="false" ht="15.75" hidden="false" customHeight="false" outlineLevel="0" collapsed="false">
      <c r="A3114" s="9"/>
      <c r="B3114" s="10"/>
      <c r="C3114" s="11"/>
      <c r="D3114" s="10"/>
      <c r="E3114" s="10"/>
      <c r="F3114" s="10"/>
      <c r="G3114" s="10"/>
      <c r="H3114" s="10"/>
      <c r="I3114" s="12" t="n">
        <v>1</v>
      </c>
      <c r="J3114" s="12"/>
      <c r="K3114" s="13"/>
      <c r="L3114" s="13"/>
      <c r="M3114" s="12"/>
      <c r="N3114" s="12"/>
      <c r="O3114" s="12"/>
      <c r="P3114" s="13"/>
      <c r="Q3114" s="13"/>
      <c r="R3114" s="12"/>
      <c r="S3114" s="12"/>
      <c r="T3114" s="12"/>
      <c r="U3114" s="14"/>
      <c r="V3114" s="15"/>
      <c r="W3114" s="16" t="n">
        <f aca="false">A3114</f>
        <v>0</v>
      </c>
      <c r="X3114" s="17" t="e">
        <f aca="false">ifs(C3114="","",X3114="",NOW(),TRUE(),X3114)</f>
        <v>#VALUE!</v>
      </c>
      <c r="Y3114" s="17" t="e">
        <f aca="false">ifs(COUNTA(K3114:U3117)&lt;44,"",Y3114="",NOW(),TRUE(),Y3114)</f>
        <v>#VALUE!</v>
      </c>
    </row>
    <row r="3115" customFormat="false" ht="15.75" hidden="false" customHeight="false" outlineLevel="0" collapsed="false">
      <c r="A3115" s="9"/>
      <c r="B3115" s="10"/>
      <c r="C3115" s="10"/>
      <c r="D3115" s="10"/>
      <c r="E3115" s="10"/>
      <c r="F3115" s="10"/>
      <c r="G3115" s="10"/>
      <c r="H3115" s="10"/>
      <c r="I3115" s="18" t="n">
        <v>2</v>
      </c>
      <c r="J3115" s="18"/>
      <c r="K3115" s="19"/>
      <c r="L3115" s="19"/>
      <c r="M3115" s="18"/>
      <c r="N3115" s="18"/>
      <c r="O3115" s="18"/>
      <c r="P3115" s="19"/>
      <c r="Q3115" s="19"/>
      <c r="R3115" s="18"/>
      <c r="S3115" s="18"/>
      <c r="T3115" s="18"/>
      <c r="U3115" s="20"/>
      <c r="V3115" s="21"/>
      <c r="W3115" s="16"/>
      <c r="X3115" s="16"/>
      <c r="Y3115" s="16"/>
    </row>
    <row r="3116" customFormat="false" ht="15.75" hidden="false" customHeight="false" outlineLevel="0" collapsed="false">
      <c r="A3116" s="9"/>
      <c r="B3116" s="10"/>
      <c r="C3116" s="10"/>
      <c r="D3116" s="10"/>
      <c r="E3116" s="10"/>
      <c r="F3116" s="10"/>
      <c r="G3116" s="10"/>
      <c r="H3116" s="10"/>
      <c r="I3116" s="22" t="n">
        <v>3</v>
      </c>
      <c r="J3116" s="22"/>
      <c r="K3116" s="23"/>
      <c r="L3116" s="23"/>
      <c r="M3116" s="22"/>
      <c r="N3116" s="22"/>
      <c r="O3116" s="22"/>
      <c r="P3116" s="23"/>
      <c r="Q3116" s="23"/>
      <c r="R3116" s="22"/>
      <c r="S3116" s="22"/>
      <c r="T3116" s="22"/>
      <c r="U3116" s="24"/>
      <c r="V3116" s="15"/>
      <c r="W3116" s="16"/>
      <c r="X3116" s="16"/>
      <c r="Y3116" s="16"/>
    </row>
    <row r="3117" customFormat="false" ht="15.75" hidden="false" customHeight="false" outlineLevel="0" collapsed="false">
      <c r="A3117" s="9"/>
      <c r="B3117" s="10"/>
      <c r="C3117" s="10"/>
      <c r="D3117" s="10"/>
      <c r="E3117" s="10"/>
      <c r="F3117" s="10"/>
      <c r="G3117" s="10"/>
      <c r="H3117" s="10"/>
      <c r="I3117" s="25" t="n">
        <v>4</v>
      </c>
      <c r="J3117" s="25"/>
      <c r="K3117" s="26"/>
      <c r="L3117" s="26"/>
      <c r="M3117" s="25"/>
      <c r="N3117" s="25"/>
      <c r="O3117" s="25"/>
      <c r="P3117" s="26"/>
      <c r="Q3117" s="26"/>
      <c r="R3117" s="25"/>
      <c r="S3117" s="25"/>
      <c r="T3117" s="25"/>
      <c r="U3117" s="27"/>
      <c r="V3117" s="21"/>
      <c r="W3117" s="16"/>
      <c r="X3117" s="16"/>
      <c r="Y3117" s="16"/>
    </row>
    <row r="3118" customFormat="false" ht="15.75" hidden="false" customHeight="false" outlineLevel="0" collapsed="false">
      <c r="A3118" s="9"/>
      <c r="B3118" s="10"/>
      <c r="C3118" s="11"/>
      <c r="D3118" s="10"/>
      <c r="E3118" s="10"/>
      <c r="F3118" s="10"/>
      <c r="G3118" s="10"/>
      <c r="H3118" s="10"/>
      <c r="I3118" s="12" t="n">
        <v>1</v>
      </c>
      <c r="J3118" s="12"/>
      <c r="K3118" s="13"/>
      <c r="L3118" s="13"/>
      <c r="M3118" s="12"/>
      <c r="N3118" s="12"/>
      <c r="O3118" s="12"/>
      <c r="P3118" s="13"/>
      <c r="Q3118" s="13"/>
      <c r="R3118" s="12"/>
      <c r="S3118" s="12"/>
      <c r="T3118" s="12"/>
      <c r="U3118" s="14"/>
      <c r="V3118" s="15"/>
      <c r="W3118" s="16" t="n">
        <f aca="false">A3118</f>
        <v>0</v>
      </c>
      <c r="X3118" s="17" t="e">
        <f aca="false">ifs(C3118="","",X3118="",NOW(),TRUE(),X3118)</f>
        <v>#VALUE!</v>
      </c>
      <c r="Y3118" s="17" t="e">
        <f aca="false">ifs(COUNTA(K3118:U3121)&lt;44,"",Y3118="",NOW(),TRUE(),Y3118)</f>
        <v>#VALUE!</v>
      </c>
    </row>
    <row r="3119" customFormat="false" ht="15.75" hidden="false" customHeight="false" outlineLevel="0" collapsed="false">
      <c r="A3119" s="9"/>
      <c r="B3119" s="10"/>
      <c r="C3119" s="10"/>
      <c r="D3119" s="10"/>
      <c r="E3119" s="10"/>
      <c r="F3119" s="10"/>
      <c r="G3119" s="10"/>
      <c r="H3119" s="10"/>
      <c r="I3119" s="18" t="n">
        <v>2</v>
      </c>
      <c r="J3119" s="18"/>
      <c r="K3119" s="19"/>
      <c r="L3119" s="19"/>
      <c r="M3119" s="18"/>
      <c r="N3119" s="18"/>
      <c r="O3119" s="18"/>
      <c r="P3119" s="19"/>
      <c r="Q3119" s="19"/>
      <c r="R3119" s="18"/>
      <c r="S3119" s="18"/>
      <c r="T3119" s="18"/>
      <c r="U3119" s="20"/>
      <c r="V3119" s="21"/>
      <c r="W3119" s="16"/>
      <c r="X3119" s="16"/>
      <c r="Y3119" s="16"/>
    </row>
    <row r="3120" customFormat="false" ht="15.75" hidden="false" customHeight="false" outlineLevel="0" collapsed="false">
      <c r="A3120" s="9"/>
      <c r="B3120" s="10"/>
      <c r="C3120" s="10"/>
      <c r="D3120" s="10"/>
      <c r="E3120" s="10"/>
      <c r="F3120" s="10"/>
      <c r="G3120" s="10"/>
      <c r="H3120" s="10"/>
      <c r="I3120" s="22" t="n">
        <v>3</v>
      </c>
      <c r="J3120" s="22"/>
      <c r="K3120" s="23"/>
      <c r="L3120" s="23"/>
      <c r="M3120" s="22"/>
      <c r="N3120" s="22"/>
      <c r="O3120" s="22"/>
      <c r="P3120" s="23"/>
      <c r="Q3120" s="23"/>
      <c r="R3120" s="22"/>
      <c r="S3120" s="22"/>
      <c r="T3120" s="22"/>
      <c r="U3120" s="24"/>
      <c r="V3120" s="15"/>
      <c r="W3120" s="16"/>
      <c r="X3120" s="16"/>
      <c r="Y3120" s="16"/>
    </row>
    <row r="3121" customFormat="false" ht="15.75" hidden="false" customHeight="false" outlineLevel="0" collapsed="false">
      <c r="A3121" s="9"/>
      <c r="B3121" s="10"/>
      <c r="C3121" s="10"/>
      <c r="D3121" s="10"/>
      <c r="E3121" s="10"/>
      <c r="F3121" s="10"/>
      <c r="G3121" s="10"/>
      <c r="H3121" s="10"/>
      <c r="I3121" s="25" t="n">
        <v>4</v>
      </c>
      <c r="J3121" s="25"/>
      <c r="K3121" s="26"/>
      <c r="L3121" s="26"/>
      <c r="M3121" s="25"/>
      <c r="N3121" s="25"/>
      <c r="O3121" s="25"/>
      <c r="P3121" s="26"/>
      <c r="Q3121" s="26"/>
      <c r="R3121" s="25"/>
      <c r="S3121" s="25"/>
      <c r="T3121" s="25"/>
      <c r="U3121" s="27"/>
      <c r="V3121" s="21"/>
      <c r="W3121" s="16"/>
      <c r="X3121" s="16"/>
      <c r="Y3121" s="16"/>
    </row>
    <row r="3122" customFormat="false" ht="15.75" hidden="false" customHeight="false" outlineLevel="0" collapsed="false">
      <c r="A3122" s="9"/>
      <c r="B3122" s="10"/>
      <c r="C3122" s="11"/>
      <c r="D3122" s="10"/>
      <c r="E3122" s="10"/>
      <c r="F3122" s="10"/>
      <c r="G3122" s="10"/>
      <c r="H3122" s="10"/>
      <c r="I3122" s="12" t="n">
        <v>1</v>
      </c>
      <c r="J3122" s="12"/>
      <c r="K3122" s="13"/>
      <c r="L3122" s="13"/>
      <c r="M3122" s="12"/>
      <c r="N3122" s="12"/>
      <c r="O3122" s="12"/>
      <c r="P3122" s="13"/>
      <c r="Q3122" s="13"/>
      <c r="R3122" s="12"/>
      <c r="S3122" s="12"/>
      <c r="T3122" s="12"/>
      <c r="U3122" s="14"/>
      <c r="V3122" s="15"/>
      <c r="W3122" s="16" t="n">
        <f aca="false">A3122</f>
        <v>0</v>
      </c>
      <c r="X3122" s="17" t="e">
        <f aca="false">ifs(C3122="","",X3122="",NOW(),TRUE(),X3122)</f>
        <v>#VALUE!</v>
      </c>
      <c r="Y3122" s="17" t="e">
        <f aca="false">ifs(COUNTA(K3122:U3125)&lt;44,"",Y3122="",NOW(),TRUE(),Y3122)</f>
        <v>#VALUE!</v>
      </c>
    </row>
    <row r="3123" customFormat="false" ht="15.75" hidden="false" customHeight="false" outlineLevel="0" collapsed="false">
      <c r="A3123" s="9"/>
      <c r="B3123" s="10"/>
      <c r="C3123" s="10"/>
      <c r="D3123" s="10"/>
      <c r="E3123" s="10"/>
      <c r="F3123" s="10"/>
      <c r="G3123" s="10"/>
      <c r="H3123" s="10"/>
      <c r="I3123" s="18" t="n">
        <v>2</v>
      </c>
      <c r="J3123" s="18"/>
      <c r="K3123" s="19"/>
      <c r="L3123" s="19"/>
      <c r="M3123" s="18"/>
      <c r="N3123" s="18"/>
      <c r="O3123" s="18"/>
      <c r="P3123" s="19"/>
      <c r="Q3123" s="19"/>
      <c r="R3123" s="18"/>
      <c r="S3123" s="18"/>
      <c r="T3123" s="18"/>
      <c r="U3123" s="20"/>
      <c r="V3123" s="21"/>
      <c r="W3123" s="16"/>
      <c r="X3123" s="16"/>
      <c r="Y3123" s="16"/>
    </row>
    <row r="3124" customFormat="false" ht="15.75" hidden="false" customHeight="false" outlineLevel="0" collapsed="false">
      <c r="A3124" s="9"/>
      <c r="B3124" s="10"/>
      <c r="C3124" s="10"/>
      <c r="D3124" s="10"/>
      <c r="E3124" s="10"/>
      <c r="F3124" s="10"/>
      <c r="G3124" s="10"/>
      <c r="H3124" s="10"/>
      <c r="I3124" s="22" t="n">
        <v>3</v>
      </c>
      <c r="J3124" s="22"/>
      <c r="K3124" s="23"/>
      <c r="L3124" s="23"/>
      <c r="M3124" s="22"/>
      <c r="N3124" s="22"/>
      <c r="O3124" s="22"/>
      <c r="P3124" s="23"/>
      <c r="Q3124" s="23"/>
      <c r="R3124" s="22"/>
      <c r="S3124" s="22"/>
      <c r="T3124" s="22"/>
      <c r="U3124" s="24"/>
      <c r="V3124" s="15"/>
      <c r="W3124" s="16"/>
      <c r="X3124" s="16"/>
      <c r="Y3124" s="16"/>
    </row>
    <row r="3125" customFormat="false" ht="15.75" hidden="false" customHeight="false" outlineLevel="0" collapsed="false">
      <c r="A3125" s="9"/>
      <c r="B3125" s="10"/>
      <c r="C3125" s="10"/>
      <c r="D3125" s="10"/>
      <c r="E3125" s="10"/>
      <c r="F3125" s="10"/>
      <c r="G3125" s="10"/>
      <c r="H3125" s="10"/>
      <c r="I3125" s="25" t="n">
        <v>4</v>
      </c>
      <c r="J3125" s="25"/>
      <c r="K3125" s="26"/>
      <c r="L3125" s="26"/>
      <c r="M3125" s="25"/>
      <c r="N3125" s="25"/>
      <c r="O3125" s="25"/>
      <c r="P3125" s="26"/>
      <c r="Q3125" s="26"/>
      <c r="R3125" s="25"/>
      <c r="S3125" s="25"/>
      <c r="T3125" s="25"/>
      <c r="U3125" s="27"/>
      <c r="V3125" s="21"/>
      <c r="W3125" s="16"/>
      <c r="X3125" s="16"/>
      <c r="Y3125" s="16"/>
    </row>
    <row r="3126" customFormat="false" ht="15.75" hidden="false" customHeight="false" outlineLevel="0" collapsed="false">
      <c r="A3126" s="9"/>
      <c r="B3126" s="10"/>
      <c r="C3126" s="11"/>
      <c r="D3126" s="10"/>
      <c r="E3126" s="10"/>
      <c r="F3126" s="10"/>
      <c r="G3126" s="10"/>
      <c r="H3126" s="10"/>
      <c r="I3126" s="12" t="n">
        <v>1</v>
      </c>
      <c r="J3126" s="12"/>
      <c r="K3126" s="13"/>
      <c r="L3126" s="13"/>
      <c r="M3126" s="12"/>
      <c r="N3126" s="12"/>
      <c r="O3126" s="12"/>
      <c r="P3126" s="13"/>
      <c r="Q3126" s="13"/>
      <c r="R3126" s="12"/>
      <c r="S3126" s="12"/>
      <c r="T3126" s="12"/>
      <c r="U3126" s="14"/>
      <c r="V3126" s="15"/>
      <c r="W3126" s="16" t="n">
        <f aca="false">A3126</f>
        <v>0</v>
      </c>
      <c r="X3126" s="17" t="e">
        <f aca="false">ifs(C3126="","",X3126="",NOW(),TRUE(),X3126)</f>
        <v>#VALUE!</v>
      </c>
      <c r="Y3126" s="17" t="e">
        <f aca="false">ifs(COUNTA(K3126:U3129)&lt;44,"",Y3126="",NOW(),TRUE(),Y3126)</f>
        <v>#VALUE!</v>
      </c>
    </row>
    <row r="3127" customFormat="false" ht="15.75" hidden="false" customHeight="false" outlineLevel="0" collapsed="false">
      <c r="A3127" s="9"/>
      <c r="B3127" s="10"/>
      <c r="C3127" s="10"/>
      <c r="D3127" s="10"/>
      <c r="E3127" s="10"/>
      <c r="F3127" s="10"/>
      <c r="G3127" s="10"/>
      <c r="H3127" s="10"/>
      <c r="I3127" s="18" t="n">
        <v>2</v>
      </c>
      <c r="J3127" s="18"/>
      <c r="K3127" s="19"/>
      <c r="L3127" s="19"/>
      <c r="M3127" s="18"/>
      <c r="N3127" s="18"/>
      <c r="O3127" s="18"/>
      <c r="P3127" s="19"/>
      <c r="Q3127" s="19"/>
      <c r="R3127" s="18"/>
      <c r="S3127" s="18"/>
      <c r="T3127" s="18"/>
      <c r="U3127" s="20"/>
      <c r="V3127" s="21"/>
      <c r="W3127" s="16"/>
      <c r="X3127" s="16"/>
      <c r="Y3127" s="16"/>
    </row>
    <row r="3128" customFormat="false" ht="15.75" hidden="false" customHeight="false" outlineLevel="0" collapsed="false">
      <c r="A3128" s="9"/>
      <c r="B3128" s="10"/>
      <c r="C3128" s="10"/>
      <c r="D3128" s="10"/>
      <c r="E3128" s="10"/>
      <c r="F3128" s="10"/>
      <c r="G3128" s="10"/>
      <c r="H3128" s="10"/>
      <c r="I3128" s="22" t="n">
        <v>3</v>
      </c>
      <c r="J3128" s="22"/>
      <c r="K3128" s="23"/>
      <c r="L3128" s="23"/>
      <c r="M3128" s="22"/>
      <c r="N3128" s="22"/>
      <c r="O3128" s="22"/>
      <c r="P3128" s="23"/>
      <c r="Q3128" s="23"/>
      <c r="R3128" s="22"/>
      <c r="S3128" s="22"/>
      <c r="T3128" s="22"/>
      <c r="U3128" s="24"/>
      <c r="V3128" s="15"/>
      <c r="W3128" s="16"/>
      <c r="X3128" s="16"/>
      <c r="Y3128" s="16"/>
    </row>
    <row r="3129" customFormat="false" ht="15.75" hidden="false" customHeight="false" outlineLevel="0" collapsed="false">
      <c r="A3129" s="9"/>
      <c r="B3129" s="10"/>
      <c r="C3129" s="10"/>
      <c r="D3129" s="10"/>
      <c r="E3129" s="10"/>
      <c r="F3129" s="10"/>
      <c r="G3129" s="10"/>
      <c r="H3129" s="10"/>
      <c r="I3129" s="25" t="n">
        <v>4</v>
      </c>
      <c r="J3129" s="25"/>
      <c r="K3129" s="26"/>
      <c r="L3129" s="26"/>
      <c r="M3129" s="25"/>
      <c r="N3129" s="25"/>
      <c r="O3129" s="25"/>
      <c r="P3129" s="26"/>
      <c r="Q3129" s="26"/>
      <c r="R3129" s="25"/>
      <c r="S3129" s="25"/>
      <c r="T3129" s="25"/>
      <c r="U3129" s="27"/>
      <c r="V3129" s="21"/>
      <c r="W3129" s="16"/>
      <c r="X3129" s="16"/>
      <c r="Y3129" s="16"/>
    </row>
    <row r="3130" customFormat="false" ht="15.75" hidden="false" customHeight="false" outlineLevel="0" collapsed="false">
      <c r="A3130" s="9"/>
      <c r="B3130" s="10"/>
      <c r="C3130" s="11"/>
      <c r="D3130" s="10"/>
      <c r="E3130" s="10"/>
      <c r="F3130" s="10"/>
      <c r="G3130" s="10"/>
      <c r="H3130" s="10"/>
      <c r="I3130" s="12" t="n">
        <v>1</v>
      </c>
      <c r="J3130" s="12"/>
      <c r="K3130" s="13"/>
      <c r="L3130" s="13"/>
      <c r="M3130" s="12"/>
      <c r="N3130" s="12"/>
      <c r="O3130" s="12"/>
      <c r="P3130" s="13"/>
      <c r="Q3130" s="13"/>
      <c r="R3130" s="12"/>
      <c r="S3130" s="12"/>
      <c r="T3130" s="12"/>
      <c r="U3130" s="14"/>
      <c r="V3130" s="15"/>
      <c r="W3130" s="16" t="n">
        <f aca="false">A3130</f>
        <v>0</v>
      </c>
      <c r="X3130" s="17" t="e">
        <f aca="false">ifs(C3130="","",X3130="",NOW(),TRUE(),X3130)</f>
        <v>#VALUE!</v>
      </c>
      <c r="Y3130" s="17" t="e">
        <f aca="false">ifs(COUNTA(K3130:U3133)&lt;44,"",Y3130="",NOW(),TRUE(),Y3130)</f>
        <v>#VALUE!</v>
      </c>
    </row>
    <row r="3131" customFormat="false" ht="15.75" hidden="false" customHeight="false" outlineLevel="0" collapsed="false">
      <c r="A3131" s="9"/>
      <c r="B3131" s="10"/>
      <c r="C3131" s="10"/>
      <c r="D3131" s="10"/>
      <c r="E3131" s="10"/>
      <c r="F3131" s="10"/>
      <c r="G3131" s="10"/>
      <c r="H3131" s="10"/>
      <c r="I3131" s="18" t="n">
        <v>2</v>
      </c>
      <c r="J3131" s="18"/>
      <c r="K3131" s="19"/>
      <c r="L3131" s="19"/>
      <c r="M3131" s="18"/>
      <c r="N3131" s="18"/>
      <c r="O3131" s="18"/>
      <c r="P3131" s="19"/>
      <c r="Q3131" s="19"/>
      <c r="R3131" s="18"/>
      <c r="S3131" s="18"/>
      <c r="T3131" s="18"/>
      <c r="U3131" s="20"/>
      <c r="V3131" s="21"/>
      <c r="W3131" s="16"/>
      <c r="X3131" s="16"/>
      <c r="Y3131" s="16"/>
    </row>
    <row r="3132" customFormat="false" ht="15.75" hidden="false" customHeight="false" outlineLevel="0" collapsed="false">
      <c r="A3132" s="9"/>
      <c r="B3132" s="10"/>
      <c r="C3132" s="10"/>
      <c r="D3132" s="10"/>
      <c r="E3132" s="10"/>
      <c r="F3132" s="10"/>
      <c r="G3132" s="10"/>
      <c r="H3132" s="10"/>
      <c r="I3132" s="22" t="n">
        <v>3</v>
      </c>
      <c r="J3132" s="22"/>
      <c r="K3132" s="23"/>
      <c r="L3132" s="23"/>
      <c r="M3132" s="22"/>
      <c r="N3132" s="22"/>
      <c r="O3132" s="22"/>
      <c r="P3132" s="23"/>
      <c r="Q3132" s="23"/>
      <c r="R3132" s="22"/>
      <c r="S3132" s="22"/>
      <c r="T3132" s="22"/>
      <c r="U3132" s="24"/>
      <c r="V3132" s="15"/>
      <c r="W3132" s="16"/>
      <c r="X3132" s="16"/>
      <c r="Y3132" s="16"/>
    </row>
    <row r="3133" customFormat="false" ht="15.75" hidden="false" customHeight="false" outlineLevel="0" collapsed="false">
      <c r="A3133" s="9"/>
      <c r="B3133" s="10"/>
      <c r="C3133" s="10"/>
      <c r="D3133" s="10"/>
      <c r="E3133" s="10"/>
      <c r="F3133" s="10"/>
      <c r="G3133" s="10"/>
      <c r="H3133" s="10"/>
      <c r="I3133" s="25" t="n">
        <v>4</v>
      </c>
      <c r="J3133" s="25"/>
      <c r="K3133" s="26"/>
      <c r="L3133" s="26"/>
      <c r="M3133" s="25"/>
      <c r="N3133" s="25"/>
      <c r="O3133" s="25"/>
      <c r="P3133" s="26"/>
      <c r="Q3133" s="26"/>
      <c r="R3133" s="25"/>
      <c r="S3133" s="25"/>
      <c r="T3133" s="25"/>
      <c r="U3133" s="27"/>
      <c r="V3133" s="21"/>
      <c r="W3133" s="16"/>
      <c r="X3133" s="16"/>
      <c r="Y3133" s="16"/>
    </row>
    <row r="3134" customFormat="false" ht="15.75" hidden="false" customHeight="false" outlineLevel="0" collapsed="false">
      <c r="A3134" s="9"/>
      <c r="B3134" s="10"/>
      <c r="C3134" s="11"/>
      <c r="D3134" s="10"/>
      <c r="E3134" s="10"/>
      <c r="F3134" s="10"/>
      <c r="G3134" s="10"/>
      <c r="H3134" s="10"/>
      <c r="I3134" s="12" t="n">
        <v>1</v>
      </c>
      <c r="J3134" s="12"/>
      <c r="K3134" s="13"/>
      <c r="L3134" s="13"/>
      <c r="M3134" s="12"/>
      <c r="N3134" s="12"/>
      <c r="O3134" s="12"/>
      <c r="P3134" s="13"/>
      <c r="Q3134" s="13"/>
      <c r="R3134" s="12"/>
      <c r="S3134" s="12"/>
      <c r="T3134" s="12"/>
      <c r="U3134" s="14"/>
      <c r="V3134" s="15"/>
      <c r="W3134" s="16" t="n">
        <f aca="false">A3134</f>
        <v>0</v>
      </c>
      <c r="X3134" s="17" t="e">
        <f aca="false">ifs(C3134="","",X3134="",NOW(),TRUE(),X3134)</f>
        <v>#VALUE!</v>
      </c>
      <c r="Y3134" s="17" t="e">
        <f aca="false">ifs(COUNTA(K3134:U3137)&lt;44,"",Y3134="",NOW(),TRUE(),Y3134)</f>
        <v>#VALUE!</v>
      </c>
    </row>
    <row r="3135" customFormat="false" ht="15.75" hidden="false" customHeight="false" outlineLevel="0" collapsed="false">
      <c r="A3135" s="9"/>
      <c r="B3135" s="10"/>
      <c r="C3135" s="10"/>
      <c r="D3135" s="10"/>
      <c r="E3135" s="10"/>
      <c r="F3135" s="10"/>
      <c r="G3135" s="10"/>
      <c r="H3135" s="10"/>
      <c r="I3135" s="18" t="n">
        <v>2</v>
      </c>
      <c r="J3135" s="18"/>
      <c r="K3135" s="19"/>
      <c r="L3135" s="19"/>
      <c r="M3135" s="18"/>
      <c r="N3135" s="18"/>
      <c r="O3135" s="18"/>
      <c r="P3135" s="19"/>
      <c r="Q3135" s="19"/>
      <c r="R3135" s="18"/>
      <c r="S3135" s="18"/>
      <c r="T3135" s="18"/>
      <c r="U3135" s="20"/>
      <c r="V3135" s="21"/>
      <c r="W3135" s="16"/>
      <c r="X3135" s="16"/>
      <c r="Y3135" s="16"/>
    </row>
    <row r="3136" customFormat="false" ht="15.75" hidden="false" customHeight="false" outlineLevel="0" collapsed="false">
      <c r="A3136" s="9"/>
      <c r="B3136" s="10"/>
      <c r="C3136" s="10"/>
      <c r="D3136" s="10"/>
      <c r="E3136" s="10"/>
      <c r="F3136" s="10"/>
      <c r="G3136" s="10"/>
      <c r="H3136" s="10"/>
      <c r="I3136" s="22" t="n">
        <v>3</v>
      </c>
      <c r="J3136" s="22"/>
      <c r="K3136" s="23"/>
      <c r="L3136" s="23"/>
      <c r="M3136" s="22"/>
      <c r="N3136" s="22"/>
      <c r="O3136" s="22"/>
      <c r="P3136" s="23"/>
      <c r="Q3136" s="23"/>
      <c r="R3136" s="22"/>
      <c r="S3136" s="22"/>
      <c r="T3136" s="22"/>
      <c r="U3136" s="24"/>
      <c r="V3136" s="15"/>
      <c r="W3136" s="16"/>
      <c r="X3136" s="16"/>
      <c r="Y3136" s="16"/>
    </row>
    <row r="3137" customFormat="false" ht="15.75" hidden="false" customHeight="false" outlineLevel="0" collapsed="false">
      <c r="A3137" s="9"/>
      <c r="B3137" s="10"/>
      <c r="C3137" s="10"/>
      <c r="D3137" s="10"/>
      <c r="E3137" s="10"/>
      <c r="F3137" s="10"/>
      <c r="G3137" s="10"/>
      <c r="H3137" s="10"/>
      <c r="I3137" s="25" t="n">
        <v>4</v>
      </c>
      <c r="J3137" s="25"/>
      <c r="K3137" s="26"/>
      <c r="L3137" s="26"/>
      <c r="M3137" s="25"/>
      <c r="N3137" s="25"/>
      <c r="O3137" s="25"/>
      <c r="P3137" s="26"/>
      <c r="Q3137" s="26"/>
      <c r="R3137" s="25"/>
      <c r="S3137" s="25"/>
      <c r="T3137" s="25"/>
      <c r="U3137" s="27"/>
      <c r="V3137" s="21"/>
      <c r="W3137" s="16"/>
      <c r="X3137" s="16"/>
      <c r="Y3137" s="16"/>
    </row>
    <row r="3138" customFormat="false" ht="15.75" hidden="false" customHeight="false" outlineLevel="0" collapsed="false">
      <c r="A3138" s="9"/>
      <c r="B3138" s="10"/>
      <c r="C3138" s="11"/>
      <c r="D3138" s="10"/>
      <c r="E3138" s="10"/>
      <c r="F3138" s="10"/>
      <c r="G3138" s="10"/>
      <c r="H3138" s="10"/>
      <c r="I3138" s="12" t="n">
        <v>1</v>
      </c>
      <c r="J3138" s="12"/>
      <c r="K3138" s="13"/>
      <c r="L3138" s="13"/>
      <c r="M3138" s="12"/>
      <c r="N3138" s="12"/>
      <c r="O3138" s="12"/>
      <c r="P3138" s="13"/>
      <c r="Q3138" s="13"/>
      <c r="R3138" s="12"/>
      <c r="S3138" s="12"/>
      <c r="T3138" s="12"/>
      <c r="U3138" s="14"/>
      <c r="V3138" s="15"/>
      <c r="W3138" s="16" t="n">
        <f aca="false">A3138</f>
        <v>0</v>
      </c>
      <c r="X3138" s="17" t="e">
        <f aca="false">ifs(C3138="","",X3138="",NOW(),TRUE(),X3138)</f>
        <v>#VALUE!</v>
      </c>
      <c r="Y3138" s="17" t="e">
        <f aca="false">ifs(COUNTA(K3138:U3141)&lt;44,"",Y3138="",NOW(),TRUE(),Y3138)</f>
        <v>#VALUE!</v>
      </c>
    </row>
    <row r="3139" customFormat="false" ht="15.75" hidden="false" customHeight="false" outlineLevel="0" collapsed="false">
      <c r="A3139" s="9"/>
      <c r="B3139" s="10"/>
      <c r="C3139" s="10"/>
      <c r="D3139" s="10"/>
      <c r="E3139" s="10"/>
      <c r="F3139" s="10"/>
      <c r="G3139" s="10"/>
      <c r="H3139" s="10"/>
      <c r="I3139" s="18" t="n">
        <v>2</v>
      </c>
      <c r="J3139" s="18"/>
      <c r="K3139" s="19"/>
      <c r="L3139" s="19"/>
      <c r="M3139" s="18"/>
      <c r="N3139" s="18"/>
      <c r="O3139" s="18"/>
      <c r="P3139" s="19"/>
      <c r="Q3139" s="19"/>
      <c r="R3139" s="18"/>
      <c r="S3139" s="18"/>
      <c r="T3139" s="18"/>
      <c r="U3139" s="20"/>
      <c r="V3139" s="21"/>
      <c r="W3139" s="16"/>
      <c r="X3139" s="16"/>
      <c r="Y3139" s="16"/>
    </row>
    <row r="3140" customFormat="false" ht="15.75" hidden="false" customHeight="false" outlineLevel="0" collapsed="false">
      <c r="A3140" s="9"/>
      <c r="B3140" s="10"/>
      <c r="C3140" s="10"/>
      <c r="D3140" s="10"/>
      <c r="E3140" s="10"/>
      <c r="F3140" s="10"/>
      <c r="G3140" s="10"/>
      <c r="H3140" s="10"/>
      <c r="I3140" s="22" t="n">
        <v>3</v>
      </c>
      <c r="J3140" s="22"/>
      <c r="K3140" s="23"/>
      <c r="L3140" s="23"/>
      <c r="M3140" s="22"/>
      <c r="N3140" s="22"/>
      <c r="O3140" s="22"/>
      <c r="P3140" s="23"/>
      <c r="Q3140" s="23"/>
      <c r="R3140" s="22"/>
      <c r="S3140" s="22"/>
      <c r="T3140" s="22"/>
      <c r="U3140" s="24"/>
      <c r="V3140" s="15"/>
      <c r="W3140" s="16"/>
      <c r="X3140" s="16"/>
      <c r="Y3140" s="16"/>
    </row>
    <row r="3141" customFormat="false" ht="15.75" hidden="false" customHeight="false" outlineLevel="0" collapsed="false">
      <c r="A3141" s="9"/>
      <c r="B3141" s="10"/>
      <c r="C3141" s="10"/>
      <c r="D3141" s="10"/>
      <c r="E3141" s="10"/>
      <c r="F3141" s="10"/>
      <c r="G3141" s="10"/>
      <c r="H3141" s="10"/>
      <c r="I3141" s="25" t="n">
        <v>4</v>
      </c>
      <c r="J3141" s="25"/>
      <c r="K3141" s="26"/>
      <c r="L3141" s="26"/>
      <c r="M3141" s="25"/>
      <c r="N3141" s="25"/>
      <c r="O3141" s="25"/>
      <c r="P3141" s="26"/>
      <c r="Q3141" s="26"/>
      <c r="R3141" s="25"/>
      <c r="S3141" s="25"/>
      <c r="T3141" s="25"/>
      <c r="U3141" s="27"/>
      <c r="V3141" s="21"/>
      <c r="W3141" s="16"/>
      <c r="X3141" s="16"/>
      <c r="Y3141" s="16"/>
    </row>
    <row r="3142" customFormat="false" ht="15.75" hidden="false" customHeight="false" outlineLevel="0" collapsed="false">
      <c r="A3142" s="9"/>
      <c r="B3142" s="10"/>
      <c r="C3142" s="11"/>
      <c r="D3142" s="10"/>
      <c r="E3142" s="10"/>
      <c r="F3142" s="10"/>
      <c r="G3142" s="10"/>
      <c r="H3142" s="10"/>
      <c r="I3142" s="12" t="n">
        <v>1</v>
      </c>
      <c r="J3142" s="12"/>
      <c r="K3142" s="13"/>
      <c r="L3142" s="13"/>
      <c r="M3142" s="12"/>
      <c r="N3142" s="12"/>
      <c r="O3142" s="12"/>
      <c r="P3142" s="13"/>
      <c r="Q3142" s="13"/>
      <c r="R3142" s="12"/>
      <c r="S3142" s="12"/>
      <c r="T3142" s="12"/>
      <c r="U3142" s="14"/>
      <c r="V3142" s="15"/>
      <c r="W3142" s="16" t="n">
        <f aca="false">A3142</f>
        <v>0</v>
      </c>
      <c r="X3142" s="17" t="e">
        <f aca="false">ifs(C3142="","",X3142="",NOW(),TRUE(),X3142)</f>
        <v>#VALUE!</v>
      </c>
      <c r="Y3142" s="17" t="e">
        <f aca="false">ifs(COUNTA(K3142:U3145)&lt;44,"",Y3142="",NOW(),TRUE(),Y3142)</f>
        <v>#VALUE!</v>
      </c>
    </row>
    <row r="3143" customFormat="false" ht="15.75" hidden="false" customHeight="false" outlineLevel="0" collapsed="false">
      <c r="A3143" s="9"/>
      <c r="B3143" s="10"/>
      <c r="C3143" s="10"/>
      <c r="D3143" s="10"/>
      <c r="E3143" s="10"/>
      <c r="F3143" s="10"/>
      <c r="G3143" s="10"/>
      <c r="H3143" s="10"/>
      <c r="I3143" s="18" t="n">
        <v>2</v>
      </c>
      <c r="J3143" s="18"/>
      <c r="K3143" s="19"/>
      <c r="L3143" s="19"/>
      <c r="M3143" s="18"/>
      <c r="N3143" s="18"/>
      <c r="O3143" s="18"/>
      <c r="P3143" s="19"/>
      <c r="Q3143" s="19"/>
      <c r="R3143" s="18"/>
      <c r="S3143" s="18"/>
      <c r="T3143" s="18"/>
      <c r="U3143" s="20"/>
      <c r="V3143" s="21"/>
      <c r="W3143" s="16"/>
      <c r="X3143" s="16"/>
      <c r="Y3143" s="16"/>
    </row>
    <row r="3144" customFormat="false" ht="15.75" hidden="false" customHeight="false" outlineLevel="0" collapsed="false">
      <c r="A3144" s="9"/>
      <c r="B3144" s="10"/>
      <c r="C3144" s="10"/>
      <c r="D3144" s="10"/>
      <c r="E3144" s="10"/>
      <c r="F3144" s="10"/>
      <c r="G3144" s="10"/>
      <c r="H3144" s="10"/>
      <c r="I3144" s="22" t="n">
        <v>3</v>
      </c>
      <c r="J3144" s="22"/>
      <c r="K3144" s="23"/>
      <c r="L3144" s="23"/>
      <c r="M3144" s="22"/>
      <c r="N3144" s="22"/>
      <c r="O3144" s="22"/>
      <c r="P3144" s="23"/>
      <c r="Q3144" s="23"/>
      <c r="R3144" s="22"/>
      <c r="S3144" s="22"/>
      <c r="T3144" s="22"/>
      <c r="U3144" s="24"/>
      <c r="V3144" s="15"/>
      <c r="W3144" s="16"/>
      <c r="X3144" s="16"/>
      <c r="Y3144" s="16"/>
    </row>
    <row r="3145" customFormat="false" ht="15.75" hidden="false" customHeight="false" outlineLevel="0" collapsed="false">
      <c r="A3145" s="9"/>
      <c r="B3145" s="10"/>
      <c r="C3145" s="10"/>
      <c r="D3145" s="10"/>
      <c r="E3145" s="10"/>
      <c r="F3145" s="10"/>
      <c r="G3145" s="10"/>
      <c r="H3145" s="10"/>
      <c r="I3145" s="25" t="n">
        <v>4</v>
      </c>
      <c r="J3145" s="25"/>
      <c r="K3145" s="26"/>
      <c r="L3145" s="26"/>
      <c r="M3145" s="25"/>
      <c r="N3145" s="25"/>
      <c r="O3145" s="25"/>
      <c r="P3145" s="26"/>
      <c r="Q3145" s="26"/>
      <c r="R3145" s="25"/>
      <c r="S3145" s="25"/>
      <c r="T3145" s="25"/>
      <c r="U3145" s="27"/>
      <c r="V3145" s="21"/>
      <c r="W3145" s="16"/>
      <c r="X3145" s="16"/>
      <c r="Y3145" s="16"/>
    </row>
    <row r="3146" customFormat="false" ht="15.75" hidden="false" customHeight="false" outlineLevel="0" collapsed="false">
      <c r="A3146" s="9"/>
      <c r="B3146" s="10"/>
      <c r="C3146" s="11"/>
      <c r="D3146" s="10"/>
      <c r="E3146" s="10"/>
      <c r="F3146" s="10"/>
      <c r="G3146" s="10"/>
      <c r="H3146" s="10"/>
      <c r="I3146" s="12" t="n">
        <v>1</v>
      </c>
      <c r="J3146" s="12"/>
      <c r="K3146" s="13"/>
      <c r="L3146" s="13"/>
      <c r="M3146" s="12"/>
      <c r="N3146" s="12"/>
      <c r="O3146" s="12"/>
      <c r="P3146" s="13"/>
      <c r="Q3146" s="13"/>
      <c r="R3146" s="12"/>
      <c r="S3146" s="12"/>
      <c r="T3146" s="12"/>
      <c r="U3146" s="14"/>
      <c r="V3146" s="15"/>
      <c r="W3146" s="16" t="n">
        <f aca="false">A3146</f>
        <v>0</v>
      </c>
      <c r="X3146" s="17" t="e">
        <f aca="false">ifs(C3146="","",X3146="",NOW(),TRUE(),X3146)</f>
        <v>#VALUE!</v>
      </c>
      <c r="Y3146" s="17" t="e">
        <f aca="false">ifs(COUNTA(K3146:U3149)&lt;44,"",Y3146="",NOW(),TRUE(),Y3146)</f>
        <v>#VALUE!</v>
      </c>
    </row>
    <row r="3147" customFormat="false" ht="15.75" hidden="false" customHeight="false" outlineLevel="0" collapsed="false">
      <c r="A3147" s="9"/>
      <c r="B3147" s="10"/>
      <c r="C3147" s="10"/>
      <c r="D3147" s="10"/>
      <c r="E3147" s="10"/>
      <c r="F3147" s="10"/>
      <c r="G3147" s="10"/>
      <c r="H3147" s="10"/>
      <c r="I3147" s="18" t="n">
        <v>2</v>
      </c>
      <c r="J3147" s="18"/>
      <c r="K3147" s="19"/>
      <c r="L3147" s="19"/>
      <c r="M3147" s="18"/>
      <c r="N3147" s="18"/>
      <c r="O3147" s="18"/>
      <c r="P3147" s="19"/>
      <c r="Q3147" s="19"/>
      <c r="R3147" s="18"/>
      <c r="S3147" s="18"/>
      <c r="T3147" s="18"/>
      <c r="U3147" s="20"/>
      <c r="V3147" s="21"/>
      <c r="W3147" s="16"/>
      <c r="X3147" s="16"/>
      <c r="Y3147" s="16"/>
    </row>
    <row r="3148" customFormat="false" ht="15.75" hidden="false" customHeight="false" outlineLevel="0" collapsed="false">
      <c r="A3148" s="9"/>
      <c r="B3148" s="10"/>
      <c r="C3148" s="10"/>
      <c r="D3148" s="10"/>
      <c r="E3148" s="10"/>
      <c r="F3148" s="10"/>
      <c r="G3148" s="10"/>
      <c r="H3148" s="10"/>
      <c r="I3148" s="22" t="n">
        <v>3</v>
      </c>
      <c r="J3148" s="22"/>
      <c r="K3148" s="23"/>
      <c r="L3148" s="23"/>
      <c r="M3148" s="22"/>
      <c r="N3148" s="22"/>
      <c r="O3148" s="22"/>
      <c r="P3148" s="23"/>
      <c r="Q3148" s="23"/>
      <c r="R3148" s="22"/>
      <c r="S3148" s="22"/>
      <c r="T3148" s="22"/>
      <c r="U3148" s="24"/>
      <c r="V3148" s="15"/>
      <c r="W3148" s="16"/>
      <c r="X3148" s="16"/>
      <c r="Y3148" s="16"/>
    </row>
    <row r="3149" customFormat="false" ht="15.75" hidden="false" customHeight="false" outlineLevel="0" collapsed="false">
      <c r="A3149" s="9"/>
      <c r="B3149" s="10"/>
      <c r="C3149" s="10"/>
      <c r="D3149" s="10"/>
      <c r="E3149" s="10"/>
      <c r="F3149" s="10"/>
      <c r="G3149" s="10"/>
      <c r="H3149" s="10"/>
      <c r="I3149" s="25" t="n">
        <v>4</v>
      </c>
      <c r="J3149" s="25"/>
      <c r="K3149" s="26"/>
      <c r="L3149" s="26"/>
      <c r="M3149" s="25"/>
      <c r="N3149" s="25"/>
      <c r="O3149" s="25"/>
      <c r="P3149" s="26"/>
      <c r="Q3149" s="26"/>
      <c r="R3149" s="25"/>
      <c r="S3149" s="25"/>
      <c r="T3149" s="25"/>
      <c r="U3149" s="27"/>
      <c r="V3149" s="21"/>
      <c r="W3149" s="16"/>
      <c r="X3149" s="16"/>
      <c r="Y3149" s="16"/>
    </row>
    <row r="3150" customFormat="false" ht="15.75" hidden="false" customHeight="false" outlineLevel="0" collapsed="false">
      <c r="A3150" s="9"/>
      <c r="B3150" s="10"/>
      <c r="C3150" s="11"/>
      <c r="D3150" s="10"/>
      <c r="E3150" s="10"/>
      <c r="F3150" s="10"/>
      <c r="G3150" s="10"/>
      <c r="H3150" s="10"/>
      <c r="I3150" s="12" t="n">
        <v>1</v>
      </c>
      <c r="J3150" s="12"/>
      <c r="K3150" s="13"/>
      <c r="L3150" s="13"/>
      <c r="M3150" s="12"/>
      <c r="N3150" s="12"/>
      <c r="O3150" s="12"/>
      <c r="P3150" s="13"/>
      <c r="Q3150" s="13"/>
      <c r="R3150" s="12"/>
      <c r="S3150" s="12"/>
      <c r="T3150" s="12"/>
      <c r="U3150" s="14"/>
      <c r="V3150" s="15"/>
      <c r="W3150" s="16" t="n">
        <f aca="false">A3150</f>
        <v>0</v>
      </c>
      <c r="X3150" s="17" t="e">
        <f aca="false">ifs(C3150="","",X3150="",NOW(),TRUE(),X3150)</f>
        <v>#VALUE!</v>
      </c>
      <c r="Y3150" s="17" t="e">
        <f aca="false">ifs(COUNTA(K3150:U3153)&lt;44,"",Y3150="",NOW(),TRUE(),Y3150)</f>
        <v>#VALUE!</v>
      </c>
    </row>
    <row r="3151" customFormat="false" ht="15.75" hidden="false" customHeight="false" outlineLevel="0" collapsed="false">
      <c r="A3151" s="9"/>
      <c r="B3151" s="10"/>
      <c r="C3151" s="10"/>
      <c r="D3151" s="10"/>
      <c r="E3151" s="10"/>
      <c r="F3151" s="10"/>
      <c r="G3151" s="10"/>
      <c r="H3151" s="10"/>
      <c r="I3151" s="18" t="n">
        <v>2</v>
      </c>
      <c r="J3151" s="18"/>
      <c r="K3151" s="19"/>
      <c r="L3151" s="19"/>
      <c r="M3151" s="18"/>
      <c r="N3151" s="18"/>
      <c r="O3151" s="18"/>
      <c r="P3151" s="19"/>
      <c r="Q3151" s="19"/>
      <c r="R3151" s="18"/>
      <c r="S3151" s="18"/>
      <c r="T3151" s="18"/>
      <c r="U3151" s="20"/>
      <c r="V3151" s="21"/>
      <c r="W3151" s="16"/>
      <c r="X3151" s="16"/>
      <c r="Y3151" s="16"/>
    </row>
    <row r="3152" customFormat="false" ht="15.75" hidden="false" customHeight="false" outlineLevel="0" collapsed="false">
      <c r="A3152" s="9"/>
      <c r="B3152" s="10"/>
      <c r="C3152" s="10"/>
      <c r="D3152" s="10"/>
      <c r="E3152" s="10"/>
      <c r="F3152" s="10"/>
      <c r="G3152" s="10"/>
      <c r="H3152" s="10"/>
      <c r="I3152" s="22" t="n">
        <v>3</v>
      </c>
      <c r="J3152" s="22"/>
      <c r="K3152" s="23"/>
      <c r="L3152" s="23"/>
      <c r="M3152" s="22"/>
      <c r="N3152" s="22"/>
      <c r="O3152" s="22"/>
      <c r="P3152" s="23"/>
      <c r="Q3152" s="23"/>
      <c r="R3152" s="22"/>
      <c r="S3152" s="22"/>
      <c r="T3152" s="22"/>
      <c r="U3152" s="24"/>
      <c r="V3152" s="15"/>
      <c r="W3152" s="16"/>
      <c r="X3152" s="16"/>
      <c r="Y3152" s="16"/>
    </row>
    <row r="3153" customFormat="false" ht="15.75" hidden="false" customHeight="false" outlineLevel="0" collapsed="false">
      <c r="A3153" s="9"/>
      <c r="B3153" s="10"/>
      <c r="C3153" s="10"/>
      <c r="D3153" s="10"/>
      <c r="E3153" s="10"/>
      <c r="F3153" s="10"/>
      <c r="G3153" s="10"/>
      <c r="H3153" s="10"/>
      <c r="I3153" s="25" t="n">
        <v>4</v>
      </c>
      <c r="J3153" s="25"/>
      <c r="K3153" s="26"/>
      <c r="L3153" s="26"/>
      <c r="M3153" s="25"/>
      <c r="N3153" s="25"/>
      <c r="O3153" s="25"/>
      <c r="P3153" s="26"/>
      <c r="Q3153" s="26"/>
      <c r="R3153" s="25"/>
      <c r="S3153" s="25"/>
      <c r="T3153" s="25"/>
      <c r="U3153" s="27"/>
      <c r="V3153" s="21"/>
      <c r="W3153" s="16"/>
      <c r="X3153" s="16"/>
      <c r="Y3153" s="16"/>
    </row>
    <row r="3154" customFormat="false" ht="15.75" hidden="false" customHeight="false" outlineLevel="0" collapsed="false">
      <c r="A3154" s="9"/>
      <c r="B3154" s="10"/>
      <c r="C3154" s="11"/>
      <c r="D3154" s="10"/>
      <c r="E3154" s="10"/>
      <c r="F3154" s="10"/>
      <c r="G3154" s="10"/>
      <c r="H3154" s="10"/>
      <c r="I3154" s="12" t="n">
        <v>1</v>
      </c>
      <c r="J3154" s="12"/>
      <c r="K3154" s="13"/>
      <c r="L3154" s="13"/>
      <c r="M3154" s="12"/>
      <c r="N3154" s="12"/>
      <c r="O3154" s="12"/>
      <c r="P3154" s="13"/>
      <c r="Q3154" s="13"/>
      <c r="R3154" s="12"/>
      <c r="S3154" s="12"/>
      <c r="T3154" s="12"/>
      <c r="U3154" s="14"/>
      <c r="V3154" s="15"/>
      <c r="W3154" s="16" t="n">
        <f aca="false">A3154</f>
        <v>0</v>
      </c>
      <c r="X3154" s="17" t="e">
        <f aca="false">ifs(C3154="","",X3154="",NOW(),TRUE(),X3154)</f>
        <v>#VALUE!</v>
      </c>
      <c r="Y3154" s="17" t="e">
        <f aca="false">ifs(COUNTA(K3154:U3157)&lt;44,"",Y3154="",NOW(),TRUE(),Y3154)</f>
        <v>#VALUE!</v>
      </c>
    </row>
    <row r="3155" customFormat="false" ht="15.75" hidden="false" customHeight="false" outlineLevel="0" collapsed="false">
      <c r="A3155" s="9"/>
      <c r="B3155" s="10"/>
      <c r="C3155" s="10"/>
      <c r="D3155" s="10"/>
      <c r="E3155" s="10"/>
      <c r="F3155" s="10"/>
      <c r="G3155" s="10"/>
      <c r="H3155" s="10"/>
      <c r="I3155" s="18" t="n">
        <v>2</v>
      </c>
      <c r="J3155" s="18"/>
      <c r="K3155" s="19"/>
      <c r="L3155" s="19"/>
      <c r="M3155" s="18"/>
      <c r="N3155" s="18"/>
      <c r="O3155" s="18"/>
      <c r="P3155" s="19"/>
      <c r="Q3155" s="19"/>
      <c r="R3155" s="18"/>
      <c r="S3155" s="18"/>
      <c r="T3155" s="18"/>
      <c r="U3155" s="20"/>
      <c r="V3155" s="21"/>
      <c r="W3155" s="16"/>
      <c r="X3155" s="16"/>
      <c r="Y3155" s="16"/>
    </row>
    <row r="3156" customFormat="false" ht="15.75" hidden="false" customHeight="false" outlineLevel="0" collapsed="false">
      <c r="A3156" s="9"/>
      <c r="B3156" s="10"/>
      <c r="C3156" s="10"/>
      <c r="D3156" s="10"/>
      <c r="E3156" s="10"/>
      <c r="F3156" s="10"/>
      <c r="G3156" s="10"/>
      <c r="H3156" s="10"/>
      <c r="I3156" s="22" t="n">
        <v>3</v>
      </c>
      <c r="J3156" s="22"/>
      <c r="K3156" s="23"/>
      <c r="L3156" s="23"/>
      <c r="M3156" s="22"/>
      <c r="N3156" s="22"/>
      <c r="O3156" s="22"/>
      <c r="P3156" s="23"/>
      <c r="Q3156" s="23"/>
      <c r="R3156" s="22"/>
      <c r="S3156" s="22"/>
      <c r="T3156" s="22"/>
      <c r="U3156" s="24"/>
      <c r="V3156" s="15"/>
      <c r="W3156" s="16"/>
      <c r="X3156" s="16"/>
      <c r="Y3156" s="16"/>
    </row>
    <row r="3157" customFormat="false" ht="15.75" hidden="false" customHeight="false" outlineLevel="0" collapsed="false">
      <c r="A3157" s="9"/>
      <c r="B3157" s="10"/>
      <c r="C3157" s="10"/>
      <c r="D3157" s="10"/>
      <c r="E3157" s="10"/>
      <c r="F3157" s="10"/>
      <c r="G3157" s="10"/>
      <c r="H3157" s="10"/>
      <c r="I3157" s="25" t="n">
        <v>4</v>
      </c>
      <c r="J3157" s="25"/>
      <c r="K3157" s="26"/>
      <c r="L3157" s="26"/>
      <c r="M3157" s="25"/>
      <c r="N3157" s="25"/>
      <c r="O3157" s="25"/>
      <c r="P3157" s="26"/>
      <c r="Q3157" s="26"/>
      <c r="R3157" s="25"/>
      <c r="S3157" s="25"/>
      <c r="T3157" s="25"/>
      <c r="U3157" s="27"/>
      <c r="V3157" s="21"/>
      <c r="W3157" s="16"/>
      <c r="X3157" s="16"/>
      <c r="Y3157" s="16"/>
    </row>
    <row r="3158" customFormat="false" ht="15.75" hidden="false" customHeight="false" outlineLevel="0" collapsed="false">
      <c r="A3158" s="9"/>
      <c r="B3158" s="10"/>
      <c r="C3158" s="11"/>
      <c r="D3158" s="10"/>
      <c r="E3158" s="10"/>
      <c r="F3158" s="10"/>
      <c r="G3158" s="10"/>
      <c r="H3158" s="10"/>
      <c r="I3158" s="12" t="n">
        <v>1</v>
      </c>
      <c r="J3158" s="12"/>
      <c r="K3158" s="13"/>
      <c r="L3158" s="13"/>
      <c r="M3158" s="12"/>
      <c r="N3158" s="12"/>
      <c r="O3158" s="12"/>
      <c r="P3158" s="13"/>
      <c r="Q3158" s="13"/>
      <c r="R3158" s="12"/>
      <c r="S3158" s="12"/>
      <c r="T3158" s="12"/>
      <c r="U3158" s="14"/>
      <c r="V3158" s="15"/>
      <c r="W3158" s="16" t="n">
        <f aca="false">A3158</f>
        <v>0</v>
      </c>
      <c r="X3158" s="17" t="e">
        <f aca="false">ifs(C3158="","",X3158="",NOW(),TRUE(),X3158)</f>
        <v>#VALUE!</v>
      </c>
      <c r="Y3158" s="17" t="e">
        <f aca="false">ifs(COUNTA(K3158:U3161)&lt;44,"",Y3158="",NOW(),TRUE(),Y3158)</f>
        <v>#VALUE!</v>
      </c>
    </row>
    <row r="3159" customFormat="false" ht="15.75" hidden="false" customHeight="false" outlineLevel="0" collapsed="false">
      <c r="A3159" s="9"/>
      <c r="B3159" s="10"/>
      <c r="C3159" s="10"/>
      <c r="D3159" s="10"/>
      <c r="E3159" s="10"/>
      <c r="F3159" s="10"/>
      <c r="G3159" s="10"/>
      <c r="H3159" s="10"/>
      <c r="I3159" s="18" t="n">
        <v>2</v>
      </c>
      <c r="J3159" s="18"/>
      <c r="K3159" s="19"/>
      <c r="L3159" s="19"/>
      <c r="M3159" s="18"/>
      <c r="N3159" s="18"/>
      <c r="O3159" s="18"/>
      <c r="P3159" s="19"/>
      <c r="Q3159" s="19"/>
      <c r="R3159" s="18"/>
      <c r="S3159" s="18"/>
      <c r="T3159" s="18"/>
      <c r="U3159" s="20"/>
      <c r="V3159" s="21"/>
      <c r="W3159" s="16"/>
      <c r="X3159" s="16"/>
      <c r="Y3159" s="16"/>
    </row>
    <row r="3160" customFormat="false" ht="15.75" hidden="false" customHeight="false" outlineLevel="0" collapsed="false">
      <c r="A3160" s="9"/>
      <c r="B3160" s="10"/>
      <c r="C3160" s="10"/>
      <c r="D3160" s="10"/>
      <c r="E3160" s="10"/>
      <c r="F3160" s="10"/>
      <c r="G3160" s="10"/>
      <c r="H3160" s="10"/>
      <c r="I3160" s="22" t="n">
        <v>3</v>
      </c>
      <c r="J3160" s="22"/>
      <c r="K3160" s="23"/>
      <c r="L3160" s="23"/>
      <c r="M3160" s="22"/>
      <c r="N3160" s="22"/>
      <c r="O3160" s="22"/>
      <c r="P3160" s="23"/>
      <c r="Q3160" s="23"/>
      <c r="R3160" s="22"/>
      <c r="S3160" s="22"/>
      <c r="T3160" s="22"/>
      <c r="U3160" s="24"/>
      <c r="V3160" s="15"/>
      <c r="W3160" s="16"/>
      <c r="X3160" s="16"/>
      <c r="Y3160" s="16"/>
    </row>
    <row r="3161" customFormat="false" ht="15.75" hidden="false" customHeight="false" outlineLevel="0" collapsed="false">
      <c r="A3161" s="9"/>
      <c r="B3161" s="10"/>
      <c r="C3161" s="10"/>
      <c r="D3161" s="10"/>
      <c r="E3161" s="10"/>
      <c r="F3161" s="10"/>
      <c r="G3161" s="10"/>
      <c r="H3161" s="10"/>
      <c r="I3161" s="25" t="n">
        <v>4</v>
      </c>
      <c r="J3161" s="25"/>
      <c r="K3161" s="26"/>
      <c r="L3161" s="26"/>
      <c r="M3161" s="25"/>
      <c r="N3161" s="25"/>
      <c r="O3161" s="25"/>
      <c r="P3161" s="26"/>
      <c r="Q3161" s="26"/>
      <c r="R3161" s="25"/>
      <c r="S3161" s="25"/>
      <c r="T3161" s="25"/>
      <c r="U3161" s="27"/>
      <c r="V3161" s="21"/>
      <c r="W3161" s="16"/>
      <c r="X3161" s="16"/>
      <c r="Y3161" s="16"/>
    </row>
    <row r="3162" customFormat="false" ht="15.75" hidden="false" customHeight="false" outlineLevel="0" collapsed="false">
      <c r="A3162" s="9"/>
      <c r="B3162" s="10"/>
      <c r="C3162" s="11"/>
      <c r="D3162" s="10"/>
      <c r="E3162" s="10"/>
      <c r="F3162" s="10"/>
      <c r="G3162" s="10"/>
      <c r="H3162" s="10"/>
      <c r="I3162" s="12" t="n">
        <v>1</v>
      </c>
      <c r="J3162" s="12"/>
      <c r="K3162" s="13"/>
      <c r="L3162" s="13"/>
      <c r="M3162" s="12"/>
      <c r="N3162" s="12"/>
      <c r="O3162" s="12"/>
      <c r="P3162" s="13"/>
      <c r="Q3162" s="13"/>
      <c r="R3162" s="12"/>
      <c r="S3162" s="12"/>
      <c r="T3162" s="12"/>
      <c r="U3162" s="14"/>
      <c r="V3162" s="15"/>
      <c r="W3162" s="16" t="n">
        <f aca="false">A3162</f>
        <v>0</v>
      </c>
      <c r="X3162" s="17" t="e">
        <f aca="false">ifs(C3162="","",X3162="",NOW(),TRUE(),X3162)</f>
        <v>#VALUE!</v>
      </c>
      <c r="Y3162" s="17" t="e">
        <f aca="false">ifs(COUNTA(K3162:U3165)&lt;44,"",Y3162="",NOW(),TRUE(),Y3162)</f>
        <v>#VALUE!</v>
      </c>
    </row>
    <row r="3163" customFormat="false" ht="15.75" hidden="false" customHeight="false" outlineLevel="0" collapsed="false">
      <c r="A3163" s="9"/>
      <c r="B3163" s="10"/>
      <c r="C3163" s="10"/>
      <c r="D3163" s="10"/>
      <c r="E3163" s="10"/>
      <c r="F3163" s="10"/>
      <c r="G3163" s="10"/>
      <c r="H3163" s="10"/>
      <c r="I3163" s="18" t="n">
        <v>2</v>
      </c>
      <c r="J3163" s="18"/>
      <c r="K3163" s="19"/>
      <c r="L3163" s="19"/>
      <c r="M3163" s="18"/>
      <c r="N3163" s="18"/>
      <c r="O3163" s="18"/>
      <c r="P3163" s="19"/>
      <c r="Q3163" s="19"/>
      <c r="R3163" s="18"/>
      <c r="S3163" s="18"/>
      <c r="T3163" s="18"/>
      <c r="U3163" s="20"/>
      <c r="V3163" s="21"/>
      <c r="W3163" s="16"/>
      <c r="X3163" s="16"/>
      <c r="Y3163" s="16"/>
    </row>
    <row r="3164" customFormat="false" ht="15.75" hidden="false" customHeight="false" outlineLevel="0" collapsed="false">
      <c r="A3164" s="9"/>
      <c r="B3164" s="10"/>
      <c r="C3164" s="10"/>
      <c r="D3164" s="10"/>
      <c r="E3164" s="10"/>
      <c r="F3164" s="10"/>
      <c r="G3164" s="10"/>
      <c r="H3164" s="10"/>
      <c r="I3164" s="22" t="n">
        <v>3</v>
      </c>
      <c r="J3164" s="22"/>
      <c r="K3164" s="23"/>
      <c r="L3164" s="23"/>
      <c r="M3164" s="22"/>
      <c r="N3164" s="22"/>
      <c r="O3164" s="22"/>
      <c r="P3164" s="23"/>
      <c r="Q3164" s="23"/>
      <c r="R3164" s="22"/>
      <c r="S3164" s="22"/>
      <c r="T3164" s="22"/>
      <c r="U3164" s="24"/>
      <c r="V3164" s="15"/>
      <c r="W3164" s="16"/>
      <c r="X3164" s="16"/>
      <c r="Y3164" s="16"/>
    </row>
    <row r="3165" customFormat="false" ht="15.75" hidden="false" customHeight="false" outlineLevel="0" collapsed="false">
      <c r="A3165" s="9"/>
      <c r="B3165" s="10"/>
      <c r="C3165" s="10"/>
      <c r="D3165" s="10"/>
      <c r="E3165" s="10"/>
      <c r="F3165" s="10"/>
      <c r="G3165" s="10"/>
      <c r="H3165" s="10"/>
      <c r="I3165" s="25" t="n">
        <v>4</v>
      </c>
      <c r="J3165" s="25"/>
      <c r="K3165" s="26"/>
      <c r="L3165" s="26"/>
      <c r="M3165" s="25"/>
      <c r="N3165" s="25"/>
      <c r="O3165" s="25"/>
      <c r="P3165" s="26"/>
      <c r="Q3165" s="26"/>
      <c r="R3165" s="25"/>
      <c r="S3165" s="25"/>
      <c r="T3165" s="25"/>
      <c r="U3165" s="27"/>
      <c r="V3165" s="21"/>
      <c r="W3165" s="16"/>
      <c r="X3165" s="16"/>
      <c r="Y3165" s="16"/>
    </row>
    <row r="3166" customFormat="false" ht="15.75" hidden="false" customHeight="false" outlineLevel="0" collapsed="false">
      <c r="A3166" s="9"/>
      <c r="B3166" s="10"/>
      <c r="C3166" s="11"/>
      <c r="D3166" s="10"/>
      <c r="E3166" s="10"/>
      <c r="F3166" s="10"/>
      <c r="G3166" s="10"/>
      <c r="H3166" s="10"/>
      <c r="I3166" s="12" t="n">
        <v>1</v>
      </c>
      <c r="J3166" s="12"/>
      <c r="K3166" s="13"/>
      <c r="L3166" s="13"/>
      <c r="M3166" s="12"/>
      <c r="N3166" s="12"/>
      <c r="O3166" s="12"/>
      <c r="P3166" s="13"/>
      <c r="Q3166" s="13"/>
      <c r="R3166" s="12"/>
      <c r="S3166" s="12"/>
      <c r="T3166" s="12"/>
      <c r="U3166" s="14"/>
      <c r="V3166" s="15"/>
      <c r="W3166" s="16" t="n">
        <f aca="false">A3166</f>
        <v>0</v>
      </c>
      <c r="X3166" s="17" t="e">
        <f aca="false">ifs(C3166="","",X3166="",NOW(),TRUE(),X3166)</f>
        <v>#VALUE!</v>
      </c>
      <c r="Y3166" s="17" t="e">
        <f aca="false">ifs(COUNTA(K3166:U3169)&lt;44,"",Y3166="",NOW(),TRUE(),Y3166)</f>
        <v>#VALUE!</v>
      </c>
    </row>
    <row r="3167" customFormat="false" ht="15.75" hidden="false" customHeight="false" outlineLevel="0" collapsed="false">
      <c r="A3167" s="9"/>
      <c r="B3167" s="10"/>
      <c r="C3167" s="10"/>
      <c r="D3167" s="10"/>
      <c r="E3167" s="10"/>
      <c r="F3167" s="10"/>
      <c r="G3167" s="10"/>
      <c r="H3167" s="10"/>
      <c r="I3167" s="18" t="n">
        <v>2</v>
      </c>
      <c r="J3167" s="18"/>
      <c r="K3167" s="19"/>
      <c r="L3167" s="19"/>
      <c r="M3167" s="18"/>
      <c r="N3167" s="18"/>
      <c r="O3167" s="18"/>
      <c r="P3167" s="19"/>
      <c r="Q3167" s="19"/>
      <c r="R3167" s="18"/>
      <c r="S3167" s="18"/>
      <c r="T3167" s="18"/>
      <c r="U3167" s="20"/>
      <c r="V3167" s="21"/>
      <c r="W3167" s="16"/>
      <c r="X3167" s="16"/>
      <c r="Y3167" s="16"/>
    </row>
    <row r="3168" customFormat="false" ht="15.75" hidden="false" customHeight="false" outlineLevel="0" collapsed="false">
      <c r="A3168" s="9"/>
      <c r="B3168" s="10"/>
      <c r="C3168" s="10"/>
      <c r="D3168" s="10"/>
      <c r="E3168" s="10"/>
      <c r="F3168" s="10"/>
      <c r="G3168" s="10"/>
      <c r="H3168" s="10"/>
      <c r="I3168" s="22" t="n">
        <v>3</v>
      </c>
      <c r="J3168" s="22"/>
      <c r="K3168" s="23"/>
      <c r="L3168" s="23"/>
      <c r="M3168" s="22"/>
      <c r="N3168" s="22"/>
      <c r="O3168" s="22"/>
      <c r="P3168" s="23"/>
      <c r="Q3168" s="23"/>
      <c r="R3168" s="22"/>
      <c r="S3168" s="22"/>
      <c r="T3168" s="22"/>
      <c r="U3168" s="24"/>
      <c r="V3168" s="15"/>
      <c r="W3168" s="16"/>
      <c r="X3168" s="16"/>
      <c r="Y3168" s="16"/>
    </row>
    <row r="3169" customFormat="false" ht="15.75" hidden="false" customHeight="false" outlineLevel="0" collapsed="false">
      <c r="A3169" s="9"/>
      <c r="B3169" s="10"/>
      <c r="C3169" s="10"/>
      <c r="D3169" s="10"/>
      <c r="E3169" s="10"/>
      <c r="F3169" s="10"/>
      <c r="G3169" s="10"/>
      <c r="H3169" s="10"/>
      <c r="I3169" s="25" t="n">
        <v>4</v>
      </c>
      <c r="J3169" s="25"/>
      <c r="K3169" s="26"/>
      <c r="L3169" s="26"/>
      <c r="M3169" s="25"/>
      <c r="N3169" s="25"/>
      <c r="O3169" s="25"/>
      <c r="P3169" s="26"/>
      <c r="Q3169" s="26"/>
      <c r="R3169" s="25"/>
      <c r="S3169" s="25"/>
      <c r="T3169" s="25"/>
      <c r="U3169" s="27"/>
      <c r="V3169" s="21"/>
      <c r="W3169" s="16"/>
      <c r="X3169" s="16"/>
      <c r="Y3169" s="16"/>
    </row>
    <row r="3170" customFormat="false" ht="15.75" hidden="false" customHeight="false" outlineLevel="0" collapsed="false">
      <c r="A3170" s="9"/>
      <c r="B3170" s="10"/>
      <c r="C3170" s="11"/>
      <c r="D3170" s="10"/>
      <c r="E3170" s="10"/>
      <c r="F3170" s="10"/>
      <c r="G3170" s="10"/>
      <c r="H3170" s="10"/>
      <c r="I3170" s="12" t="n">
        <v>1</v>
      </c>
      <c r="J3170" s="12"/>
      <c r="K3170" s="13"/>
      <c r="L3170" s="13"/>
      <c r="M3170" s="12"/>
      <c r="N3170" s="12"/>
      <c r="O3170" s="12"/>
      <c r="P3170" s="13"/>
      <c r="Q3170" s="13"/>
      <c r="R3170" s="12"/>
      <c r="S3170" s="12"/>
      <c r="T3170" s="12"/>
      <c r="U3170" s="14"/>
      <c r="V3170" s="15"/>
      <c r="W3170" s="16" t="n">
        <f aca="false">A3170</f>
        <v>0</v>
      </c>
      <c r="X3170" s="17" t="e">
        <f aca="false">ifs(C3170="","",X3170="",NOW(),TRUE(),X3170)</f>
        <v>#VALUE!</v>
      </c>
      <c r="Y3170" s="17" t="e">
        <f aca="false">ifs(COUNTA(K3170:U3173)&lt;44,"",Y3170="",NOW(),TRUE(),Y3170)</f>
        <v>#VALUE!</v>
      </c>
    </row>
    <row r="3171" customFormat="false" ht="15.75" hidden="false" customHeight="false" outlineLevel="0" collapsed="false">
      <c r="A3171" s="9"/>
      <c r="B3171" s="10"/>
      <c r="C3171" s="10"/>
      <c r="D3171" s="10"/>
      <c r="E3171" s="10"/>
      <c r="F3171" s="10"/>
      <c r="G3171" s="10"/>
      <c r="H3171" s="10"/>
      <c r="I3171" s="18" t="n">
        <v>2</v>
      </c>
      <c r="J3171" s="18"/>
      <c r="K3171" s="19"/>
      <c r="L3171" s="19"/>
      <c r="M3171" s="18"/>
      <c r="N3171" s="18"/>
      <c r="O3171" s="18"/>
      <c r="P3171" s="19"/>
      <c r="Q3171" s="19"/>
      <c r="R3171" s="18"/>
      <c r="S3171" s="18"/>
      <c r="T3171" s="18"/>
      <c r="U3171" s="20"/>
      <c r="V3171" s="21"/>
      <c r="W3171" s="16"/>
      <c r="X3171" s="16"/>
      <c r="Y3171" s="16"/>
    </row>
    <row r="3172" customFormat="false" ht="15.75" hidden="false" customHeight="false" outlineLevel="0" collapsed="false">
      <c r="A3172" s="9"/>
      <c r="B3172" s="10"/>
      <c r="C3172" s="10"/>
      <c r="D3172" s="10"/>
      <c r="E3172" s="10"/>
      <c r="F3172" s="10"/>
      <c r="G3172" s="10"/>
      <c r="H3172" s="10"/>
      <c r="I3172" s="22" t="n">
        <v>3</v>
      </c>
      <c r="J3172" s="22"/>
      <c r="K3172" s="23"/>
      <c r="L3172" s="23"/>
      <c r="M3172" s="22"/>
      <c r="N3172" s="22"/>
      <c r="O3172" s="22"/>
      <c r="P3172" s="23"/>
      <c r="Q3172" s="23"/>
      <c r="R3172" s="22"/>
      <c r="S3172" s="22"/>
      <c r="T3172" s="22"/>
      <c r="U3172" s="24"/>
      <c r="V3172" s="15"/>
      <c r="W3172" s="16"/>
      <c r="X3172" s="16"/>
      <c r="Y3172" s="16"/>
    </row>
    <row r="3173" customFormat="false" ht="15.75" hidden="false" customHeight="false" outlineLevel="0" collapsed="false">
      <c r="A3173" s="9"/>
      <c r="B3173" s="10"/>
      <c r="C3173" s="10"/>
      <c r="D3173" s="10"/>
      <c r="E3173" s="10"/>
      <c r="F3173" s="10"/>
      <c r="G3173" s="10"/>
      <c r="H3173" s="10"/>
      <c r="I3173" s="25" t="n">
        <v>4</v>
      </c>
      <c r="J3173" s="25"/>
      <c r="K3173" s="26"/>
      <c r="L3173" s="26"/>
      <c r="M3173" s="25"/>
      <c r="N3173" s="25"/>
      <c r="O3173" s="25"/>
      <c r="P3173" s="26"/>
      <c r="Q3173" s="26"/>
      <c r="R3173" s="25"/>
      <c r="S3173" s="25"/>
      <c r="T3173" s="25"/>
      <c r="U3173" s="27"/>
      <c r="V3173" s="21"/>
      <c r="W3173" s="16"/>
      <c r="X3173" s="16"/>
      <c r="Y3173" s="16"/>
    </row>
    <row r="3174" customFormat="false" ht="15.75" hidden="false" customHeight="false" outlineLevel="0" collapsed="false">
      <c r="A3174" s="9"/>
      <c r="B3174" s="10"/>
      <c r="C3174" s="11"/>
      <c r="D3174" s="10"/>
      <c r="E3174" s="10"/>
      <c r="F3174" s="10"/>
      <c r="G3174" s="10"/>
      <c r="H3174" s="10"/>
      <c r="I3174" s="12" t="n">
        <v>1</v>
      </c>
      <c r="J3174" s="12"/>
      <c r="K3174" s="13"/>
      <c r="L3174" s="13"/>
      <c r="M3174" s="12"/>
      <c r="N3174" s="12"/>
      <c r="O3174" s="12"/>
      <c r="P3174" s="13"/>
      <c r="Q3174" s="13"/>
      <c r="R3174" s="12"/>
      <c r="S3174" s="12"/>
      <c r="T3174" s="12"/>
      <c r="U3174" s="14"/>
      <c r="V3174" s="15"/>
      <c r="W3174" s="16" t="n">
        <f aca="false">A3174</f>
        <v>0</v>
      </c>
      <c r="X3174" s="17" t="e">
        <f aca="false">ifs(C3174="","",X3174="",NOW(),TRUE(),X3174)</f>
        <v>#VALUE!</v>
      </c>
      <c r="Y3174" s="17" t="e">
        <f aca="false">ifs(COUNTA(K3174:U3177)&lt;44,"",Y3174="",NOW(),TRUE(),Y3174)</f>
        <v>#VALUE!</v>
      </c>
    </row>
    <row r="3175" customFormat="false" ht="15.75" hidden="false" customHeight="false" outlineLevel="0" collapsed="false">
      <c r="A3175" s="9"/>
      <c r="B3175" s="10"/>
      <c r="C3175" s="10"/>
      <c r="D3175" s="10"/>
      <c r="E3175" s="10"/>
      <c r="F3175" s="10"/>
      <c r="G3175" s="10"/>
      <c r="H3175" s="10"/>
      <c r="I3175" s="18" t="n">
        <v>2</v>
      </c>
      <c r="J3175" s="18"/>
      <c r="K3175" s="19"/>
      <c r="L3175" s="19"/>
      <c r="M3175" s="18"/>
      <c r="N3175" s="18"/>
      <c r="O3175" s="18"/>
      <c r="P3175" s="19"/>
      <c r="Q3175" s="19"/>
      <c r="R3175" s="18"/>
      <c r="S3175" s="18"/>
      <c r="T3175" s="18"/>
      <c r="U3175" s="20"/>
      <c r="V3175" s="21"/>
      <c r="W3175" s="16"/>
      <c r="X3175" s="16"/>
      <c r="Y3175" s="16"/>
    </row>
    <row r="3176" customFormat="false" ht="15.75" hidden="false" customHeight="false" outlineLevel="0" collapsed="false">
      <c r="A3176" s="9"/>
      <c r="B3176" s="10"/>
      <c r="C3176" s="10"/>
      <c r="D3176" s="10"/>
      <c r="E3176" s="10"/>
      <c r="F3176" s="10"/>
      <c r="G3176" s="10"/>
      <c r="H3176" s="10"/>
      <c r="I3176" s="22" t="n">
        <v>3</v>
      </c>
      <c r="J3176" s="22"/>
      <c r="K3176" s="23"/>
      <c r="L3176" s="23"/>
      <c r="M3176" s="22"/>
      <c r="N3176" s="22"/>
      <c r="O3176" s="22"/>
      <c r="P3176" s="23"/>
      <c r="Q3176" s="23"/>
      <c r="R3176" s="22"/>
      <c r="S3176" s="22"/>
      <c r="T3176" s="22"/>
      <c r="U3176" s="24"/>
      <c r="V3176" s="15"/>
      <c r="W3176" s="16"/>
      <c r="X3176" s="16"/>
      <c r="Y3176" s="16"/>
    </row>
    <row r="3177" customFormat="false" ht="15.75" hidden="false" customHeight="false" outlineLevel="0" collapsed="false">
      <c r="A3177" s="9"/>
      <c r="B3177" s="10"/>
      <c r="C3177" s="10"/>
      <c r="D3177" s="10"/>
      <c r="E3177" s="10"/>
      <c r="F3177" s="10"/>
      <c r="G3177" s="10"/>
      <c r="H3177" s="10"/>
      <c r="I3177" s="25" t="n">
        <v>4</v>
      </c>
      <c r="J3177" s="25"/>
      <c r="K3177" s="26"/>
      <c r="L3177" s="26"/>
      <c r="M3177" s="25"/>
      <c r="N3177" s="25"/>
      <c r="O3177" s="25"/>
      <c r="P3177" s="26"/>
      <c r="Q3177" s="26"/>
      <c r="R3177" s="25"/>
      <c r="S3177" s="25"/>
      <c r="T3177" s="25"/>
      <c r="U3177" s="27"/>
      <c r="V3177" s="21"/>
      <c r="W3177" s="16"/>
      <c r="X3177" s="16"/>
      <c r="Y3177" s="16"/>
    </row>
    <row r="3178" customFormat="false" ht="15.75" hidden="false" customHeight="false" outlineLevel="0" collapsed="false">
      <c r="A3178" s="9"/>
      <c r="B3178" s="10"/>
      <c r="C3178" s="11"/>
      <c r="D3178" s="10"/>
      <c r="E3178" s="10"/>
      <c r="F3178" s="10"/>
      <c r="G3178" s="10"/>
      <c r="H3178" s="10"/>
      <c r="I3178" s="12" t="n">
        <v>1</v>
      </c>
      <c r="J3178" s="12"/>
      <c r="K3178" s="13"/>
      <c r="L3178" s="13"/>
      <c r="M3178" s="12"/>
      <c r="N3178" s="12"/>
      <c r="O3178" s="12"/>
      <c r="P3178" s="13"/>
      <c r="Q3178" s="13"/>
      <c r="R3178" s="12"/>
      <c r="S3178" s="12"/>
      <c r="T3178" s="12"/>
      <c r="U3178" s="14"/>
      <c r="V3178" s="15"/>
      <c r="W3178" s="16" t="n">
        <f aca="false">A3178</f>
        <v>0</v>
      </c>
      <c r="X3178" s="17" t="e">
        <f aca="false">ifs(C3178="","",X3178="",NOW(),TRUE(),X3178)</f>
        <v>#VALUE!</v>
      </c>
      <c r="Y3178" s="17" t="e">
        <f aca="false">ifs(COUNTA(K3178:U3181)&lt;44,"",Y3178="",NOW(),TRUE(),Y3178)</f>
        <v>#VALUE!</v>
      </c>
    </row>
    <row r="3179" customFormat="false" ht="15.75" hidden="false" customHeight="false" outlineLevel="0" collapsed="false">
      <c r="A3179" s="9"/>
      <c r="B3179" s="10"/>
      <c r="C3179" s="10"/>
      <c r="D3179" s="10"/>
      <c r="E3179" s="10"/>
      <c r="F3179" s="10"/>
      <c r="G3179" s="10"/>
      <c r="H3179" s="10"/>
      <c r="I3179" s="18" t="n">
        <v>2</v>
      </c>
      <c r="J3179" s="18"/>
      <c r="K3179" s="19"/>
      <c r="L3179" s="19"/>
      <c r="M3179" s="18"/>
      <c r="N3179" s="18"/>
      <c r="O3179" s="18"/>
      <c r="P3179" s="19"/>
      <c r="Q3179" s="19"/>
      <c r="R3179" s="18"/>
      <c r="S3179" s="18"/>
      <c r="T3179" s="18"/>
      <c r="U3179" s="20"/>
      <c r="V3179" s="21"/>
      <c r="W3179" s="16"/>
      <c r="X3179" s="16"/>
      <c r="Y3179" s="16"/>
    </row>
    <row r="3180" customFormat="false" ht="15.75" hidden="false" customHeight="false" outlineLevel="0" collapsed="false">
      <c r="A3180" s="9"/>
      <c r="B3180" s="10"/>
      <c r="C3180" s="10"/>
      <c r="D3180" s="10"/>
      <c r="E3180" s="10"/>
      <c r="F3180" s="10"/>
      <c r="G3180" s="10"/>
      <c r="H3180" s="10"/>
      <c r="I3180" s="22" t="n">
        <v>3</v>
      </c>
      <c r="J3180" s="22"/>
      <c r="K3180" s="23"/>
      <c r="L3180" s="23"/>
      <c r="M3180" s="22"/>
      <c r="N3180" s="22"/>
      <c r="O3180" s="22"/>
      <c r="P3180" s="23"/>
      <c r="Q3180" s="23"/>
      <c r="R3180" s="22"/>
      <c r="S3180" s="22"/>
      <c r="T3180" s="22"/>
      <c r="U3180" s="24"/>
      <c r="V3180" s="15"/>
      <c r="W3180" s="16"/>
      <c r="X3180" s="16"/>
      <c r="Y3180" s="16"/>
    </row>
    <row r="3181" customFormat="false" ht="15.75" hidden="false" customHeight="false" outlineLevel="0" collapsed="false">
      <c r="A3181" s="9"/>
      <c r="B3181" s="10"/>
      <c r="C3181" s="10"/>
      <c r="D3181" s="10"/>
      <c r="E3181" s="10"/>
      <c r="F3181" s="10"/>
      <c r="G3181" s="10"/>
      <c r="H3181" s="10"/>
      <c r="I3181" s="25" t="n">
        <v>4</v>
      </c>
      <c r="J3181" s="25"/>
      <c r="K3181" s="26"/>
      <c r="L3181" s="26"/>
      <c r="M3181" s="25"/>
      <c r="N3181" s="25"/>
      <c r="O3181" s="25"/>
      <c r="P3181" s="26"/>
      <c r="Q3181" s="26"/>
      <c r="R3181" s="25"/>
      <c r="S3181" s="25"/>
      <c r="T3181" s="25"/>
      <c r="U3181" s="27"/>
      <c r="V3181" s="21"/>
      <c r="W3181" s="16"/>
      <c r="X3181" s="16"/>
      <c r="Y3181" s="16"/>
    </row>
    <row r="3182" customFormat="false" ht="15.75" hidden="false" customHeight="false" outlineLevel="0" collapsed="false">
      <c r="A3182" s="9"/>
      <c r="B3182" s="10"/>
      <c r="C3182" s="11"/>
      <c r="D3182" s="10"/>
      <c r="E3182" s="10"/>
      <c r="F3182" s="10"/>
      <c r="G3182" s="10"/>
      <c r="H3182" s="10"/>
      <c r="I3182" s="12" t="n">
        <v>1</v>
      </c>
      <c r="J3182" s="12"/>
      <c r="K3182" s="13"/>
      <c r="L3182" s="13"/>
      <c r="M3182" s="12"/>
      <c r="N3182" s="12"/>
      <c r="O3182" s="12"/>
      <c r="P3182" s="13"/>
      <c r="Q3182" s="13"/>
      <c r="R3182" s="12"/>
      <c r="S3182" s="12"/>
      <c r="T3182" s="12"/>
      <c r="U3182" s="14"/>
      <c r="V3182" s="15"/>
      <c r="W3182" s="16" t="n">
        <f aca="false">A3182</f>
        <v>0</v>
      </c>
      <c r="X3182" s="17" t="e">
        <f aca="false">ifs(C3182="","",X3182="",NOW(),TRUE(),X3182)</f>
        <v>#VALUE!</v>
      </c>
      <c r="Y3182" s="17" t="e">
        <f aca="false">ifs(COUNTA(K3182:U3185)&lt;44,"",Y3182="",NOW(),TRUE(),Y3182)</f>
        <v>#VALUE!</v>
      </c>
    </row>
    <row r="3183" customFormat="false" ht="15.75" hidden="false" customHeight="false" outlineLevel="0" collapsed="false">
      <c r="A3183" s="9"/>
      <c r="B3183" s="10"/>
      <c r="C3183" s="10"/>
      <c r="D3183" s="10"/>
      <c r="E3183" s="10"/>
      <c r="F3183" s="10"/>
      <c r="G3183" s="10"/>
      <c r="H3183" s="10"/>
      <c r="I3183" s="18" t="n">
        <v>2</v>
      </c>
      <c r="J3183" s="18"/>
      <c r="K3183" s="19"/>
      <c r="L3183" s="19"/>
      <c r="M3183" s="18"/>
      <c r="N3183" s="18"/>
      <c r="O3183" s="18"/>
      <c r="P3183" s="19"/>
      <c r="Q3183" s="19"/>
      <c r="R3183" s="18"/>
      <c r="S3183" s="18"/>
      <c r="T3183" s="18"/>
      <c r="U3183" s="20"/>
      <c r="V3183" s="21"/>
      <c r="W3183" s="16"/>
      <c r="X3183" s="16"/>
      <c r="Y3183" s="16"/>
    </row>
    <row r="3184" customFormat="false" ht="15.75" hidden="false" customHeight="false" outlineLevel="0" collapsed="false">
      <c r="A3184" s="9"/>
      <c r="B3184" s="10"/>
      <c r="C3184" s="10"/>
      <c r="D3184" s="10"/>
      <c r="E3184" s="10"/>
      <c r="F3184" s="10"/>
      <c r="G3184" s="10"/>
      <c r="H3184" s="10"/>
      <c r="I3184" s="22" t="n">
        <v>3</v>
      </c>
      <c r="J3184" s="22"/>
      <c r="K3184" s="23"/>
      <c r="L3184" s="23"/>
      <c r="M3184" s="22"/>
      <c r="N3184" s="22"/>
      <c r="O3184" s="22"/>
      <c r="P3184" s="23"/>
      <c r="Q3184" s="23"/>
      <c r="R3184" s="22"/>
      <c r="S3184" s="22"/>
      <c r="T3184" s="22"/>
      <c r="U3184" s="24"/>
      <c r="V3184" s="15"/>
      <c r="W3184" s="16"/>
      <c r="X3184" s="16"/>
      <c r="Y3184" s="16"/>
    </row>
    <row r="3185" customFormat="false" ht="15.75" hidden="false" customHeight="false" outlineLevel="0" collapsed="false">
      <c r="A3185" s="9"/>
      <c r="B3185" s="10"/>
      <c r="C3185" s="10"/>
      <c r="D3185" s="10"/>
      <c r="E3185" s="10"/>
      <c r="F3185" s="10"/>
      <c r="G3185" s="10"/>
      <c r="H3185" s="10"/>
      <c r="I3185" s="25" t="n">
        <v>4</v>
      </c>
      <c r="J3185" s="25"/>
      <c r="K3185" s="26"/>
      <c r="L3185" s="26"/>
      <c r="M3185" s="25"/>
      <c r="N3185" s="25"/>
      <c r="O3185" s="25"/>
      <c r="P3185" s="26"/>
      <c r="Q3185" s="26"/>
      <c r="R3185" s="25"/>
      <c r="S3185" s="25"/>
      <c r="T3185" s="25"/>
      <c r="U3185" s="27"/>
      <c r="V3185" s="21"/>
      <c r="W3185" s="16"/>
      <c r="X3185" s="16"/>
      <c r="Y3185" s="16"/>
    </row>
    <row r="3186" customFormat="false" ht="15.75" hidden="false" customHeight="false" outlineLevel="0" collapsed="false">
      <c r="A3186" s="9"/>
      <c r="B3186" s="10"/>
      <c r="C3186" s="11"/>
      <c r="D3186" s="10"/>
      <c r="E3186" s="10"/>
      <c r="F3186" s="10"/>
      <c r="G3186" s="10"/>
      <c r="H3186" s="10"/>
      <c r="I3186" s="12" t="n">
        <v>1</v>
      </c>
      <c r="J3186" s="12"/>
      <c r="K3186" s="13"/>
      <c r="L3186" s="13"/>
      <c r="M3186" s="12"/>
      <c r="N3186" s="12"/>
      <c r="O3186" s="12"/>
      <c r="P3186" s="13"/>
      <c r="Q3186" s="13"/>
      <c r="R3186" s="12"/>
      <c r="S3186" s="12"/>
      <c r="T3186" s="12"/>
      <c r="U3186" s="14"/>
      <c r="V3186" s="15"/>
      <c r="W3186" s="16" t="n">
        <f aca="false">A3186</f>
        <v>0</v>
      </c>
      <c r="X3186" s="17" t="e">
        <f aca="false">ifs(C3186="","",X3186="",NOW(),TRUE(),X3186)</f>
        <v>#VALUE!</v>
      </c>
      <c r="Y3186" s="17" t="e">
        <f aca="false">ifs(COUNTA(K3186:U3189)&lt;44,"",Y3186="",NOW(),TRUE(),Y3186)</f>
        <v>#VALUE!</v>
      </c>
    </row>
    <row r="3187" customFormat="false" ht="15.75" hidden="false" customHeight="false" outlineLevel="0" collapsed="false">
      <c r="A3187" s="9"/>
      <c r="B3187" s="10"/>
      <c r="C3187" s="10"/>
      <c r="D3187" s="10"/>
      <c r="E3187" s="10"/>
      <c r="F3187" s="10"/>
      <c r="G3187" s="10"/>
      <c r="H3187" s="10"/>
      <c r="I3187" s="18" t="n">
        <v>2</v>
      </c>
      <c r="J3187" s="18"/>
      <c r="K3187" s="19"/>
      <c r="L3187" s="19"/>
      <c r="M3187" s="18"/>
      <c r="N3187" s="18"/>
      <c r="O3187" s="18"/>
      <c r="P3187" s="19"/>
      <c r="Q3187" s="19"/>
      <c r="R3187" s="18"/>
      <c r="S3187" s="18"/>
      <c r="T3187" s="18"/>
      <c r="U3187" s="20"/>
      <c r="V3187" s="21"/>
      <c r="W3187" s="16"/>
      <c r="X3187" s="16"/>
      <c r="Y3187" s="16"/>
    </row>
    <row r="3188" customFormat="false" ht="15.75" hidden="false" customHeight="false" outlineLevel="0" collapsed="false">
      <c r="A3188" s="9"/>
      <c r="B3188" s="10"/>
      <c r="C3188" s="10"/>
      <c r="D3188" s="10"/>
      <c r="E3188" s="10"/>
      <c r="F3188" s="10"/>
      <c r="G3188" s="10"/>
      <c r="H3188" s="10"/>
      <c r="I3188" s="22" t="n">
        <v>3</v>
      </c>
      <c r="J3188" s="22"/>
      <c r="K3188" s="23"/>
      <c r="L3188" s="23"/>
      <c r="M3188" s="22"/>
      <c r="N3188" s="22"/>
      <c r="O3188" s="22"/>
      <c r="P3188" s="23"/>
      <c r="Q3188" s="23"/>
      <c r="R3188" s="22"/>
      <c r="S3188" s="22"/>
      <c r="T3188" s="22"/>
      <c r="U3188" s="24"/>
      <c r="V3188" s="15"/>
      <c r="W3188" s="16"/>
      <c r="X3188" s="16"/>
      <c r="Y3188" s="16"/>
    </row>
    <row r="3189" customFormat="false" ht="15.75" hidden="false" customHeight="false" outlineLevel="0" collapsed="false">
      <c r="A3189" s="9"/>
      <c r="B3189" s="10"/>
      <c r="C3189" s="10"/>
      <c r="D3189" s="10"/>
      <c r="E3189" s="10"/>
      <c r="F3189" s="10"/>
      <c r="G3189" s="10"/>
      <c r="H3189" s="10"/>
      <c r="I3189" s="25" t="n">
        <v>4</v>
      </c>
      <c r="J3189" s="25"/>
      <c r="K3189" s="26"/>
      <c r="L3189" s="26"/>
      <c r="M3189" s="25"/>
      <c r="N3189" s="25"/>
      <c r="O3189" s="25"/>
      <c r="P3189" s="26"/>
      <c r="Q3189" s="26"/>
      <c r="R3189" s="25"/>
      <c r="S3189" s="25"/>
      <c r="T3189" s="25"/>
      <c r="U3189" s="27"/>
      <c r="V3189" s="21"/>
      <c r="W3189" s="16"/>
      <c r="X3189" s="16"/>
      <c r="Y3189" s="16"/>
    </row>
    <row r="3190" customFormat="false" ht="15.75" hidden="false" customHeight="false" outlineLevel="0" collapsed="false">
      <c r="A3190" s="9"/>
      <c r="B3190" s="10"/>
      <c r="C3190" s="11"/>
      <c r="D3190" s="10"/>
      <c r="E3190" s="10"/>
      <c r="F3190" s="10"/>
      <c r="G3190" s="10"/>
      <c r="H3190" s="10"/>
      <c r="I3190" s="12" t="n">
        <v>1</v>
      </c>
      <c r="J3190" s="12"/>
      <c r="K3190" s="13"/>
      <c r="L3190" s="13"/>
      <c r="M3190" s="12"/>
      <c r="N3190" s="12"/>
      <c r="O3190" s="12"/>
      <c r="P3190" s="13"/>
      <c r="Q3190" s="13"/>
      <c r="R3190" s="12"/>
      <c r="S3190" s="12"/>
      <c r="T3190" s="12"/>
      <c r="U3190" s="14"/>
      <c r="V3190" s="15"/>
      <c r="W3190" s="16" t="n">
        <f aca="false">A3190</f>
        <v>0</v>
      </c>
      <c r="X3190" s="17" t="e">
        <f aca="false">ifs(C3190="","",X3190="",NOW(),TRUE(),X3190)</f>
        <v>#VALUE!</v>
      </c>
      <c r="Y3190" s="17" t="e">
        <f aca="false">ifs(COUNTA(K3190:U3193)&lt;44,"",Y3190="",NOW(),TRUE(),Y3190)</f>
        <v>#VALUE!</v>
      </c>
    </row>
    <row r="3191" customFormat="false" ht="15.75" hidden="false" customHeight="false" outlineLevel="0" collapsed="false">
      <c r="A3191" s="9"/>
      <c r="B3191" s="10"/>
      <c r="C3191" s="10"/>
      <c r="D3191" s="10"/>
      <c r="E3191" s="10"/>
      <c r="F3191" s="10"/>
      <c r="G3191" s="10"/>
      <c r="H3191" s="10"/>
      <c r="I3191" s="18" t="n">
        <v>2</v>
      </c>
      <c r="J3191" s="18"/>
      <c r="K3191" s="19"/>
      <c r="L3191" s="19"/>
      <c r="M3191" s="18"/>
      <c r="N3191" s="18"/>
      <c r="O3191" s="18"/>
      <c r="P3191" s="19"/>
      <c r="Q3191" s="19"/>
      <c r="R3191" s="18"/>
      <c r="S3191" s="18"/>
      <c r="T3191" s="18"/>
      <c r="U3191" s="20"/>
      <c r="V3191" s="21"/>
      <c r="W3191" s="16"/>
      <c r="X3191" s="16"/>
      <c r="Y3191" s="16"/>
    </row>
    <row r="3192" customFormat="false" ht="15.75" hidden="false" customHeight="false" outlineLevel="0" collapsed="false">
      <c r="A3192" s="9"/>
      <c r="B3192" s="10"/>
      <c r="C3192" s="10"/>
      <c r="D3192" s="10"/>
      <c r="E3192" s="10"/>
      <c r="F3192" s="10"/>
      <c r="G3192" s="10"/>
      <c r="H3192" s="10"/>
      <c r="I3192" s="22" t="n">
        <v>3</v>
      </c>
      <c r="J3192" s="22"/>
      <c r="K3192" s="23"/>
      <c r="L3192" s="23"/>
      <c r="M3192" s="22"/>
      <c r="N3192" s="22"/>
      <c r="O3192" s="22"/>
      <c r="P3192" s="23"/>
      <c r="Q3192" s="23"/>
      <c r="R3192" s="22"/>
      <c r="S3192" s="22"/>
      <c r="T3192" s="22"/>
      <c r="U3192" s="24"/>
      <c r="V3192" s="15"/>
      <c r="W3192" s="16"/>
      <c r="X3192" s="16"/>
      <c r="Y3192" s="16"/>
    </row>
    <row r="3193" customFormat="false" ht="15.75" hidden="false" customHeight="false" outlineLevel="0" collapsed="false">
      <c r="A3193" s="9"/>
      <c r="B3193" s="10"/>
      <c r="C3193" s="10"/>
      <c r="D3193" s="10"/>
      <c r="E3193" s="10"/>
      <c r="F3193" s="10"/>
      <c r="G3193" s="10"/>
      <c r="H3193" s="10"/>
      <c r="I3193" s="25" t="n">
        <v>4</v>
      </c>
      <c r="J3193" s="25"/>
      <c r="K3193" s="26"/>
      <c r="L3193" s="26"/>
      <c r="M3193" s="25"/>
      <c r="N3193" s="25"/>
      <c r="O3193" s="25"/>
      <c r="P3193" s="26"/>
      <c r="Q3193" s="26"/>
      <c r="R3193" s="25"/>
      <c r="S3193" s="25"/>
      <c r="T3193" s="25"/>
      <c r="U3193" s="27"/>
      <c r="V3193" s="21"/>
      <c r="W3193" s="16"/>
      <c r="X3193" s="16"/>
      <c r="Y3193" s="16"/>
    </row>
    <row r="3194" customFormat="false" ht="15.75" hidden="false" customHeight="false" outlineLevel="0" collapsed="false">
      <c r="A3194" s="9"/>
      <c r="B3194" s="10"/>
      <c r="C3194" s="11"/>
      <c r="D3194" s="10"/>
      <c r="E3194" s="10"/>
      <c r="F3194" s="10"/>
      <c r="G3194" s="10"/>
      <c r="H3194" s="10"/>
      <c r="I3194" s="12" t="n">
        <v>1</v>
      </c>
      <c r="J3194" s="12"/>
      <c r="K3194" s="13"/>
      <c r="L3194" s="13"/>
      <c r="M3194" s="12"/>
      <c r="N3194" s="12"/>
      <c r="O3194" s="12"/>
      <c r="P3194" s="13"/>
      <c r="Q3194" s="13"/>
      <c r="R3194" s="12"/>
      <c r="S3194" s="12"/>
      <c r="T3194" s="12"/>
      <c r="U3194" s="14"/>
      <c r="V3194" s="15"/>
      <c r="W3194" s="16" t="n">
        <f aca="false">A3194</f>
        <v>0</v>
      </c>
      <c r="X3194" s="17" t="e">
        <f aca="false">ifs(C3194="","",X3194="",NOW(),TRUE(),X3194)</f>
        <v>#VALUE!</v>
      </c>
      <c r="Y3194" s="17" t="e">
        <f aca="false">ifs(COUNTA(K3194:U3197)&lt;44,"",Y3194="",NOW(),TRUE(),Y3194)</f>
        <v>#VALUE!</v>
      </c>
    </row>
    <row r="3195" customFormat="false" ht="15.75" hidden="false" customHeight="false" outlineLevel="0" collapsed="false">
      <c r="A3195" s="9"/>
      <c r="B3195" s="10"/>
      <c r="C3195" s="10"/>
      <c r="D3195" s="10"/>
      <c r="E3195" s="10"/>
      <c r="F3195" s="10"/>
      <c r="G3195" s="10"/>
      <c r="H3195" s="10"/>
      <c r="I3195" s="18" t="n">
        <v>2</v>
      </c>
      <c r="J3195" s="18"/>
      <c r="K3195" s="19"/>
      <c r="L3195" s="19"/>
      <c r="M3195" s="18"/>
      <c r="N3195" s="18"/>
      <c r="O3195" s="18"/>
      <c r="P3195" s="19"/>
      <c r="Q3195" s="19"/>
      <c r="R3195" s="18"/>
      <c r="S3195" s="18"/>
      <c r="T3195" s="18"/>
      <c r="U3195" s="20"/>
      <c r="V3195" s="21"/>
      <c r="W3195" s="16"/>
      <c r="X3195" s="16"/>
      <c r="Y3195" s="16"/>
    </row>
    <row r="3196" customFormat="false" ht="15.75" hidden="false" customHeight="false" outlineLevel="0" collapsed="false">
      <c r="A3196" s="9"/>
      <c r="B3196" s="10"/>
      <c r="C3196" s="10"/>
      <c r="D3196" s="10"/>
      <c r="E3196" s="10"/>
      <c r="F3196" s="10"/>
      <c r="G3196" s="10"/>
      <c r="H3196" s="10"/>
      <c r="I3196" s="22" t="n">
        <v>3</v>
      </c>
      <c r="J3196" s="22"/>
      <c r="K3196" s="23"/>
      <c r="L3196" s="23"/>
      <c r="M3196" s="22"/>
      <c r="N3196" s="22"/>
      <c r="O3196" s="22"/>
      <c r="P3196" s="23"/>
      <c r="Q3196" s="23"/>
      <c r="R3196" s="22"/>
      <c r="S3196" s="22"/>
      <c r="T3196" s="22"/>
      <c r="U3196" s="24"/>
      <c r="V3196" s="15"/>
      <c r="W3196" s="16"/>
      <c r="X3196" s="16"/>
      <c r="Y3196" s="16"/>
    </row>
    <row r="3197" customFormat="false" ht="15.75" hidden="false" customHeight="false" outlineLevel="0" collapsed="false">
      <c r="A3197" s="9"/>
      <c r="B3197" s="10"/>
      <c r="C3197" s="10"/>
      <c r="D3197" s="10"/>
      <c r="E3197" s="10"/>
      <c r="F3197" s="10"/>
      <c r="G3197" s="10"/>
      <c r="H3197" s="10"/>
      <c r="I3197" s="25" t="n">
        <v>4</v>
      </c>
      <c r="J3197" s="25"/>
      <c r="K3197" s="26"/>
      <c r="L3197" s="26"/>
      <c r="M3197" s="25"/>
      <c r="N3197" s="25"/>
      <c r="O3197" s="25"/>
      <c r="P3197" s="26"/>
      <c r="Q3197" s="26"/>
      <c r="R3197" s="25"/>
      <c r="S3197" s="25"/>
      <c r="T3197" s="25"/>
      <c r="U3197" s="27"/>
      <c r="V3197" s="21"/>
      <c r="W3197" s="16"/>
      <c r="X3197" s="16"/>
      <c r="Y3197" s="16"/>
    </row>
    <row r="3198" customFormat="false" ht="15.75" hidden="false" customHeight="false" outlineLevel="0" collapsed="false">
      <c r="A3198" s="9"/>
      <c r="B3198" s="10"/>
      <c r="C3198" s="11"/>
      <c r="D3198" s="10"/>
      <c r="E3198" s="10"/>
      <c r="F3198" s="10"/>
      <c r="G3198" s="10"/>
      <c r="H3198" s="10"/>
      <c r="I3198" s="12" t="n">
        <v>1</v>
      </c>
      <c r="J3198" s="12"/>
      <c r="K3198" s="13"/>
      <c r="L3198" s="13"/>
      <c r="M3198" s="12"/>
      <c r="N3198" s="12"/>
      <c r="O3198" s="12"/>
      <c r="P3198" s="13"/>
      <c r="Q3198" s="13"/>
      <c r="R3198" s="12"/>
      <c r="S3198" s="12"/>
      <c r="T3198" s="12"/>
      <c r="U3198" s="14"/>
      <c r="V3198" s="15"/>
      <c r="W3198" s="16" t="n">
        <f aca="false">A3198</f>
        <v>0</v>
      </c>
      <c r="X3198" s="17" t="e">
        <f aca="false">ifs(C3198="","",X3198="",NOW(),TRUE(),X3198)</f>
        <v>#VALUE!</v>
      </c>
      <c r="Y3198" s="17" t="e">
        <f aca="false">ifs(COUNTA(K3198:U3201)&lt;44,"",Y3198="",NOW(),TRUE(),Y3198)</f>
        <v>#VALUE!</v>
      </c>
    </row>
    <row r="3199" customFormat="false" ht="15.75" hidden="false" customHeight="false" outlineLevel="0" collapsed="false">
      <c r="A3199" s="9"/>
      <c r="B3199" s="10"/>
      <c r="C3199" s="10"/>
      <c r="D3199" s="10"/>
      <c r="E3199" s="10"/>
      <c r="F3199" s="10"/>
      <c r="G3199" s="10"/>
      <c r="H3199" s="10"/>
      <c r="I3199" s="18" t="n">
        <v>2</v>
      </c>
      <c r="J3199" s="18"/>
      <c r="K3199" s="19"/>
      <c r="L3199" s="19"/>
      <c r="M3199" s="18"/>
      <c r="N3199" s="18"/>
      <c r="O3199" s="18"/>
      <c r="P3199" s="19"/>
      <c r="Q3199" s="19"/>
      <c r="R3199" s="18"/>
      <c r="S3199" s="18"/>
      <c r="T3199" s="18"/>
      <c r="U3199" s="20"/>
      <c r="V3199" s="21"/>
      <c r="W3199" s="16"/>
      <c r="X3199" s="16"/>
      <c r="Y3199" s="16"/>
    </row>
    <row r="3200" customFormat="false" ht="15.75" hidden="false" customHeight="false" outlineLevel="0" collapsed="false">
      <c r="A3200" s="9"/>
      <c r="B3200" s="10"/>
      <c r="C3200" s="10"/>
      <c r="D3200" s="10"/>
      <c r="E3200" s="10"/>
      <c r="F3200" s="10"/>
      <c r="G3200" s="10"/>
      <c r="H3200" s="10"/>
      <c r="I3200" s="22" t="n">
        <v>3</v>
      </c>
      <c r="J3200" s="22"/>
      <c r="K3200" s="23"/>
      <c r="L3200" s="23"/>
      <c r="M3200" s="22"/>
      <c r="N3200" s="22"/>
      <c r="O3200" s="22"/>
      <c r="P3200" s="23"/>
      <c r="Q3200" s="23"/>
      <c r="R3200" s="22"/>
      <c r="S3200" s="22"/>
      <c r="T3200" s="22"/>
      <c r="U3200" s="24"/>
      <c r="V3200" s="15"/>
      <c r="W3200" s="16"/>
      <c r="X3200" s="16"/>
      <c r="Y3200" s="16"/>
    </row>
    <row r="3201" customFormat="false" ht="15.75" hidden="false" customHeight="false" outlineLevel="0" collapsed="false">
      <c r="A3201" s="9"/>
      <c r="B3201" s="10"/>
      <c r="C3201" s="10"/>
      <c r="D3201" s="10"/>
      <c r="E3201" s="10"/>
      <c r="F3201" s="10"/>
      <c r="G3201" s="10"/>
      <c r="H3201" s="10"/>
      <c r="I3201" s="25" t="n">
        <v>4</v>
      </c>
      <c r="J3201" s="25"/>
      <c r="K3201" s="26"/>
      <c r="L3201" s="26"/>
      <c r="M3201" s="25"/>
      <c r="N3201" s="25"/>
      <c r="O3201" s="25"/>
      <c r="P3201" s="26"/>
      <c r="Q3201" s="26"/>
      <c r="R3201" s="25"/>
      <c r="S3201" s="25"/>
      <c r="T3201" s="25"/>
      <c r="U3201" s="27"/>
      <c r="V3201" s="21"/>
      <c r="W3201" s="16"/>
      <c r="X3201" s="16"/>
      <c r="Y3201" s="16"/>
    </row>
    <row r="3202" customFormat="false" ht="15.75" hidden="false" customHeight="false" outlineLevel="0" collapsed="false">
      <c r="A3202" s="9"/>
      <c r="B3202" s="10"/>
      <c r="C3202" s="11"/>
      <c r="D3202" s="10"/>
      <c r="E3202" s="10"/>
      <c r="F3202" s="10"/>
      <c r="G3202" s="10"/>
      <c r="H3202" s="10"/>
      <c r="I3202" s="12" t="n">
        <v>1</v>
      </c>
      <c r="J3202" s="12"/>
      <c r="K3202" s="13"/>
      <c r="L3202" s="13"/>
      <c r="M3202" s="12"/>
      <c r="N3202" s="12"/>
      <c r="O3202" s="12"/>
      <c r="P3202" s="13"/>
      <c r="Q3202" s="13"/>
      <c r="R3202" s="12"/>
      <c r="S3202" s="12"/>
      <c r="T3202" s="12"/>
      <c r="U3202" s="14"/>
      <c r="V3202" s="15"/>
      <c r="W3202" s="16" t="n">
        <f aca="false">A3202</f>
        <v>0</v>
      </c>
      <c r="X3202" s="17" t="e">
        <f aca="false">ifs(C3202="","",X3202="",NOW(),TRUE(),X3202)</f>
        <v>#VALUE!</v>
      </c>
      <c r="Y3202" s="17" t="e">
        <f aca="false">ifs(COUNTA(K3202:U3205)&lt;44,"",Y3202="",NOW(),TRUE(),Y3202)</f>
        <v>#VALUE!</v>
      </c>
    </row>
    <row r="3203" customFormat="false" ht="15.75" hidden="false" customHeight="false" outlineLevel="0" collapsed="false">
      <c r="A3203" s="9"/>
      <c r="B3203" s="10"/>
      <c r="C3203" s="10"/>
      <c r="D3203" s="10"/>
      <c r="E3203" s="10"/>
      <c r="F3203" s="10"/>
      <c r="G3203" s="10"/>
      <c r="H3203" s="10"/>
      <c r="I3203" s="18" t="n">
        <v>2</v>
      </c>
      <c r="J3203" s="18"/>
      <c r="K3203" s="19"/>
      <c r="L3203" s="19"/>
      <c r="M3203" s="18"/>
      <c r="N3203" s="18"/>
      <c r="O3203" s="18"/>
      <c r="P3203" s="19"/>
      <c r="Q3203" s="19"/>
      <c r="R3203" s="18"/>
      <c r="S3203" s="18"/>
      <c r="T3203" s="18"/>
      <c r="U3203" s="20"/>
      <c r="V3203" s="21"/>
      <c r="W3203" s="16"/>
      <c r="X3203" s="16"/>
      <c r="Y3203" s="16"/>
    </row>
    <row r="3204" customFormat="false" ht="15.75" hidden="false" customHeight="false" outlineLevel="0" collapsed="false">
      <c r="A3204" s="9"/>
      <c r="B3204" s="10"/>
      <c r="C3204" s="10"/>
      <c r="D3204" s="10"/>
      <c r="E3204" s="10"/>
      <c r="F3204" s="10"/>
      <c r="G3204" s="10"/>
      <c r="H3204" s="10"/>
      <c r="I3204" s="22" t="n">
        <v>3</v>
      </c>
      <c r="J3204" s="22"/>
      <c r="K3204" s="23"/>
      <c r="L3204" s="23"/>
      <c r="M3204" s="22"/>
      <c r="N3204" s="22"/>
      <c r="O3204" s="22"/>
      <c r="P3204" s="23"/>
      <c r="Q3204" s="23"/>
      <c r="R3204" s="22"/>
      <c r="S3204" s="22"/>
      <c r="T3204" s="22"/>
      <c r="U3204" s="24"/>
      <c r="V3204" s="15"/>
      <c r="W3204" s="16"/>
      <c r="X3204" s="16"/>
      <c r="Y3204" s="16"/>
    </row>
    <row r="3205" customFormat="false" ht="15.75" hidden="false" customHeight="false" outlineLevel="0" collapsed="false">
      <c r="A3205" s="9"/>
      <c r="B3205" s="10"/>
      <c r="C3205" s="10"/>
      <c r="D3205" s="10"/>
      <c r="E3205" s="10"/>
      <c r="F3205" s="10"/>
      <c r="G3205" s="10"/>
      <c r="H3205" s="10"/>
      <c r="I3205" s="25" t="n">
        <v>4</v>
      </c>
      <c r="J3205" s="25"/>
      <c r="K3205" s="26"/>
      <c r="L3205" s="26"/>
      <c r="M3205" s="25"/>
      <c r="N3205" s="25"/>
      <c r="O3205" s="25"/>
      <c r="P3205" s="26"/>
      <c r="Q3205" s="26"/>
      <c r="R3205" s="25"/>
      <c r="S3205" s="25"/>
      <c r="T3205" s="25"/>
      <c r="U3205" s="27"/>
      <c r="V3205" s="21"/>
      <c r="W3205" s="16"/>
      <c r="X3205" s="16"/>
      <c r="Y3205" s="16"/>
    </row>
    <row r="3206" customFormat="false" ht="15.75" hidden="false" customHeight="false" outlineLevel="0" collapsed="false">
      <c r="A3206" s="9"/>
      <c r="B3206" s="10"/>
      <c r="C3206" s="11"/>
      <c r="D3206" s="10"/>
      <c r="E3206" s="10"/>
      <c r="F3206" s="10"/>
      <c r="G3206" s="10"/>
      <c r="H3206" s="10"/>
      <c r="I3206" s="12" t="n">
        <v>1</v>
      </c>
      <c r="J3206" s="12"/>
      <c r="K3206" s="13"/>
      <c r="L3206" s="13"/>
      <c r="M3206" s="12"/>
      <c r="N3206" s="12"/>
      <c r="O3206" s="12"/>
      <c r="P3206" s="13"/>
      <c r="Q3206" s="13"/>
      <c r="R3206" s="12"/>
      <c r="S3206" s="12"/>
      <c r="T3206" s="12"/>
      <c r="U3206" s="14"/>
      <c r="V3206" s="15"/>
      <c r="W3206" s="16" t="n">
        <f aca="false">A3206</f>
        <v>0</v>
      </c>
      <c r="X3206" s="17" t="e">
        <f aca="false">ifs(C3206="","",X3206="",NOW(),TRUE(),X3206)</f>
        <v>#VALUE!</v>
      </c>
      <c r="Y3206" s="17" t="e">
        <f aca="false">ifs(COUNTA(K3206:U3209)&lt;44,"",Y3206="",NOW(),TRUE(),Y3206)</f>
        <v>#VALUE!</v>
      </c>
    </row>
    <row r="3207" customFormat="false" ht="15.75" hidden="false" customHeight="false" outlineLevel="0" collapsed="false">
      <c r="A3207" s="9"/>
      <c r="B3207" s="10"/>
      <c r="C3207" s="10"/>
      <c r="D3207" s="10"/>
      <c r="E3207" s="10"/>
      <c r="F3207" s="10"/>
      <c r="G3207" s="10"/>
      <c r="H3207" s="10"/>
      <c r="I3207" s="18" t="n">
        <v>2</v>
      </c>
      <c r="J3207" s="18"/>
      <c r="K3207" s="19"/>
      <c r="L3207" s="19"/>
      <c r="M3207" s="18"/>
      <c r="N3207" s="18"/>
      <c r="O3207" s="18"/>
      <c r="P3207" s="19"/>
      <c r="Q3207" s="19"/>
      <c r="R3207" s="18"/>
      <c r="S3207" s="18"/>
      <c r="T3207" s="18"/>
      <c r="U3207" s="20"/>
      <c r="V3207" s="21"/>
      <c r="W3207" s="16"/>
      <c r="X3207" s="16"/>
      <c r="Y3207" s="16"/>
    </row>
    <row r="3208" customFormat="false" ht="15.75" hidden="false" customHeight="false" outlineLevel="0" collapsed="false">
      <c r="A3208" s="9"/>
      <c r="B3208" s="10"/>
      <c r="C3208" s="10"/>
      <c r="D3208" s="10"/>
      <c r="E3208" s="10"/>
      <c r="F3208" s="10"/>
      <c r="G3208" s="10"/>
      <c r="H3208" s="10"/>
      <c r="I3208" s="22" t="n">
        <v>3</v>
      </c>
      <c r="J3208" s="22"/>
      <c r="K3208" s="23"/>
      <c r="L3208" s="23"/>
      <c r="M3208" s="22"/>
      <c r="N3208" s="22"/>
      <c r="O3208" s="22"/>
      <c r="P3208" s="23"/>
      <c r="Q3208" s="23"/>
      <c r="R3208" s="22"/>
      <c r="S3208" s="22"/>
      <c r="T3208" s="22"/>
      <c r="U3208" s="24"/>
      <c r="V3208" s="15"/>
      <c r="W3208" s="16"/>
      <c r="X3208" s="16"/>
      <c r="Y3208" s="16"/>
    </row>
    <row r="3209" customFormat="false" ht="15.75" hidden="false" customHeight="false" outlineLevel="0" collapsed="false">
      <c r="A3209" s="9"/>
      <c r="B3209" s="10"/>
      <c r="C3209" s="10"/>
      <c r="D3209" s="10"/>
      <c r="E3209" s="10"/>
      <c r="F3209" s="10"/>
      <c r="G3209" s="10"/>
      <c r="H3209" s="10"/>
      <c r="I3209" s="25" t="n">
        <v>4</v>
      </c>
      <c r="J3209" s="25"/>
      <c r="K3209" s="26"/>
      <c r="L3209" s="26"/>
      <c r="M3209" s="25"/>
      <c r="N3209" s="25"/>
      <c r="O3209" s="25"/>
      <c r="P3209" s="26"/>
      <c r="Q3209" s="26"/>
      <c r="R3209" s="25"/>
      <c r="S3209" s="25"/>
      <c r="T3209" s="25"/>
      <c r="U3209" s="27"/>
      <c r="V3209" s="21"/>
      <c r="W3209" s="16"/>
      <c r="X3209" s="16"/>
      <c r="Y3209" s="16"/>
    </row>
    <row r="3210" customFormat="false" ht="15.75" hidden="false" customHeight="false" outlineLevel="0" collapsed="false">
      <c r="A3210" s="9"/>
      <c r="B3210" s="10"/>
      <c r="C3210" s="11"/>
      <c r="D3210" s="10"/>
      <c r="E3210" s="10"/>
      <c r="F3210" s="10"/>
      <c r="G3210" s="10"/>
      <c r="H3210" s="10"/>
      <c r="I3210" s="12" t="n">
        <v>1</v>
      </c>
      <c r="J3210" s="12"/>
      <c r="K3210" s="13"/>
      <c r="L3210" s="13"/>
      <c r="M3210" s="12"/>
      <c r="N3210" s="12"/>
      <c r="O3210" s="12"/>
      <c r="P3210" s="13"/>
      <c r="Q3210" s="13"/>
      <c r="R3210" s="12"/>
      <c r="S3210" s="12"/>
      <c r="T3210" s="12"/>
      <c r="U3210" s="14"/>
      <c r="V3210" s="15"/>
      <c r="W3210" s="16" t="n">
        <f aca="false">A3210</f>
        <v>0</v>
      </c>
      <c r="X3210" s="17" t="e">
        <f aca="false">ifs(C3210="","",X3210="",NOW(),TRUE(),X3210)</f>
        <v>#VALUE!</v>
      </c>
      <c r="Y3210" s="17" t="e">
        <f aca="false">ifs(COUNTA(K3210:U3213)&lt;44,"",Y3210="",NOW(),TRUE(),Y3210)</f>
        <v>#VALUE!</v>
      </c>
    </row>
    <row r="3211" customFormat="false" ht="15.75" hidden="false" customHeight="false" outlineLevel="0" collapsed="false">
      <c r="A3211" s="9"/>
      <c r="B3211" s="10"/>
      <c r="C3211" s="10"/>
      <c r="D3211" s="10"/>
      <c r="E3211" s="10"/>
      <c r="F3211" s="10"/>
      <c r="G3211" s="10"/>
      <c r="H3211" s="10"/>
      <c r="I3211" s="18" t="n">
        <v>2</v>
      </c>
      <c r="J3211" s="18"/>
      <c r="K3211" s="19"/>
      <c r="L3211" s="19"/>
      <c r="M3211" s="18"/>
      <c r="N3211" s="18"/>
      <c r="O3211" s="18"/>
      <c r="P3211" s="19"/>
      <c r="Q3211" s="19"/>
      <c r="R3211" s="18"/>
      <c r="S3211" s="18"/>
      <c r="T3211" s="18"/>
      <c r="U3211" s="20"/>
      <c r="V3211" s="21"/>
      <c r="W3211" s="16"/>
      <c r="X3211" s="16"/>
      <c r="Y3211" s="16"/>
    </row>
    <row r="3212" customFormat="false" ht="15.75" hidden="false" customHeight="false" outlineLevel="0" collapsed="false">
      <c r="A3212" s="9"/>
      <c r="B3212" s="10"/>
      <c r="C3212" s="10"/>
      <c r="D3212" s="10"/>
      <c r="E3212" s="10"/>
      <c r="F3212" s="10"/>
      <c r="G3212" s="10"/>
      <c r="H3212" s="10"/>
      <c r="I3212" s="22" t="n">
        <v>3</v>
      </c>
      <c r="J3212" s="22"/>
      <c r="K3212" s="23"/>
      <c r="L3212" s="23"/>
      <c r="M3212" s="22"/>
      <c r="N3212" s="22"/>
      <c r="O3212" s="22"/>
      <c r="P3212" s="23"/>
      <c r="Q3212" s="23"/>
      <c r="R3212" s="22"/>
      <c r="S3212" s="22"/>
      <c r="T3212" s="22"/>
      <c r="U3212" s="24"/>
      <c r="V3212" s="15"/>
      <c r="W3212" s="16"/>
      <c r="X3212" s="16"/>
      <c r="Y3212" s="16"/>
    </row>
    <row r="3213" customFormat="false" ht="15.75" hidden="false" customHeight="false" outlineLevel="0" collapsed="false">
      <c r="A3213" s="9"/>
      <c r="B3213" s="10"/>
      <c r="C3213" s="10"/>
      <c r="D3213" s="10"/>
      <c r="E3213" s="10"/>
      <c r="F3213" s="10"/>
      <c r="G3213" s="10"/>
      <c r="H3213" s="10"/>
      <c r="I3213" s="25" t="n">
        <v>4</v>
      </c>
      <c r="J3213" s="25"/>
      <c r="K3213" s="26"/>
      <c r="L3213" s="26"/>
      <c r="M3213" s="25"/>
      <c r="N3213" s="25"/>
      <c r="O3213" s="25"/>
      <c r="P3213" s="26"/>
      <c r="Q3213" s="26"/>
      <c r="R3213" s="25"/>
      <c r="S3213" s="25"/>
      <c r="T3213" s="25"/>
      <c r="U3213" s="27"/>
      <c r="V3213" s="21"/>
      <c r="W3213" s="16"/>
      <c r="X3213" s="16"/>
      <c r="Y3213" s="16"/>
    </row>
    <row r="3214" customFormat="false" ht="15.75" hidden="false" customHeight="false" outlineLevel="0" collapsed="false">
      <c r="A3214" s="9"/>
      <c r="B3214" s="10"/>
      <c r="C3214" s="11"/>
      <c r="D3214" s="10"/>
      <c r="E3214" s="10"/>
      <c r="F3214" s="10"/>
      <c r="G3214" s="10"/>
      <c r="H3214" s="10"/>
      <c r="I3214" s="12" t="n">
        <v>1</v>
      </c>
      <c r="J3214" s="12"/>
      <c r="K3214" s="13"/>
      <c r="L3214" s="13"/>
      <c r="M3214" s="12"/>
      <c r="N3214" s="12"/>
      <c r="O3214" s="12"/>
      <c r="P3214" s="13"/>
      <c r="Q3214" s="13"/>
      <c r="R3214" s="12"/>
      <c r="S3214" s="12"/>
      <c r="T3214" s="12"/>
      <c r="U3214" s="14"/>
      <c r="V3214" s="15"/>
      <c r="W3214" s="16" t="n">
        <f aca="false">A3214</f>
        <v>0</v>
      </c>
      <c r="X3214" s="17" t="e">
        <f aca="false">ifs(C3214="","",X3214="",NOW(),TRUE(),X3214)</f>
        <v>#VALUE!</v>
      </c>
      <c r="Y3214" s="17" t="e">
        <f aca="false">ifs(COUNTA(K3214:U3217)&lt;44,"",Y3214="",NOW(),TRUE(),Y3214)</f>
        <v>#VALUE!</v>
      </c>
    </row>
    <row r="3215" customFormat="false" ht="15.75" hidden="false" customHeight="false" outlineLevel="0" collapsed="false">
      <c r="A3215" s="9"/>
      <c r="B3215" s="10"/>
      <c r="C3215" s="10"/>
      <c r="D3215" s="10"/>
      <c r="E3215" s="10"/>
      <c r="F3215" s="10"/>
      <c r="G3215" s="10"/>
      <c r="H3215" s="10"/>
      <c r="I3215" s="18" t="n">
        <v>2</v>
      </c>
      <c r="J3215" s="18"/>
      <c r="K3215" s="19"/>
      <c r="L3215" s="19"/>
      <c r="M3215" s="18"/>
      <c r="N3215" s="18"/>
      <c r="O3215" s="18"/>
      <c r="P3215" s="19"/>
      <c r="Q3215" s="19"/>
      <c r="R3215" s="18"/>
      <c r="S3215" s="18"/>
      <c r="T3215" s="18"/>
      <c r="U3215" s="20"/>
      <c r="V3215" s="21"/>
      <c r="W3215" s="16"/>
      <c r="X3215" s="16"/>
      <c r="Y3215" s="16"/>
    </row>
    <row r="3216" customFormat="false" ht="15.75" hidden="false" customHeight="false" outlineLevel="0" collapsed="false">
      <c r="A3216" s="9"/>
      <c r="B3216" s="10"/>
      <c r="C3216" s="10"/>
      <c r="D3216" s="10"/>
      <c r="E3216" s="10"/>
      <c r="F3216" s="10"/>
      <c r="G3216" s="10"/>
      <c r="H3216" s="10"/>
      <c r="I3216" s="22" t="n">
        <v>3</v>
      </c>
      <c r="J3216" s="22"/>
      <c r="K3216" s="23"/>
      <c r="L3216" s="23"/>
      <c r="M3216" s="22"/>
      <c r="N3216" s="22"/>
      <c r="O3216" s="22"/>
      <c r="P3216" s="23"/>
      <c r="Q3216" s="23"/>
      <c r="R3216" s="22"/>
      <c r="S3216" s="22"/>
      <c r="T3216" s="22"/>
      <c r="U3216" s="24"/>
      <c r="V3216" s="15"/>
      <c r="W3216" s="16"/>
      <c r="X3216" s="16"/>
      <c r="Y3216" s="16"/>
    </row>
    <row r="3217" customFormat="false" ht="15.75" hidden="false" customHeight="false" outlineLevel="0" collapsed="false">
      <c r="A3217" s="9"/>
      <c r="B3217" s="10"/>
      <c r="C3217" s="10"/>
      <c r="D3217" s="10"/>
      <c r="E3217" s="10"/>
      <c r="F3217" s="10"/>
      <c r="G3217" s="10"/>
      <c r="H3217" s="10"/>
      <c r="I3217" s="25" t="n">
        <v>4</v>
      </c>
      <c r="J3217" s="25"/>
      <c r="K3217" s="26"/>
      <c r="L3217" s="26"/>
      <c r="M3217" s="25"/>
      <c r="N3217" s="25"/>
      <c r="O3217" s="25"/>
      <c r="P3217" s="26"/>
      <c r="Q3217" s="26"/>
      <c r="R3217" s="25"/>
      <c r="S3217" s="25"/>
      <c r="T3217" s="25"/>
      <c r="U3217" s="27"/>
      <c r="V3217" s="21"/>
      <c r="W3217" s="16"/>
      <c r="X3217" s="16"/>
      <c r="Y3217" s="16"/>
    </row>
    <row r="3218" customFormat="false" ht="15.75" hidden="false" customHeight="false" outlineLevel="0" collapsed="false">
      <c r="A3218" s="9"/>
      <c r="B3218" s="10"/>
      <c r="C3218" s="11"/>
      <c r="D3218" s="10"/>
      <c r="E3218" s="10"/>
      <c r="F3218" s="10"/>
      <c r="G3218" s="10"/>
      <c r="H3218" s="10"/>
      <c r="I3218" s="12" t="n">
        <v>1</v>
      </c>
      <c r="J3218" s="12"/>
      <c r="K3218" s="13"/>
      <c r="L3218" s="13"/>
      <c r="M3218" s="12"/>
      <c r="N3218" s="12"/>
      <c r="O3218" s="12"/>
      <c r="P3218" s="13"/>
      <c r="Q3218" s="13"/>
      <c r="R3218" s="12"/>
      <c r="S3218" s="12"/>
      <c r="T3218" s="12"/>
      <c r="U3218" s="14"/>
      <c r="V3218" s="15"/>
      <c r="W3218" s="16" t="n">
        <f aca="false">A3218</f>
        <v>0</v>
      </c>
      <c r="X3218" s="17" t="e">
        <f aca="false">ifs(C3218="","",X3218="",NOW(),TRUE(),X3218)</f>
        <v>#VALUE!</v>
      </c>
      <c r="Y3218" s="17" t="e">
        <f aca="false">ifs(COUNTA(K3218:U3221)&lt;44,"",Y3218="",NOW(),TRUE(),Y3218)</f>
        <v>#VALUE!</v>
      </c>
    </row>
    <row r="3219" customFormat="false" ht="15.75" hidden="false" customHeight="false" outlineLevel="0" collapsed="false">
      <c r="A3219" s="9"/>
      <c r="B3219" s="10"/>
      <c r="C3219" s="10"/>
      <c r="D3219" s="10"/>
      <c r="E3219" s="10"/>
      <c r="F3219" s="10"/>
      <c r="G3219" s="10"/>
      <c r="H3219" s="10"/>
      <c r="I3219" s="18" t="n">
        <v>2</v>
      </c>
      <c r="J3219" s="18"/>
      <c r="K3219" s="19"/>
      <c r="L3219" s="19"/>
      <c r="M3219" s="18"/>
      <c r="N3219" s="18"/>
      <c r="O3219" s="18"/>
      <c r="P3219" s="19"/>
      <c r="Q3219" s="19"/>
      <c r="R3219" s="18"/>
      <c r="S3219" s="18"/>
      <c r="T3219" s="18"/>
      <c r="U3219" s="20"/>
      <c r="V3219" s="21"/>
      <c r="W3219" s="16"/>
      <c r="X3219" s="16"/>
      <c r="Y3219" s="16"/>
    </row>
    <row r="3220" customFormat="false" ht="15.75" hidden="false" customHeight="false" outlineLevel="0" collapsed="false">
      <c r="A3220" s="9"/>
      <c r="B3220" s="10"/>
      <c r="C3220" s="10"/>
      <c r="D3220" s="10"/>
      <c r="E3220" s="10"/>
      <c r="F3220" s="10"/>
      <c r="G3220" s="10"/>
      <c r="H3220" s="10"/>
      <c r="I3220" s="22" t="n">
        <v>3</v>
      </c>
      <c r="J3220" s="22"/>
      <c r="K3220" s="23"/>
      <c r="L3220" s="23"/>
      <c r="M3220" s="22"/>
      <c r="N3220" s="22"/>
      <c r="O3220" s="22"/>
      <c r="P3220" s="23"/>
      <c r="Q3220" s="23"/>
      <c r="R3220" s="22"/>
      <c r="S3220" s="22"/>
      <c r="T3220" s="22"/>
      <c r="U3220" s="24"/>
      <c r="V3220" s="15"/>
      <c r="W3220" s="16"/>
      <c r="X3220" s="16"/>
      <c r="Y3220" s="16"/>
    </row>
    <row r="3221" customFormat="false" ht="15.75" hidden="false" customHeight="false" outlineLevel="0" collapsed="false">
      <c r="A3221" s="9"/>
      <c r="B3221" s="10"/>
      <c r="C3221" s="10"/>
      <c r="D3221" s="10"/>
      <c r="E3221" s="10"/>
      <c r="F3221" s="10"/>
      <c r="G3221" s="10"/>
      <c r="H3221" s="10"/>
      <c r="I3221" s="25" t="n">
        <v>4</v>
      </c>
      <c r="J3221" s="25"/>
      <c r="K3221" s="26"/>
      <c r="L3221" s="26"/>
      <c r="M3221" s="25"/>
      <c r="N3221" s="25"/>
      <c r="O3221" s="25"/>
      <c r="P3221" s="26"/>
      <c r="Q3221" s="26"/>
      <c r="R3221" s="25"/>
      <c r="S3221" s="25"/>
      <c r="T3221" s="25"/>
      <c r="U3221" s="27"/>
      <c r="V3221" s="21"/>
      <c r="W3221" s="16"/>
      <c r="X3221" s="16"/>
      <c r="Y3221" s="16"/>
    </row>
    <row r="3222" customFormat="false" ht="15.75" hidden="false" customHeight="false" outlineLevel="0" collapsed="false">
      <c r="A3222" s="9"/>
      <c r="B3222" s="10"/>
      <c r="C3222" s="11"/>
      <c r="D3222" s="10"/>
      <c r="E3222" s="10"/>
      <c r="F3222" s="10"/>
      <c r="G3222" s="10"/>
      <c r="H3222" s="10"/>
      <c r="I3222" s="12" t="n">
        <v>1</v>
      </c>
      <c r="J3222" s="12"/>
      <c r="K3222" s="13"/>
      <c r="L3222" s="13"/>
      <c r="M3222" s="12"/>
      <c r="N3222" s="12"/>
      <c r="O3222" s="12"/>
      <c r="P3222" s="13"/>
      <c r="Q3222" s="13"/>
      <c r="R3222" s="12"/>
      <c r="S3222" s="12"/>
      <c r="T3222" s="12"/>
      <c r="U3222" s="14"/>
      <c r="V3222" s="15"/>
      <c r="W3222" s="16" t="n">
        <f aca="false">A3222</f>
        <v>0</v>
      </c>
      <c r="X3222" s="17" t="e">
        <f aca="false">ifs(C3222="","",X3222="",NOW(),TRUE(),X3222)</f>
        <v>#VALUE!</v>
      </c>
      <c r="Y3222" s="17" t="e">
        <f aca="false">ifs(COUNTA(K3222:U3225)&lt;44,"",Y3222="",NOW(),TRUE(),Y3222)</f>
        <v>#VALUE!</v>
      </c>
    </row>
    <row r="3223" customFormat="false" ht="15.75" hidden="false" customHeight="false" outlineLevel="0" collapsed="false">
      <c r="A3223" s="9"/>
      <c r="B3223" s="10"/>
      <c r="C3223" s="10"/>
      <c r="D3223" s="10"/>
      <c r="E3223" s="10"/>
      <c r="F3223" s="10"/>
      <c r="G3223" s="10"/>
      <c r="H3223" s="10"/>
      <c r="I3223" s="18" t="n">
        <v>2</v>
      </c>
      <c r="J3223" s="18"/>
      <c r="K3223" s="19"/>
      <c r="L3223" s="19"/>
      <c r="M3223" s="18"/>
      <c r="N3223" s="18"/>
      <c r="O3223" s="18"/>
      <c r="P3223" s="19"/>
      <c r="Q3223" s="19"/>
      <c r="R3223" s="18"/>
      <c r="S3223" s="18"/>
      <c r="T3223" s="18"/>
      <c r="U3223" s="20"/>
      <c r="V3223" s="21"/>
      <c r="W3223" s="16"/>
      <c r="X3223" s="16"/>
      <c r="Y3223" s="16"/>
    </row>
    <row r="3224" customFormat="false" ht="15.75" hidden="false" customHeight="false" outlineLevel="0" collapsed="false">
      <c r="A3224" s="9"/>
      <c r="B3224" s="10"/>
      <c r="C3224" s="10"/>
      <c r="D3224" s="10"/>
      <c r="E3224" s="10"/>
      <c r="F3224" s="10"/>
      <c r="G3224" s="10"/>
      <c r="H3224" s="10"/>
      <c r="I3224" s="22" t="n">
        <v>3</v>
      </c>
      <c r="J3224" s="22"/>
      <c r="K3224" s="23"/>
      <c r="L3224" s="23"/>
      <c r="M3224" s="22"/>
      <c r="N3224" s="22"/>
      <c r="O3224" s="22"/>
      <c r="P3224" s="23"/>
      <c r="Q3224" s="23"/>
      <c r="R3224" s="22"/>
      <c r="S3224" s="22"/>
      <c r="T3224" s="22"/>
      <c r="U3224" s="24"/>
      <c r="V3224" s="15"/>
      <c r="W3224" s="16"/>
      <c r="X3224" s="16"/>
      <c r="Y3224" s="16"/>
    </row>
    <row r="3225" customFormat="false" ht="15.75" hidden="false" customHeight="false" outlineLevel="0" collapsed="false">
      <c r="A3225" s="9"/>
      <c r="B3225" s="10"/>
      <c r="C3225" s="10"/>
      <c r="D3225" s="10"/>
      <c r="E3225" s="10"/>
      <c r="F3225" s="10"/>
      <c r="G3225" s="10"/>
      <c r="H3225" s="10"/>
      <c r="I3225" s="25" t="n">
        <v>4</v>
      </c>
      <c r="J3225" s="25"/>
      <c r="K3225" s="26"/>
      <c r="L3225" s="26"/>
      <c r="M3225" s="25"/>
      <c r="N3225" s="25"/>
      <c r="O3225" s="25"/>
      <c r="P3225" s="26"/>
      <c r="Q3225" s="26"/>
      <c r="R3225" s="25"/>
      <c r="S3225" s="25"/>
      <c r="T3225" s="25"/>
      <c r="U3225" s="27"/>
      <c r="V3225" s="21"/>
      <c r="W3225" s="16"/>
      <c r="X3225" s="16"/>
      <c r="Y3225" s="16"/>
    </row>
    <row r="3226" customFormat="false" ht="15.75" hidden="false" customHeight="false" outlineLevel="0" collapsed="false">
      <c r="A3226" s="9"/>
      <c r="B3226" s="10"/>
      <c r="C3226" s="11"/>
      <c r="D3226" s="10"/>
      <c r="E3226" s="10"/>
      <c r="F3226" s="10"/>
      <c r="G3226" s="10"/>
      <c r="H3226" s="10"/>
      <c r="I3226" s="12" t="n">
        <v>1</v>
      </c>
      <c r="J3226" s="12"/>
      <c r="K3226" s="13"/>
      <c r="L3226" s="13"/>
      <c r="M3226" s="12"/>
      <c r="N3226" s="12"/>
      <c r="O3226" s="12"/>
      <c r="P3226" s="13"/>
      <c r="Q3226" s="13"/>
      <c r="R3226" s="12"/>
      <c r="S3226" s="12"/>
      <c r="T3226" s="12"/>
      <c r="U3226" s="14"/>
      <c r="V3226" s="15"/>
      <c r="W3226" s="16" t="n">
        <f aca="false">A3226</f>
        <v>0</v>
      </c>
      <c r="X3226" s="17" t="e">
        <f aca="false">ifs(C3226="","",X3226="",NOW(),TRUE(),X3226)</f>
        <v>#VALUE!</v>
      </c>
      <c r="Y3226" s="17" t="e">
        <f aca="false">ifs(COUNTA(K3226:U3229)&lt;44,"",Y3226="",NOW(),TRUE(),Y3226)</f>
        <v>#VALUE!</v>
      </c>
    </row>
    <row r="3227" customFormat="false" ht="15.75" hidden="false" customHeight="false" outlineLevel="0" collapsed="false">
      <c r="A3227" s="9"/>
      <c r="B3227" s="10"/>
      <c r="C3227" s="10"/>
      <c r="D3227" s="10"/>
      <c r="E3227" s="10"/>
      <c r="F3227" s="10"/>
      <c r="G3227" s="10"/>
      <c r="H3227" s="10"/>
      <c r="I3227" s="18" t="n">
        <v>2</v>
      </c>
      <c r="J3227" s="18"/>
      <c r="K3227" s="19"/>
      <c r="L3227" s="19"/>
      <c r="M3227" s="18"/>
      <c r="N3227" s="18"/>
      <c r="O3227" s="18"/>
      <c r="P3227" s="19"/>
      <c r="Q3227" s="19"/>
      <c r="R3227" s="18"/>
      <c r="S3227" s="18"/>
      <c r="T3227" s="18"/>
      <c r="U3227" s="20"/>
      <c r="V3227" s="21"/>
      <c r="W3227" s="16"/>
      <c r="X3227" s="16"/>
      <c r="Y3227" s="16"/>
    </row>
    <row r="3228" customFormat="false" ht="15.75" hidden="false" customHeight="false" outlineLevel="0" collapsed="false">
      <c r="A3228" s="9"/>
      <c r="B3228" s="10"/>
      <c r="C3228" s="10"/>
      <c r="D3228" s="10"/>
      <c r="E3228" s="10"/>
      <c r="F3228" s="10"/>
      <c r="G3228" s="10"/>
      <c r="H3228" s="10"/>
      <c r="I3228" s="22" t="n">
        <v>3</v>
      </c>
      <c r="J3228" s="22"/>
      <c r="K3228" s="23"/>
      <c r="L3228" s="23"/>
      <c r="M3228" s="22"/>
      <c r="N3228" s="22"/>
      <c r="O3228" s="22"/>
      <c r="P3228" s="23"/>
      <c r="Q3228" s="23"/>
      <c r="R3228" s="22"/>
      <c r="S3228" s="22"/>
      <c r="T3228" s="22"/>
      <c r="U3228" s="24"/>
      <c r="V3228" s="15"/>
      <c r="W3228" s="16"/>
      <c r="X3228" s="16"/>
      <c r="Y3228" s="16"/>
    </row>
    <row r="3229" customFormat="false" ht="15.75" hidden="false" customHeight="false" outlineLevel="0" collapsed="false">
      <c r="A3229" s="9"/>
      <c r="B3229" s="10"/>
      <c r="C3229" s="10"/>
      <c r="D3229" s="10"/>
      <c r="E3229" s="10"/>
      <c r="F3229" s="10"/>
      <c r="G3229" s="10"/>
      <c r="H3229" s="10"/>
      <c r="I3229" s="25" t="n">
        <v>4</v>
      </c>
      <c r="J3229" s="25"/>
      <c r="K3229" s="26"/>
      <c r="L3229" s="26"/>
      <c r="M3229" s="25"/>
      <c r="N3229" s="25"/>
      <c r="O3229" s="25"/>
      <c r="P3229" s="26"/>
      <c r="Q3229" s="26"/>
      <c r="R3229" s="25"/>
      <c r="S3229" s="25"/>
      <c r="T3229" s="25"/>
      <c r="U3229" s="27"/>
      <c r="V3229" s="21"/>
      <c r="W3229" s="16"/>
      <c r="X3229" s="16"/>
      <c r="Y3229" s="16"/>
    </row>
    <row r="3230" customFormat="false" ht="15.75" hidden="false" customHeight="false" outlineLevel="0" collapsed="false">
      <c r="A3230" s="9"/>
      <c r="B3230" s="10"/>
      <c r="C3230" s="11"/>
      <c r="D3230" s="10"/>
      <c r="E3230" s="10"/>
      <c r="F3230" s="10"/>
      <c r="G3230" s="10"/>
      <c r="H3230" s="10"/>
      <c r="I3230" s="12" t="n">
        <v>1</v>
      </c>
      <c r="J3230" s="12"/>
      <c r="K3230" s="13"/>
      <c r="L3230" s="13"/>
      <c r="M3230" s="12"/>
      <c r="N3230" s="12"/>
      <c r="O3230" s="12"/>
      <c r="P3230" s="13"/>
      <c r="Q3230" s="13"/>
      <c r="R3230" s="12"/>
      <c r="S3230" s="12"/>
      <c r="T3230" s="12"/>
      <c r="U3230" s="14"/>
      <c r="V3230" s="15"/>
      <c r="W3230" s="16" t="n">
        <f aca="false">A3230</f>
        <v>0</v>
      </c>
      <c r="X3230" s="17" t="e">
        <f aca="false">ifs(C3230="","",X3230="",NOW(),TRUE(),X3230)</f>
        <v>#VALUE!</v>
      </c>
      <c r="Y3230" s="17" t="e">
        <f aca="false">ifs(COUNTA(K3230:U3233)&lt;44,"",Y3230="",NOW(),TRUE(),Y3230)</f>
        <v>#VALUE!</v>
      </c>
    </row>
    <row r="3231" customFormat="false" ht="15.75" hidden="false" customHeight="false" outlineLevel="0" collapsed="false">
      <c r="A3231" s="9"/>
      <c r="B3231" s="10"/>
      <c r="C3231" s="10"/>
      <c r="D3231" s="10"/>
      <c r="E3231" s="10"/>
      <c r="F3231" s="10"/>
      <c r="G3231" s="10"/>
      <c r="H3231" s="10"/>
      <c r="I3231" s="18" t="n">
        <v>2</v>
      </c>
      <c r="J3231" s="18"/>
      <c r="K3231" s="19"/>
      <c r="L3231" s="19"/>
      <c r="M3231" s="18"/>
      <c r="N3231" s="18"/>
      <c r="O3231" s="18"/>
      <c r="P3231" s="19"/>
      <c r="Q3231" s="19"/>
      <c r="R3231" s="18"/>
      <c r="S3231" s="18"/>
      <c r="T3231" s="18"/>
      <c r="U3231" s="20"/>
      <c r="V3231" s="21"/>
      <c r="W3231" s="16"/>
      <c r="X3231" s="16"/>
      <c r="Y3231" s="16"/>
    </row>
    <row r="3232" customFormat="false" ht="15.75" hidden="false" customHeight="false" outlineLevel="0" collapsed="false">
      <c r="A3232" s="9"/>
      <c r="B3232" s="10"/>
      <c r="C3232" s="10"/>
      <c r="D3232" s="10"/>
      <c r="E3232" s="10"/>
      <c r="F3232" s="10"/>
      <c r="G3232" s="10"/>
      <c r="H3232" s="10"/>
      <c r="I3232" s="22" t="n">
        <v>3</v>
      </c>
      <c r="J3232" s="22"/>
      <c r="K3232" s="23"/>
      <c r="L3232" s="23"/>
      <c r="M3232" s="22"/>
      <c r="N3232" s="22"/>
      <c r="O3232" s="22"/>
      <c r="P3232" s="23"/>
      <c r="Q3232" s="23"/>
      <c r="R3232" s="22"/>
      <c r="S3232" s="22"/>
      <c r="T3232" s="22"/>
      <c r="U3232" s="24"/>
      <c r="V3232" s="15"/>
      <c r="W3232" s="16"/>
      <c r="X3232" s="16"/>
      <c r="Y3232" s="16"/>
    </row>
    <row r="3233" customFormat="false" ht="15.75" hidden="false" customHeight="false" outlineLevel="0" collapsed="false">
      <c r="A3233" s="9"/>
      <c r="B3233" s="10"/>
      <c r="C3233" s="10"/>
      <c r="D3233" s="10"/>
      <c r="E3233" s="10"/>
      <c r="F3233" s="10"/>
      <c r="G3233" s="10"/>
      <c r="H3233" s="10"/>
      <c r="I3233" s="25" t="n">
        <v>4</v>
      </c>
      <c r="J3233" s="25"/>
      <c r="K3233" s="26"/>
      <c r="L3233" s="26"/>
      <c r="M3233" s="25"/>
      <c r="N3233" s="25"/>
      <c r="O3233" s="25"/>
      <c r="P3233" s="26"/>
      <c r="Q3233" s="26"/>
      <c r="R3233" s="25"/>
      <c r="S3233" s="25"/>
      <c r="T3233" s="25"/>
      <c r="U3233" s="27"/>
      <c r="V3233" s="21"/>
      <c r="W3233" s="16"/>
      <c r="X3233" s="16"/>
      <c r="Y3233" s="16"/>
    </row>
    <row r="3234" customFormat="false" ht="15.75" hidden="false" customHeight="false" outlineLevel="0" collapsed="false">
      <c r="A3234" s="9"/>
      <c r="B3234" s="10"/>
      <c r="C3234" s="11"/>
      <c r="D3234" s="10"/>
      <c r="E3234" s="10"/>
      <c r="F3234" s="10"/>
      <c r="G3234" s="10"/>
      <c r="H3234" s="10"/>
      <c r="I3234" s="12" t="n">
        <v>1</v>
      </c>
      <c r="J3234" s="12"/>
      <c r="K3234" s="13"/>
      <c r="L3234" s="13"/>
      <c r="M3234" s="12"/>
      <c r="N3234" s="12"/>
      <c r="O3234" s="12"/>
      <c r="P3234" s="13"/>
      <c r="Q3234" s="13"/>
      <c r="R3234" s="12"/>
      <c r="S3234" s="12"/>
      <c r="T3234" s="12"/>
      <c r="U3234" s="14"/>
      <c r="V3234" s="15"/>
      <c r="W3234" s="16" t="n">
        <f aca="false">A3234</f>
        <v>0</v>
      </c>
      <c r="X3234" s="17" t="e">
        <f aca="false">ifs(C3234="","",X3234="",NOW(),TRUE(),X3234)</f>
        <v>#VALUE!</v>
      </c>
      <c r="Y3234" s="17" t="e">
        <f aca="false">ifs(COUNTA(K3234:U3237)&lt;44,"",Y3234="",NOW(),TRUE(),Y3234)</f>
        <v>#VALUE!</v>
      </c>
    </row>
    <row r="3235" customFormat="false" ht="15.75" hidden="false" customHeight="false" outlineLevel="0" collapsed="false">
      <c r="A3235" s="9"/>
      <c r="B3235" s="10"/>
      <c r="C3235" s="10"/>
      <c r="D3235" s="10"/>
      <c r="E3235" s="10"/>
      <c r="F3235" s="10"/>
      <c r="G3235" s="10"/>
      <c r="H3235" s="10"/>
      <c r="I3235" s="18" t="n">
        <v>2</v>
      </c>
      <c r="J3235" s="18"/>
      <c r="K3235" s="19"/>
      <c r="L3235" s="19"/>
      <c r="M3235" s="18"/>
      <c r="N3235" s="18"/>
      <c r="O3235" s="18"/>
      <c r="P3235" s="19"/>
      <c r="Q3235" s="19"/>
      <c r="R3235" s="18"/>
      <c r="S3235" s="18"/>
      <c r="T3235" s="18"/>
      <c r="U3235" s="20"/>
      <c r="V3235" s="21"/>
      <c r="W3235" s="16"/>
      <c r="X3235" s="16"/>
      <c r="Y3235" s="16"/>
    </row>
    <row r="3236" customFormat="false" ht="15.75" hidden="false" customHeight="false" outlineLevel="0" collapsed="false">
      <c r="A3236" s="9"/>
      <c r="B3236" s="10"/>
      <c r="C3236" s="10"/>
      <c r="D3236" s="10"/>
      <c r="E3236" s="10"/>
      <c r="F3236" s="10"/>
      <c r="G3236" s="10"/>
      <c r="H3236" s="10"/>
      <c r="I3236" s="22" t="n">
        <v>3</v>
      </c>
      <c r="J3236" s="22"/>
      <c r="K3236" s="23"/>
      <c r="L3236" s="23"/>
      <c r="M3236" s="22"/>
      <c r="N3236" s="22"/>
      <c r="O3236" s="22"/>
      <c r="P3236" s="23"/>
      <c r="Q3236" s="23"/>
      <c r="R3236" s="22"/>
      <c r="S3236" s="22"/>
      <c r="T3236" s="22"/>
      <c r="U3236" s="24"/>
      <c r="V3236" s="15"/>
      <c r="W3236" s="16"/>
      <c r="X3236" s="16"/>
      <c r="Y3236" s="16"/>
    </row>
    <row r="3237" customFormat="false" ht="15.75" hidden="false" customHeight="false" outlineLevel="0" collapsed="false">
      <c r="A3237" s="9"/>
      <c r="B3237" s="10"/>
      <c r="C3237" s="10"/>
      <c r="D3237" s="10"/>
      <c r="E3237" s="10"/>
      <c r="F3237" s="10"/>
      <c r="G3237" s="10"/>
      <c r="H3237" s="10"/>
      <c r="I3237" s="25" t="n">
        <v>4</v>
      </c>
      <c r="J3237" s="25"/>
      <c r="K3237" s="26"/>
      <c r="L3237" s="26"/>
      <c r="M3237" s="25"/>
      <c r="N3237" s="25"/>
      <c r="O3237" s="25"/>
      <c r="P3237" s="26"/>
      <c r="Q3237" s="26"/>
      <c r="R3237" s="25"/>
      <c r="S3237" s="25"/>
      <c r="T3237" s="25"/>
      <c r="U3237" s="27"/>
      <c r="V3237" s="21"/>
      <c r="W3237" s="16"/>
      <c r="X3237" s="16"/>
      <c r="Y3237" s="16"/>
    </row>
    <row r="3238" customFormat="false" ht="15.75" hidden="false" customHeight="false" outlineLevel="0" collapsed="false">
      <c r="A3238" s="9"/>
      <c r="B3238" s="10"/>
      <c r="C3238" s="11"/>
      <c r="D3238" s="10"/>
      <c r="E3238" s="10"/>
      <c r="F3238" s="10"/>
      <c r="G3238" s="10"/>
      <c r="H3238" s="10"/>
      <c r="I3238" s="12" t="n">
        <v>1</v>
      </c>
      <c r="J3238" s="12"/>
      <c r="K3238" s="13"/>
      <c r="L3238" s="13"/>
      <c r="M3238" s="12"/>
      <c r="N3238" s="12"/>
      <c r="O3238" s="12"/>
      <c r="P3238" s="13"/>
      <c r="Q3238" s="13"/>
      <c r="R3238" s="12"/>
      <c r="S3238" s="12"/>
      <c r="T3238" s="12"/>
      <c r="U3238" s="14"/>
      <c r="V3238" s="15"/>
      <c r="W3238" s="16" t="n">
        <f aca="false">A3238</f>
        <v>0</v>
      </c>
      <c r="X3238" s="17" t="e">
        <f aca="false">ifs(C3238="","",X3238="",NOW(),TRUE(),X3238)</f>
        <v>#VALUE!</v>
      </c>
      <c r="Y3238" s="17" t="e">
        <f aca="false">ifs(COUNTA(K3238:U3241)&lt;44,"",Y3238="",NOW(),TRUE(),Y3238)</f>
        <v>#VALUE!</v>
      </c>
    </row>
    <row r="3239" customFormat="false" ht="15.75" hidden="false" customHeight="false" outlineLevel="0" collapsed="false">
      <c r="A3239" s="9"/>
      <c r="B3239" s="10"/>
      <c r="C3239" s="10"/>
      <c r="D3239" s="10"/>
      <c r="E3239" s="10"/>
      <c r="F3239" s="10"/>
      <c r="G3239" s="10"/>
      <c r="H3239" s="10"/>
      <c r="I3239" s="18" t="n">
        <v>2</v>
      </c>
      <c r="J3239" s="18"/>
      <c r="K3239" s="19"/>
      <c r="L3239" s="19"/>
      <c r="M3239" s="18"/>
      <c r="N3239" s="18"/>
      <c r="O3239" s="18"/>
      <c r="P3239" s="19"/>
      <c r="Q3239" s="19"/>
      <c r="R3239" s="18"/>
      <c r="S3239" s="18"/>
      <c r="T3239" s="18"/>
      <c r="U3239" s="20"/>
      <c r="V3239" s="21"/>
      <c r="W3239" s="16"/>
      <c r="X3239" s="16"/>
      <c r="Y3239" s="16"/>
    </row>
    <row r="3240" customFormat="false" ht="15.75" hidden="false" customHeight="false" outlineLevel="0" collapsed="false">
      <c r="A3240" s="9"/>
      <c r="B3240" s="10"/>
      <c r="C3240" s="10"/>
      <c r="D3240" s="10"/>
      <c r="E3240" s="10"/>
      <c r="F3240" s="10"/>
      <c r="G3240" s="10"/>
      <c r="H3240" s="10"/>
      <c r="I3240" s="22" t="n">
        <v>3</v>
      </c>
      <c r="J3240" s="22"/>
      <c r="K3240" s="23"/>
      <c r="L3240" s="23"/>
      <c r="M3240" s="22"/>
      <c r="N3240" s="22"/>
      <c r="O3240" s="22"/>
      <c r="P3240" s="23"/>
      <c r="Q3240" s="23"/>
      <c r="R3240" s="22"/>
      <c r="S3240" s="22"/>
      <c r="T3240" s="22"/>
      <c r="U3240" s="24"/>
      <c r="V3240" s="15"/>
      <c r="W3240" s="16"/>
      <c r="X3240" s="16"/>
      <c r="Y3240" s="16"/>
    </row>
    <row r="3241" customFormat="false" ht="15.75" hidden="false" customHeight="false" outlineLevel="0" collapsed="false">
      <c r="A3241" s="9"/>
      <c r="B3241" s="10"/>
      <c r="C3241" s="10"/>
      <c r="D3241" s="10"/>
      <c r="E3241" s="10"/>
      <c r="F3241" s="10"/>
      <c r="G3241" s="10"/>
      <c r="H3241" s="10"/>
      <c r="I3241" s="25" t="n">
        <v>4</v>
      </c>
      <c r="J3241" s="25"/>
      <c r="K3241" s="26"/>
      <c r="L3241" s="26"/>
      <c r="M3241" s="25"/>
      <c r="N3241" s="25"/>
      <c r="O3241" s="25"/>
      <c r="P3241" s="26"/>
      <c r="Q3241" s="26"/>
      <c r="R3241" s="25"/>
      <c r="S3241" s="25"/>
      <c r="T3241" s="25"/>
      <c r="U3241" s="27"/>
      <c r="V3241" s="21"/>
      <c r="W3241" s="16"/>
      <c r="X3241" s="16"/>
      <c r="Y3241" s="16"/>
    </row>
    <row r="3242" customFormat="false" ht="15.75" hidden="false" customHeight="false" outlineLevel="0" collapsed="false">
      <c r="A3242" s="9"/>
      <c r="B3242" s="10"/>
      <c r="C3242" s="11"/>
      <c r="D3242" s="10"/>
      <c r="E3242" s="10"/>
      <c r="F3242" s="10"/>
      <c r="G3242" s="10"/>
      <c r="H3242" s="10"/>
      <c r="I3242" s="12" t="n">
        <v>1</v>
      </c>
      <c r="J3242" s="12"/>
      <c r="K3242" s="13"/>
      <c r="L3242" s="13"/>
      <c r="M3242" s="12"/>
      <c r="N3242" s="12"/>
      <c r="O3242" s="12"/>
      <c r="P3242" s="13"/>
      <c r="Q3242" s="13"/>
      <c r="R3242" s="12"/>
      <c r="S3242" s="12"/>
      <c r="T3242" s="12"/>
      <c r="U3242" s="14"/>
      <c r="V3242" s="15"/>
      <c r="W3242" s="16" t="n">
        <f aca="false">A3242</f>
        <v>0</v>
      </c>
      <c r="X3242" s="17" t="e">
        <f aca="false">ifs(C3242="","",X3242="",NOW(),TRUE(),X3242)</f>
        <v>#VALUE!</v>
      </c>
      <c r="Y3242" s="17" t="e">
        <f aca="false">ifs(COUNTA(K3242:U3245)&lt;44,"",Y3242="",NOW(),TRUE(),Y3242)</f>
        <v>#VALUE!</v>
      </c>
    </row>
    <row r="3243" customFormat="false" ht="15.75" hidden="false" customHeight="false" outlineLevel="0" collapsed="false">
      <c r="A3243" s="9"/>
      <c r="B3243" s="10"/>
      <c r="C3243" s="10"/>
      <c r="D3243" s="10"/>
      <c r="E3243" s="10"/>
      <c r="F3243" s="10"/>
      <c r="G3243" s="10"/>
      <c r="H3243" s="10"/>
      <c r="I3243" s="18" t="n">
        <v>2</v>
      </c>
      <c r="J3243" s="18"/>
      <c r="K3243" s="19"/>
      <c r="L3243" s="19"/>
      <c r="M3243" s="18"/>
      <c r="N3243" s="18"/>
      <c r="O3243" s="18"/>
      <c r="P3243" s="19"/>
      <c r="Q3243" s="19"/>
      <c r="R3243" s="18"/>
      <c r="S3243" s="18"/>
      <c r="T3243" s="18"/>
      <c r="U3243" s="20"/>
      <c r="V3243" s="21"/>
      <c r="W3243" s="16"/>
      <c r="X3243" s="16"/>
      <c r="Y3243" s="16"/>
    </row>
    <row r="3244" customFormat="false" ht="15.75" hidden="false" customHeight="false" outlineLevel="0" collapsed="false">
      <c r="A3244" s="9"/>
      <c r="B3244" s="10"/>
      <c r="C3244" s="10"/>
      <c r="D3244" s="10"/>
      <c r="E3244" s="10"/>
      <c r="F3244" s="10"/>
      <c r="G3244" s="10"/>
      <c r="H3244" s="10"/>
      <c r="I3244" s="22" t="n">
        <v>3</v>
      </c>
      <c r="J3244" s="22"/>
      <c r="K3244" s="23"/>
      <c r="L3244" s="23"/>
      <c r="M3244" s="22"/>
      <c r="N3244" s="22"/>
      <c r="O3244" s="22"/>
      <c r="P3244" s="23"/>
      <c r="Q3244" s="23"/>
      <c r="R3244" s="22"/>
      <c r="S3244" s="22"/>
      <c r="T3244" s="22"/>
      <c r="U3244" s="24"/>
      <c r="V3244" s="15"/>
      <c r="W3244" s="16"/>
      <c r="X3244" s="16"/>
      <c r="Y3244" s="16"/>
    </row>
    <row r="3245" customFormat="false" ht="15.75" hidden="false" customHeight="false" outlineLevel="0" collapsed="false">
      <c r="A3245" s="9"/>
      <c r="B3245" s="10"/>
      <c r="C3245" s="10"/>
      <c r="D3245" s="10"/>
      <c r="E3245" s="10"/>
      <c r="F3245" s="10"/>
      <c r="G3245" s="10"/>
      <c r="H3245" s="10"/>
      <c r="I3245" s="25" t="n">
        <v>4</v>
      </c>
      <c r="J3245" s="25"/>
      <c r="K3245" s="26"/>
      <c r="L3245" s="26"/>
      <c r="M3245" s="25"/>
      <c r="N3245" s="25"/>
      <c r="O3245" s="25"/>
      <c r="P3245" s="26"/>
      <c r="Q3245" s="26"/>
      <c r="R3245" s="25"/>
      <c r="S3245" s="25"/>
      <c r="T3245" s="25"/>
      <c r="U3245" s="27"/>
      <c r="V3245" s="21"/>
      <c r="W3245" s="16"/>
      <c r="X3245" s="16"/>
      <c r="Y3245" s="16"/>
    </row>
    <row r="3246" customFormat="false" ht="15.75" hidden="false" customHeight="false" outlineLevel="0" collapsed="false">
      <c r="A3246" s="9"/>
      <c r="B3246" s="10"/>
      <c r="C3246" s="11"/>
      <c r="D3246" s="10"/>
      <c r="E3246" s="10"/>
      <c r="F3246" s="10"/>
      <c r="G3246" s="10"/>
      <c r="H3246" s="10"/>
      <c r="I3246" s="12" t="n">
        <v>1</v>
      </c>
      <c r="J3246" s="12"/>
      <c r="K3246" s="13"/>
      <c r="L3246" s="13"/>
      <c r="M3246" s="12"/>
      <c r="N3246" s="12"/>
      <c r="O3246" s="12"/>
      <c r="P3246" s="13"/>
      <c r="Q3246" s="13"/>
      <c r="R3246" s="12"/>
      <c r="S3246" s="12"/>
      <c r="T3246" s="12"/>
      <c r="U3246" s="14"/>
      <c r="V3246" s="15"/>
      <c r="W3246" s="16" t="n">
        <f aca="false">A3246</f>
        <v>0</v>
      </c>
      <c r="X3246" s="17" t="e">
        <f aca="false">ifs(C3246="","",X3246="",NOW(),TRUE(),X3246)</f>
        <v>#VALUE!</v>
      </c>
      <c r="Y3246" s="17" t="e">
        <f aca="false">ifs(COUNTA(K3246:U3249)&lt;44,"",Y3246="",NOW(),TRUE(),Y3246)</f>
        <v>#VALUE!</v>
      </c>
    </row>
    <row r="3247" customFormat="false" ht="15.75" hidden="false" customHeight="false" outlineLevel="0" collapsed="false">
      <c r="A3247" s="9"/>
      <c r="B3247" s="10"/>
      <c r="C3247" s="10"/>
      <c r="D3247" s="10"/>
      <c r="E3247" s="10"/>
      <c r="F3247" s="10"/>
      <c r="G3247" s="10"/>
      <c r="H3247" s="10"/>
      <c r="I3247" s="18" t="n">
        <v>2</v>
      </c>
      <c r="J3247" s="18"/>
      <c r="K3247" s="19"/>
      <c r="L3247" s="19"/>
      <c r="M3247" s="18"/>
      <c r="N3247" s="18"/>
      <c r="O3247" s="18"/>
      <c r="P3247" s="19"/>
      <c r="Q3247" s="19"/>
      <c r="R3247" s="18"/>
      <c r="S3247" s="18"/>
      <c r="T3247" s="18"/>
      <c r="U3247" s="20"/>
      <c r="V3247" s="21"/>
      <c r="W3247" s="16"/>
      <c r="X3247" s="16"/>
      <c r="Y3247" s="16"/>
    </row>
    <row r="3248" customFormat="false" ht="15.75" hidden="false" customHeight="false" outlineLevel="0" collapsed="false">
      <c r="A3248" s="9"/>
      <c r="B3248" s="10"/>
      <c r="C3248" s="10"/>
      <c r="D3248" s="10"/>
      <c r="E3248" s="10"/>
      <c r="F3248" s="10"/>
      <c r="G3248" s="10"/>
      <c r="H3248" s="10"/>
      <c r="I3248" s="22" t="n">
        <v>3</v>
      </c>
      <c r="J3248" s="22"/>
      <c r="K3248" s="23"/>
      <c r="L3248" s="23"/>
      <c r="M3248" s="22"/>
      <c r="N3248" s="22"/>
      <c r="O3248" s="22"/>
      <c r="P3248" s="23"/>
      <c r="Q3248" s="23"/>
      <c r="R3248" s="22"/>
      <c r="S3248" s="22"/>
      <c r="T3248" s="22"/>
      <c r="U3248" s="24"/>
      <c r="V3248" s="15"/>
      <c r="W3248" s="16"/>
      <c r="X3248" s="16"/>
      <c r="Y3248" s="16"/>
    </row>
    <row r="3249" customFormat="false" ht="15.75" hidden="false" customHeight="false" outlineLevel="0" collapsed="false">
      <c r="A3249" s="9"/>
      <c r="B3249" s="10"/>
      <c r="C3249" s="10"/>
      <c r="D3249" s="10"/>
      <c r="E3249" s="10"/>
      <c r="F3249" s="10"/>
      <c r="G3249" s="10"/>
      <c r="H3249" s="10"/>
      <c r="I3249" s="25" t="n">
        <v>4</v>
      </c>
      <c r="J3249" s="25"/>
      <c r="K3249" s="26"/>
      <c r="L3249" s="26"/>
      <c r="M3249" s="25"/>
      <c r="N3249" s="25"/>
      <c r="O3249" s="25"/>
      <c r="P3249" s="26"/>
      <c r="Q3249" s="26"/>
      <c r="R3249" s="25"/>
      <c r="S3249" s="25"/>
      <c r="T3249" s="25"/>
      <c r="U3249" s="27"/>
      <c r="V3249" s="21"/>
      <c r="W3249" s="16"/>
      <c r="X3249" s="16"/>
      <c r="Y3249" s="16"/>
    </row>
    <row r="3250" customFormat="false" ht="15.75" hidden="false" customHeight="false" outlineLevel="0" collapsed="false">
      <c r="A3250" s="9"/>
      <c r="B3250" s="10"/>
      <c r="C3250" s="11"/>
      <c r="D3250" s="10"/>
      <c r="E3250" s="10"/>
      <c r="F3250" s="10"/>
      <c r="G3250" s="10"/>
      <c r="H3250" s="10"/>
      <c r="I3250" s="12" t="n">
        <v>1</v>
      </c>
      <c r="J3250" s="12"/>
      <c r="K3250" s="13"/>
      <c r="L3250" s="13"/>
      <c r="M3250" s="12"/>
      <c r="N3250" s="12"/>
      <c r="O3250" s="12"/>
      <c r="P3250" s="13"/>
      <c r="Q3250" s="13"/>
      <c r="R3250" s="12"/>
      <c r="S3250" s="12"/>
      <c r="T3250" s="12"/>
      <c r="U3250" s="14"/>
      <c r="V3250" s="15"/>
      <c r="W3250" s="16" t="n">
        <f aca="false">A3250</f>
        <v>0</v>
      </c>
      <c r="X3250" s="17" t="e">
        <f aca="false">ifs(C3250="","",X3250="",NOW(),TRUE(),X3250)</f>
        <v>#VALUE!</v>
      </c>
      <c r="Y3250" s="17" t="e">
        <f aca="false">ifs(COUNTA(K3250:U3253)&lt;44,"",Y3250="",NOW(),TRUE(),Y3250)</f>
        <v>#VALUE!</v>
      </c>
    </row>
    <row r="3251" customFormat="false" ht="15.75" hidden="false" customHeight="false" outlineLevel="0" collapsed="false">
      <c r="A3251" s="9"/>
      <c r="B3251" s="10"/>
      <c r="C3251" s="10"/>
      <c r="D3251" s="10"/>
      <c r="E3251" s="10"/>
      <c r="F3251" s="10"/>
      <c r="G3251" s="10"/>
      <c r="H3251" s="10"/>
      <c r="I3251" s="18" t="n">
        <v>2</v>
      </c>
      <c r="J3251" s="18"/>
      <c r="K3251" s="19"/>
      <c r="L3251" s="19"/>
      <c r="M3251" s="18"/>
      <c r="N3251" s="18"/>
      <c r="O3251" s="18"/>
      <c r="P3251" s="19"/>
      <c r="Q3251" s="19"/>
      <c r="R3251" s="18"/>
      <c r="S3251" s="18"/>
      <c r="T3251" s="18"/>
      <c r="U3251" s="20"/>
      <c r="V3251" s="21"/>
      <c r="W3251" s="16"/>
      <c r="X3251" s="16"/>
      <c r="Y3251" s="16"/>
    </row>
    <row r="3252" customFormat="false" ht="15.75" hidden="false" customHeight="false" outlineLevel="0" collapsed="false">
      <c r="A3252" s="9"/>
      <c r="B3252" s="10"/>
      <c r="C3252" s="10"/>
      <c r="D3252" s="10"/>
      <c r="E3252" s="10"/>
      <c r="F3252" s="10"/>
      <c r="G3252" s="10"/>
      <c r="H3252" s="10"/>
      <c r="I3252" s="22" t="n">
        <v>3</v>
      </c>
      <c r="J3252" s="22"/>
      <c r="K3252" s="23"/>
      <c r="L3252" s="23"/>
      <c r="M3252" s="22"/>
      <c r="N3252" s="22"/>
      <c r="O3252" s="22"/>
      <c r="P3252" s="23"/>
      <c r="Q3252" s="23"/>
      <c r="R3252" s="22"/>
      <c r="S3252" s="22"/>
      <c r="T3252" s="22"/>
      <c r="U3252" s="24"/>
      <c r="V3252" s="15"/>
      <c r="W3252" s="16"/>
      <c r="X3252" s="16"/>
      <c r="Y3252" s="16"/>
    </row>
    <row r="3253" customFormat="false" ht="15.75" hidden="false" customHeight="false" outlineLevel="0" collapsed="false">
      <c r="A3253" s="9"/>
      <c r="B3253" s="10"/>
      <c r="C3253" s="10"/>
      <c r="D3253" s="10"/>
      <c r="E3253" s="10"/>
      <c r="F3253" s="10"/>
      <c r="G3253" s="10"/>
      <c r="H3253" s="10"/>
      <c r="I3253" s="25" t="n">
        <v>4</v>
      </c>
      <c r="J3253" s="25"/>
      <c r="K3253" s="26"/>
      <c r="L3253" s="26"/>
      <c r="M3253" s="25"/>
      <c r="N3253" s="25"/>
      <c r="O3253" s="25"/>
      <c r="P3253" s="26"/>
      <c r="Q3253" s="26"/>
      <c r="R3253" s="25"/>
      <c r="S3253" s="25"/>
      <c r="T3253" s="25"/>
      <c r="U3253" s="27"/>
      <c r="V3253" s="21"/>
      <c r="W3253" s="16"/>
      <c r="X3253" s="16"/>
      <c r="Y3253" s="16"/>
    </row>
    <row r="3254" customFormat="false" ht="15.75" hidden="false" customHeight="false" outlineLevel="0" collapsed="false">
      <c r="A3254" s="9"/>
      <c r="B3254" s="10"/>
      <c r="C3254" s="11"/>
      <c r="D3254" s="10"/>
      <c r="E3254" s="10"/>
      <c r="F3254" s="10"/>
      <c r="G3254" s="10"/>
      <c r="H3254" s="10"/>
      <c r="I3254" s="12" t="n">
        <v>1</v>
      </c>
      <c r="J3254" s="12"/>
      <c r="K3254" s="13"/>
      <c r="L3254" s="13"/>
      <c r="M3254" s="12"/>
      <c r="N3254" s="12"/>
      <c r="O3254" s="12"/>
      <c r="P3254" s="13"/>
      <c r="Q3254" s="13"/>
      <c r="R3254" s="12"/>
      <c r="S3254" s="12"/>
      <c r="T3254" s="12"/>
      <c r="U3254" s="14"/>
      <c r="V3254" s="15"/>
      <c r="W3254" s="16" t="n">
        <f aca="false">A3254</f>
        <v>0</v>
      </c>
      <c r="X3254" s="17" t="e">
        <f aca="false">ifs(C3254="","",X3254="",NOW(),TRUE(),X3254)</f>
        <v>#VALUE!</v>
      </c>
      <c r="Y3254" s="17" t="e">
        <f aca="false">ifs(COUNTA(K3254:U3257)&lt;44,"",Y3254="",NOW(),TRUE(),Y3254)</f>
        <v>#VALUE!</v>
      </c>
    </row>
    <row r="3255" customFormat="false" ht="15.75" hidden="false" customHeight="false" outlineLevel="0" collapsed="false">
      <c r="A3255" s="9"/>
      <c r="B3255" s="10"/>
      <c r="C3255" s="10"/>
      <c r="D3255" s="10"/>
      <c r="E3255" s="10"/>
      <c r="F3255" s="10"/>
      <c r="G3255" s="10"/>
      <c r="H3255" s="10"/>
      <c r="I3255" s="18" t="n">
        <v>2</v>
      </c>
      <c r="J3255" s="18"/>
      <c r="K3255" s="19"/>
      <c r="L3255" s="19"/>
      <c r="M3255" s="18"/>
      <c r="N3255" s="18"/>
      <c r="O3255" s="18"/>
      <c r="P3255" s="19"/>
      <c r="Q3255" s="19"/>
      <c r="R3255" s="18"/>
      <c r="S3255" s="18"/>
      <c r="T3255" s="18"/>
      <c r="U3255" s="20"/>
      <c r="V3255" s="21"/>
      <c r="W3255" s="16"/>
      <c r="X3255" s="16"/>
      <c r="Y3255" s="16"/>
    </row>
    <row r="3256" customFormat="false" ht="15.75" hidden="false" customHeight="false" outlineLevel="0" collapsed="false">
      <c r="A3256" s="9"/>
      <c r="B3256" s="10"/>
      <c r="C3256" s="10"/>
      <c r="D3256" s="10"/>
      <c r="E3256" s="10"/>
      <c r="F3256" s="10"/>
      <c r="G3256" s="10"/>
      <c r="H3256" s="10"/>
      <c r="I3256" s="22" t="n">
        <v>3</v>
      </c>
      <c r="J3256" s="22"/>
      <c r="K3256" s="23"/>
      <c r="L3256" s="23"/>
      <c r="M3256" s="22"/>
      <c r="N3256" s="22"/>
      <c r="O3256" s="22"/>
      <c r="P3256" s="23"/>
      <c r="Q3256" s="23"/>
      <c r="R3256" s="22"/>
      <c r="S3256" s="22"/>
      <c r="T3256" s="22"/>
      <c r="U3256" s="24"/>
      <c r="V3256" s="15"/>
      <c r="W3256" s="16"/>
      <c r="X3256" s="16"/>
      <c r="Y3256" s="16"/>
    </row>
    <row r="3257" customFormat="false" ht="15.75" hidden="false" customHeight="false" outlineLevel="0" collapsed="false">
      <c r="A3257" s="9"/>
      <c r="B3257" s="10"/>
      <c r="C3257" s="10"/>
      <c r="D3257" s="10"/>
      <c r="E3257" s="10"/>
      <c r="F3257" s="10"/>
      <c r="G3257" s="10"/>
      <c r="H3257" s="10"/>
      <c r="I3257" s="25" t="n">
        <v>4</v>
      </c>
      <c r="J3257" s="25"/>
      <c r="K3257" s="26"/>
      <c r="L3257" s="26"/>
      <c r="M3257" s="25"/>
      <c r="N3257" s="25"/>
      <c r="O3257" s="25"/>
      <c r="P3257" s="26"/>
      <c r="Q3257" s="26"/>
      <c r="R3257" s="25"/>
      <c r="S3257" s="25"/>
      <c r="T3257" s="25"/>
      <c r="U3257" s="27"/>
      <c r="V3257" s="21"/>
      <c r="W3257" s="16"/>
      <c r="X3257" s="16"/>
      <c r="Y3257" s="16"/>
    </row>
    <row r="3258" customFormat="false" ht="15.75" hidden="false" customHeight="false" outlineLevel="0" collapsed="false">
      <c r="A3258" s="9"/>
      <c r="B3258" s="10"/>
      <c r="C3258" s="11"/>
      <c r="D3258" s="10"/>
      <c r="E3258" s="10"/>
      <c r="F3258" s="10"/>
      <c r="G3258" s="10"/>
      <c r="H3258" s="10"/>
      <c r="I3258" s="12" t="n">
        <v>1</v>
      </c>
      <c r="J3258" s="12"/>
      <c r="K3258" s="13"/>
      <c r="L3258" s="13"/>
      <c r="M3258" s="12"/>
      <c r="N3258" s="12"/>
      <c r="O3258" s="12"/>
      <c r="P3258" s="13"/>
      <c r="Q3258" s="13"/>
      <c r="R3258" s="12"/>
      <c r="S3258" s="12"/>
      <c r="T3258" s="12"/>
      <c r="U3258" s="14"/>
      <c r="V3258" s="15"/>
      <c r="W3258" s="16" t="n">
        <f aca="false">A3258</f>
        <v>0</v>
      </c>
      <c r="X3258" s="17" t="e">
        <f aca="false">ifs(C3258="","",X3258="",NOW(),TRUE(),X3258)</f>
        <v>#VALUE!</v>
      </c>
      <c r="Y3258" s="17" t="e">
        <f aca="false">ifs(COUNTA(K3258:U3261)&lt;44,"",Y3258="",NOW(),TRUE(),Y3258)</f>
        <v>#VALUE!</v>
      </c>
    </row>
    <row r="3259" customFormat="false" ht="15.75" hidden="false" customHeight="false" outlineLevel="0" collapsed="false">
      <c r="A3259" s="9"/>
      <c r="B3259" s="10"/>
      <c r="C3259" s="10"/>
      <c r="D3259" s="10"/>
      <c r="E3259" s="10"/>
      <c r="F3259" s="10"/>
      <c r="G3259" s="10"/>
      <c r="H3259" s="10"/>
      <c r="I3259" s="18" t="n">
        <v>2</v>
      </c>
      <c r="J3259" s="18"/>
      <c r="K3259" s="19"/>
      <c r="L3259" s="19"/>
      <c r="M3259" s="18"/>
      <c r="N3259" s="18"/>
      <c r="O3259" s="18"/>
      <c r="P3259" s="19"/>
      <c r="Q3259" s="19"/>
      <c r="R3259" s="18"/>
      <c r="S3259" s="18"/>
      <c r="T3259" s="18"/>
      <c r="U3259" s="20"/>
      <c r="V3259" s="21"/>
      <c r="W3259" s="16"/>
      <c r="X3259" s="16"/>
      <c r="Y3259" s="16"/>
    </row>
    <row r="3260" customFormat="false" ht="15.75" hidden="false" customHeight="false" outlineLevel="0" collapsed="false">
      <c r="A3260" s="9"/>
      <c r="B3260" s="10"/>
      <c r="C3260" s="10"/>
      <c r="D3260" s="10"/>
      <c r="E3260" s="10"/>
      <c r="F3260" s="10"/>
      <c r="G3260" s="10"/>
      <c r="H3260" s="10"/>
      <c r="I3260" s="22" t="n">
        <v>3</v>
      </c>
      <c r="J3260" s="22"/>
      <c r="K3260" s="23"/>
      <c r="L3260" s="23"/>
      <c r="M3260" s="22"/>
      <c r="N3260" s="22"/>
      <c r="O3260" s="22"/>
      <c r="P3260" s="23"/>
      <c r="Q3260" s="23"/>
      <c r="R3260" s="22"/>
      <c r="S3260" s="22"/>
      <c r="T3260" s="22"/>
      <c r="U3260" s="24"/>
      <c r="V3260" s="15"/>
      <c r="W3260" s="16"/>
      <c r="X3260" s="16"/>
      <c r="Y3260" s="16"/>
    </row>
    <row r="3261" customFormat="false" ht="15.75" hidden="false" customHeight="false" outlineLevel="0" collapsed="false">
      <c r="A3261" s="9"/>
      <c r="B3261" s="10"/>
      <c r="C3261" s="10"/>
      <c r="D3261" s="10"/>
      <c r="E3261" s="10"/>
      <c r="F3261" s="10"/>
      <c r="G3261" s="10"/>
      <c r="H3261" s="10"/>
      <c r="I3261" s="25" t="n">
        <v>4</v>
      </c>
      <c r="J3261" s="25"/>
      <c r="K3261" s="26"/>
      <c r="L3261" s="26"/>
      <c r="M3261" s="25"/>
      <c r="N3261" s="25"/>
      <c r="O3261" s="25"/>
      <c r="P3261" s="26"/>
      <c r="Q3261" s="26"/>
      <c r="R3261" s="25"/>
      <c r="S3261" s="25"/>
      <c r="T3261" s="25"/>
      <c r="U3261" s="27"/>
      <c r="V3261" s="21"/>
      <c r="W3261" s="16"/>
      <c r="X3261" s="16"/>
      <c r="Y3261" s="16"/>
    </row>
    <row r="3262" customFormat="false" ht="15.75" hidden="false" customHeight="false" outlineLevel="0" collapsed="false">
      <c r="A3262" s="9"/>
      <c r="B3262" s="10"/>
      <c r="C3262" s="11"/>
      <c r="D3262" s="10"/>
      <c r="E3262" s="10"/>
      <c r="F3262" s="10"/>
      <c r="G3262" s="10"/>
      <c r="H3262" s="10"/>
      <c r="I3262" s="12" t="n">
        <v>1</v>
      </c>
      <c r="J3262" s="12"/>
      <c r="K3262" s="13"/>
      <c r="L3262" s="13"/>
      <c r="M3262" s="12"/>
      <c r="N3262" s="12"/>
      <c r="O3262" s="12"/>
      <c r="P3262" s="13"/>
      <c r="Q3262" s="13"/>
      <c r="R3262" s="12"/>
      <c r="S3262" s="12"/>
      <c r="T3262" s="12"/>
      <c r="U3262" s="14"/>
      <c r="V3262" s="15"/>
      <c r="W3262" s="16" t="n">
        <f aca="false">A3262</f>
        <v>0</v>
      </c>
      <c r="X3262" s="17" t="e">
        <f aca="false">ifs(C3262="","",X3262="",NOW(),TRUE(),X3262)</f>
        <v>#VALUE!</v>
      </c>
      <c r="Y3262" s="17" t="e">
        <f aca="false">ifs(COUNTA(K3262:U3265)&lt;44,"",Y3262="",NOW(),TRUE(),Y3262)</f>
        <v>#VALUE!</v>
      </c>
    </row>
    <row r="3263" customFormat="false" ht="15.75" hidden="false" customHeight="false" outlineLevel="0" collapsed="false">
      <c r="A3263" s="9"/>
      <c r="B3263" s="10"/>
      <c r="C3263" s="10"/>
      <c r="D3263" s="10"/>
      <c r="E3263" s="10"/>
      <c r="F3263" s="10"/>
      <c r="G3263" s="10"/>
      <c r="H3263" s="10"/>
      <c r="I3263" s="18" t="n">
        <v>2</v>
      </c>
      <c r="J3263" s="18"/>
      <c r="K3263" s="19"/>
      <c r="L3263" s="19"/>
      <c r="M3263" s="18"/>
      <c r="N3263" s="18"/>
      <c r="O3263" s="18"/>
      <c r="P3263" s="19"/>
      <c r="Q3263" s="19"/>
      <c r="R3263" s="18"/>
      <c r="S3263" s="18"/>
      <c r="T3263" s="18"/>
      <c r="U3263" s="20"/>
      <c r="V3263" s="21"/>
      <c r="W3263" s="16"/>
      <c r="X3263" s="16"/>
      <c r="Y3263" s="16"/>
    </row>
    <row r="3264" customFormat="false" ht="15.75" hidden="false" customHeight="false" outlineLevel="0" collapsed="false">
      <c r="A3264" s="9"/>
      <c r="B3264" s="10"/>
      <c r="C3264" s="10"/>
      <c r="D3264" s="10"/>
      <c r="E3264" s="10"/>
      <c r="F3264" s="10"/>
      <c r="G3264" s="10"/>
      <c r="H3264" s="10"/>
      <c r="I3264" s="22" t="n">
        <v>3</v>
      </c>
      <c r="J3264" s="22"/>
      <c r="K3264" s="23"/>
      <c r="L3264" s="23"/>
      <c r="M3264" s="22"/>
      <c r="N3264" s="22"/>
      <c r="O3264" s="22"/>
      <c r="P3264" s="23"/>
      <c r="Q3264" s="23"/>
      <c r="R3264" s="22"/>
      <c r="S3264" s="22"/>
      <c r="T3264" s="22"/>
      <c r="U3264" s="24"/>
      <c r="V3264" s="15"/>
      <c r="W3264" s="16"/>
      <c r="X3264" s="16"/>
      <c r="Y3264" s="16"/>
    </row>
    <row r="3265" customFormat="false" ht="15.75" hidden="false" customHeight="false" outlineLevel="0" collapsed="false">
      <c r="A3265" s="9"/>
      <c r="B3265" s="10"/>
      <c r="C3265" s="10"/>
      <c r="D3265" s="10"/>
      <c r="E3265" s="10"/>
      <c r="F3265" s="10"/>
      <c r="G3265" s="10"/>
      <c r="H3265" s="10"/>
      <c r="I3265" s="25" t="n">
        <v>4</v>
      </c>
      <c r="J3265" s="25"/>
      <c r="K3265" s="26"/>
      <c r="L3265" s="26"/>
      <c r="M3265" s="25"/>
      <c r="N3265" s="25"/>
      <c r="O3265" s="25"/>
      <c r="P3265" s="26"/>
      <c r="Q3265" s="26"/>
      <c r="R3265" s="25"/>
      <c r="S3265" s="25"/>
      <c r="T3265" s="25"/>
      <c r="U3265" s="27"/>
      <c r="V3265" s="21"/>
      <c r="W3265" s="16"/>
      <c r="X3265" s="16"/>
      <c r="Y3265" s="16"/>
    </row>
    <row r="3266" customFormat="false" ht="15.75" hidden="false" customHeight="false" outlineLevel="0" collapsed="false">
      <c r="A3266" s="9"/>
      <c r="B3266" s="10"/>
      <c r="C3266" s="11"/>
      <c r="D3266" s="10"/>
      <c r="E3266" s="10"/>
      <c r="F3266" s="10"/>
      <c r="G3266" s="10"/>
      <c r="H3266" s="10"/>
      <c r="I3266" s="12" t="n">
        <v>1</v>
      </c>
      <c r="J3266" s="12"/>
      <c r="K3266" s="13"/>
      <c r="L3266" s="13"/>
      <c r="M3266" s="12"/>
      <c r="N3266" s="12"/>
      <c r="O3266" s="12"/>
      <c r="P3266" s="13"/>
      <c r="Q3266" s="13"/>
      <c r="R3266" s="12"/>
      <c r="S3266" s="12"/>
      <c r="T3266" s="12"/>
      <c r="U3266" s="14"/>
      <c r="V3266" s="15"/>
      <c r="W3266" s="16" t="n">
        <f aca="false">A3266</f>
        <v>0</v>
      </c>
      <c r="X3266" s="17" t="e">
        <f aca="false">ifs(C3266="","",X3266="",NOW(),TRUE(),X3266)</f>
        <v>#VALUE!</v>
      </c>
      <c r="Y3266" s="17" t="e">
        <f aca="false">ifs(COUNTA(K3266:U3269)&lt;44,"",Y3266="",NOW(),TRUE(),Y3266)</f>
        <v>#VALUE!</v>
      </c>
    </row>
    <row r="3267" customFormat="false" ht="15.75" hidden="false" customHeight="false" outlineLevel="0" collapsed="false">
      <c r="A3267" s="9"/>
      <c r="B3267" s="10"/>
      <c r="C3267" s="10"/>
      <c r="D3267" s="10"/>
      <c r="E3267" s="10"/>
      <c r="F3267" s="10"/>
      <c r="G3267" s="10"/>
      <c r="H3267" s="10"/>
      <c r="I3267" s="18" t="n">
        <v>2</v>
      </c>
      <c r="J3267" s="18"/>
      <c r="K3267" s="19"/>
      <c r="L3267" s="19"/>
      <c r="M3267" s="18"/>
      <c r="N3267" s="18"/>
      <c r="O3267" s="18"/>
      <c r="P3267" s="19"/>
      <c r="Q3267" s="19"/>
      <c r="R3267" s="18"/>
      <c r="S3267" s="18"/>
      <c r="T3267" s="18"/>
      <c r="U3267" s="20"/>
      <c r="V3267" s="21"/>
      <c r="W3267" s="16"/>
      <c r="X3267" s="16"/>
      <c r="Y3267" s="16"/>
    </row>
    <row r="3268" customFormat="false" ht="15.75" hidden="false" customHeight="false" outlineLevel="0" collapsed="false">
      <c r="A3268" s="9"/>
      <c r="B3268" s="10"/>
      <c r="C3268" s="10"/>
      <c r="D3268" s="10"/>
      <c r="E3268" s="10"/>
      <c r="F3268" s="10"/>
      <c r="G3268" s="10"/>
      <c r="H3268" s="10"/>
      <c r="I3268" s="22" t="n">
        <v>3</v>
      </c>
      <c r="J3268" s="22"/>
      <c r="K3268" s="23"/>
      <c r="L3268" s="23"/>
      <c r="M3268" s="22"/>
      <c r="N3268" s="22"/>
      <c r="O3268" s="22"/>
      <c r="P3268" s="23"/>
      <c r="Q3268" s="23"/>
      <c r="R3268" s="22"/>
      <c r="S3268" s="22"/>
      <c r="T3268" s="22"/>
      <c r="U3268" s="24"/>
      <c r="V3268" s="15"/>
      <c r="W3268" s="16"/>
      <c r="X3268" s="16"/>
      <c r="Y3268" s="16"/>
    </row>
    <row r="3269" customFormat="false" ht="15.75" hidden="false" customHeight="false" outlineLevel="0" collapsed="false">
      <c r="A3269" s="9"/>
      <c r="B3269" s="10"/>
      <c r="C3269" s="10"/>
      <c r="D3269" s="10"/>
      <c r="E3269" s="10"/>
      <c r="F3269" s="10"/>
      <c r="G3269" s="10"/>
      <c r="H3269" s="10"/>
      <c r="I3269" s="25" t="n">
        <v>4</v>
      </c>
      <c r="J3269" s="25"/>
      <c r="K3269" s="26"/>
      <c r="L3269" s="26"/>
      <c r="M3269" s="25"/>
      <c r="N3269" s="25"/>
      <c r="O3269" s="25"/>
      <c r="P3269" s="26"/>
      <c r="Q3269" s="26"/>
      <c r="R3269" s="25"/>
      <c r="S3269" s="25"/>
      <c r="T3269" s="25"/>
      <c r="U3269" s="27"/>
      <c r="V3269" s="21"/>
      <c r="W3269" s="16"/>
      <c r="X3269" s="16"/>
      <c r="Y3269" s="16"/>
    </row>
    <row r="3270" customFormat="false" ht="15.75" hidden="false" customHeight="false" outlineLevel="0" collapsed="false">
      <c r="A3270" s="9"/>
      <c r="B3270" s="10"/>
      <c r="C3270" s="11"/>
      <c r="D3270" s="10"/>
      <c r="E3270" s="10"/>
      <c r="F3270" s="10"/>
      <c r="G3270" s="10"/>
      <c r="H3270" s="10"/>
      <c r="I3270" s="12" t="n">
        <v>1</v>
      </c>
      <c r="J3270" s="12"/>
      <c r="K3270" s="13"/>
      <c r="L3270" s="13"/>
      <c r="M3270" s="12"/>
      <c r="N3270" s="12"/>
      <c r="O3270" s="12"/>
      <c r="P3270" s="13"/>
      <c r="Q3270" s="13"/>
      <c r="R3270" s="12"/>
      <c r="S3270" s="12"/>
      <c r="T3270" s="12"/>
      <c r="U3270" s="14"/>
      <c r="V3270" s="15"/>
      <c r="W3270" s="16" t="n">
        <f aca="false">A3270</f>
        <v>0</v>
      </c>
      <c r="X3270" s="17" t="e">
        <f aca="false">ifs(C3270="","",X3270="",NOW(),TRUE(),X3270)</f>
        <v>#VALUE!</v>
      </c>
      <c r="Y3270" s="17" t="e">
        <f aca="false">ifs(COUNTA(K3270:U3273)&lt;44,"",Y3270="",NOW(),TRUE(),Y3270)</f>
        <v>#VALUE!</v>
      </c>
    </row>
    <row r="3271" customFormat="false" ht="15.75" hidden="false" customHeight="false" outlineLevel="0" collapsed="false">
      <c r="A3271" s="9"/>
      <c r="B3271" s="10"/>
      <c r="C3271" s="10"/>
      <c r="D3271" s="10"/>
      <c r="E3271" s="10"/>
      <c r="F3271" s="10"/>
      <c r="G3271" s="10"/>
      <c r="H3271" s="10"/>
      <c r="I3271" s="18" t="n">
        <v>2</v>
      </c>
      <c r="J3271" s="18"/>
      <c r="K3271" s="19"/>
      <c r="L3271" s="19"/>
      <c r="M3271" s="18"/>
      <c r="N3271" s="18"/>
      <c r="O3271" s="18"/>
      <c r="P3271" s="19"/>
      <c r="Q3271" s="19"/>
      <c r="R3271" s="18"/>
      <c r="S3271" s="18"/>
      <c r="T3271" s="18"/>
      <c r="U3271" s="20"/>
      <c r="V3271" s="21"/>
      <c r="W3271" s="16"/>
      <c r="X3271" s="16"/>
      <c r="Y3271" s="16"/>
    </row>
    <row r="3272" customFormat="false" ht="15.75" hidden="false" customHeight="false" outlineLevel="0" collapsed="false">
      <c r="A3272" s="9"/>
      <c r="B3272" s="10"/>
      <c r="C3272" s="10"/>
      <c r="D3272" s="10"/>
      <c r="E3272" s="10"/>
      <c r="F3272" s="10"/>
      <c r="G3272" s="10"/>
      <c r="H3272" s="10"/>
      <c r="I3272" s="22" t="n">
        <v>3</v>
      </c>
      <c r="J3272" s="22"/>
      <c r="K3272" s="23"/>
      <c r="L3272" s="23"/>
      <c r="M3272" s="22"/>
      <c r="N3272" s="22"/>
      <c r="O3272" s="22"/>
      <c r="P3272" s="23"/>
      <c r="Q3272" s="23"/>
      <c r="R3272" s="22"/>
      <c r="S3272" s="22"/>
      <c r="T3272" s="22"/>
      <c r="U3272" s="24"/>
      <c r="V3272" s="15"/>
      <c r="W3272" s="16"/>
      <c r="X3272" s="16"/>
      <c r="Y3272" s="16"/>
    </row>
    <row r="3273" customFormat="false" ht="15.75" hidden="false" customHeight="false" outlineLevel="0" collapsed="false">
      <c r="A3273" s="9"/>
      <c r="B3273" s="10"/>
      <c r="C3273" s="10"/>
      <c r="D3273" s="10"/>
      <c r="E3273" s="10"/>
      <c r="F3273" s="10"/>
      <c r="G3273" s="10"/>
      <c r="H3273" s="10"/>
      <c r="I3273" s="25" t="n">
        <v>4</v>
      </c>
      <c r="J3273" s="25"/>
      <c r="K3273" s="26"/>
      <c r="L3273" s="26"/>
      <c r="M3273" s="25"/>
      <c r="N3273" s="25"/>
      <c r="O3273" s="25"/>
      <c r="P3273" s="26"/>
      <c r="Q3273" s="26"/>
      <c r="R3273" s="25"/>
      <c r="S3273" s="25"/>
      <c r="T3273" s="25"/>
      <c r="U3273" s="27"/>
      <c r="V3273" s="21"/>
      <c r="W3273" s="16"/>
      <c r="X3273" s="16"/>
      <c r="Y3273" s="16"/>
    </row>
    <row r="3274" customFormat="false" ht="15.75" hidden="false" customHeight="false" outlineLevel="0" collapsed="false">
      <c r="A3274" s="9"/>
      <c r="B3274" s="10"/>
      <c r="C3274" s="11"/>
      <c r="D3274" s="10"/>
      <c r="E3274" s="10"/>
      <c r="F3274" s="10"/>
      <c r="G3274" s="10"/>
      <c r="H3274" s="10"/>
      <c r="I3274" s="12" t="n">
        <v>1</v>
      </c>
      <c r="J3274" s="12"/>
      <c r="K3274" s="13"/>
      <c r="L3274" s="13"/>
      <c r="M3274" s="12"/>
      <c r="N3274" s="12"/>
      <c r="O3274" s="12"/>
      <c r="P3274" s="13"/>
      <c r="Q3274" s="13"/>
      <c r="R3274" s="12"/>
      <c r="S3274" s="12"/>
      <c r="T3274" s="12"/>
      <c r="U3274" s="14"/>
      <c r="V3274" s="15"/>
      <c r="W3274" s="16" t="n">
        <f aca="false">A3274</f>
        <v>0</v>
      </c>
      <c r="X3274" s="17" t="e">
        <f aca="false">ifs(C3274="","",X3274="",NOW(),TRUE(),X3274)</f>
        <v>#VALUE!</v>
      </c>
      <c r="Y3274" s="17" t="e">
        <f aca="false">ifs(COUNTA(K3274:U3277)&lt;44,"",Y3274="",NOW(),TRUE(),Y3274)</f>
        <v>#VALUE!</v>
      </c>
    </row>
    <row r="3275" customFormat="false" ht="15.75" hidden="false" customHeight="false" outlineLevel="0" collapsed="false">
      <c r="A3275" s="9"/>
      <c r="B3275" s="10"/>
      <c r="C3275" s="10"/>
      <c r="D3275" s="10"/>
      <c r="E3275" s="10"/>
      <c r="F3275" s="10"/>
      <c r="G3275" s="10"/>
      <c r="H3275" s="10"/>
      <c r="I3275" s="18" t="n">
        <v>2</v>
      </c>
      <c r="J3275" s="18"/>
      <c r="K3275" s="19"/>
      <c r="L3275" s="19"/>
      <c r="M3275" s="18"/>
      <c r="N3275" s="18"/>
      <c r="O3275" s="18"/>
      <c r="P3275" s="19"/>
      <c r="Q3275" s="19"/>
      <c r="R3275" s="18"/>
      <c r="S3275" s="18"/>
      <c r="T3275" s="18"/>
      <c r="U3275" s="20"/>
      <c r="V3275" s="21"/>
      <c r="W3275" s="16"/>
      <c r="X3275" s="16"/>
      <c r="Y3275" s="16"/>
    </row>
    <row r="3276" customFormat="false" ht="15.75" hidden="false" customHeight="false" outlineLevel="0" collapsed="false">
      <c r="A3276" s="9"/>
      <c r="B3276" s="10"/>
      <c r="C3276" s="10"/>
      <c r="D3276" s="10"/>
      <c r="E3276" s="10"/>
      <c r="F3276" s="10"/>
      <c r="G3276" s="10"/>
      <c r="H3276" s="10"/>
      <c r="I3276" s="22" t="n">
        <v>3</v>
      </c>
      <c r="J3276" s="22"/>
      <c r="K3276" s="23"/>
      <c r="L3276" s="23"/>
      <c r="M3276" s="22"/>
      <c r="N3276" s="22"/>
      <c r="O3276" s="22"/>
      <c r="P3276" s="23"/>
      <c r="Q3276" s="23"/>
      <c r="R3276" s="22"/>
      <c r="S3276" s="22"/>
      <c r="T3276" s="22"/>
      <c r="U3276" s="24"/>
      <c r="V3276" s="15"/>
      <c r="W3276" s="16"/>
      <c r="X3276" s="16"/>
      <c r="Y3276" s="16"/>
    </row>
    <row r="3277" customFormat="false" ht="15.75" hidden="false" customHeight="false" outlineLevel="0" collapsed="false">
      <c r="A3277" s="9"/>
      <c r="B3277" s="10"/>
      <c r="C3277" s="10"/>
      <c r="D3277" s="10"/>
      <c r="E3277" s="10"/>
      <c r="F3277" s="10"/>
      <c r="G3277" s="10"/>
      <c r="H3277" s="10"/>
      <c r="I3277" s="25" t="n">
        <v>4</v>
      </c>
      <c r="J3277" s="25"/>
      <c r="K3277" s="26"/>
      <c r="L3277" s="26"/>
      <c r="M3277" s="25"/>
      <c r="N3277" s="25"/>
      <c r="O3277" s="25"/>
      <c r="P3277" s="26"/>
      <c r="Q3277" s="26"/>
      <c r="R3277" s="25"/>
      <c r="S3277" s="25"/>
      <c r="T3277" s="25"/>
      <c r="U3277" s="27"/>
      <c r="V3277" s="21"/>
      <c r="W3277" s="16"/>
      <c r="X3277" s="16"/>
      <c r="Y3277" s="16"/>
    </row>
    <row r="3278" customFormat="false" ht="15.75" hidden="false" customHeight="false" outlineLevel="0" collapsed="false">
      <c r="A3278" s="9"/>
      <c r="B3278" s="10"/>
      <c r="C3278" s="11"/>
      <c r="D3278" s="10"/>
      <c r="E3278" s="10"/>
      <c r="F3278" s="10"/>
      <c r="G3278" s="10"/>
      <c r="H3278" s="10"/>
      <c r="I3278" s="12" t="n">
        <v>1</v>
      </c>
      <c r="J3278" s="12"/>
      <c r="K3278" s="13"/>
      <c r="L3278" s="13"/>
      <c r="M3278" s="12"/>
      <c r="N3278" s="12"/>
      <c r="O3278" s="12"/>
      <c r="P3278" s="13"/>
      <c r="Q3278" s="13"/>
      <c r="R3278" s="12"/>
      <c r="S3278" s="12"/>
      <c r="T3278" s="12"/>
      <c r="U3278" s="14"/>
      <c r="V3278" s="15"/>
      <c r="W3278" s="16" t="n">
        <f aca="false">A3278</f>
        <v>0</v>
      </c>
      <c r="X3278" s="17" t="e">
        <f aca="false">ifs(C3278="","",X3278="",NOW(),TRUE(),X3278)</f>
        <v>#VALUE!</v>
      </c>
      <c r="Y3278" s="17" t="e">
        <f aca="false">ifs(COUNTA(K3278:U3281)&lt;44,"",Y3278="",NOW(),TRUE(),Y3278)</f>
        <v>#VALUE!</v>
      </c>
    </row>
    <row r="3279" customFormat="false" ht="15.75" hidden="false" customHeight="false" outlineLevel="0" collapsed="false">
      <c r="A3279" s="9"/>
      <c r="B3279" s="10"/>
      <c r="C3279" s="10"/>
      <c r="D3279" s="10"/>
      <c r="E3279" s="10"/>
      <c r="F3279" s="10"/>
      <c r="G3279" s="10"/>
      <c r="H3279" s="10"/>
      <c r="I3279" s="18" t="n">
        <v>2</v>
      </c>
      <c r="J3279" s="18"/>
      <c r="K3279" s="19"/>
      <c r="L3279" s="19"/>
      <c r="M3279" s="18"/>
      <c r="N3279" s="18"/>
      <c r="O3279" s="18"/>
      <c r="P3279" s="19"/>
      <c r="Q3279" s="19"/>
      <c r="R3279" s="18"/>
      <c r="S3279" s="18"/>
      <c r="T3279" s="18"/>
      <c r="U3279" s="20"/>
      <c r="V3279" s="21"/>
      <c r="W3279" s="16"/>
      <c r="X3279" s="16"/>
      <c r="Y3279" s="16"/>
    </row>
    <row r="3280" customFormat="false" ht="15.75" hidden="false" customHeight="false" outlineLevel="0" collapsed="false">
      <c r="A3280" s="9"/>
      <c r="B3280" s="10"/>
      <c r="C3280" s="10"/>
      <c r="D3280" s="10"/>
      <c r="E3280" s="10"/>
      <c r="F3280" s="10"/>
      <c r="G3280" s="10"/>
      <c r="H3280" s="10"/>
      <c r="I3280" s="22" t="n">
        <v>3</v>
      </c>
      <c r="J3280" s="22"/>
      <c r="K3280" s="23"/>
      <c r="L3280" s="23"/>
      <c r="M3280" s="22"/>
      <c r="N3280" s="22"/>
      <c r="O3280" s="22"/>
      <c r="P3280" s="23"/>
      <c r="Q3280" s="23"/>
      <c r="R3280" s="22"/>
      <c r="S3280" s="22"/>
      <c r="T3280" s="22"/>
      <c r="U3280" s="24"/>
      <c r="V3280" s="15"/>
      <c r="W3280" s="16"/>
      <c r="X3280" s="16"/>
      <c r="Y3280" s="16"/>
    </row>
    <row r="3281" customFormat="false" ht="15.75" hidden="false" customHeight="false" outlineLevel="0" collapsed="false">
      <c r="A3281" s="9"/>
      <c r="B3281" s="10"/>
      <c r="C3281" s="10"/>
      <c r="D3281" s="10"/>
      <c r="E3281" s="10"/>
      <c r="F3281" s="10"/>
      <c r="G3281" s="10"/>
      <c r="H3281" s="10"/>
      <c r="I3281" s="25" t="n">
        <v>4</v>
      </c>
      <c r="J3281" s="25"/>
      <c r="K3281" s="26"/>
      <c r="L3281" s="26"/>
      <c r="M3281" s="25"/>
      <c r="N3281" s="25"/>
      <c r="O3281" s="25"/>
      <c r="P3281" s="26"/>
      <c r="Q3281" s="26"/>
      <c r="R3281" s="25"/>
      <c r="S3281" s="25"/>
      <c r="T3281" s="25"/>
      <c r="U3281" s="27"/>
      <c r="V3281" s="21"/>
      <c r="W3281" s="16"/>
      <c r="X3281" s="16"/>
      <c r="Y3281" s="16"/>
    </row>
    <row r="3282" customFormat="false" ht="15.75" hidden="false" customHeight="false" outlineLevel="0" collapsed="false">
      <c r="A3282" s="9"/>
      <c r="B3282" s="10"/>
      <c r="C3282" s="11"/>
      <c r="D3282" s="10"/>
      <c r="E3282" s="10"/>
      <c r="F3282" s="10"/>
      <c r="G3282" s="10"/>
      <c r="H3282" s="10"/>
      <c r="I3282" s="12" t="n">
        <v>1</v>
      </c>
      <c r="J3282" s="12"/>
      <c r="K3282" s="13"/>
      <c r="L3282" s="13"/>
      <c r="M3282" s="12"/>
      <c r="N3282" s="12"/>
      <c r="O3282" s="12"/>
      <c r="P3282" s="13"/>
      <c r="Q3282" s="13"/>
      <c r="R3282" s="12"/>
      <c r="S3282" s="12"/>
      <c r="T3282" s="12"/>
      <c r="U3282" s="14"/>
      <c r="V3282" s="15"/>
      <c r="W3282" s="16" t="n">
        <f aca="false">A3282</f>
        <v>0</v>
      </c>
      <c r="X3282" s="17" t="e">
        <f aca="false">ifs(C3282="","",X3282="",NOW(),TRUE(),X3282)</f>
        <v>#VALUE!</v>
      </c>
      <c r="Y3282" s="17" t="e">
        <f aca="false">ifs(COUNTA(K3282:U3285)&lt;44,"",Y3282="",NOW(),TRUE(),Y3282)</f>
        <v>#VALUE!</v>
      </c>
    </row>
    <row r="3283" customFormat="false" ht="15.75" hidden="false" customHeight="false" outlineLevel="0" collapsed="false">
      <c r="A3283" s="9"/>
      <c r="B3283" s="10"/>
      <c r="C3283" s="10"/>
      <c r="D3283" s="10"/>
      <c r="E3283" s="10"/>
      <c r="F3283" s="10"/>
      <c r="G3283" s="10"/>
      <c r="H3283" s="10"/>
      <c r="I3283" s="18" t="n">
        <v>2</v>
      </c>
      <c r="J3283" s="18"/>
      <c r="K3283" s="19"/>
      <c r="L3283" s="19"/>
      <c r="M3283" s="18"/>
      <c r="N3283" s="18"/>
      <c r="O3283" s="18"/>
      <c r="P3283" s="19"/>
      <c r="Q3283" s="19"/>
      <c r="R3283" s="18"/>
      <c r="S3283" s="18"/>
      <c r="T3283" s="18"/>
      <c r="U3283" s="20"/>
      <c r="V3283" s="21"/>
      <c r="W3283" s="16"/>
      <c r="X3283" s="16"/>
      <c r="Y3283" s="16"/>
    </row>
    <row r="3284" customFormat="false" ht="15.75" hidden="false" customHeight="false" outlineLevel="0" collapsed="false">
      <c r="A3284" s="9"/>
      <c r="B3284" s="10"/>
      <c r="C3284" s="10"/>
      <c r="D3284" s="10"/>
      <c r="E3284" s="10"/>
      <c r="F3284" s="10"/>
      <c r="G3284" s="10"/>
      <c r="H3284" s="10"/>
      <c r="I3284" s="22" t="n">
        <v>3</v>
      </c>
      <c r="J3284" s="22"/>
      <c r="K3284" s="23"/>
      <c r="L3284" s="23"/>
      <c r="M3284" s="22"/>
      <c r="N3284" s="22"/>
      <c r="O3284" s="22"/>
      <c r="P3284" s="23"/>
      <c r="Q3284" s="23"/>
      <c r="R3284" s="22"/>
      <c r="S3284" s="22"/>
      <c r="T3284" s="22"/>
      <c r="U3284" s="24"/>
      <c r="V3284" s="15"/>
      <c r="W3284" s="16"/>
      <c r="X3284" s="16"/>
      <c r="Y3284" s="16"/>
    </row>
    <row r="3285" customFormat="false" ht="15.75" hidden="false" customHeight="false" outlineLevel="0" collapsed="false">
      <c r="A3285" s="9"/>
      <c r="B3285" s="10"/>
      <c r="C3285" s="10"/>
      <c r="D3285" s="10"/>
      <c r="E3285" s="10"/>
      <c r="F3285" s="10"/>
      <c r="G3285" s="10"/>
      <c r="H3285" s="10"/>
      <c r="I3285" s="25" t="n">
        <v>4</v>
      </c>
      <c r="J3285" s="25"/>
      <c r="K3285" s="26"/>
      <c r="L3285" s="26"/>
      <c r="M3285" s="25"/>
      <c r="N3285" s="25"/>
      <c r="O3285" s="25"/>
      <c r="P3285" s="26"/>
      <c r="Q3285" s="26"/>
      <c r="R3285" s="25"/>
      <c r="S3285" s="25"/>
      <c r="T3285" s="25"/>
      <c r="U3285" s="27"/>
      <c r="V3285" s="21"/>
      <c r="W3285" s="16"/>
      <c r="X3285" s="16"/>
      <c r="Y3285" s="16"/>
    </row>
    <row r="3286" customFormat="false" ht="15.75" hidden="false" customHeight="false" outlineLevel="0" collapsed="false">
      <c r="A3286" s="9"/>
      <c r="B3286" s="10"/>
      <c r="C3286" s="11"/>
      <c r="D3286" s="10"/>
      <c r="E3286" s="10"/>
      <c r="F3286" s="10"/>
      <c r="G3286" s="10"/>
      <c r="H3286" s="10"/>
      <c r="I3286" s="12" t="n">
        <v>1</v>
      </c>
      <c r="J3286" s="12"/>
      <c r="K3286" s="13"/>
      <c r="L3286" s="13"/>
      <c r="M3286" s="12"/>
      <c r="N3286" s="12"/>
      <c r="O3286" s="12"/>
      <c r="P3286" s="13"/>
      <c r="Q3286" s="13"/>
      <c r="R3286" s="12"/>
      <c r="S3286" s="12"/>
      <c r="T3286" s="12"/>
      <c r="U3286" s="14"/>
      <c r="V3286" s="15"/>
      <c r="W3286" s="16" t="n">
        <f aca="false">A3286</f>
        <v>0</v>
      </c>
      <c r="X3286" s="17" t="e">
        <f aca="false">ifs(C3286="","",X3286="",NOW(),TRUE(),X3286)</f>
        <v>#VALUE!</v>
      </c>
      <c r="Y3286" s="17" t="e">
        <f aca="false">ifs(COUNTA(K3286:U3289)&lt;44,"",Y3286="",NOW(),TRUE(),Y3286)</f>
        <v>#VALUE!</v>
      </c>
    </row>
    <row r="3287" customFormat="false" ht="15.75" hidden="false" customHeight="false" outlineLevel="0" collapsed="false">
      <c r="A3287" s="9"/>
      <c r="B3287" s="10"/>
      <c r="C3287" s="10"/>
      <c r="D3287" s="10"/>
      <c r="E3287" s="10"/>
      <c r="F3287" s="10"/>
      <c r="G3287" s="10"/>
      <c r="H3287" s="10"/>
      <c r="I3287" s="18" t="n">
        <v>2</v>
      </c>
      <c r="J3287" s="18"/>
      <c r="K3287" s="19"/>
      <c r="L3287" s="19"/>
      <c r="M3287" s="18"/>
      <c r="N3287" s="18"/>
      <c r="O3287" s="18"/>
      <c r="P3287" s="19"/>
      <c r="Q3287" s="19"/>
      <c r="R3287" s="18"/>
      <c r="S3287" s="18"/>
      <c r="T3287" s="18"/>
      <c r="U3287" s="20"/>
      <c r="V3287" s="21"/>
      <c r="W3287" s="16"/>
      <c r="X3287" s="16"/>
      <c r="Y3287" s="16"/>
    </row>
    <row r="3288" customFormat="false" ht="15.75" hidden="false" customHeight="false" outlineLevel="0" collapsed="false">
      <c r="A3288" s="9"/>
      <c r="B3288" s="10"/>
      <c r="C3288" s="10"/>
      <c r="D3288" s="10"/>
      <c r="E3288" s="10"/>
      <c r="F3288" s="10"/>
      <c r="G3288" s="10"/>
      <c r="H3288" s="10"/>
      <c r="I3288" s="22" t="n">
        <v>3</v>
      </c>
      <c r="J3288" s="22"/>
      <c r="K3288" s="23"/>
      <c r="L3288" s="23"/>
      <c r="M3288" s="22"/>
      <c r="N3288" s="22"/>
      <c r="O3288" s="22"/>
      <c r="P3288" s="23"/>
      <c r="Q3288" s="23"/>
      <c r="R3288" s="22"/>
      <c r="S3288" s="22"/>
      <c r="T3288" s="22"/>
      <c r="U3288" s="24"/>
      <c r="V3288" s="15"/>
      <c r="W3288" s="16"/>
      <c r="X3288" s="16"/>
      <c r="Y3288" s="16"/>
    </row>
    <row r="3289" customFormat="false" ht="15.75" hidden="false" customHeight="false" outlineLevel="0" collapsed="false">
      <c r="A3289" s="9"/>
      <c r="B3289" s="10"/>
      <c r="C3289" s="10"/>
      <c r="D3289" s="10"/>
      <c r="E3289" s="10"/>
      <c r="F3289" s="10"/>
      <c r="G3289" s="10"/>
      <c r="H3289" s="10"/>
      <c r="I3289" s="25" t="n">
        <v>4</v>
      </c>
      <c r="J3289" s="25"/>
      <c r="K3289" s="26"/>
      <c r="L3289" s="26"/>
      <c r="M3289" s="25"/>
      <c r="N3289" s="25"/>
      <c r="O3289" s="25"/>
      <c r="P3289" s="26"/>
      <c r="Q3289" s="26"/>
      <c r="R3289" s="25"/>
      <c r="S3289" s="25"/>
      <c r="T3289" s="25"/>
      <c r="U3289" s="27"/>
      <c r="V3289" s="21"/>
      <c r="W3289" s="16"/>
      <c r="X3289" s="16"/>
      <c r="Y3289" s="16"/>
    </row>
    <row r="3290" customFormat="false" ht="15.75" hidden="false" customHeight="false" outlineLevel="0" collapsed="false">
      <c r="A3290" s="9"/>
      <c r="B3290" s="10"/>
      <c r="C3290" s="11"/>
      <c r="D3290" s="10"/>
      <c r="E3290" s="10"/>
      <c r="F3290" s="10"/>
      <c r="G3290" s="10"/>
      <c r="H3290" s="10"/>
      <c r="I3290" s="12" t="n">
        <v>1</v>
      </c>
      <c r="J3290" s="12"/>
      <c r="K3290" s="13"/>
      <c r="L3290" s="13"/>
      <c r="M3290" s="12"/>
      <c r="N3290" s="12"/>
      <c r="O3290" s="12"/>
      <c r="P3290" s="13"/>
      <c r="Q3290" s="13"/>
      <c r="R3290" s="12"/>
      <c r="S3290" s="12"/>
      <c r="T3290" s="12"/>
      <c r="U3290" s="14"/>
      <c r="V3290" s="15"/>
      <c r="W3290" s="16" t="n">
        <f aca="false">A3290</f>
        <v>0</v>
      </c>
      <c r="X3290" s="17" t="e">
        <f aca="false">ifs(C3290="","",X3290="",NOW(),TRUE(),X3290)</f>
        <v>#VALUE!</v>
      </c>
      <c r="Y3290" s="17" t="e">
        <f aca="false">ifs(COUNTA(K3290:U3293)&lt;44,"",Y3290="",NOW(),TRUE(),Y3290)</f>
        <v>#VALUE!</v>
      </c>
    </row>
    <row r="3291" customFormat="false" ht="15.75" hidden="false" customHeight="false" outlineLevel="0" collapsed="false">
      <c r="A3291" s="9"/>
      <c r="B3291" s="10"/>
      <c r="C3291" s="10"/>
      <c r="D3291" s="10"/>
      <c r="E3291" s="10"/>
      <c r="F3291" s="10"/>
      <c r="G3291" s="10"/>
      <c r="H3291" s="10"/>
      <c r="I3291" s="18" t="n">
        <v>2</v>
      </c>
      <c r="J3291" s="18"/>
      <c r="K3291" s="19"/>
      <c r="L3291" s="19"/>
      <c r="M3291" s="18"/>
      <c r="N3291" s="18"/>
      <c r="O3291" s="18"/>
      <c r="P3291" s="19"/>
      <c r="Q3291" s="19"/>
      <c r="R3291" s="18"/>
      <c r="S3291" s="18"/>
      <c r="T3291" s="18"/>
      <c r="U3291" s="20"/>
      <c r="V3291" s="21"/>
      <c r="W3291" s="16"/>
      <c r="X3291" s="16"/>
      <c r="Y3291" s="16"/>
    </row>
    <row r="3292" customFormat="false" ht="15.75" hidden="false" customHeight="false" outlineLevel="0" collapsed="false">
      <c r="A3292" s="9"/>
      <c r="B3292" s="10"/>
      <c r="C3292" s="10"/>
      <c r="D3292" s="10"/>
      <c r="E3292" s="10"/>
      <c r="F3292" s="10"/>
      <c r="G3292" s="10"/>
      <c r="H3292" s="10"/>
      <c r="I3292" s="22" t="n">
        <v>3</v>
      </c>
      <c r="J3292" s="22"/>
      <c r="K3292" s="23"/>
      <c r="L3292" s="23"/>
      <c r="M3292" s="22"/>
      <c r="N3292" s="22"/>
      <c r="O3292" s="22"/>
      <c r="P3292" s="23"/>
      <c r="Q3292" s="23"/>
      <c r="R3292" s="22"/>
      <c r="S3292" s="22"/>
      <c r="T3292" s="22"/>
      <c r="U3292" s="24"/>
      <c r="V3292" s="15"/>
      <c r="W3292" s="16"/>
      <c r="X3292" s="16"/>
      <c r="Y3292" s="16"/>
    </row>
    <row r="3293" customFormat="false" ht="15.75" hidden="false" customHeight="false" outlineLevel="0" collapsed="false">
      <c r="A3293" s="9"/>
      <c r="B3293" s="10"/>
      <c r="C3293" s="10"/>
      <c r="D3293" s="10"/>
      <c r="E3293" s="10"/>
      <c r="F3293" s="10"/>
      <c r="G3293" s="10"/>
      <c r="H3293" s="10"/>
      <c r="I3293" s="25" t="n">
        <v>4</v>
      </c>
      <c r="J3293" s="25"/>
      <c r="K3293" s="26"/>
      <c r="L3293" s="26"/>
      <c r="M3293" s="25"/>
      <c r="N3293" s="25"/>
      <c r="O3293" s="25"/>
      <c r="P3293" s="26"/>
      <c r="Q3293" s="26"/>
      <c r="R3293" s="25"/>
      <c r="S3293" s="25"/>
      <c r="T3293" s="25"/>
      <c r="U3293" s="27"/>
      <c r="V3293" s="21"/>
      <c r="W3293" s="16"/>
      <c r="X3293" s="16"/>
      <c r="Y3293" s="16"/>
    </row>
    <row r="3294" customFormat="false" ht="15.75" hidden="false" customHeight="false" outlineLevel="0" collapsed="false">
      <c r="A3294" s="9"/>
      <c r="B3294" s="10"/>
      <c r="C3294" s="11"/>
      <c r="D3294" s="10"/>
      <c r="E3294" s="10"/>
      <c r="F3294" s="10"/>
      <c r="G3294" s="10"/>
      <c r="H3294" s="10"/>
      <c r="I3294" s="12" t="n">
        <v>1</v>
      </c>
      <c r="J3294" s="12"/>
      <c r="K3294" s="13"/>
      <c r="L3294" s="13"/>
      <c r="M3294" s="12"/>
      <c r="N3294" s="12"/>
      <c r="O3294" s="12"/>
      <c r="P3294" s="13"/>
      <c r="Q3294" s="13"/>
      <c r="R3294" s="12"/>
      <c r="S3294" s="12"/>
      <c r="T3294" s="12"/>
      <c r="U3294" s="14"/>
      <c r="V3294" s="15"/>
      <c r="W3294" s="16" t="n">
        <f aca="false">A3294</f>
        <v>0</v>
      </c>
      <c r="X3294" s="17" t="e">
        <f aca="false">ifs(C3294="","",X3294="",NOW(),TRUE(),X3294)</f>
        <v>#VALUE!</v>
      </c>
      <c r="Y3294" s="17" t="e">
        <f aca="false">ifs(COUNTA(K3294:U3297)&lt;44,"",Y3294="",NOW(),TRUE(),Y3294)</f>
        <v>#VALUE!</v>
      </c>
    </row>
    <row r="3295" customFormat="false" ht="15.75" hidden="false" customHeight="false" outlineLevel="0" collapsed="false">
      <c r="A3295" s="9"/>
      <c r="B3295" s="10"/>
      <c r="C3295" s="10"/>
      <c r="D3295" s="10"/>
      <c r="E3295" s="10"/>
      <c r="F3295" s="10"/>
      <c r="G3295" s="10"/>
      <c r="H3295" s="10"/>
      <c r="I3295" s="18" t="n">
        <v>2</v>
      </c>
      <c r="J3295" s="18"/>
      <c r="K3295" s="19"/>
      <c r="L3295" s="19"/>
      <c r="M3295" s="18"/>
      <c r="N3295" s="18"/>
      <c r="O3295" s="18"/>
      <c r="P3295" s="19"/>
      <c r="Q3295" s="19"/>
      <c r="R3295" s="18"/>
      <c r="S3295" s="18"/>
      <c r="T3295" s="18"/>
      <c r="U3295" s="20"/>
      <c r="V3295" s="21"/>
      <c r="W3295" s="16"/>
      <c r="X3295" s="16"/>
      <c r="Y3295" s="16"/>
    </row>
    <row r="3296" customFormat="false" ht="15.75" hidden="false" customHeight="false" outlineLevel="0" collapsed="false">
      <c r="A3296" s="9"/>
      <c r="B3296" s="10"/>
      <c r="C3296" s="10"/>
      <c r="D3296" s="10"/>
      <c r="E3296" s="10"/>
      <c r="F3296" s="10"/>
      <c r="G3296" s="10"/>
      <c r="H3296" s="10"/>
      <c r="I3296" s="22" t="n">
        <v>3</v>
      </c>
      <c r="J3296" s="22"/>
      <c r="K3296" s="23"/>
      <c r="L3296" s="23"/>
      <c r="M3296" s="22"/>
      <c r="N3296" s="22"/>
      <c r="O3296" s="22"/>
      <c r="P3296" s="23"/>
      <c r="Q3296" s="23"/>
      <c r="R3296" s="22"/>
      <c r="S3296" s="22"/>
      <c r="T3296" s="22"/>
      <c r="U3296" s="24"/>
      <c r="V3296" s="15"/>
      <c r="W3296" s="16"/>
      <c r="X3296" s="16"/>
      <c r="Y3296" s="16"/>
    </row>
    <row r="3297" customFormat="false" ht="15.75" hidden="false" customHeight="false" outlineLevel="0" collapsed="false">
      <c r="A3297" s="9"/>
      <c r="B3297" s="10"/>
      <c r="C3297" s="10"/>
      <c r="D3297" s="10"/>
      <c r="E3297" s="10"/>
      <c r="F3297" s="10"/>
      <c r="G3297" s="10"/>
      <c r="H3297" s="10"/>
      <c r="I3297" s="25" t="n">
        <v>4</v>
      </c>
      <c r="J3297" s="25"/>
      <c r="K3297" s="26"/>
      <c r="L3297" s="26"/>
      <c r="M3297" s="25"/>
      <c r="N3297" s="25"/>
      <c r="O3297" s="25"/>
      <c r="P3297" s="26"/>
      <c r="Q3297" s="26"/>
      <c r="R3297" s="25"/>
      <c r="S3297" s="25"/>
      <c r="T3297" s="25"/>
      <c r="U3297" s="27"/>
      <c r="V3297" s="21"/>
      <c r="W3297" s="16"/>
      <c r="X3297" s="16"/>
      <c r="Y3297" s="16"/>
    </row>
    <row r="3298" customFormat="false" ht="15.75" hidden="false" customHeight="false" outlineLevel="0" collapsed="false">
      <c r="A3298" s="9"/>
      <c r="B3298" s="10"/>
      <c r="C3298" s="11"/>
      <c r="D3298" s="10"/>
      <c r="E3298" s="10"/>
      <c r="F3298" s="10"/>
      <c r="G3298" s="10"/>
      <c r="H3298" s="10"/>
      <c r="I3298" s="12" t="n">
        <v>1</v>
      </c>
      <c r="J3298" s="12"/>
      <c r="K3298" s="13"/>
      <c r="L3298" s="13"/>
      <c r="M3298" s="12"/>
      <c r="N3298" s="12"/>
      <c r="O3298" s="12"/>
      <c r="P3298" s="13"/>
      <c r="Q3298" s="13"/>
      <c r="R3298" s="12"/>
      <c r="S3298" s="12"/>
      <c r="T3298" s="12"/>
      <c r="U3298" s="14"/>
      <c r="V3298" s="15"/>
      <c r="W3298" s="16" t="n">
        <f aca="false">A3298</f>
        <v>0</v>
      </c>
      <c r="X3298" s="17" t="e">
        <f aca="false">ifs(C3298="","",X3298="",NOW(),TRUE(),X3298)</f>
        <v>#VALUE!</v>
      </c>
      <c r="Y3298" s="17" t="e">
        <f aca="false">ifs(COUNTA(K3298:U3301)&lt;44,"",Y3298="",NOW(),TRUE(),Y3298)</f>
        <v>#VALUE!</v>
      </c>
    </row>
    <row r="3299" customFormat="false" ht="15.75" hidden="false" customHeight="false" outlineLevel="0" collapsed="false">
      <c r="A3299" s="9"/>
      <c r="B3299" s="10"/>
      <c r="C3299" s="10"/>
      <c r="D3299" s="10"/>
      <c r="E3299" s="10"/>
      <c r="F3299" s="10"/>
      <c r="G3299" s="10"/>
      <c r="H3299" s="10"/>
      <c r="I3299" s="18" t="n">
        <v>2</v>
      </c>
      <c r="J3299" s="18"/>
      <c r="K3299" s="19"/>
      <c r="L3299" s="19"/>
      <c r="M3299" s="18"/>
      <c r="N3299" s="18"/>
      <c r="O3299" s="18"/>
      <c r="P3299" s="19"/>
      <c r="Q3299" s="19"/>
      <c r="R3299" s="18"/>
      <c r="S3299" s="18"/>
      <c r="T3299" s="18"/>
      <c r="U3299" s="20"/>
      <c r="V3299" s="21"/>
      <c r="W3299" s="16"/>
      <c r="X3299" s="16"/>
      <c r="Y3299" s="16"/>
    </row>
    <row r="3300" customFormat="false" ht="15.75" hidden="false" customHeight="false" outlineLevel="0" collapsed="false">
      <c r="A3300" s="9"/>
      <c r="B3300" s="10"/>
      <c r="C3300" s="10"/>
      <c r="D3300" s="10"/>
      <c r="E3300" s="10"/>
      <c r="F3300" s="10"/>
      <c r="G3300" s="10"/>
      <c r="H3300" s="10"/>
      <c r="I3300" s="22" t="n">
        <v>3</v>
      </c>
      <c r="J3300" s="22"/>
      <c r="K3300" s="23"/>
      <c r="L3300" s="23"/>
      <c r="M3300" s="22"/>
      <c r="N3300" s="22"/>
      <c r="O3300" s="22"/>
      <c r="P3300" s="23"/>
      <c r="Q3300" s="23"/>
      <c r="R3300" s="22"/>
      <c r="S3300" s="22"/>
      <c r="T3300" s="22"/>
      <c r="U3300" s="24"/>
      <c r="V3300" s="15"/>
      <c r="W3300" s="16"/>
      <c r="X3300" s="16"/>
      <c r="Y3300" s="16"/>
    </row>
    <row r="3301" customFormat="false" ht="15.75" hidden="false" customHeight="false" outlineLevel="0" collapsed="false">
      <c r="A3301" s="9"/>
      <c r="B3301" s="10"/>
      <c r="C3301" s="10"/>
      <c r="D3301" s="10"/>
      <c r="E3301" s="10"/>
      <c r="F3301" s="10"/>
      <c r="G3301" s="10"/>
      <c r="H3301" s="10"/>
      <c r="I3301" s="25" t="n">
        <v>4</v>
      </c>
      <c r="J3301" s="25"/>
      <c r="K3301" s="26"/>
      <c r="L3301" s="26"/>
      <c r="M3301" s="25"/>
      <c r="N3301" s="25"/>
      <c r="O3301" s="25"/>
      <c r="P3301" s="26"/>
      <c r="Q3301" s="26"/>
      <c r="R3301" s="25"/>
      <c r="S3301" s="25"/>
      <c r="T3301" s="25"/>
      <c r="U3301" s="27"/>
      <c r="V3301" s="21"/>
      <c r="W3301" s="16"/>
      <c r="X3301" s="16"/>
      <c r="Y3301" s="16"/>
    </row>
    <row r="3302" customFormat="false" ht="15.75" hidden="false" customHeight="false" outlineLevel="0" collapsed="false">
      <c r="A3302" s="9"/>
      <c r="B3302" s="10"/>
      <c r="C3302" s="11"/>
      <c r="D3302" s="10"/>
      <c r="E3302" s="10"/>
      <c r="F3302" s="10"/>
      <c r="G3302" s="10"/>
      <c r="H3302" s="10"/>
      <c r="I3302" s="12" t="n">
        <v>1</v>
      </c>
      <c r="J3302" s="12"/>
      <c r="K3302" s="13"/>
      <c r="L3302" s="13"/>
      <c r="M3302" s="12"/>
      <c r="N3302" s="12"/>
      <c r="O3302" s="12"/>
      <c r="P3302" s="13"/>
      <c r="Q3302" s="13"/>
      <c r="R3302" s="12"/>
      <c r="S3302" s="12"/>
      <c r="T3302" s="12"/>
      <c r="U3302" s="14"/>
      <c r="V3302" s="15"/>
      <c r="W3302" s="16" t="n">
        <f aca="false">A3302</f>
        <v>0</v>
      </c>
      <c r="X3302" s="17" t="e">
        <f aca="false">ifs(C3302="","",X3302="",NOW(),TRUE(),X3302)</f>
        <v>#VALUE!</v>
      </c>
      <c r="Y3302" s="17" t="e">
        <f aca="false">ifs(COUNTA(K3302:U3305)&lt;44,"",Y3302="",NOW(),TRUE(),Y3302)</f>
        <v>#VALUE!</v>
      </c>
    </row>
    <row r="3303" customFormat="false" ht="15.75" hidden="false" customHeight="false" outlineLevel="0" collapsed="false">
      <c r="A3303" s="9"/>
      <c r="B3303" s="10"/>
      <c r="C3303" s="10"/>
      <c r="D3303" s="10"/>
      <c r="E3303" s="10"/>
      <c r="F3303" s="10"/>
      <c r="G3303" s="10"/>
      <c r="H3303" s="10"/>
      <c r="I3303" s="18" t="n">
        <v>2</v>
      </c>
      <c r="J3303" s="18"/>
      <c r="K3303" s="19"/>
      <c r="L3303" s="19"/>
      <c r="M3303" s="18"/>
      <c r="N3303" s="18"/>
      <c r="O3303" s="18"/>
      <c r="P3303" s="19"/>
      <c r="Q3303" s="19"/>
      <c r="R3303" s="18"/>
      <c r="S3303" s="18"/>
      <c r="T3303" s="18"/>
      <c r="U3303" s="20"/>
      <c r="V3303" s="21"/>
      <c r="W3303" s="16"/>
      <c r="X3303" s="16"/>
      <c r="Y3303" s="16"/>
    </row>
    <row r="3304" customFormat="false" ht="15.75" hidden="false" customHeight="false" outlineLevel="0" collapsed="false">
      <c r="A3304" s="9"/>
      <c r="B3304" s="10"/>
      <c r="C3304" s="10"/>
      <c r="D3304" s="10"/>
      <c r="E3304" s="10"/>
      <c r="F3304" s="10"/>
      <c r="G3304" s="10"/>
      <c r="H3304" s="10"/>
      <c r="I3304" s="22" t="n">
        <v>3</v>
      </c>
      <c r="J3304" s="22"/>
      <c r="K3304" s="23"/>
      <c r="L3304" s="23"/>
      <c r="M3304" s="22"/>
      <c r="N3304" s="22"/>
      <c r="O3304" s="22"/>
      <c r="P3304" s="23"/>
      <c r="Q3304" s="23"/>
      <c r="R3304" s="22"/>
      <c r="S3304" s="22"/>
      <c r="T3304" s="22"/>
      <c r="U3304" s="24"/>
      <c r="V3304" s="15"/>
      <c r="W3304" s="16"/>
      <c r="X3304" s="16"/>
      <c r="Y3304" s="16"/>
    </row>
    <row r="3305" customFormat="false" ht="15.75" hidden="false" customHeight="false" outlineLevel="0" collapsed="false">
      <c r="A3305" s="9"/>
      <c r="B3305" s="10"/>
      <c r="C3305" s="10"/>
      <c r="D3305" s="10"/>
      <c r="E3305" s="10"/>
      <c r="F3305" s="10"/>
      <c r="G3305" s="10"/>
      <c r="H3305" s="10"/>
      <c r="I3305" s="25" t="n">
        <v>4</v>
      </c>
      <c r="J3305" s="25"/>
      <c r="K3305" s="26"/>
      <c r="L3305" s="26"/>
      <c r="M3305" s="25"/>
      <c r="N3305" s="25"/>
      <c r="O3305" s="25"/>
      <c r="P3305" s="26"/>
      <c r="Q3305" s="26"/>
      <c r="R3305" s="25"/>
      <c r="S3305" s="25"/>
      <c r="T3305" s="25"/>
      <c r="U3305" s="27"/>
      <c r="V3305" s="21"/>
      <c r="W3305" s="16"/>
      <c r="X3305" s="16"/>
      <c r="Y3305" s="16"/>
    </row>
    <row r="3306" customFormat="false" ht="15.75" hidden="false" customHeight="false" outlineLevel="0" collapsed="false">
      <c r="A3306" s="9"/>
      <c r="B3306" s="10"/>
      <c r="C3306" s="11"/>
      <c r="D3306" s="10"/>
      <c r="E3306" s="10"/>
      <c r="F3306" s="10"/>
      <c r="G3306" s="10"/>
      <c r="H3306" s="10"/>
      <c r="I3306" s="12" t="n">
        <v>1</v>
      </c>
      <c r="J3306" s="12"/>
      <c r="K3306" s="13"/>
      <c r="L3306" s="13"/>
      <c r="M3306" s="12"/>
      <c r="N3306" s="12"/>
      <c r="O3306" s="12"/>
      <c r="P3306" s="13"/>
      <c r="Q3306" s="13"/>
      <c r="R3306" s="12"/>
      <c r="S3306" s="12"/>
      <c r="T3306" s="12"/>
      <c r="U3306" s="14"/>
      <c r="V3306" s="15"/>
      <c r="W3306" s="16" t="n">
        <f aca="false">A3306</f>
        <v>0</v>
      </c>
      <c r="X3306" s="17" t="e">
        <f aca="false">ifs(C3306="","",X3306="",NOW(),TRUE(),X3306)</f>
        <v>#VALUE!</v>
      </c>
      <c r="Y3306" s="17" t="e">
        <f aca="false">ifs(COUNTA(K3306:U3309)&lt;44,"",Y3306="",NOW(),TRUE(),Y3306)</f>
        <v>#VALUE!</v>
      </c>
    </row>
    <row r="3307" customFormat="false" ht="15.75" hidden="false" customHeight="false" outlineLevel="0" collapsed="false">
      <c r="A3307" s="9"/>
      <c r="B3307" s="10"/>
      <c r="C3307" s="10"/>
      <c r="D3307" s="10"/>
      <c r="E3307" s="10"/>
      <c r="F3307" s="10"/>
      <c r="G3307" s="10"/>
      <c r="H3307" s="10"/>
      <c r="I3307" s="18" t="n">
        <v>2</v>
      </c>
      <c r="J3307" s="18"/>
      <c r="K3307" s="19"/>
      <c r="L3307" s="19"/>
      <c r="M3307" s="18"/>
      <c r="N3307" s="18"/>
      <c r="O3307" s="18"/>
      <c r="P3307" s="19"/>
      <c r="Q3307" s="19"/>
      <c r="R3307" s="18"/>
      <c r="S3307" s="18"/>
      <c r="T3307" s="18"/>
      <c r="U3307" s="20"/>
      <c r="V3307" s="21"/>
      <c r="W3307" s="16"/>
      <c r="X3307" s="16"/>
      <c r="Y3307" s="16"/>
    </row>
    <row r="3308" customFormat="false" ht="15.75" hidden="false" customHeight="false" outlineLevel="0" collapsed="false">
      <c r="A3308" s="9"/>
      <c r="B3308" s="10"/>
      <c r="C3308" s="10"/>
      <c r="D3308" s="10"/>
      <c r="E3308" s="10"/>
      <c r="F3308" s="10"/>
      <c r="G3308" s="10"/>
      <c r="H3308" s="10"/>
      <c r="I3308" s="22" t="n">
        <v>3</v>
      </c>
      <c r="J3308" s="22"/>
      <c r="K3308" s="23"/>
      <c r="L3308" s="23"/>
      <c r="M3308" s="22"/>
      <c r="N3308" s="22"/>
      <c r="O3308" s="22"/>
      <c r="P3308" s="23"/>
      <c r="Q3308" s="23"/>
      <c r="R3308" s="22"/>
      <c r="S3308" s="22"/>
      <c r="T3308" s="22"/>
      <c r="U3308" s="24"/>
      <c r="V3308" s="15"/>
      <c r="W3308" s="16"/>
      <c r="X3308" s="16"/>
      <c r="Y3308" s="16"/>
    </row>
    <row r="3309" customFormat="false" ht="15.75" hidden="false" customHeight="false" outlineLevel="0" collapsed="false">
      <c r="A3309" s="9"/>
      <c r="B3309" s="10"/>
      <c r="C3309" s="10"/>
      <c r="D3309" s="10"/>
      <c r="E3309" s="10"/>
      <c r="F3309" s="10"/>
      <c r="G3309" s="10"/>
      <c r="H3309" s="10"/>
      <c r="I3309" s="25" t="n">
        <v>4</v>
      </c>
      <c r="J3309" s="25"/>
      <c r="K3309" s="26"/>
      <c r="L3309" s="26"/>
      <c r="M3309" s="25"/>
      <c r="N3309" s="25"/>
      <c r="O3309" s="25"/>
      <c r="P3309" s="26"/>
      <c r="Q3309" s="26"/>
      <c r="R3309" s="25"/>
      <c r="S3309" s="25"/>
      <c r="T3309" s="25"/>
      <c r="U3309" s="27"/>
      <c r="V3309" s="21"/>
      <c r="W3309" s="16"/>
      <c r="X3309" s="16"/>
      <c r="Y3309" s="16"/>
    </row>
    <row r="3310" customFormat="false" ht="15.75" hidden="false" customHeight="false" outlineLevel="0" collapsed="false">
      <c r="A3310" s="9"/>
      <c r="B3310" s="10"/>
      <c r="C3310" s="11"/>
      <c r="D3310" s="10"/>
      <c r="E3310" s="10"/>
      <c r="F3310" s="10"/>
      <c r="G3310" s="10"/>
      <c r="H3310" s="10"/>
      <c r="I3310" s="12" t="n">
        <v>1</v>
      </c>
      <c r="J3310" s="12"/>
      <c r="K3310" s="13"/>
      <c r="L3310" s="13"/>
      <c r="M3310" s="12"/>
      <c r="N3310" s="12"/>
      <c r="O3310" s="12"/>
      <c r="P3310" s="13"/>
      <c r="Q3310" s="13"/>
      <c r="R3310" s="12"/>
      <c r="S3310" s="12"/>
      <c r="T3310" s="12"/>
      <c r="U3310" s="14"/>
      <c r="V3310" s="15"/>
      <c r="W3310" s="16" t="n">
        <f aca="false">A3310</f>
        <v>0</v>
      </c>
      <c r="X3310" s="17" t="e">
        <f aca="false">ifs(C3310="","",X3310="",NOW(),TRUE(),X3310)</f>
        <v>#VALUE!</v>
      </c>
      <c r="Y3310" s="17" t="e">
        <f aca="false">ifs(COUNTA(K3310:U3313)&lt;44,"",Y3310="",NOW(),TRUE(),Y3310)</f>
        <v>#VALUE!</v>
      </c>
    </row>
    <row r="3311" customFormat="false" ht="15.75" hidden="false" customHeight="false" outlineLevel="0" collapsed="false">
      <c r="A3311" s="9"/>
      <c r="B3311" s="10"/>
      <c r="C3311" s="10"/>
      <c r="D3311" s="10"/>
      <c r="E3311" s="10"/>
      <c r="F3311" s="10"/>
      <c r="G3311" s="10"/>
      <c r="H3311" s="10"/>
      <c r="I3311" s="18" t="n">
        <v>2</v>
      </c>
      <c r="J3311" s="18"/>
      <c r="K3311" s="19"/>
      <c r="L3311" s="19"/>
      <c r="M3311" s="18"/>
      <c r="N3311" s="18"/>
      <c r="O3311" s="18"/>
      <c r="P3311" s="19"/>
      <c r="Q3311" s="19"/>
      <c r="R3311" s="18"/>
      <c r="S3311" s="18"/>
      <c r="T3311" s="18"/>
      <c r="U3311" s="20"/>
      <c r="V3311" s="21"/>
      <c r="W3311" s="16"/>
      <c r="X3311" s="16"/>
      <c r="Y3311" s="16"/>
    </row>
    <row r="3312" customFormat="false" ht="15.75" hidden="false" customHeight="false" outlineLevel="0" collapsed="false">
      <c r="A3312" s="9"/>
      <c r="B3312" s="10"/>
      <c r="C3312" s="10"/>
      <c r="D3312" s="10"/>
      <c r="E3312" s="10"/>
      <c r="F3312" s="10"/>
      <c r="G3312" s="10"/>
      <c r="H3312" s="10"/>
      <c r="I3312" s="22" t="n">
        <v>3</v>
      </c>
      <c r="J3312" s="22"/>
      <c r="K3312" s="23"/>
      <c r="L3312" s="23"/>
      <c r="M3312" s="22"/>
      <c r="N3312" s="22"/>
      <c r="O3312" s="22"/>
      <c r="P3312" s="23"/>
      <c r="Q3312" s="23"/>
      <c r="R3312" s="22"/>
      <c r="S3312" s="22"/>
      <c r="T3312" s="22"/>
      <c r="U3312" s="24"/>
      <c r="V3312" s="15"/>
      <c r="W3312" s="16"/>
      <c r="X3312" s="16"/>
      <c r="Y3312" s="16"/>
    </row>
    <row r="3313" customFormat="false" ht="15.75" hidden="false" customHeight="false" outlineLevel="0" collapsed="false">
      <c r="A3313" s="9"/>
      <c r="B3313" s="10"/>
      <c r="C3313" s="10"/>
      <c r="D3313" s="10"/>
      <c r="E3313" s="10"/>
      <c r="F3313" s="10"/>
      <c r="G3313" s="10"/>
      <c r="H3313" s="10"/>
      <c r="I3313" s="25" t="n">
        <v>4</v>
      </c>
      <c r="J3313" s="25"/>
      <c r="K3313" s="26"/>
      <c r="L3313" s="26"/>
      <c r="M3313" s="25"/>
      <c r="N3313" s="25"/>
      <c r="O3313" s="25"/>
      <c r="P3313" s="26"/>
      <c r="Q3313" s="26"/>
      <c r="R3313" s="25"/>
      <c r="S3313" s="25"/>
      <c r="T3313" s="25"/>
      <c r="U3313" s="27"/>
      <c r="V3313" s="21"/>
      <c r="W3313" s="16"/>
      <c r="X3313" s="16"/>
      <c r="Y3313" s="16"/>
    </row>
    <row r="3314" customFormat="false" ht="15.75" hidden="false" customHeight="false" outlineLevel="0" collapsed="false">
      <c r="A3314" s="9"/>
      <c r="B3314" s="10"/>
      <c r="C3314" s="11"/>
      <c r="D3314" s="10"/>
      <c r="E3314" s="10"/>
      <c r="F3314" s="10"/>
      <c r="G3314" s="10"/>
      <c r="H3314" s="10"/>
      <c r="I3314" s="12" t="n">
        <v>1</v>
      </c>
      <c r="J3314" s="12"/>
      <c r="K3314" s="13"/>
      <c r="L3314" s="13"/>
      <c r="M3314" s="12"/>
      <c r="N3314" s="12"/>
      <c r="O3314" s="12"/>
      <c r="P3314" s="13"/>
      <c r="Q3314" s="13"/>
      <c r="R3314" s="12"/>
      <c r="S3314" s="12"/>
      <c r="T3314" s="12"/>
      <c r="U3314" s="14"/>
      <c r="V3314" s="15"/>
      <c r="W3314" s="16" t="n">
        <f aca="false">A3314</f>
        <v>0</v>
      </c>
      <c r="X3314" s="17" t="e">
        <f aca="false">ifs(C3314="","",X3314="",NOW(),TRUE(),X3314)</f>
        <v>#VALUE!</v>
      </c>
      <c r="Y3314" s="17" t="e">
        <f aca="false">ifs(COUNTA(K3314:U3317)&lt;44,"",Y3314="",NOW(),TRUE(),Y3314)</f>
        <v>#VALUE!</v>
      </c>
    </row>
    <row r="3315" customFormat="false" ht="15.75" hidden="false" customHeight="false" outlineLevel="0" collapsed="false">
      <c r="A3315" s="9"/>
      <c r="B3315" s="10"/>
      <c r="C3315" s="10"/>
      <c r="D3315" s="10"/>
      <c r="E3315" s="10"/>
      <c r="F3315" s="10"/>
      <c r="G3315" s="10"/>
      <c r="H3315" s="10"/>
      <c r="I3315" s="18" t="n">
        <v>2</v>
      </c>
      <c r="J3315" s="18"/>
      <c r="K3315" s="19"/>
      <c r="L3315" s="19"/>
      <c r="M3315" s="18"/>
      <c r="N3315" s="18"/>
      <c r="O3315" s="18"/>
      <c r="P3315" s="19"/>
      <c r="Q3315" s="19"/>
      <c r="R3315" s="18"/>
      <c r="S3315" s="18"/>
      <c r="T3315" s="18"/>
      <c r="U3315" s="20"/>
      <c r="V3315" s="21"/>
      <c r="W3315" s="16"/>
      <c r="X3315" s="16"/>
      <c r="Y3315" s="16"/>
    </row>
    <row r="3316" customFormat="false" ht="15.75" hidden="false" customHeight="false" outlineLevel="0" collapsed="false">
      <c r="A3316" s="9"/>
      <c r="B3316" s="10"/>
      <c r="C3316" s="10"/>
      <c r="D3316" s="10"/>
      <c r="E3316" s="10"/>
      <c r="F3316" s="10"/>
      <c r="G3316" s="10"/>
      <c r="H3316" s="10"/>
      <c r="I3316" s="22" t="n">
        <v>3</v>
      </c>
      <c r="J3316" s="22"/>
      <c r="K3316" s="23"/>
      <c r="L3316" s="23"/>
      <c r="M3316" s="22"/>
      <c r="N3316" s="22"/>
      <c r="O3316" s="22"/>
      <c r="P3316" s="23"/>
      <c r="Q3316" s="23"/>
      <c r="R3316" s="22"/>
      <c r="S3316" s="22"/>
      <c r="T3316" s="22"/>
      <c r="U3316" s="24"/>
      <c r="V3316" s="15"/>
      <c r="W3316" s="16"/>
      <c r="X3316" s="16"/>
      <c r="Y3316" s="16"/>
    </row>
    <row r="3317" customFormat="false" ht="15.75" hidden="false" customHeight="false" outlineLevel="0" collapsed="false">
      <c r="A3317" s="9"/>
      <c r="B3317" s="10"/>
      <c r="C3317" s="10"/>
      <c r="D3317" s="10"/>
      <c r="E3317" s="10"/>
      <c r="F3317" s="10"/>
      <c r="G3317" s="10"/>
      <c r="H3317" s="10"/>
      <c r="I3317" s="25" t="n">
        <v>4</v>
      </c>
      <c r="J3317" s="25"/>
      <c r="K3317" s="26"/>
      <c r="L3317" s="26"/>
      <c r="M3317" s="25"/>
      <c r="N3317" s="25"/>
      <c r="O3317" s="25"/>
      <c r="P3317" s="26"/>
      <c r="Q3317" s="26"/>
      <c r="R3317" s="25"/>
      <c r="S3317" s="25"/>
      <c r="T3317" s="25"/>
      <c r="U3317" s="27"/>
      <c r="V3317" s="21"/>
      <c r="W3317" s="16"/>
      <c r="X3317" s="16"/>
      <c r="Y3317" s="16"/>
    </row>
    <row r="3318" customFormat="false" ht="15.75" hidden="false" customHeight="false" outlineLevel="0" collapsed="false">
      <c r="A3318" s="9"/>
      <c r="B3318" s="10"/>
      <c r="C3318" s="11"/>
      <c r="D3318" s="10"/>
      <c r="E3318" s="10"/>
      <c r="F3318" s="10"/>
      <c r="G3318" s="10"/>
      <c r="H3318" s="10"/>
      <c r="I3318" s="12" t="n">
        <v>1</v>
      </c>
      <c r="J3318" s="12"/>
      <c r="K3318" s="13"/>
      <c r="L3318" s="13"/>
      <c r="M3318" s="12"/>
      <c r="N3318" s="12"/>
      <c r="O3318" s="12"/>
      <c r="P3318" s="13"/>
      <c r="Q3318" s="13"/>
      <c r="R3318" s="12"/>
      <c r="S3318" s="12"/>
      <c r="T3318" s="12"/>
      <c r="U3318" s="14"/>
      <c r="V3318" s="15"/>
      <c r="W3318" s="16" t="n">
        <f aca="false">A3318</f>
        <v>0</v>
      </c>
      <c r="X3318" s="17" t="e">
        <f aca="false">ifs(C3318="","",X3318="",NOW(),TRUE(),X3318)</f>
        <v>#VALUE!</v>
      </c>
      <c r="Y3318" s="17" t="e">
        <f aca="false">ifs(COUNTA(K3318:U3321)&lt;44,"",Y3318="",NOW(),TRUE(),Y3318)</f>
        <v>#VALUE!</v>
      </c>
    </row>
    <row r="3319" customFormat="false" ht="15.75" hidden="false" customHeight="false" outlineLevel="0" collapsed="false">
      <c r="A3319" s="9"/>
      <c r="B3319" s="10"/>
      <c r="C3319" s="10"/>
      <c r="D3319" s="10"/>
      <c r="E3319" s="10"/>
      <c r="F3319" s="10"/>
      <c r="G3319" s="10"/>
      <c r="H3319" s="10"/>
      <c r="I3319" s="18" t="n">
        <v>2</v>
      </c>
      <c r="J3319" s="18"/>
      <c r="K3319" s="19"/>
      <c r="L3319" s="19"/>
      <c r="M3319" s="18"/>
      <c r="N3319" s="18"/>
      <c r="O3319" s="18"/>
      <c r="P3319" s="19"/>
      <c r="Q3319" s="19"/>
      <c r="R3319" s="18"/>
      <c r="S3319" s="18"/>
      <c r="T3319" s="18"/>
      <c r="U3319" s="20"/>
      <c r="V3319" s="21"/>
      <c r="W3319" s="16"/>
      <c r="X3319" s="16"/>
      <c r="Y3319" s="16"/>
    </row>
    <row r="3320" customFormat="false" ht="15.75" hidden="false" customHeight="false" outlineLevel="0" collapsed="false">
      <c r="A3320" s="9"/>
      <c r="B3320" s="10"/>
      <c r="C3320" s="10"/>
      <c r="D3320" s="10"/>
      <c r="E3320" s="10"/>
      <c r="F3320" s="10"/>
      <c r="G3320" s="10"/>
      <c r="H3320" s="10"/>
      <c r="I3320" s="22" t="n">
        <v>3</v>
      </c>
      <c r="J3320" s="22"/>
      <c r="K3320" s="23"/>
      <c r="L3320" s="23"/>
      <c r="M3320" s="22"/>
      <c r="N3320" s="22"/>
      <c r="O3320" s="22"/>
      <c r="P3320" s="23"/>
      <c r="Q3320" s="23"/>
      <c r="R3320" s="22"/>
      <c r="S3320" s="22"/>
      <c r="T3320" s="22"/>
      <c r="U3320" s="24"/>
      <c r="V3320" s="15"/>
      <c r="W3320" s="16"/>
      <c r="X3320" s="16"/>
      <c r="Y3320" s="16"/>
    </row>
    <row r="3321" customFormat="false" ht="15.75" hidden="false" customHeight="false" outlineLevel="0" collapsed="false">
      <c r="A3321" s="9"/>
      <c r="B3321" s="10"/>
      <c r="C3321" s="10"/>
      <c r="D3321" s="10"/>
      <c r="E3321" s="10"/>
      <c r="F3321" s="10"/>
      <c r="G3321" s="10"/>
      <c r="H3321" s="10"/>
      <c r="I3321" s="25" t="n">
        <v>4</v>
      </c>
      <c r="J3321" s="25"/>
      <c r="K3321" s="26"/>
      <c r="L3321" s="26"/>
      <c r="M3321" s="25"/>
      <c r="N3321" s="25"/>
      <c r="O3321" s="25"/>
      <c r="P3321" s="26"/>
      <c r="Q3321" s="26"/>
      <c r="R3321" s="25"/>
      <c r="S3321" s="25"/>
      <c r="T3321" s="25"/>
      <c r="U3321" s="27"/>
      <c r="V3321" s="21"/>
      <c r="W3321" s="16"/>
      <c r="X3321" s="16"/>
      <c r="Y3321" s="16"/>
    </row>
    <row r="3322" customFormat="false" ht="15.75" hidden="false" customHeight="false" outlineLevel="0" collapsed="false">
      <c r="A3322" s="9"/>
      <c r="B3322" s="10"/>
      <c r="C3322" s="11"/>
      <c r="D3322" s="10"/>
      <c r="E3322" s="10"/>
      <c r="F3322" s="10"/>
      <c r="G3322" s="10"/>
      <c r="H3322" s="10"/>
      <c r="I3322" s="12" t="n">
        <v>1</v>
      </c>
      <c r="J3322" s="12"/>
      <c r="K3322" s="13"/>
      <c r="L3322" s="13"/>
      <c r="M3322" s="12"/>
      <c r="N3322" s="12"/>
      <c r="O3322" s="12"/>
      <c r="P3322" s="13"/>
      <c r="Q3322" s="13"/>
      <c r="R3322" s="12"/>
      <c r="S3322" s="12"/>
      <c r="T3322" s="12"/>
      <c r="U3322" s="14"/>
      <c r="V3322" s="15"/>
      <c r="W3322" s="16" t="n">
        <f aca="false">A3322</f>
        <v>0</v>
      </c>
      <c r="X3322" s="17" t="e">
        <f aca="false">ifs(C3322="","",X3322="",NOW(),TRUE(),X3322)</f>
        <v>#VALUE!</v>
      </c>
      <c r="Y3322" s="17" t="e">
        <f aca="false">ifs(COUNTA(K3322:U3325)&lt;44,"",Y3322="",NOW(),TRUE(),Y3322)</f>
        <v>#VALUE!</v>
      </c>
    </row>
    <row r="3323" customFormat="false" ht="15.75" hidden="false" customHeight="false" outlineLevel="0" collapsed="false">
      <c r="A3323" s="9"/>
      <c r="B3323" s="10"/>
      <c r="C3323" s="10"/>
      <c r="D3323" s="10"/>
      <c r="E3323" s="10"/>
      <c r="F3323" s="10"/>
      <c r="G3323" s="10"/>
      <c r="H3323" s="10"/>
      <c r="I3323" s="18" t="n">
        <v>2</v>
      </c>
      <c r="J3323" s="18"/>
      <c r="K3323" s="19"/>
      <c r="L3323" s="19"/>
      <c r="M3323" s="18"/>
      <c r="N3323" s="18"/>
      <c r="O3323" s="18"/>
      <c r="P3323" s="19"/>
      <c r="Q3323" s="19"/>
      <c r="R3323" s="18"/>
      <c r="S3323" s="18"/>
      <c r="T3323" s="18"/>
      <c r="U3323" s="20"/>
      <c r="V3323" s="21"/>
      <c r="W3323" s="16"/>
      <c r="X3323" s="16"/>
      <c r="Y3323" s="16"/>
    </row>
    <row r="3324" customFormat="false" ht="15.75" hidden="false" customHeight="false" outlineLevel="0" collapsed="false">
      <c r="A3324" s="9"/>
      <c r="B3324" s="10"/>
      <c r="C3324" s="10"/>
      <c r="D3324" s="10"/>
      <c r="E3324" s="10"/>
      <c r="F3324" s="10"/>
      <c r="G3324" s="10"/>
      <c r="H3324" s="10"/>
      <c r="I3324" s="22" t="n">
        <v>3</v>
      </c>
      <c r="J3324" s="22"/>
      <c r="K3324" s="23"/>
      <c r="L3324" s="23"/>
      <c r="M3324" s="22"/>
      <c r="N3324" s="22"/>
      <c r="O3324" s="22"/>
      <c r="P3324" s="23"/>
      <c r="Q3324" s="23"/>
      <c r="R3324" s="22"/>
      <c r="S3324" s="22"/>
      <c r="T3324" s="22"/>
      <c r="U3324" s="24"/>
      <c r="V3324" s="15"/>
      <c r="W3324" s="16"/>
      <c r="X3324" s="16"/>
      <c r="Y3324" s="16"/>
    </row>
    <row r="3325" customFormat="false" ht="15.75" hidden="false" customHeight="false" outlineLevel="0" collapsed="false">
      <c r="A3325" s="9"/>
      <c r="B3325" s="10"/>
      <c r="C3325" s="10"/>
      <c r="D3325" s="10"/>
      <c r="E3325" s="10"/>
      <c r="F3325" s="10"/>
      <c r="G3325" s="10"/>
      <c r="H3325" s="10"/>
      <c r="I3325" s="25" t="n">
        <v>4</v>
      </c>
      <c r="J3325" s="25"/>
      <c r="K3325" s="26"/>
      <c r="L3325" s="26"/>
      <c r="M3325" s="25"/>
      <c r="N3325" s="25"/>
      <c r="O3325" s="25"/>
      <c r="P3325" s="26"/>
      <c r="Q3325" s="26"/>
      <c r="R3325" s="25"/>
      <c r="S3325" s="25"/>
      <c r="T3325" s="25"/>
      <c r="U3325" s="27"/>
      <c r="V3325" s="21"/>
      <c r="W3325" s="16"/>
      <c r="X3325" s="16"/>
      <c r="Y3325" s="16"/>
    </row>
    <row r="3326" customFormat="false" ht="15.75" hidden="false" customHeight="false" outlineLevel="0" collapsed="false">
      <c r="A3326" s="9"/>
      <c r="B3326" s="10"/>
      <c r="C3326" s="11"/>
      <c r="D3326" s="10"/>
      <c r="E3326" s="10"/>
      <c r="F3326" s="10"/>
      <c r="G3326" s="10"/>
      <c r="H3326" s="10"/>
      <c r="I3326" s="12" t="n">
        <v>1</v>
      </c>
      <c r="J3326" s="12"/>
      <c r="K3326" s="13"/>
      <c r="L3326" s="13"/>
      <c r="M3326" s="12"/>
      <c r="N3326" s="12"/>
      <c r="O3326" s="12"/>
      <c r="P3326" s="13"/>
      <c r="Q3326" s="13"/>
      <c r="R3326" s="12"/>
      <c r="S3326" s="12"/>
      <c r="T3326" s="12"/>
      <c r="U3326" s="14"/>
      <c r="V3326" s="15"/>
      <c r="W3326" s="16" t="n">
        <f aca="false">A3326</f>
        <v>0</v>
      </c>
      <c r="X3326" s="17" t="e">
        <f aca="false">ifs(C3326="","",X3326="",NOW(),TRUE(),X3326)</f>
        <v>#VALUE!</v>
      </c>
      <c r="Y3326" s="17" t="e">
        <f aca="false">ifs(COUNTA(K3326:U3329)&lt;44,"",Y3326="",NOW(),TRUE(),Y3326)</f>
        <v>#VALUE!</v>
      </c>
    </row>
    <row r="3327" customFormat="false" ht="15.75" hidden="false" customHeight="false" outlineLevel="0" collapsed="false">
      <c r="A3327" s="9"/>
      <c r="B3327" s="10"/>
      <c r="C3327" s="10"/>
      <c r="D3327" s="10"/>
      <c r="E3327" s="10"/>
      <c r="F3327" s="10"/>
      <c r="G3327" s="10"/>
      <c r="H3327" s="10"/>
      <c r="I3327" s="18" t="n">
        <v>2</v>
      </c>
      <c r="J3327" s="18"/>
      <c r="K3327" s="19"/>
      <c r="L3327" s="19"/>
      <c r="M3327" s="18"/>
      <c r="N3327" s="18"/>
      <c r="O3327" s="18"/>
      <c r="P3327" s="19"/>
      <c r="Q3327" s="19"/>
      <c r="R3327" s="18"/>
      <c r="S3327" s="18"/>
      <c r="T3327" s="18"/>
      <c r="U3327" s="20"/>
      <c r="V3327" s="21"/>
      <c r="W3327" s="16"/>
      <c r="X3327" s="16"/>
      <c r="Y3327" s="16"/>
    </row>
    <row r="3328" customFormat="false" ht="15.75" hidden="false" customHeight="false" outlineLevel="0" collapsed="false">
      <c r="A3328" s="9"/>
      <c r="B3328" s="10"/>
      <c r="C3328" s="10"/>
      <c r="D3328" s="10"/>
      <c r="E3328" s="10"/>
      <c r="F3328" s="10"/>
      <c r="G3328" s="10"/>
      <c r="H3328" s="10"/>
      <c r="I3328" s="22" t="n">
        <v>3</v>
      </c>
      <c r="J3328" s="22"/>
      <c r="K3328" s="23"/>
      <c r="L3328" s="23"/>
      <c r="M3328" s="22"/>
      <c r="N3328" s="22"/>
      <c r="O3328" s="22"/>
      <c r="P3328" s="23"/>
      <c r="Q3328" s="23"/>
      <c r="R3328" s="22"/>
      <c r="S3328" s="22"/>
      <c r="T3328" s="22"/>
      <c r="U3328" s="24"/>
      <c r="V3328" s="15"/>
      <c r="W3328" s="16"/>
      <c r="X3328" s="16"/>
      <c r="Y3328" s="16"/>
    </row>
    <row r="3329" customFormat="false" ht="15.75" hidden="false" customHeight="false" outlineLevel="0" collapsed="false">
      <c r="A3329" s="9"/>
      <c r="B3329" s="10"/>
      <c r="C3329" s="10"/>
      <c r="D3329" s="10"/>
      <c r="E3329" s="10"/>
      <c r="F3329" s="10"/>
      <c r="G3329" s="10"/>
      <c r="H3329" s="10"/>
      <c r="I3329" s="25" t="n">
        <v>4</v>
      </c>
      <c r="J3329" s="25"/>
      <c r="K3329" s="26"/>
      <c r="L3329" s="26"/>
      <c r="M3329" s="25"/>
      <c r="N3329" s="25"/>
      <c r="O3329" s="25"/>
      <c r="P3329" s="26"/>
      <c r="Q3329" s="26"/>
      <c r="R3329" s="25"/>
      <c r="S3329" s="25"/>
      <c r="T3329" s="25"/>
      <c r="U3329" s="27"/>
      <c r="V3329" s="21"/>
      <c r="W3329" s="16"/>
      <c r="X3329" s="16"/>
      <c r="Y3329" s="16"/>
    </row>
    <row r="3330" customFormat="false" ht="15.75" hidden="false" customHeight="false" outlineLevel="0" collapsed="false">
      <c r="A3330" s="9"/>
      <c r="B3330" s="10"/>
      <c r="C3330" s="11"/>
      <c r="D3330" s="10"/>
      <c r="E3330" s="10"/>
      <c r="F3330" s="10"/>
      <c r="G3330" s="10"/>
      <c r="H3330" s="10"/>
      <c r="I3330" s="12" t="n">
        <v>1</v>
      </c>
      <c r="J3330" s="12"/>
      <c r="K3330" s="13"/>
      <c r="L3330" s="13"/>
      <c r="M3330" s="12"/>
      <c r="N3330" s="12"/>
      <c r="O3330" s="12"/>
      <c r="P3330" s="13"/>
      <c r="Q3330" s="13"/>
      <c r="R3330" s="12"/>
      <c r="S3330" s="12"/>
      <c r="T3330" s="12"/>
      <c r="U3330" s="14"/>
      <c r="V3330" s="15"/>
      <c r="W3330" s="16" t="n">
        <f aca="false">A3330</f>
        <v>0</v>
      </c>
      <c r="X3330" s="17" t="e">
        <f aca="false">ifs(C3330="","",X3330="",NOW(),TRUE(),X3330)</f>
        <v>#VALUE!</v>
      </c>
      <c r="Y3330" s="17" t="e">
        <f aca="false">ifs(COUNTA(K3330:U3333)&lt;44,"",Y3330="",NOW(),TRUE(),Y3330)</f>
        <v>#VALUE!</v>
      </c>
    </row>
    <row r="3331" customFormat="false" ht="15.75" hidden="false" customHeight="false" outlineLevel="0" collapsed="false">
      <c r="A3331" s="9"/>
      <c r="B3331" s="10"/>
      <c r="C3331" s="10"/>
      <c r="D3331" s="10"/>
      <c r="E3331" s="10"/>
      <c r="F3331" s="10"/>
      <c r="G3331" s="10"/>
      <c r="H3331" s="10"/>
      <c r="I3331" s="18" t="n">
        <v>2</v>
      </c>
      <c r="J3331" s="18"/>
      <c r="K3331" s="19"/>
      <c r="L3331" s="19"/>
      <c r="M3331" s="18"/>
      <c r="N3331" s="18"/>
      <c r="O3331" s="18"/>
      <c r="P3331" s="19"/>
      <c r="Q3331" s="19"/>
      <c r="R3331" s="18"/>
      <c r="S3331" s="18"/>
      <c r="T3331" s="18"/>
      <c r="U3331" s="20"/>
      <c r="V3331" s="21"/>
      <c r="W3331" s="16"/>
      <c r="X3331" s="16"/>
      <c r="Y3331" s="16"/>
    </row>
    <row r="3332" customFormat="false" ht="15.75" hidden="false" customHeight="false" outlineLevel="0" collapsed="false">
      <c r="A3332" s="9"/>
      <c r="B3332" s="10"/>
      <c r="C3332" s="10"/>
      <c r="D3332" s="10"/>
      <c r="E3332" s="10"/>
      <c r="F3332" s="10"/>
      <c r="G3332" s="10"/>
      <c r="H3332" s="10"/>
      <c r="I3332" s="22" t="n">
        <v>3</v>
      </c>
      <c r="J3332" s="22"/>
      <c r="K3332" s="23"/>
      <c r="L3332" s="23"/>
      <c r="M3332" s="22"/>
      <c r="N3332" s="22"/>
      <c r="O3332" s="22"/>
      <c r="P3332" s="23"/>
      <c r="Q3332" s="23"/>
      <c r="R3332" s="22"/>
      <c r="S3332" s="22"/>
      <c r="T3332" s="22"/>
      <c r="U3332" s="24"/>
      <c r="V3332" s="15"/>
      <c r="W3332" s="16"/>
      <c r="X3332" s="16"/>
      <c r="Y3332" s="16"/>
    </row>
    <row r="3333" customFormat="false" ht="15.75" hidden="false" customHeight="false" outlineLevel="0" collapsed="false">
      <c r="A3333" s="9"/>
      <c r="B3333" s="10"/>
      <c r="C3333" s="10"/>
      <c r="D3333" s="10"/>
      <c r="E3333" s="10"/>
      <c r="F3333" s="10"/>
      <c r="G3333" s="10"/>
      <c r="H3333" s="10"/>
      <c r="I3333" s="25" t="n">
        <v>4</v>
      </c>
      <c r="J3333" s="25"/>
      <c r="K3333" s="26"/>
      <c r="L3333" s="26"/>
      <c r="M3333" s="25"/>
      <c r="N3333" s="25"/>
      <c r="O3333" s="25"/>
      <c r="P3333" s="26"/>
      <c r="Q3333" s="26"/>
      <c r="R3333" s="25"/>
      <c r="S3333" s="25"/>
      <c r="T3333" s="25"/>
      <c r="U3333" s="27"/>
      <c r="V3333" s="21"/>
      <c r="W3333" s="16"/>
      <c r="X3333" s="16"/>
      <c r="Y3333" s="16"/>
    </row>
    <row r="3334" customFormat="false" ht="15.75" hidden="false" customHeight="false" outlineLevel="0" collapsed="false">
      <c r="A3334" s="9"/>
      <c r="B3334" s="10"/>
      <c r="C3334" s="11"/>
      <c r="D3334" s="10"/>
      <c r="E3334" s="10"/>
      <c r="F3334" s="10"/>
      <c r="G3334" s="10"/>
      <c r="H3334" s="10"/>
      <c r="I3334" s="12" t="n">
        <v>1</v>
      </c>
      <c r="J3334" s="12"/>
      <c r="K3334" s="13"/>
      <c r="L3334" s="13"/>
      <c r="M3334" s="12"/>
      <c r="N3334" s="12"/>
      <c r="O3334" s="12"/>
      <c r="P3334" s="13"/>
      <c r="Q3334" s="13"/>
      <c r="R3334" s="12"/>
      <c r="S3334" s="12"/>
      <c r="T3334" s="12"/>
      <c r="U3334" s="14"/>
      <c r="V3334" s="15"/>
      <c r="W3334" s="16" t="n">
        <f aca="false">A3334</f>
        <v>0</v>
      </c>
      <c r="X3334" s="17" t="e">
        <f aca="false">ifs(C3334="","",X3334="",NOW(),TRUE(),X3334)</f>
        <v>#VALUE!</v>
      </c>
      <c r="Y3334" s="17" t="e">
        <f aca="false">ifs(COUNTA(K3334:U3337)&lt;44,"",Y3334="",NOW(),TRUE(),Y3334)</f>
        <v>#VALUE!</v>
      </c>
    </row>
    <row r="3335" customFormat="false" ht="15.75" hidden="false" customHeight="false" outlineLevel="0" collapsed="false">
      <c r="A3335" s="9"/>
      <c r="B3335" s="10"/>
      <c r="C3335" s="10"/>
      <c r="D3335" s="10"/>
      <c r="E3335" s="10"/>
      <c r="F3335" s="10"/>
      <c r="G3335" s="10"/>
      <c r="H3335" s="10"/>
      <c r="I3335" s="18" t="n">
        <v>2</v>
      </c>
      <c r="J3335" s="18"/>
      <c r="K3335" s="19"/>
      <c r="L3335" s="19"/>
      <c r="M3335" s="18"/>
      <c r="N3335" s="18"/>
      <c r="O3335" s="18"/>
      <c r="P3335" s="19"/>
      <c r="Q3335" s="19"/>
      <c r="R3335" s="18"/>
      <c r="S3335" s="18"/>
      <c r="T3335" s="18"/>
      <c r="U3335" s="20"/>
      <c r="V3335" s="21"/>
      <c r="W3335" s="16"/>
      <c r="X3335" s="16"/>
      <c r="Y3335" s="16"/>
    </row>
    <row r="3336" customFormat="false" ht="15.75" hidden="false" customHeight="false" outlineLevel="0" collapsed="false">
      <c r="A3336" s="9"/>
      <c r="B3336" s="10"/>
      <c r="C3336" s="10"/>
      <c r="D3336" s="10"/>
      <c r="E3336" s="10"/>
      <c r="F3336" s="10"/>
      <c r="G3336" s="10"/>
      <c r="H3336" s="10"/>
      <c r="I3336" s="22" t="n">
        <v>3</v>
      </c>
      <c r="J3336" s="22"/>
      <c r="K3336" s="23"/>
      <c r="L3336" s="23"/>
      <c r="M3336" s="22"/>
      <c r="N3336" s="22"/>
      <c r="O3336" s="22"/>
      <c r="P3336" s="23"/>
      <c r="Q3336" s="23"/>
      <c r="R3336" s="22"/>
      <c r="S3336" s="22"/>
      <c r="T3336" s="22"/>
      <c r="U3336" s="24"/>
      <c r="V3336" s="15"/>
      <c r="W3336" s="16"/>
      <c r="X3336" s="16"/>
      <c r="Y3336" s="16"/>
    </row>
    <row r="3337" customFormat="false" ht="15.75" hidden="false" customHeight="false" outlineLevel="0" collapsed="false">
      <c r="A3337" s="9"/>
      <c r="B3337" s="10"/>
      <c r="C3337" s="10"/>
      <c r="D3337" s="10"/>
      <c r="E3337" s="10"/>
      <c r="F3337" s="10"/>
      <c r="G3337" s="10"/>
      <c r="H3337" s="10"/>
      <c r="I3337" s="25" t="n">
        <v>4</v>
      </c>
      <c r="J3337" s="25"/>
      <c r="K3337" s="26"/>
      <c r="L3337" s="26"/>
      <c r="M3337" s="25"/>
      <c r="N3337" s="25"/>
      <c r="O3337" s="25"/>
      <c r="P3337" s="26"/>
      <c r="Q3337" s="26"/>
      <c r="R3337" s="25"/>
      <c r="S3337" s="25"/>
      <c r="T3337" s="25"/>
      <c r="U3337" s="27"/>
      <c r="V3337" s="21"/>
      <c r="W3337" s="16"/>
      <c r="X3337" s="16"/>
      <c r="Y3337" s="16"/>
    </row>
    <row r="3338" customFormat="false" ht="15.75" hidden="false" customHeight="false" outlineLevel="0" collapsed="false">
      <c r="A3338" s="9"/>
      <c r="B3338" s="10"/>
      <c r="C3338" s="11"/>
      <c r="D3338" s="10"/>
      <c r="E3338" s="10"/>
      <c r="F3338" s="10"/>
      <c r="G3338" s="10"/>
      <c r="H3338" s="10"/>
      <c r="I3338" s="12" t="n">
        <v>1</v>
      </c>
      <c r="J3338" s="12"/>
      <c r="K3338" s="13"/>
      <c r="L3338" s="13"/>
      <c r="M3338" s="12"/>
      <c r="N3338" s="12"/>
      <c r="O3338" s="12"/>
      <c r="P3338" s="13"/>
      <c r="Q3338" s="13"/>
      <c r="R3338" s="12"/>
      <c r="S3338" s="12"/>
      <c r="T3338" s="12"/>
      <c r="U3338" s="14"/>
      <c r="V3338" s="15"/>
      <c r="W3338" s="16" t="n">
        <f aca="false">A3338</f>
        <v>0</v>
      </c>
      <c r="X3338" s="17" t="e">
        <f aca="false">ifs(C3338="","",X3338="",NOW(),TRUE(),X3338)</f>
        <v>#VALUE!</v>
      </c>
      <c r="Y3338" s="17" t="e">
        <f aca="false">ifs(COUNTA(K3338:U3341)&lt;44,"",Y3338="",NOW(),TRUE(),Y3338)</f>
        <v>#VALUE!</v>
      </c>
    </row>
    <row r="3339" customFormat="false" ht="15.75" hidden="false" customHeight="false" outlineLevel="0" collapsed="false">
      <c r="A3339" s="9"/>
      <c r="B3339" s="10"/>
      <c r="C3339" s="10"/>
      <c r="D3339" s="10"/>
      <c r="E3339" s="10"/>
      <c r="F3339" s="10"/>
      <c r="G3339" s="10"/>
      <c r="H3339" s="10"/>
      <c r="I3339" s="18" t="n">
        <v>2</v>
      </c>
      <c r="J3339" s="18"/>
      <c r="K3339" s="19"/>
      <c r="L3339" s="19"/>
      <c r="M3339" s="18"/>
      <c r="N3339" s="18"/>
      <c r="O3339" s="18"/>
      <c r="P3339" s="19"/>
      <c r="Q3339" s="19"/>
      <c r="R3339" s="18"/>
      <c r="S3339" s="18"/>
      <c r="T3339" s="18"/>
      <c r="U3339" s="20"/>
      <c r="V3339" s="21"/>
      <c r="W3339" s="16"/>
      <c r="X3339" s="16"/>
      <c r="Y3339" s="16"/>
    </row>
    <row r="3340" customFormat="false" ht="15.75" hidden="false" customHeight="false" outlineLevel="0" collapsed="false">
      <c r="A3340" s="9"/>
      <c r="B3340" s="10"/>
      <c r="C3340" s="10"/>
      <c r="D3340" s="10"/>
      <c r="E3340" s="10"/>
      <c r="F3340" s="10"/>
      <c r="G3340" s="10"/>
      <c r="H3340" s="10"/>
      <c r="I3340" s="22" t="n">
        <v>3</v>
      </c>
      <c r="J3340" s="22"/>
      <c r="K3340" s="23"/>
      <c r="L3340" s="23"/>
      <c r="M3340" s="22"/>
      <c r="N3340" s="22"/>
      <c r="O3340" s="22"/>
      <c r="P3340" s="23"/>
      <c r="Q3340" s="23"/>
      <c r="R3340" s="22"/>
      <c r="S3340" s="22"/>
      <c r="T3340" s="22"/>
      <c r="U3340" s="24"/>
      <c r="V3340" s="15"/>
      <c r="W3340" s="16"/>
      <c r="X3340" s="16"/>
      <c r="Y3340" s="16"/>
    </row>
    <row r="3341" customFormat="false" ht="15.75" hidden="false" customHeight="false" outlineLevel="0" collapsed="false">
      <c r="A3341" s="9"/>
      <c r="B3341" s="10"/>
      <c r="C3341" s="10"/>
      <c r="D3341" s="10"/>
      <c r="E3341" s="10"/>
      <c r="F3341" s="10"/>
      <c r="G3341" s="10"/>
      <c r="H3341" s="10"/>
      <c r="I3341" s="25" t="n">
        <v>4</v>
      </c>
      <c r="J3341" s="25"/>
      <c r="K3341" s="26"/>
      <c r="L3341" s="26"/>
      <c r="M3341" s="25"/>
      <c r="N3341" s="25"/>
      <c r="O3341" s="25"/>
      <c r="P3341" s="26"/>
      <c r="Q3341" s="26"/>
      <c r="R3341" s="25"/>
      <c r="S3341" s="25"/>
      <c r="T3341" s="25"/>
      <c r="U3341" s="27"/>
      <c r="V3341" s="21"/>
      <c r="W3341" s="16"/>
      <c r="X3341" s="16"/>
      <c r="Y3341" s="16"/>
    </row>
    <row r="3342" customFormat="false" ht="15.75" hidden="false" customHeight="false" outlineLevel="0" collapsed="false">
      <c r="A3342" s="9"/>
      <c r="B3342" s="10"/>
      <c r="C3342" s="11"/>
      <c r="D3342" s="10"/>
      <c r="E3342" s="10"/>
      <c r="F3342" s="10"/>
      <c r="G3342" s="10"/>
      <c r="H3342" s="10"/>
      <c r="I3342" s="12" t="n">
        <v>1</v>
      </c>
      <c r="J3342" s="12"/>
      <c r="K3342" s="13"/>
      <c r="L3342" s="13"/>
      <c r="M3342" s="12"/>
      <c r="N3342" s="12"/>
      <c r="O3342" s="12"/>
      <c r="P3342" s="13"/>
      <c r="Q3342" s="13"/>
      <c r="R3342" s="12"/>
      <c r="S3342" s="12"/>
      <c r="T3342" s="12"/>
      <c r="U3342" s="14"/>
      <c r="V3342" s="15"/>
      <c r="W3342" s="16" t="n">
        <f aca="false">A3342</f>
        <v>0</v>
      </c>
      <c r="X3342" s="17" t="e">
        <f aca="false">ifs(C3342="","",X3342="",NOW(),TRUE(),X3342)</f>
        <v>#VALUE!</v>
      </c>
      <c r="Y3342" s="17" t="e">
        <f aca="false">ifs(COUNTA(K3342:U3345)&lt;44,"",Y3342="",NOW(),TRUE(),Y3342)</f>
        <v>#VALUE!</v>
      </c>
    </row>
    <row r="3343" customFormat="false" ht="15.75" hidden="false" customHeight="false" outlineLevel="0" collapsed="false">
      <c r="A3343" s="9"/>
      <c r="B3343" s="10"/>
      <c r="C3343" s="10"/>
      <c r="D3343" s="10"/>
      <c r="E3343" s="10"/>
      <c r="F3343" s="10"/>
      <c r="G3343" s="10"/>
      <c r="H3343" s="10"/>
      <c r="I3343" s="18" t="n">
        <v>2</v>
      </c>
      <c r="J3343" s="18"/>
      <c r="K3343" s="19"/>
      <c r="L3343" s="19"/>
      <c r="M3343" s="18"/>
      <c r="N3343" s="18"/>
      <c r="O3343" s="18"/>
      <c r="P3343" s="19"/>
      <c r="Q3343" s="19"/>
      <c r="R3343" s="18"/>
      <c r="S3343" s="18"/>
      <c r="T3343" s="18"/>
      <c r="U3343" s="20"/>
      <c r="V3343" s="21"/>
      <c r="W3343" s="16"/>
      <c r="X3343" s="16"/>
      <c r="Y3343" s="16"/>
    </row>
    <row r="3344" customFormat="false" ht="15.75" hidden="false" customHeight="false" outlineLevel="0" collapsed="false">
      <c r="A3344" s="9"/>
      <c r="B3344" s="10"/>
      <c r="C3344" s="10"/>
      <c r="D3344" s="10"/>
      <c r="E3344" s="10"/>
      <c r="F3344" s="10"/>
      <c r="G3344" s="10"/>
      <c r="H3344" s="10"/>
      <c r="I3344" s="22" t="n">
        <v>3</v>
      </c>
      <c r="J3344" s="22"/>
      <c r="K3344" s="23"/>
      <c r="L3344" s="23"/>
      <c r="M3344" s="22"/>
      <c r="N3344" s="22"/>
      <c r="O3344" s="22"/>
      <c r="P3344" s="23"/>
      <c r="Q3344" s="23"/>
      <c r="R3344" s="22"/>
      <c r="S3344" s="22"/>
      <c r="T3344" s="22"/>
      <c r="U3344" s="24"/>
      <c r="V3344" s="15"/>
      <c r="W3344" s="16"/>
      <c r="X3344" s="16"/>
      <c r="Y3344" s="16"/>
    </row>
    <row r="3345" customFormat="false" ht="15.75" hidden="false" customHeight="false" outlineLevel="0" collapsed="false">
      <c r="A3345" s="9"/>
      <c r="B3345" s="10"/>
      <c r="C3345" s="10"/>
      <c r="D3345" s="10"/>
      <c r="E3345" s="10"/>
      <c r="F3345" s="10"/>
      <c r="G3345" s="10"/>
      <c r="H3345" s="10"/>
      <c r="I3345" s="25" t="n">
        <v>4</v>
      </c>
      <c r="J3345" s="25"/>
      <c r="K3345" s="26"/>
      <c r="L3345" s="26"/>
      <c r="M3345" s="25"/>
      <c r="N3345" s="25"/>
      <c r="O3345" s="25"/>
      <c r="P3345" s="26"/>
      <c r="Q3345" s="26"/>
      <c r="R3345" s="25"/>
      <c r="S3345" s="25"/>
      <c r="T3345" s="25"/>
      <c r="U3345" s="27"/>
      <c r="V3345" s="21"/>
      <c r="W3345" s="16"/>
      <c r="X3345" s="16"/>
      <c r="Y3345" s="16"/>
    </row>
    <row r="3346" customFormat="false" ht="15.75" hidden="false" customHeight="false" outlineLevel="0" collapsed="false">
      <c r="A3346" s="9"/>
      <c r="B3346" s="10"/>
      <c r="C3346" s="11"/>
      <c r="D3346" s="10"/>
      <c r="E3346" s="10"/>
      <c r="F3346" s="10"/>
      <c r="G3346" s="10"/>
      <c r="H3346" s="10"/>
      <c r="I3346" s="12" t="n">
        <v>1</v>
      </c>
      <c r="J3346" s="12"/>
      <c r="K3346" s="13"/>
      <c r="L3346" s="13"/>
      <c r="M3346" s="12"/>
      <c r="N3346" s="12"/>
      <c r="O3346" s="12"/>
      <c r="P3346" s="13"/>
      <c r="Q3346" s="13"/>
      <c r="R3346" s="12"/>
      <c r="S3346" s="12"/>
      <c r="T3346" s="12"/>
      <c r="U3346" s="14"/>
      <c r="V3346" s="15"/>
      <c r="W3346" s="16" t="n">
        <f aca="false">A3346</f>
        <v>0</v>
      </c>
      <c r="X3346" s="17" t="e">
        <f aca="false">ifs(C3346="","",X3346="",NOW(),TRUE(),X3346)</f>
        <v>#VALUE!</v>
      </c>
      <c r="Y3346" s="17" t="e">
        <f aca="false">ifs(COUNTA(K3346:U3349)&lt;44,"",Y3346="",NOW(),TRUE(),Y3346)</f>
        <v>#VALUE!</v>
      </c>
    </row>
    <row r="3347" customFormat="false" ht="15.75" hidden="false" customHeight="false" outlineLevel="0" collapsed="false">
      <c r="A3347" s="9"/>
      <c r="B3347" s="10"/>
      <c r="C3347" s="10"/>
      <c r="D3347" s="10"/>
      <c r="E3347" s="10"/>
      <c r="F3347" s="10"/>
      <c r="G3347" s="10"/>
      <c r="H3347" s="10"/>
      <c r="I3347" s="18" t="n">
        <v>2</v>
      </c>
      <c r="J3347" s="18"/>
      <c r="K3347" s="19"/>
      <c r="L3347" s="19"/>
      <c r="M3347" s="18"/>
      <c r="N3347" s="18"/>
      <c r="O3347" s="18"/>
      <c r="P3347" s="19"/>
      <c r="Q3347" s="19"/>
      <c r="R3347" s="18"/>
      <c r="S3347" s="18"/>
      <c r="T3347" s="18"/>
      <c r="U3347" s="20"/>
      <c r="V3347" s="21"/>
      <c r="W3347" s="16"/>
      <c r="X3347" s="16"/>
      <c r="Y3347" s="16"/>
    </row>
    <row r="3348" customFormat="false" ht="15.75" hidden="false" customHeight="false" outlineLevel="0" collapsed="false">
      <c r="A3348" s="9"/>
      <c r="B3348" s="10"/>
      <c r="C3348" s="10"/>
      <c r="D3348" s="10"/>
      <c r="E3348" s="10"/>
      <c r="F3348" s="10"/>
      <c r="G3348" s="10"/>
      <c r="H3348" s="10"/>
      <c r="I3348" s="22" t="n">
        <v>3</v>
      </c>
      <c r="J3348" s="22"/>
      <c r="K3348" s="23"/>
      <c r="L3348" s="23"/>
      <c r="M3348" s="22"/>
      <c r="N3348" s="22"/>
      <c r="O3348" s="22"/>
      <c r="P3348" s="23"/>
      <c r="Q3348" s="23"/>
      <c r="R3348" s="22"/>
      <c r="S3348" s="22"/>
      <c r="T3348" s="22"/>
      <c r="U3348" s="24"/>
      <c r="V3348" s="15"/>
      <c r="W3348" s="16"/>
      <c r="X3348" s="16"/>
      <c r="Y3348" s="16"/>
    </row>
    <row r="3349" customFormat="false" ht="15.75" hidden="false" customHeight="false" outlineLevel="0" collapsed="false">
      <c r="A3349" s="9"/>
      <c r="B3349" s="10"/>
      <c r="C3349" s="10"/>
      <c r="D3349" s="10"/>
      <c r="E3349" s="10"/>
      <c r="F3349" s="10"/>
      <c r="G3349" s="10"/>
      <c r="H3349" s="10"/>
      <c r="I3349" s="25" t="n">
        <v>4</v>
      </c>
      <c r="J3349" s="25"/>
      <c r="K3349" s="26"/>
      <c r="L3349" s="26"/>
      <c r="M3349" s="25"/>
      <c r="N3349" s="25"/>
      <c r="O3349" s="25"/>
      <c r="P3349" s="26"/>
      <c r="Q3349" s="26"/>
      <c r="R3349" s="25"/>
      <c r="S3349" s="25"/>
      <c r="T3349" s="25"/>
      <c r="U3349" s="27"/>
      <c r="V3349" s="21"/>
      <c r="W3349" s="16"/>
      <c r="X3349" s="16"/>
      <c r="Y3349" s="16"/>
    </row>
    <row r="3350" customFormat="false" ht="15.75" hidden="false" customHeight="false" outlineLevel="0" collapsed="false">
      <c r="A3350" s="9"/>
      <c r="B3350" s="10"/>
      <c r="C3350" s="11"/>
      <c r="D3350" s="10"/>
      <c r="E3350" s="10"/>
      <c r="F3350" s="10"/>
      <c r="G3350" s="10"/>
      <c r="H3350" s="10"/>
      <c r="I3350" s="12" t="n">
        <v>1</v>
      </c>
      <c r="J3350" s="12"/>
      <c r="K3350" s="13"/>
      <c r="L3350" s="13"/>
      <c r="M3350" s="12"/>
      <c r="N3350" s="12"/>
      <c r="O3350" s="12"/>
      <c r="P3350" s="13"/>
      <c r="Q3350" s="13"/>
      <c r="R3350" s="12"/>
      <c r="S3350" s="12"/>
      <c r="T3350" s="12"/>
      <c r="U3350" s="14"/>
      <c r="V3350" s="15"/>
      <c r="W3350" s="16" t="n">
        <f aca="false">A3350</f>
        <v>0</v>
      </c>
      <c r="X3350" s="17" t="e">
        <f aca="false">ifs(C3350="","",X3350="",NOW(),TRUE(),X3350)</f>
        <v>#VALUE!</v>
      </c>
      <c r="Y3350" s="17" t="e">
        <f aca="false">ifs(COUNTA(K3350:U3353)&lt;44,"",Y3350="",NOW(),TRUE(),Y3350)</f>
        <v>#VALUE!</v>
      </c>
    </row>
    <row r="3351" customFormat="false" ht="15.75" hidden="false" customHeight="false" outlineLevel="0" collapsed="false">
      <c r="A3351" s="9"/>
      <c r="B3351" s="10"/>
      <c r="C3351" s="10"/>
      <c r="D3351" s="10"/>
      <c r="E3351" s="10"/>
      <c r="F3351" s="10"/>
      <c r="G3351" s="10"/>
      <c r="H3351" s="10"/>
      <c r="I3351" s="18" t="n">
        <v>2</v>
      </c>
      <c r="J3351" s="18"/>
      <c r="K3351" s="19"/>
      <c r="L3351" s="19"/>
      <c r="M3351" s="18"/>
      <c r="N3351" s="18"/>
      <c r="O3351" s="18"/>
      <c r="P3351" s="19"/>
      <c r="Q3351" s="19"/>
      <c r="R3351" s="18"/>
      <c r="S3351" s="18"/>
      <c r="T3351" s="18"/>
      <c r="U3351" s="20"/>
      <c r="V3351" s="21"/>
      <c r="W3351" s="16"/>
      <c r="X3351" s="16"/>
      <c r="Y3351" s="16"/>
    </row>
    <row r="3352" customFormat="false" ht="15.75" hidden="false" customHeight="false" outlineLevel="0" collapsed="false">
      <c r="A3352" s="9"/>
      <c r="B3352" s="10"/>
      <c r="C3352" s="10"/>
      <c r="D3352" s="10"/>
      <c r="E3352" s="10"/>
      <c r="F3352" s="10"/>
      <c r="G3352" s="10"/>
      <c r="H3352" s="10"/>
      <c r="I3352" s="22" t="n">
        <v>3</v>
      </c>
      <c r="J3352" s="22"/>
      <c r="K3352" s="23"/>
      <c r="L3352" s="23"/>
      <c r="M3352" s="22"/>
      <c r="N3352" s="22"/>
      <c r="O3352" s="22"/>
      <c r="P3352" s="23"/>
      <c r="Q3352" s="23"/>
      <c r="R3352" s="22"/>
      <c r="S3352" s="22"/>
      <c r="T3352" s="22"/>
      <c r="U3352" s="24"/>
      <c r="V3352" s="15"/>
      <c r="W3352" s="16"/>
      <c r="X3352" s="16"/>
      <c r="Y3352" s="16"/>
    </row>
    <row r="3353" customFormat="false" ht="15.75" hidden="false" customHeight="false" outlineLevel="0" collapsed="false">
      <c r="A3353" s="9"/>
      <c r="B3353" s="10"/>
      <c r="C3353" s="10"/>
      <c r="D3353" s="10"/>
      <c r="E3353" s="10"/>
      <c r="F3353" s="10"/>
      <c r="G3353" s="10"/>
      <c r="H3353" s="10"/>
      <c r="I3353" s="25" t="n">
        <v>4</v>
      </c>
      <c r="J3353" s="25"/>
      <c r="K3353" s="26"/>
      <c r="L3353" s="26"/>
      <c r="M3353" s="25"/>
      <c r="N3353" s="25"/>
      <c r="O3353" s="25"/>
      <c r="P3353" s="26"/>
      <c r="Q3353" s="26"/>
      <c r="R3353" s="25"/>
      <c r="S3353" s="25"/>
      <c r="T3353" s="25"/>
      <c r="U3353" s="27"/>
      <c r="V3353" s="21"/>
      <c r="W3353" s="16"/>
      <c r="X3353" s="16"/>
      <c r="Y3353" s="16"/>
    </row>
    <row r="3354" customFormat="false" ht="15.75" hidden="false" customHeight="false" outlineLevel="0" collapsed="false">
      <c r="A3354" s="9"/>
      <c r="B3354" s="10"/>
      <c r="C3354" s="11"/>
      <c r="D3354" s="10"/>
      <c r="E3354" s="10"/>
      <c r="F3354" s="10"/>
      <c r="G3354" s="10"/>
      <c r="H3354" s="10"/>
      <c r="I3354" s="12" t="n">
        <v>1</v>
      </c>
      <c r="J3354" s="12"/>
      <c r="K3354" s="13"/>
      <c r="L3354" s="13"/>
      <c r="M3354" s="12"/>
      <c r="N3354" s="12"/>
      <c r="O3354" s="12"/>
      <c r="P3354" s="13"/>
      <c r="Q3354" s="13"/>
      <c r="R3354" s="12"/>
      <c r="S3354" s="12"/>
      <c r="T3354" s="12"/>
      <c r="U3354" s="14"/>
      <c r="V3354" s="15"/>
      <c r="W3354" s="16" t="n">
        <f aca="false">A3354</f>
        <v>0</v>
      </c>
      <c r="X3354" s="17" t="e">
        <f aca="false">ifs(C3354="","",X3354="",NOW(),TRUE(),X3354)</f>
        <v>#VALUE!</v>
      </c>
      <c r="Y3354" s="17" t="e">
        <f aca="false">ifs(COUNTA(K3354:U3357)&lt;44,"",Y3354="",NOW(),TRUE(),Y3354)</f>
        <v>#VALUE!</v>
      </c>
    </row>
    <row r="3355" customFormat="false" ht="15.75" hidden="false" customHeight="false" outlineLevel="0" collapsed="false">
      <c r="A3355" s="9"/>
      <c r="B3355" s="10"/>
      <c r="C3355" s="10"/>
      <c r="D3355" s="10"/>
      <c r="E3355" s="10"/>
      <c r="F3355" s="10"/>
      <c r="G3355" s="10"/>
      <c r="H3355" s="10"/>
      <c r="I3355" s="18" t="n">
        <v>2</v>
      </c>
      <c r="J3355" s="18"/>
      <c r="K3355" s="19"/>
      <c r="L3355" s="19"/>
      <c r="M3355" s="18"/>
      <c r="N3355" s="18"/>
      <c r="O3355" s="18"/>
      <c r="P3355" s="19"/>
      <c r="Q3355" s="19"/>
      <c r="R3355" s="18"/>
      <c r="S3355" s="18"/>
      <c r="T3355" s="18"/>
      <c r="U3355" s="20"/>
      <c r="V3355" s="21"/>
      <c r="W3355" s="16"/>
      <c r="X3355" s="16"/>
      <c r="Y3355" s="16"/>
    </row>
    <row r="3356" customFormat="false" ht="15.75" hidden="false" customHeight="false" outlineLevel="0" collapsed="false">
      <c r="A3356" s="9"/>
      <c r="B3356" s="10"/>
      <c r="C3356" s="10"/>
      <c r="D3356" s="10"/>
      <c r="E3356" s="10"/>
      <c r="F3356" s="10"/>
      <c r="G3356" s="10"/>
      <c r="H3356" s="10"/>
      <c r="I3356" s="22" t="n">
        <v>3</v>
      </c>
      <c r="J3356" s="22"/>
      <c r="K3356" s="23"/>
      <c r="L3356" s="23"/>
      <c r="M3356" s="22"/>
      <c r="N3356" s="22"/>
      <c r="O3356" s="22"/>
      <c r="P3356" s="23"/>
      <c r="Q3356" s="23"/>
      <c r="R3356" s="22"/>
      <c r="S3356" s="22"/>
      <c r="T3356" s="22"/>
      <c r="U3356" s="24"/>
      <c r="V3356" s="15"/>
      <c r="W3356" s="16"/>
      <c r="X3356" s="16"/>
      <c r="Y3356" s="16"/>
    </row>
    <row r="3357" customFormat="false" ht="15.75" hidden="false" customHeight="false" outlineLevel="0" collapsed="false">
      <c r="A3357" s="9"/>
      <c r="B3357" s="10"/>
      <c r="C3357" s="10"/>
      <c r="D3357" s="10"/>
      <c r="E3357" s="10"/>
      <c r="F3357" s="10"/>
      <c r="G3357" s="10"/>
      <c r="H3357" s="10"/>
      <c r="I3357" s="25" t="n">
        <v>4</v>
      </c>
      <c r="J3357" s="25"/>
      <c r="K3357" s="26"/>
      <c r="L3357" s="26"/>
      <c r="M3357" s="25"/>
      <c r="N3357" s="25"/>
      <c r="O3357" s="25"/>
      <c r="P3357" s="26"/>
      <c r="Q3357" s="26"/>
      <c r="R3357" s="25"/>
      <c r="S3357" s="25"/>
      <c r="T3357" s="25"/>
      <c r="U3357" s="27"/>
      <c r="V3357" s="21"/>
      <c r="W3357" s="16"/>
      <c r="X3357" s="16"/>
      <c r="Y3357" s="16"/>
    </row>
    <row r="3358" customFormat="false" ht="15.75" hidden="false" customHeight="false" outlineLevel="0" collapsed="false">
      <c r="A3358" s="9"/>
      <c r="B3358" s="10"/>
      <c r="C3358" s="11"/>
      <c r="D3358" s="10"/>
      <c r="E3358" s="10"/>
      <c r="F3358" s="10"/>
      <c r="G3358" s="10"/>
      <c r="H3358" s="10"/>
      <c r="I3358" s="12" t="n">
        <v>1</v>
      </c>
      <c r="J3358" s="12"/>
      <c r="K3358" s="13"/>
      <c r="L3358" s="13"/>
      <c r="M3358" s="12"/>
      <c r="N3358" s="12"/>
      <c r="O3358" s="12"/>
      <c r="P3358" s="13"/>
      <c r="Q3358" s="13"/>
      <c r="R3358" s="12"/>
      <c r="S3358" s="12"/>
      <c r="T3358" s="12"/>
      <c r="U3358" s="14"/>
      <c r="V3358" s="15"/>
      <c r="W3358" s="16" t="n">
        <f aca="false">A3358</f>
        <v>0</v>
      </c>
      <c r="X3358" s="17" t="e">
        <f aca="false">ifs(C3358="","",X3358="",NOW(),TRUE(),X3358)</f>
        <v>#VALUE!</v>
      </c>
      <c r="Y3358" s="17" t="e">
        <f aca="false">ifs(COUNTA(K3358:U3361)&lt;44,"",Y3358="",NOW(),TRUE(),Y3358)</f>
        <v>#VALUE!</v>
      </c>
    </row>
    <row r="3359" customFormat="false" ht="15.75" hidden="false" customHeight="false" outlineLevel="0" collapsed="false">
      <c r="A3359" s="9"/>
      <c r="B3359" s="10"/>
      <c r="C3359" s="10"/>
      <c r="D3359" s="10"/>
      <c r="E3359" s="10"/>
      <c r="F3359" s="10"/>
      <c r="G3359" s="10"/>
      <c r="H3359" s="10"/>
      <c r="I3359" s="18" t="n">
        <v>2</v>
      </c>
      <c r="J3359" s="18"/>
      <c r="K3359" s="19"/>
      <c r="L3359" s="19"/>
      <c r="M3359" s="18"/>
      <c r="N3359" s="18"/>
      <c r="O3359" s="18"/>
      <c r="P3359" s="19"/>
      <c r="Q3359" s="19"/>
      <c r="R3359" s="18"/>
      <c r="S3359" s="18"/>
      <c r="T3359" s="18"/>
      <c r="U3359" s="20"/>
      <c r="V3359" s="21"/>
      <c r="W3359" s="16"/>
      <c r="X3359" s="16"/>
      <c r="Y3359" s="16"/>
    </row>
    <row r="3360" customFormat="false" ht="15.75" hidden="false" customHeight="false" outlineLevel="0" collapsed="false">
      <c r="A3360" s="9"/>
      <c r="B3360" s="10"/>
      <c r="C3360" s="10"/>
      <c r="D3360" s="10"/>
      <c r="E3360" s="10"/>
      <c r="F3360" s="10"/>
      <c r="G3360" s="10"/>
      <c r="H3360" s="10"/>
      <c r="I3360" s="22" t="n">
        <v>3</v>
      </c>
      <c r="J3360" s="22"/>
      <c r="K3360" s="23"/>
      <c r="L3360" s="23"/>
      <c r="M3360" s="22"/>
      <c r="N3360" s="22"/>
      <c r="O3360" s="22"/>
      <c r="P3360" s="23"/>
      <c r="Q3360" s="23"/>
      <c r="R3360" s="22"/>
      <c r="S3360" s="22"/>
      <c r="T3360" s="22"/>
      <c r="U3360" s="24"/>
      <c r="V3360" s="15"/>
      <c r="W3360" s="16"/>
      <c r="X3360" s="16"/>
      <c r="Y3360" s="16"/>
    </row>
    <row r="3361" customFormat="false" ht="15.75" hidden="false" customHeight="false" outlineLevel="0" collapsed="false">
      <c r="A3361" s="9"/>
      <c r="B3361" s="10"/>
      <c r="C3361" s="10"/>
      <c r="D3361" s="10"/>
      <c r="E3361" s="10"/>
      <c r="F3361" s="10"/>
      <c r="G3361" s="10"/>
      <c r="H3361" s="10"/>
      <c r="I3361" s="25" t="n">
        <v>4</v>
      </c>
      <c r="J3361" s="25"/>
      <c r="K3361" s="26"/>
      <c r="L3361" s="26"/>
      <c r="M3361" s="25"/>
      <c r="N3361" s="25"/>
      <c r="O3361" s="25"/>
      <c r="P3361" s="26"/>
      <c r="Q3361" s="26"/>
      <c r="R3361" s="25"/>
      <c r="S3361" s="25"/>
      <c r="T3361" s="25"/>
      <c r="U3361" s="27"/>
      <c r="V3361" s="21"/>
      <c r="W3361" s="16"/>
      <c r="X3361" s="16"/>
      <c r="Y3361" s="16"/>
    </row>
    <row r="3362" customFormat="false" ht="15.75" hidden="false" customHeight="false" outlineLevel="0" collapsed="false">
      <c r="A3362" s="9"/>
      <c r="B3362" s="10"/>
      <c r="C3362" s="11"/>
      <c r="D3362" s="10"/>
      <c r="E3362" s="10"/>
      <c r="F3362" s="10"/>
      <c r="G3362" s="10"/>
      <c r="H3362" s="10"/>
      <c r="I3362" s="12" t="n">
        <v>1</v>
      </c>
      <c r="J3362" s="12"/>
      <c r="K3362" s="13"/>
      <c r="L3362" s="13"/>
      <c r="M3362" s="12"/>
      <c r="N3362" s="12"/>
      <c r="O3362" s="12"/>
      <c r="P3362" s="13"/>
      <c r="Q3362" s="13"/>
      <c r="R3362" s="12"/>
      <c r="S3362" s="12"/>
      <c r="T3362" s="12"/>
      <c r="U3362" s="14"/>
      <c r="V3362" s="15"/>
      <c r="W3362" s="16" t="n">
        <f aca="false">A3362</f>
        <v>0</v>
      </c>
      <c r="X3362" s="17" t="e">
        <f aca="false">ifs(C3362="","",X3362="",NOW(),TRUE(),X3362)</f>
        <v>#VALUE!</v>
      </c>
      <c r="Y3362" s="17" t="e">
        <f aca="false">ifs(COUNTA(K3362:U3365)&lt;44,"",Y3362="",NOW(),TRUE(),Y3362)</f>
        <v>#VALUE!</v>
      </c>
    </row>
    <row r="3363" customFormat="false" ht="15.75" hidden="false" customHeight="false" outlineLevel="0" collapsed="false">
      <c r="A3363" s="9"/>
      <c r="B3363" s="10"/>
      <c r="C3363" s="10"/>
      <c r="D3363" s="10"/>
      <c r="E3363" s="10"/>
      <c r="F3363" s="10"/>
      <c r="G3363" s="10"/>
      <c r="H3363" s="10"/>
      <c r="I3363" s="18" t="n">
        <v>2</v>
      </c>
      <c r="J3363" s="18"/>
      <c r="K3363" s="19"/>
      <c r="L3363" s="19"/>
      <c r="M3363" s="18"/>
      <c r="N3363" s="18"/>
      <c r="O3363" s="18"/>
      <c r="P3363" s="19"/>
      <c r="Q3363" s="19"/>
      <c r="R3363" s="18"/>
      <c r="S3363" s="18"/>
      <c r="T3363" s="18"/>
      <c r="U3363" s="20"/>
      <c r="V3363" s="21"/>
      <c r="W3363" s="16"/>
      <c r="X3363" s="16"/>
      <c r="Y3363" s="16"/>
    </row>
    <row r="3364" customFormat="false" ht="15.75" hidden="false" customHeight="false" outlineLevel="0" collapsed="false">
      <c r="A3364" s="9"/>
      <c r="B3364" s="10"/>
      <c r="C3364" s="10"/>
      <c r="D3364" s="10"/>
      <c r="E3364" s="10"/>
      <c r="F3364" s="10"/>
      <c r="G3364" s="10"/>
      <c r="H3364" s="10"/>
      <c r="I3364" s="22" t="n">
        <v>3</v>
      </c>
      <c r="J3364" s="22"/>
      <c r="K3364" s="23"/>
      <c r="L3364" s="23"/>
      <c r="M3364" s="22"/>
      <c r="N3364" s="22"/>
      <c r="O3364" s="22"/>
      <c r="P3364" s="23"/>
      <c r="Q3364" s="23"/>
      <c r="R3364" s="22"/>
      <c r="S3364" s="22"/>
      <c r="T3364" s="22"/>
      <c r="U3364" s="24"/>
      <c r="V3364" s="15"/>
      <c r="W3364" s="16"/>
      <c r="X3364" s="16"/>
      <c r="Y3364" s="16"/>
    </row>
    <row r="3365" customFormat="false" ht="15.75" hidden="false" customHeight="false" outlineLevel="0" collapsed="false">
      <c r="A3365" s="9"/>
      <c r="B3365" s="10"/>
      <c r="C3365" s="10"/>
      <c r="D3365" s="10"/>
      <c r="E3365" s="10"/>
      <c r="F3365" s="10"/>
      <c r="G3365" s="10"/>
      <c r="H3365" s="10"/>
      <c r="I3365" s="25" t="n">
        <v>4</v>
      </c>
      <c r="J3365" s="25"/>
      <c r="K3365" s="26"/>
      <c r="L3365" s="26"/>
      <c r="M3365" s="25"/>
      <c r="N3365" s="25"/>
      <c r="O3365" s="25"/>
      <c r="P3365" s="26"/>
      <c r="Q3365" s="26"/>
      <c r="R3365" s="25"/>
      <c r="S3365" s="25"/>
      <c r="T3365" s="25"/>
      <c r="U3365" s="27"/>
      <c r="V3365" s="21"/>
      <c r="W3365" s="16"/>
      <c r="X3365" s="16"/>
      <c r="Y3365" s="16"/>
    </row>
    <row r="3366" customFormat="false" ht="15.75" hidden="false" customHeight="false" outlineLevel="0" collapsed="false">
      <c r="A3366" s="9"/>
      <c r="B3366" s="10"/>
      <c r="C3366" s="11"/>
      <c r="D3366" s="10"/>
      <c r="E3366" s="10"/>
      <c r="F3366" s="10"/>
      <c r="G3366" s="10"/>
      <c r="H3366" s="10"/>
      <c r="I3366" s="12" t="n">
        <v>1</v>
      </c>
      <c r="J3366" s="12"/>
      <c r="K3366" s="13"/>
      <c r="L3366" s="13"/>
      <c r="M3366" s="12"/>
      <c r="N3366" s="12"/>
      <c r="O3366" s="12"/>
      <c r="P3366" s="13"/>
      <c r="Q3366" s="13"/>
      <c r="R3366" s="12"/>
      <c r="S3366" s="12"/>
      <c r="T3366" s="12"/>
      <c r="U3366" s="14"/>
      <c r="V3366" s="15"/>
      <c r="W3366" s="16" t="n">
        <f aca="false">A3366</f>
        <v>0</v>
      </c>
      <c r="X3366" s="17" t="e">
        <f aca="false">ifs(C3366="","",X3366="",NOW(),TRUE(),X3366)</f>
        <v>#VALUE!</v>
      </c>
      <c r="Y3366" s="17" t="e">
        <f aca="false">ifs(COUNTA(K3366:U3369)&lt;44,"",Y3366="",NOW(),TRUE(),Y3366)</f>
        <v>#VALUE!</v>
      </c>
    </row>
    <row r="3367" customFormat="false" ht="15.75" hidden="false" customHeight="false" outlineLevel="0" collapsed="false">
      <c r="A3367" s="9"/>
      <c r="B3367" s="10"/>
      <c r="C3367" s="10"/>
      <c r="D3367" s="10"/>
      <c r="E3367" s="10"/>
      <c r="F3367" s="10"/>
      <c r="G3367" s="10"/>
      <c r="H3367" s="10"/>
      <c r="I3367" s="18" t="n">
        <v>2</v>
      </c>
      <c r="J3367" s="18"/>
      <c r="K3367" s="19"/>
      <c r="L3367" s="19"/>
      <c r="M3367" s="18"/>
      <c r="N3367" s="18"/>
      <c r="O3367" s="18"/>
      <c r="P3367" s="19"/>
      <c r="Q3367" s="19"/>
      <c r="R3367" s="18"/>
      <c r="S3367" s="18"/>
      <c r="T3367" s="18"/>
      <c r="U3367" s="20"/>
      <c r="V3367" s="21"/>
      <c r="W3367" s="16"/>
      <c r="X3367" s="16"/>
      <c r="Y3367" s="16"/>
    </row>
    <row r="3368" customFormat="false" ht="15.75" hidden="false" customHeight="false" outlineLevel="0" collapsed="false">
      <c r="A3368" s="9"/>
      <c r="B3368" s="10"/>
      <c r="C3368" s="10"/>
      <c r="D3368" s="10"/>
      <c r="E3368" s="10"/>
      <c r="F3368" s="10"/>
      <c r="G3368" s="10"/>
      <c r="H3368" s="10"/>
      <c r="I3368" s="22" t="n">
        <v>3</v>
      </c>
      <c r="J3368" s="22"/>
      <c r="K3368" s="23"/>
      <c r="L3368" s="23"/>
      <c r="M3368" s="22"/>
      <c r="N3368" s="22"/>
      <c r="O3368" s="22"/>
      <c r="P3368" s="23"/>
      <c r="Q3368" s="23"/>
      <c r="R3368" s="22"/>
      <c r="S3368" s="22"/>
      <c r="T3368" s="22"/>
      <c r="U3368" s="24"/>
      <c r="V3368" s="15"/>
      <c r="W3368" s="16"/>
      <c r="X3368" s="16"/>
      <c r="Y3368" s="16"/>
    </row>
    <row r="3369" customFormat="false" ht="15.75" hidden="false" customHeight="false" outlineLevel="0" collapsed="false">
      <c r="A3369" s="9"/>
      <c r="B3369" s="10"/>
      <c r="C3369" s="10"/>
      <c r="D3369" s="10"/>
      <c r="E3369" s="10"/>
      <c r="F3369" s="10"/>
      <c r="G3369" s="10"/>
      <c r="H3369" s="10"/>
      <c r="I3369" s="25" t="n">
        <v>4</v>
      </c>
      <c r="J3369" s="25"/>
      <c r="K3369" s="26"/>
      <c r="L3369" s="26"/>
      <c r="M3369" s="25"/>
      <c r="N3369" s="25"/>
      <c r="O3369" s="25"/>
      <c r="P3369" s="26"/>
      <c r="Q3369" s="26"/>
      <c r="R3369" s="25"/>
      <c r="S3369" s="25"/>
      <c r="T3369" s="25"/>
      <c r="U3369" s="27"/>
      <c r="V3369" s="21"/>
      <c r="W3369" s="16"/>
      <c r="X3369" s="16"/>
      <c r="Y3369" s="16"/>
    </row>
    <row r="3370" customFormat="false" ht="15.75" hidden="false" customHeight="false" outlineLevel="0" collapsed="false">
      <c r="A3370" s="9"/>
      <c r="B3370" s="10"/>
      <c r="C3370" s="11"/>
      <c r="D3370" s="10"/>
      <c r="E3370" s="10"/>
      <c r="F3370" s="10"/>
      <c r="G3370" s="10"/>
      <c r="H3370" s="10"/>
      <c r="I3370" s="12" t="n">
        <v>1</v>
      </c>
      <c r="J3370" s="12"/>
      <c r="K3370" s="13"/>
      <c r="L3370" s="13"/>
      <c r="M3370" s="12"/>
      <c r="N3370" s="12"/>
      <c r="O3370" s="12"/>
      <c r="P3370" s="13"/>
      <c r="Q3370" s="13"/>
      <c r="R3370" s="12"/>
      <c r="S3370" s="12"/>
      <c r="T3370" s="12"/>
      <c r="U3370" s="14"/>
      <c r="V3370" s="15"/>
      <c r="W3370" s="16" t="n">
        <f aca="false">A3370</f>
        <v>0</v>
      </c>
      <c r="X3370" s="17" t="e">
        <f aca="false">ifs(C3370="","",X3370="",NOW(),TRUE(),X3370)</f>
        <v>#VALUE!</v>
      </c>
      <c r="Y3370" s="17" t="e">
        <f aca="false">ifs(COUNTA(K3370:U3373)&lt;44,"",Y3370="",NOW(),TRUE(),Y3370)</f>
        <v>#VALUE!</v>
      </c>
    </row>
    <row r="3371" customFormat="false" ht="15.75" hidden="false" customHeight="false" outlineLevel="0" collapsed="false">
      <c r="A3371" s="9"/>
      <c r="B3371" s="10"/>
      <c r="C3371" s="10"/>
      <c r="D3371" s="10"/>
      <c r="E3371" s="10"/>
      <c r="F3371" s="10"/>
      <c r="G3371" s="10"/>
      <c r="H3371" s="10"/>
      <c r="I3371" s="18" t="n">
        <v>2</v>
      </c>
      <c r="J3371" s="18"/>
      <c r="K3371" s="19"/>
      <c r="L3371" s="19"/>
      <c r="M3371" s="18"/>
      <c r="N3371" s="18"/>
      <c r="O3371" s="18"/>
      <c r="P3371" s="19"/>
      <c r="Q3371" s="19"/>
      <c r="R3371" s="18"/>
      <c r="S3371" s="18"/>
      <c r="T3371" s="18"/>
      <c r="U3371" s="20"/>
      <c r="V3371" s="21"/>
      <c r="W3371" s="16"/>
      <c r="X3371" s="16"/>
      <c r="Y3371" s="16"/>
    </row>
    <row r="3372" customFormat="false" ht="15.75" hidden="false" customHeight="false" outlineLevel="0" collapsed="false">
      <c r="A3372" s="9"/>
      <c r="B3372" s="10"/>
      <c r="C3372" s="10"/>
      <c r="D3372" s="10"/>
      <c r="E3372" s="10"/>
      <c r="F3372" s="10"/>
      <c r="G3372" s="10"/>
      <c r="H3372" s="10"/>
      <c r="I3372" s="22" t="n">
        <v>3</v>
      </c>
      <c r="J3372" s="22"/>
      <c r="K3372" s="23"/>
      <c r="L3372" s="23"/>
      <c r="M3372" s="22"/>
      <c r="N3372" s="22"/>
      <c r="O3372" s="22"/>
      <c r="P3372" s="23"/>
      <c r="Q3372" s="23"/>
      <c r="R3372" s="22"/>
      <c r="S3372" s="22"/>
      <c r="T3372" s="22"/>
      <c r="U3372" s="24"/>
      <c r="V3372" s="15"/>
      <c r="W3372" s="16"/>
      <c r="X3372" s="16"/>
      <c r="Y3372" s="16"/>
    </row>
    <row r="3373" customFormat="false" ht="15.75" hidden="false" customHeight="false" outlineLevel="0" collapsed="false">
      <c r="A3373" s="9"/>
      <c r="B3373" s="10"/>
      <c r="C3373" s="10"/>
      <c r="D3373" s="10"/>
      <c r="E3373" s="10"/>
      <c r="F3373" s="10"/>
      <c r="G3373" s="10"/>
      <c r="H3373" s="10"/>
      <c r="I3373" s="25" t="n">
        <v>4</v>
      </c>
      <c r="J3373" s="25"/>
      <c r="K3373" s="26"/>
      <c r="L3373" s="26"/>
      <c r="M3373" s="25"/>
      <c r="N3373" s="25"/>
      <c r="O3373" s="25"/>
      <c r="P3373" s="26"/>
      <c r="Q3373" s="26"/>
      <c r="R3373" s="25"/>
      <c r="S3373" s="25"/>
      <c r="T3373" s="25"/>
      <c r="U3373" s="27"/>
      <c r="V3373" s="21"/>
      <c r="W3373" s="16"/>
      <c r="X3373" s="16"/>
      <c r="Y3373" s="16"/>
    </row>
    <row r="3374" customFormat="false" ht="15.75" hidden="false" customHeight="false" outlineLevel="0" collapsed="false">
      <c r="A3374" s="9"/>
      <c r="B3374" s="10"/>
      <c r="C3374" s="11"/>
      <c r="D3374" s="10"/>
      <c r="E3374" s="10"/>
      <c r="F3374" s="10"/>
      <c r="G3374" s="10"/>
      <c r="H3374" s="10"/>
      <c r="I3374" s="12" t="n">
        <v>1</v>
      </c>
      <c r="J3374" s="12"/>
      <c r="K3374" s="13"/>
      <c r="L3374" s="13"/>
      <c r="M3374" s="12"/>
      <c r="N3374" s="12"/>
      <c r="O3374" s="12"/>
      <c r="P3374" s="13"/>
      <c r="Q3374" s="13"/>
      <c r="R3374" s="12"/>
      <c r="S3374" s="12"/>
      <c r="T3374" s="12"/>
      <c r="U3374" s="14"/>
      <c r="V3374" s="15"/>
      <c r="W3374" s="16" t="n">
        <f aca="false">A3374</f>
        <v>0</v>
      </c>
      <c r="X3374" s="17" t="e">
        <f aca="false">ifs(C3374="","",X3374="",NOW(),TRUE(),X3374)</f>
        <v>#VALUE!</v>
      </c>
      <c r="Y3374" s="17" t="e">
        <f aca="false">ifs(COUNTA(K3374:U3377)&lt;44,"",Y3374="",NOW(),TRUE(),Y3374)</f>
        <v>#VALUE!</v>
      </c>
    </row>
    <row r="3375" customFormat="false" ht="15.75" hidden="false" customHeight="false" outlineLevel="0" collapsed="false">
      <c r="A3375" s="9"/>
      <c r="B3375" s="10"/>
      <c r="C3375" s="10"/>
      <c r="D3375" s="10"/>
      <c r="E3375" s="10"/>
      <c r="F3375" s="10"/>
      <c r="G3375" s="10"/>
      <c r="H3375" s="10"/>
      <c r="I3375" s="18" t="n">
        <v>2</v>
      </c>
      <c r="J3375" s="18"/>
      <c r="K3375" s="19"/>
      <c r="L3375" s="19"/>
      <c r="M3375" s="18"/>
      <c r="N3375" s="18"/>
      <c r="O3375" s="18"/>
      <c r="P3375" s="19"/>
      <c r="Q3375" s="19"/>
      <c r="R3375" s="18"/>
      <c r="S3375" s="18"/>
      <c r="T3375" s="18"/>
      <c r="U3375" s="20"/>
      <c r="V3375" s="21"/>
      <c r="W3375" s="16"/>
      <c r="X3375" s="16"/>
      <c r="Y3375" s="16"/>
    </row>
    <row r="3376" customFormat="false" ht="15.75" hidden="false" customHeight="false" outlineLevel="0" collapsed="false">
      <c r="A3376" s="9"/>
      <c r="B3376" s="10"/>
      <c r="C3376" s="10"/>
      <c r="D3376" s="10"/>
      <c r="E3376" s="10"/>
      <c r="F3376" s="10"/>
      <c r="G3376" s="10"/>
      <c r="H3376" s="10"/>
      <c r="I3376" s="22" t="n">
        <v>3</v>
      </c>
      <c r="J3376" s="22"/>
      <c r="K3376" s="23"/>
      <c r="L3376" s="23"/>
      <c r="M3376" s="22"/>
      <c r="N3376" s="22"/>
      <c r="O3376" s="22"/>
      <c r="P3376" s="23"/>
      <c r="Q3376" s="23"/>
      <c r="R3376" s="22"/>
      <c r="S3376" s="22"/>
      <c r="T3376" s="22"/>
      <c r="U3376" s="24"/>
      <c r="V3376" s="15"/>
      <c r="W3376" s="16"/>
      <c r="X3376" s="16"/>
      <c r="Y3376" s="16"/>
    </row>
    <row r="3377" customFormat="false" ht="15.75" hidden="false" customHeight="false" outlineLevel="0" collapsed="false">
      <c r="A3377" s="9"/>
      <c r="B3377" s="10"/>
      <c r="C3377" s="10"/>
      <c r="D3377" s="10"/>
      <c r="E3377" s="10"/>
      <c r="F3377" s="10"/>
      <c r="G3377" s="10"/>
      <c r="H3377" s="10"/>
      <c r="I3377" s="25" t="n">
        <v>4</v>
      </c>
      <c r="J3377" s="25"/>
      <c r="K3377" s="26"/>
      <c r="L3377" s="26"/>
      <c r="M3377" s="25"/>
      <c r="N3377" s="25"/>
      <c r="O3377" s="25"/>
      <c r="P3377" s="26"/>
      <c r="Q3377" s="26"/>
      <c r="R3377" s="25"/>
      <c r="S3377" s="25"/>
      <c r="T3377" s="25"/>
      <c r="U3377" s="27"/>
      <c r="V3377" s="21"/>
      <c r="W3377" s="16"/>
      <c r="X3377" s="16"/>
      <c r="Y3377" s="16"/>
    </row>
    <row r="3378" customFormat="false" ht="15.75" hidden="false" customHeight="false" outlineLevel="0" collapsed="false">
      <c r="A3378" s="9"/>
      <c r="B3378" s="10"/>
      <c r="C3378" s="11"/>
      <c r="D3378" s="10"/>
      <c r="E3378" s="10"/>
      <c r="F3378" s="10"/>
      <c r="G3378" s="10"/>
      <c r="H3378" s="10"/>
      <c r="I3378" s="12" t="n">
        <v>1</v>
      </c>
      <c r="J3378" s="12"/>
      <c r="K3378" s="13"/>
      <c r="L3378" s="13"/>
      <c r="M3378" s="12"/>
      <c r="N3378" s="12"/>
      <c r="O3378" s="12"/>
      <c r="P3378" s="13"/>
      <c r="Q3378" s="13"/>
      <c r="R3378" s="12"/>
      <c r="S3378" s="12"/>
      <c r="T3378" s="12"/>
      <c r="U3378" s="14"/>
      <c r="V3378" s="15"/>
      <c r="W3378" s="16" t="n">
        <f aca="false">A3378</f>
        <v>0</v>
      </c>
      <c r="X3378" s="17" t="e">
        <f aca="false">ifs(C3378="","",X3378="",NOW(),TRUE(),X3378)</f>
        <v>#VALUE!</v>
      </c>
      <c r="Y3378" s="17" t="e">
        <f aca="false">ifs(COUNTA(K3378:U3381)&lt;44,"",Y3378="",NOW(),TRUE(),Y3378)</f>
        <v>#VALUE!</v>
      </c>
    </row>
    <row r="3379" customFormat="false" ht="15.75" hidden="false" customHeight="false" outlineLevel="0" collapsed="false">
      <c r="A3379" s="9"/>
      <c r="B3379" s="10"/>
      <c r="C3379" s="10"/>
      <c r="D3379" s="10"/>
      <c r="E3379" s="10"/>
      <c r="F3379" s="10"/>
      <c r="G3379" s="10"/>
      <c r="H3379" s="10"/>
      <c r="I3379" s="18" t="n">
        <v>2</v>
      </c>
      <c r="J3379" s="18"/>
      <c r="K3379" s="19"/>
      <c r="L3379" s="19"/>
      <c r="M3379" s="18"/>
      <c r="N3379" s="18"/>
      <c r="O3379" s="18"/>
      <c r="P3379" s="19"/>
      <c r="Q3379" s="19"/>
      <c r="R3379" s="18"/>
      <c r="S3379" s="18"/>
      <c r="T3379" s="18"/>
      <c r="U3379" s="20"/>
      <c r="V3379" s="21"/>
      <c r="W3379" s="16"/>
      <c r="X3379" s="16"/>
      <c r="Y3379" s="16"/>
    </row>
    <row r="3380" customFormat="false" ht="15.75" hidden="false" customHeight="false" outlineLevel="0" collapsed="false">
      <c r="A3380" s="9"/>
      <c r="B3380" s="10"/>
      <c r="C3380" s="10"/>
      <c r="D3380" s="10"/>
      <c r="E3380" s="10"/>
      <c r="F3380" s="10"/>
      <c r="G3380" s="10"/>
      <c r="H3380" s="10"/>
      <c r="I3380" s="22" t="n">
        <v>3</v>
      </c>
      <c r="J3380" s="22"/>
      <c r="K3380" s="23"/>
      <c r="L3380" s="23"/>
      <c r="M3380" s="22"/>
      <c r="N3380" s="22"/>
      <c r="O3380" s="22"/>
      <c r="P3380" s="23"/>
      <c r="Q3380" s="23"/>
      <c r="R3380" s="22"/>
      <c r="S3380" s="22"/>
      <c r="T3380" s="22"/>
      <c r="U3380" s="24"/>
      <c r="V3380" s="15"/>
      <c r="W3380" s="16"/>
      <c r="X3380" s="16"/>
      <c r="Y3380" s="16"/>
    </row>
    <row r="3381" customFormat="false" ht="15.75" hidden="false" customHeight="false" outlineLevel="0" collapsed="false">
      <c r="A3381" s="9"/>
      <c r="B3381" s="10"/>
      <c r="C3381" s="10"/>
      <c r="D3381" s="10"/>
      <c r="E3381" s="10"/>
      <c r="F3381" s="10"/>
      <c r="G3381" s="10"/>
      <c r="H3381" s="10"/>
      <c r="I3381" s="25" t="n">
        <v>4</v>
      </c>
      <c r="J3381" s="25"/>
      <c r="K3381" s="26"/>
      <c r="L3381" s="26"/>
      <c r="M3381" s="25"/>
      <c r="N3381" s="25"/>
      <c r="O3381" s="25"/>
      <c r="P3381" s="26"/>
      <c r="Q3381" s="26"/>
      <c r="R3381" s="25"/>
      <c r="S3381" s="25"/>
      <c r="T3381" s="25"/>
      <c r="U3381" s="27"/>
      <c r="V3381" s="21"/>
      <c r="W3381" s="16"/>
      <c r="X3381" s="16"/>
      <c r="Y3381" s="16"/>
    </row>
    <row r="3382" customFormat="false" ht="15.75" hidden="false" customHeight="false" outlineLevel="0" collapsed="false">
      <c r="A3382" s="9"/>
      <c r="B3382" s="10"/>
      <c r="C3382" s="11"/>
      <c r="D3382" s="10"/>
      <c r="E3382" s="10"/>
      <c r="F3382" s="10"/>
      <c r="G3382" s="10"/>
      <c r="H3382" s="10"/>
      <c r="I3382" s="12" t="n">
        <v>1</v>
      </c>
      <c r="J3382" s="12"/>
      <c r="K3382" s="13"/>
      <c r="L3382" s="13"/>
      <c r="M3382" s="12"/>
      <c r="N3382" s="12"/>
      <c r="O3382" s="12"/>
      <c r="P3382" s="13"/>
      <c r="Q3382" s="13"/>
      <c r="R3382" s="12"/>
      <c r="S3382" s="12"/>
      <c r="T3382" s="12"/>
      <c r="U3382" s="14"/>
      <c r="V3382" s="15"/>
      <c r="W3382" s="16" t="n">
        <f aca="false">A3382</f>
        <v>0</v>
      </c>
      <c r="X3382" s="17" t="e">
        <f aca="false">ifs(C3382="","",X3382="",NOW(),TRUE(),X3382)</f>
        <v>#VALUE!</v>
      </c>
      <c r="Y3382" s="17" t="e">
        <f aca="false">ifs(COUNTA(K3382:U3385)&lt;44,"",Y3382="",NOW(),TRUE(),Y3382)</f>
        <v>#VALUE!</v>
      </c>
    </row>
    <row r="3383" customFormat="false" ht="15.75" hidden="false" customHeight="false" outlineLevel="0" collapsed="false">
      <c r="A3383" s="9"/>
      <c r="B3383" s="10"/>
      <c r="C3383" s="10"/>
      <c r="D3383" s="10"/>
      <c r="E3383" s="10"/>
      <c r="F3383" s="10"/>
      <c r="G3383" s="10"/>
      <c r="H3383" s="10"/>
      <c r="I3383" s="18" t="n">
        <v>2</v>
      </c>
      <c r="J3383" s="18"/>
      <c r="K3383" s="19"/>
      <c r="L3383" s="19"/>
      <c r="M3383" s="18"/>
      <c r="N3383" s="18"/>
      <c r="O3383" s="18"/>
      <c r="P3383" s="19"/>
      <c r="Q3383" s="19"/>
      <c r="R3383" s="18"/>
      <c r="S3383" s="18"/>
      <c r="T3383" s="18"/>
      <c r="U3383" s="20"/>
      <c r="V3383" s="21"/>
      <c r="W3383" s="16"/>
      <c r="X3383" s="16"/>
      <c r="Y3383" s="16"/>
    </row>
    <row r="3384" customFormat="false" ht="15.75" hidden="false" customHeight="false" outlineLevel="0" collapsed="false">
      <c r="A3384" s="9"/>
      <c r="B3384" s="10"/>
      <c r="C3384" s="10"/>
      <c r="D3384" s="10"/>
      <c r="E3384" s="10"/>
      <c r="F3384" s="10"/>
      <c r="G3384" s="10"/>
      <c r="H3384" s="10"/>
      <c r="I3384" s="22" t="n">
        <v>3</v>
      </c>
      <c r="J3384" s="22"/>
      <c r="K3384" s="23"/>
      <c r="L3384" s="23"/>
      <c r="M3384" s="22"/>
      <c r="N3384" s="22"/>
      <c r="O3384" s="22"/>
      <c r="P3384" s="23"/>
      <c r="Q3384" s="23"/>
      <c r="R3384" s="22"/>
      <c r="S3384" s="22"/>
      <c r="T3384" s="22"/>
      <c r="U3384" s="24"/>
      <c r="V3384" s="15"/>
      <c r="W3384" s="16"/>
      <c r="X3384" s="16"/>
      <c r="Y3384" s="16"/>
    </row>
    <row r="3385" customFormat="false" ht="15.75" hidden="false" customHeight="false" outlineLevel="0" collapsed="false">
      <c r="A3385" s="9"/>
      <c r="B3385" s="10"/>
      <c r="C3385" s="10"/>
      <c r="D3385" s="10"/>
      <c r="E3385" s="10"/>
      <c r="F3385" s="10"/>
      <c r="G3385" s="10"/>
      <c r="H3385" s="10"/>
      <c r="I3385" s="25" t="n">
        <v>4</v>
      </c>
      <c r="J3385" s="25"/>
      <c r="K3385" s="26"/>
      <c r="L3385" s="26"/>
      <c r="M3385" s="25"/>
      <c r="N3385" s="25"/>
      <c r="O3385" s="25"/>
      <c r="P3385" s="26"/>
      <c r="Q3385" s="26"/>
      <c r="R3385" s="25"/>
      <c r="S3385" s="25"/>
      <c r="T3385" s="25"/>
      <c r="U3385" s="27"/>
      <c r="V3385" s="21"/>
      <c r="W3385" s="16"/>
      <c r="X3385" s="16"/>
      <c r="Y3385" s="16"/>
    </row>
    <row r="3386" customFormat="false" ht="15.75" hidden="false" customHeight="false" outlineLevel="0" collapsed="false">
      <c r="A3386" s="9"/>
      <c r="B3386" s="10"/>
      <c r="C3386" s="11"/>
      <c r="D3386" s="10"/>
      <c r="E3386" s="10"/>
      <c r="F3386" s="10"/>
      <c r="G3386" s="10"/>
      <c r="H3386" s="10"/>
      <c r="I3386" s="12" t="n">
        <v>1</v>
      </c>
      <c r="J3386" s="12"/>
      <c r="K3386" s="13"/>
      <c r="L3386" s="13"/>
      <c r="M3386" s="12"/>
      <c r="N3386" s="12"/>
      <c r="O3386" s="12"/>
      <c r="P3386" s="13"/>
      <c r="Q3386" s="13"/>
      <c r="R3386" s="12"/>
      <c r="S3386" s="12"/>
      <c r="T3386" s="12"/>
      <c r="U3386" s="14"/>
      <c r="V3386" s="15"/>
      <c r="W3386" s="16" t="n">
        <f aca="false">A3386</f>
        <v>0</v>
      </c>
      <c r="X3386" s="17" t="e">
        <f aca="false">ifs(C3386="","",X3386="",NOW(),TRUE(),X3386)</f>
        <v>#VALUE!</v>
      </c>
      <c r="Y3386" s="17" t="e">
        <f aca="false">ifs(COUNTA(K3386:U3389)&lt;44,"",Y3386="",NOW(),TRUE(),Y3386)</f>
        <v>#VALUE!</v>
      </c>
    </row>
    <row r="3387" customFormat="false" ht="15.75" hidden="false" customHeight="false" outlineLevel="0" collapsed="false">
      <c r="A3387" s="9"/>
      <c r="B3387" s="10"/>
      <c r="C3387" s="10"/>
      <c r="D3387" s="10"/>
      <c r="E3387" s="10"/>
      <c r="F3387" s="10"/>
      <c r="G3387" s="10"/>
      <c r="H3387" s="10"/>
      <c r="I3387" s="18" t="n">
        <v>2</v>
      </c>
      <c r="J3387" s="18"/>
      <c r="K3387" s="19"/>
      <c r="L3387" s="19"/>
      <c r="M3387" s="18"/>
      <c r="N3387" s="18"/>
      <c r="O3387" s="18"/>
      <c r="P3387" s="19"/>
      <c r="Q3387" s="19"/>
      <c r="R3387" s="18"/>
      <c r="S3387" s="18"/>
      <c r="T3387" s="18"/>
      <c r="U3387" s="20"/>
      <c r="V3387" s="21"/>
      <c r="W3387" s="16"/>
      <c r="X3387" s="16"/>
      <c r="Y3387" s="16"/>
    </row>
    <row r="3388" customFormat="false" ht="15.75" hidden="false" customHeight="false" outlineLevel="0" collapsed="false">
      <c r="A3388" s="9"/>
      <c r="B3388" s="10"/>
      <c r="C3388" s="10"/>
      <c r="D3388" s="10"/>
      <c r="E3388" s="10"/>
      <c r="F3388" s="10"/>
      <c r="G3388" s="10"/>
      <c r="H3388" s="10"/>
      <c r="I3388" s="22" t="n">
        <v>3</v>
      </c>
      <c r="J3388" s="22"/>
      <c r="K3388" s="23"/>
      <c r="L3388" s="23"/>
      <c r="M3388" s="22"/>
      <c r="N3388" s="22"/>
      <c r="O3388" s="22"/>
      <c r="P3388" s="23"/>
      <c r="Q3388" s="23"/>
      <c r="R3388" s="22"/>
      <c r="S3388" s="22"/>
      <c r="T3388" s="22"/>
      <c r="U3388" s="24"/>
      <c r="V3388" s="15"/>
      <c r="W3388" s="16"/>
      <c r="X3388" s="16"/>
      <c r="Y3388" s="16"/>
    </row>
    <row r="3389" customFormat="false" ht="15.75" hidden="false" customHeight="false" outlineLevel="0" collapsed="false">
      <c r="A3389" s="9"/>
      <c r="B3389" s="10"/>
      <c r="C3389" s="10"/>
      <c r="D3389" s="10"/>
      <c r="E3389" s="10"/>
      <c r="F3389" s="10"/>
      <c r="G3389" s="10"/>
      <c r="H3389" s="10"/>
      <c r="I3389" s="25" t="n">
        <v>4</v>
      </c>
      <c r="J3389" s="25"/>
      <c r="K3389" s="26"/>
      <c r="L3389" s="26"/>
      <c r="M3389" s="25"/>
      <c r="N3389" s="25"/>
      <c r="O3389" s="25"/>
      <c r="P3389" s="26"/>
      <c r="Q3389" s="26"/>
      <c r="R3389" s="25"/>
      <c r="S3389" s="25"/>
      <c r="T3389" s="25"/>
      <c r="U3389" s="27"/>
      <c r="V3389" s="21"/>
      <c r="W3389" s="16"/>
      <c r="X3389" s="16"/>
      <c r="Y3389" s="16"/>
    </row>
    <row r="3390" customFormat="false" ht="15.75" hidden="false" customHeight="false" outlineLevel="0" collapsed="false">
      <c r="A3390" s="9"/>
      <c r="B3390" s="10"/>
      <c r="C3390" s="11"/>
      <c r="D3390" s="10"/>
      <c r="E3390" s="10"/>
      <c r="F3390" s="10"/>
      <c r="G3390" s="10"/>
      <c r="H3390" s="10"/>
      <c r="I3390" s="12" t="n">
        <v>1</v>
      </c>
      <c r="J3390" s="12"/>
      <c r="K3390" s="13"/>
      <c r="L3390" s="13"/>
      <c r="M3390" s="12"/>
      <c r="N3390" s="12"/>
      <c r="O3390" s="12"/>
      <c r="P3390" s="13"/>
      <c r="Q3390" s="13"/>
      <c r="R3390" s="12"/>
      <c r="S3390" s="12"/>
      <c r="T3390" s="12"/>
      <c r="U3390" s="14"/>
      <c r="V3390" s="15"/>
      <c r="W3390" s="16" t="n">
        <f aca="false">A3390</f>
        <v>0</v>
      </c>
      <c r="X3390" s="17" t="e">
        <f aca="false">ifs(C3390="","",X3390="",NOW(),TRUE(),X3390)</f>
        <v>#VALUE!</v>
      </c>
      <c r="Y3390" s="17" t="e">
        <f aca="false">ifs(COUNTA(K3390:U3393)&lt;44,"",Y3390="",NOW(),TRUE(),Y3390)</f>
        <v>#VALUE!</v>
      </c>
    </row>
    <row r="3391" customFormat="false" ht="15.75" hidden="false" customHeight="false" outlineLevel="0" collapsed="false">
      <c r="A3391" s="9"/>
      <c r="B3391" s="10"/>
      <c r="C3391" s="10"/>
      <c r="D3391" s="10"/>
      <c r="E3391" s="10"/>
      <c r="F3391" s="10"/>
      <c r="G3391" s="10"/>
      <c r="H3391" s="10"/>
      <c r="I3391" s="18" t="n">
        <v>2</v>
      </c>
      <c r="J3391" s="18"/>
      <c r="K3391" s="19"/>
      <c r="L3391" s="19"/>
      <c r="M3391" s="18"/>
      <c r="N3391" s="18"/>
      <c r="O3391" s="18"/>
      <c r="P3391" s="19"/>
      <c r="Q3391" s="19"/>
      <c r="R3391" s="18"/>
      <c r="S3391" s="18"/>
      <c r="T3391" s="18"/>
      <c r="U3391" s="20"/>
      <c r="V3391" s="21"/>
      <c r="W3391" s="16"/>
      <c r="X3391" s="16"/>
      <c r="Y3391" s="16"/>
    </row>
    <row r="3392" customFormat="false" ht="15.75" hidden="false" customHeight="false" outlineLevel="0" collapsed="false">
      <c r="A3392" s="9"/>
      <c r="B3392" s="10"/>
      <c r="C3392" s="10"/>
      <c r="D3392" s="10"/>
      <c r="E3392" s="10"/>
      <c r="F3392" s="10"/>
      <c r="G3392" s="10"/>
      <c r="H3392" s="10"/>
      <c r="I3392" s="22" t="n">
        <v>3</v>
      </c>
      <c r="J3392" s="22"/>
      <c r="K3392" s="23"/>
      <c r="L3392" s="23"/>
      <c r="M3392" s="22"/>
      <c r="N3392" s="22"/>
      <c r="O3392" s="22"/>
      <c r="P3392" s="23"/>
      <c r="Q3392" s="23"/>
      <c r="R3392" s="22"/>
      <c r="S3392" s="22"/>
      <c r="T3392" s="22"/>
      <c r="U3392" s="24"/>
      <c r="V3392" s="15"/>
      <c r="W3392" s="16"/>
      <c r="X3392" s="16"/>
      <c r="Y3392" s="16"/>
    </row>
    <row r="3393" customFormat="false" ht="15.75" hidden="false" customHeight="false" outlineLevel="0" collapsed="false">
      <c r="A3393" s="9"/>
      <c r="B3393" s="10"/>
      <c r="C3393" s="10"/>
      <c r="D3393" s="10"/>
      <c r="E3393" s="10"/>
      <c r="F3393" s="10"/>
      <c r="G3393" s="10"/>
      <c r="H3393" s="10"/>
      <c r="I3393" s="25" t="n">
        <v>4</v>
      </c>
      <c r="J3393" s="25"/>
      <c r="K3393" s="26"/>
      <c r="L3393" s="26"/>
      <c r="M3393" s="25"/>
      <c r="N3393" s="25"/>
      <c r="O3393" s="25"/>
      <c r="P3393" s="26"/>
      <c r="Q3393" s="26"/>
      <c r="R3393" s="25"/>
      <c r="S3393" s="25"/>
      <c r="T3393" s="25"/>
      <c r="U3393" s="27"/>
      <c r="V3393" s="21"/>
      <c r="W3393" s="16"/>
      <c r="X3393" s="16"/>
      <c r="Y3393" s="16"/>
    </row>
    <row r="3394" customFormat="false" ht="15.75" hidden="false" customHeight="false" outlineLevel="0" collapsed="false">
      <c r="A3394" s="9"/>
      <c r="B3394" s="10"/>
      <c r="C3394" s="11"/>
      <c r="D3394" s="10"/>
      <c r="E3394" s="10"/>
      <c r="F3394" s="10"/>
      <c r="G3394" s="10"/>
      <c r="H3394" s="10"/>
      <c r="I3394" s="12" t="n">
        <v>1</v>
      </c>
      <c r="J3394" s="12"/>
      <c r="K3394" s="13"/>
      <c r="L3394" s="13"/>
      <c r="M3394" s="12"/>
      <c r="N3394" s="12"/>
      <c r="O3394" s="12"/>
      <c r="P3394" s="13"/>
      <c r="Q3394" s="13"/>
      <c r="R3394" s="12"/>
      <c r="S3394" s="12"/>
      <c r="T3394" s="12"/>
      <c r="U3394" s="14"/>
      <c r="V3394" s="15"/>
      <c r="W3394" s="16" t="n">
        <f aca="false">A3394</f>
        <v>0</v>
      </c>
      <c r="X3394" s="17" t="e">
        <f aca="false">ifs(C3394="","",X3394="",NOW(),TRUE(),X3394)</f>
        <v>#VALUE!</v>
      </c>
      <c r="Y3394" s="17" t="e">
        <f aca="false">ifs(COUNTA(K3394:U3397)&lt;44,"",Y3394="",NOW(),TRUE(),Y3394)</f>
        <v>#VALUE!</v>
      </c>
    </row>
    <row r="3395" customFormat="false" ht="15.75" hidden="false" customHeight="false" outlineLevel="0" collapsed="false">
      <c r="A3395" s="9"/>
      <c r="B3395" s="10"/>
      <c r="C3395" s="10"/>
      <c r="D3395" s="10"/>
      <c r="E3395" s="10"/>
      <c r="F3395" s="10"/>
      <c r="G3395" s="10"/>
      <c r="H3395" s="10"/>
      <c r="I3395" s="18" t="n">
        <v>2</v>
      </c>
      <c r="J3395" s="18"/>
      <c r="K3395" s="19"/>
      <c r="L3395" s="19"/>
      <c r="M3395" s="18"/>
      <c r="N3395" s="18"/>
      <c r="O3395" s="18"/>
      <c r="P3395" s="19"/>
      <c r="Q3395" s="19"/>
      <c r="R3395" s="18"/>
      <c r="S3395" s="18"/>
      <c r="T3395" s="18"/>
      <c r="U3395" s="20"/>
      <c r="V3395" s="21"/>
      <c r="W3395" s="16"/>
      <c r="X3395" s="16"/>
      <c r="Y3395" s="16"/>
    </row>
    <row r="3396" customFormat="false" ht="15.75" hidden="false" customHeight="false" outlineLevel="0" collapsed="false">
      <c r="A3396" s="9"/>
      <c r="B3396" s="10"/>
      <c r="C3396" s="10"/>
      <c r="D3396" s="10"/>
      <c r="E3396" s="10"/>
      <c r="F3396" s="10"/>
      <c r="G3396" s="10"/>
      <c r="H3396" s="10"/>
      <c r="I3396" s="22" t="n">
        <v>3</v>
      </c>
      <c r="J3396" s="22"/>
      <c r="K3396" s="23"/>
      <c r="L3396" s="23"/>
      <c r="M3396" s="22"/>
      <c r="N3396" s="22"/>
      <c r="O3396" s="22"/>
      <c r="P3396" s="23"/>
      <c r="Q3396" s="23"/>
      <c r="R3396" s="22"/>
      <c r="S3396" s="22"/>
      <c r="T3396" s="22"/>
      <c r="U3396" s="24"/>
      <c r="V3396" s="15"/>
      <c r="W3396" s="16"/>
      <c r="X3396" s="16"/>
      <c r="Y3396" s="16"/>
    </row>
    <row r="3397" customFormat="false" ht="15.75" hidden="false" customHeight="false" outlineLevel="0" collapsed="false">
      <c r="A3397" s="9"/>
      <c r="B3397" s="10"/>
      <c r="C3397" s="10"/>
      <c r="D3397" s="10"/>
      <c r="E3397" s="10"/>
      <c r="F3397" s="10"/>
      <c r="G3397" s="10"/>
      <c r="H3397" s="10"/>
      <c r="I3397" s="25" t="n">
        <v>4</v>
      </c>
      <c r="J3397" s="25"/>
      <c r="K3397" s="26"/>
      <c r="L3397" s="26"/>
      <c r="M3397" s="25"/>
      <c r="N3397" s="25"/>
      <c r="O3397" s="25"/>
      <c r="P3397" s="26"/>
      <c r="Q3397" s="26"/>
      <c r="R3397" s="25"/>
      <c r="S3397" s="25"/>
      <c r="T3397" s="25"/>
      <c r="U3397" s="27"/>
      <c r="V3397" s="21"/>
      <c r="W3397" s="16"/>
      <c r="X3397" s="16"/>
      <c r="Y3397" s="16"/>
    </row>
    <row r="3398" customFormat="false" ht="15.75" hidden="false" customHeight="false" outlineLevel="0" collapsed="false">
      <c r="A3398" s="9"/>
      <c r="B3398" s="10"/>
      <c r="C3398" s="11"/>
      <c r="D3398" s="10"/>
      <c r="E3398" s="10"/>
      <c r="F3398" s="10"/>
      <c r="G3398" s="10"/>
      <c r="H3398" s="10"/>
      <c r="I3398" s="12" t="n">
        <v>1</v>
      </c>
      <c r="J3398" s="12"/>
      <c r="K3398" s="13"/>
      <c r="L3398" s="13"/>
      <c r="M3398" s="12"/>
      <c r="N3398" s="12"/>
      <c r="O3398" s="12"/>
      <c r="P3398" s="13"/>
      <c r="Q3398" s="13"/>
      <c r="R3398" s="12"/>
      <c r="S3398" s="12"/>
      <c r="T3398" s="12"/>
      <c r="U3398" s="14"/>
      <c r="V3398" s="15"/>
      <c r="W3398" s="16" t="n">
        <f aca="false">A3398</f>
        <v>0</v>
      </c>
      <c r="X3398" s="17" t="e">
        <f aca="false">ifs(C3398="","",X3398="",NOW(),TRUE(),X3398)</f>
        <v>#VALUE!</v>
      </c>
      <c r="Y3398" s="17" t="e">
        <f aca="false">ifs(COUNTA(K3398:U3401)&lt;44,"",Y3398="",NOW(),TRUE(),Y3398)</f>
        <v>#VALUE!</v>
      </c>
    </row>
    <row r="3399" customFormat="false" ht="15.75" hidden="false" customHeight="false" outlineLevel="0" collapsed="false">
      <c r="A3399" s="9"/>
      <c r="B3399" s="10"/>
      <c r="C3399" s="10"/>
      <c r="D3399" s="10"/>
      <c r="E3399" s="10"/>
      <c r="F3399" s="10"/>
      <c r="G3399" s="10"/>
      <c r="H3399" s="10"/>
      <c r="I3399" s="18" t="n">
        <v>2</v>
      </c>
      <c r="J3399" s="18"/>
      <c r="K3399" s="19"/>
      <c r="L3399" s="19"/>
      <c r="M3399" s="18"/>
      <c r="N3399" s="18"/>
      <c r="O3399" s="18"/>
      <c r="P3399" s="19"/>
      <c r="Q3399" s="19"/>
      <c r="R3399" s="18"/>
      <c r="S3399" s="18"/>
      <c r="T3399" s="18"/>
      <c r="U3399" s="20"/>
      <c r="V3399" s="21"/>
      <c r="W3399" s="16"/>
      <c r="X3399" s="16"/>
      <c r="Y3399" s="16"/>
    </row>
    <row r="3400" customFormat="false" ht="15.75" hidden="false" customHeight="false" outlineLevel="0" collapsed="false">
      <c r="A3400" s="9"/>
      <c r="B3400" s="10"/>
      <c r="C3400" s="10"/>
      <c r="D3400" s="10"/>
      <c r="E3400" s="10"/>
      <c r="F3400" s="10"/>
      <c r="G3400" s="10"/>
      <c r="H3400" s="10"/>
      <c r="I3400" s="22" t="n">
        <v>3</v>
      </c>
      <c r="J3400" s="22"/>
      <c r="K3400" s="23"/>
      <c r="L3400" s="23"/>
      <c r="M3400" s="22"/>
      <c r="N3400" s="22"/>
      <c r="O3400" s="22"/>
      <c r="P3400" s="23"/>
      <c r="Q3400" s="23"/>
      <c r="R3400" s="22"/>
      <c r="S3400" s="22"/>
      <c r="T3400" s="22"/>
      <c r="U3400" s="24"/>
      <c r="V3400" s="15"/>
      <c r="W3400" s="16"/>
      <c r="X3400" s="16"/>
      <c r="Y3400" s="16"/>
    </row>
    <row r="3401" customFormat="false" ht="15.75" hidden="false" customHeight="false" outlineLevel="0" collapsed="false">
      <c r="A3401" s="9"/>
      <c r="B3401" s="10"/>
      <c r="C3401" s="10"/>
      <c r="D3401" s="10"/>
      <c r="E3401" s="10"/>
      <c r="F3401" s="10"/>
      <c r="G3401" s="10"/>
      <c r="H3401" s="10"/>
      <c r="I3401" s="25" t="n">
        <v>4</v>
      </c>
      <c r="J3401" s="25"/>
      <c r="K3401" s="26"/>
      <c r="L3401" s="26"/>
      <c r="M3401" s="25"/>
      <c r="N3401" s="25"/>
      <c r="O3401" s="25"/>
      <c r="P3401" s="26"/>
      <c r="Q3401" s="26"/>
      <c r="R3401" s="25"/>
      <c r="S3401" s="25"/>
      <c r="T3401" s="25"/>
      <c r="U3401" s="27"/>
      <c r="V3401" s="21"/>
      <c r="W3401" s="16"/>
      <c r="X3401" s="16"/>
      <c r="Y3401" s="16"/>
    </row>
    <row r="3402" customFormat="false" ht="15.75" hidden="false" customHeight="false" outlineLevel="0" collapsed="false">
      <c r="A3402" s="9"/>
      <c r="B3402" s="10"/>
      <c r="C3402" s="11"/>
      <c r="D3402" s="10"/>
      <c r="E3402" s="10"/>
      <c r="F3402" s="10"/>
      <c r="G3402" s="10"/>
      <c r="H3402" s="10"/>
      <c r="I3402" s="12" t="n">
        <v>1</v>
      </c>
      <c r="J3402" s="12"/>
      <c r="K3402" s="13"/>
      <c r="L3402" s="13"/>
      <c r="M3402" s="12"/>
      <c r="N3402" s="12"/>
      <c r="O3402" s="12"/>
      <c r="P3402" s="13"/>
      <c r="Q3402" s="13"/>
      <c r="R3402" s="12"/>
      <c r="S3402" s="12"/>
      <c r="T3402" s="12"/>
      <c r="U3402" s="14"/>
      <c r="V3402" s="15"/>
      <c r="W3402" s="16" t="n">
        <f aca="false">A3402</f>
        <v>0</v>
      </c>
      <c r="X3402" s="17" t="e">
        <f aca="false">ifs(C3402="","",X3402="",NOW(),TRUE(),X3402)</f>
        <v>#VALUE!</v>
      </c>
      <c r="Y3402" s="17" t="e">
        <f aca="false">ifs(COUNTA(K3402:U3405)&lt;44,"",Y3402="",NOW(),TRUE(),Y3402)</f>
        <v>#VALUE!</v>
      </c>
    </row>
    <row r="3403" customFormat="false" ht="15.75" hidden="false" customHeight="false" outlineLevel="0" collapsed="false">
      <c r="A3403" s="9"/>
      <c r="B3403" s="10"/>
      <c r="C3403" s="10"/>
      <c r="D3403" s="10"/>
      <c r="E3403" s="10"/>
      <c r="F3403" s="10"/>
      <c r="G3403" s="10"/>
      <c r="H3403" s="10"/>
      <c r="I3403" s="18" t="n">
        <v>2</v>
      </c>
      <c r="J3403" s="18"/>
      <c r="K3403" s="19"/>
      <c r="L3403" s="19"/>
      <c r="M3403" s="18"/>
      <c r="N3403" s="18"/>
      <c r="O3403" s="18"/>
      <c r="P3403" s="19"/>
      <c r="Q3403" s="19"/>
      <c r="R3403" s="18"/>
      <c r="S3403" s="18"/>
      <c r="T3403" s="18"/>
      <c r="U3403" s="20"/>
      <c r="V3403" s="21"/>
      <c r="W3403" s="16"/>
      <c r="X3403" s="16"/>
      <c r="Y3403" s="16"/>
    </row>
    <row r="3404" customFormat="false" ht="15.75" hidden="false" customHeight="false" outlineLevel="0" collapsed="false">
      <c r="A3404" s="9"/>
      <c r="B3404" s="10"/>
      <c r="C3404" s="10"/>
      <c r="D3404" s="10"/>
      <c r="E3404" s="10"/>
      <c r="F3404" s="10"/>
      <c r="G3404" s="10"/>
      <c r="H3404" s="10"/>
      <c r="I3404" s="22" t="n">
        <v>3</v>
      </c>
      <c r="J3404" s="22"/>
      <c r="K3404" s="23"/>
      <c r="L3404" s="23"/>
      <c r="M3404" s="22"/>
      <c r="N3404" s="22"/>
      <c r="O3404" s="22"/>
      <c r="P3404" s="23"/>
      <c r="Q3404" s="23"/>
      <c r="R3404" s="22"/>
      <c r="S3404" s="22"/>
      <c r="T3404" s="22"/>
      <c r="U3404" s="24"/>
      <c r="V3404" s="15"/>
      <c r="W3404" s="16"/>
      <c r="X3404" s="16"/>
      <c r="Y3404" s="16"/>
    </row>
    <row r="3405" customFormat="false" ht="15.75" hidden="false" customHeight="false" outlineLevel="0" collapsed="false">
      <c r="A3405" s="9"/>
      <c r="B3405" s="10"/>
      <c r="C3405" s="10"/>
      <c r="D3405" s="10"/>
      <c r="E3405" s="10"/>
      <c r="F3405" s="10"/>
      <c r="G3405" s="10"/>
      <c r="H3405" s="10"/>
      <c r="I3405" s="25" t="n">
        <v>4</v>
      </c>
      <c r="J3405" s="25"/>
      <c r="K3405" s="26"/>
      <c r="L3405" s="26"/>
      <c r="M3405" s="25"/>
      <c r="N3405" s="25"/>
      <c r="O3405" s="25"/>
      <c r="P3405" s="26"/>
      <c r="Q3405" s="26"/>
      <c r="R3405" s="25"/>
      <c r="S3405" s="25"/>
      <c r="T3405" s="25"/>
      <c r="U3405" s="27"/>
      <c r="V3405" s="21"/>
      <c r="W3405" s="16"/>
      <c r="X3405" s="16"/>
      <c r="Y3405" s="16"/>
    </row>
    <row r="3406" customFormat="false" ht="15.75" hidden="false" customHeight="false" outlineLevel="0" collapsed="false">
      <c r="A3406" s="9"/>
      <c r="B3406" s="10"/>
      <c r="C3406" s="11"/>
      <c r="D3406" s="10"/>
      <c r="E3406" s="10"/>
      <c r="F3406" s="10"/>
      <c r="G3406" s="10"/>
      <c r="H3406" s="10"/>
      <c r="I3406" s="12" t="n">
        <v>1</v>
      </c>
      <c r="J3406" s="12"/>
      <c r="K3406" s="13"/>
      <c r="L3406" s="13"/>
      <c r="M3406" s="12"/>
      <c r="N3406" s="12"/>
      <c r="O3406" s="12"/>
      <c r="P3406" s="13"/>
      <c r="Q3406" s="13"/>
      <c r="R3406" s="12"/>
      <c r="S3406" s="12"/>
      <c r="T3406" s="12"/>
      <c r="U3406" s="14"/>
      <c r="V3406" s="15"/>
      <c r="W3406" s="16" t="n">
        <f aca="false">A3406</f>
        <v>0</v>
      </c>
      <c r="X3406" s="17" t="e">
        <f aca="false">ifs(C3406="","",X3406="",NOW(),TRUE(),X3406)</f>
        <v>#VALUE!</v>
      </c>
      <c r="Y3406" s="17" t="e">
        <f aca="false">ifs(COUNTA(K3406:U3409)&lt;44,"",Y3406="",NOW(),TRUE(),Y3406)</f>
        <v>#VALUE!</v>
      </c>
    </row>
    <row r="3407" customFormat="false" ht="15.75" hidden="false" customHeight="false" outlineLevel="0" collapsed="false">
      <c r="A3407" s="9"/>
      <c r="B3407" s="10"/>
      <c r="C3407" s="10"/>
      <c r="D3407" s="10"/>
      <c r="E3407" s="10"/>
      <c r="F3407" s="10"/>
      <c r="G3407" s="10"/>
      <c r="H3407" s="10"/>
      <c r="I3407" s="18" t="n">
        <v>2</v>
      </c>
      <c r="J3407" s="18"/>
      <c r="K3407" s="19"/>
      <c r="L3407" s="19"/>
      <c r="M3407" s="18"/>
      <c r="N3407" s="18"/>
      <c r="O3407" s="18"/>
      <c r="P3407" s="19"/>
      <c r="Q3407" s="19"/>
      <c r="R3407" s="18"/>
      <c r="S3407" s="18"/>
      <c r="T3407" s="18"/>
      <c r="U3407" s="20"/>
      <c r="V3407" s="21"/>
      <c r="W3407" s="16"/>
      <c r="X3407" s="16"/>
      <c r="Y3407" s="16"/>
    </row>
    <row r="3408" customFormat="false" ht="15.75" hidden="false" customHeight="false" outlineLevel="0" collapsed="false">
      <c r="A3408" s="9"/>
      <c r="B3408" s="10"/>
      <c r="C3408" s="10"/>
      <c r="D3408" s="10"/>
      <c r="E3408" s="10"/>
      <c r="F3408" s="10"/>
      <c r="G3408" s="10"/>
      <c r="H3408" s="10"/>
      <c r="I3408" s="22" t="n">
        <v>3</v>
      </c>
      <c r="J3408" s="22"/>
      <c r="K3408" s="23"/>
      <c r="L3408" s="23"/>
      <c r="M3408" s="22"/>
      <c r="N3408" s="22"/>
      <c r="O3408" s="22"/>
      <c r="P3408" s="23"/>
      <c r="Q3408" s="23"/>
      <c r="R3408" s="22"/>
      <c r="S3408" s="22"/>
      <c r="T3408" s="22"/>
      <c r="U3408" s="24"/>
      <c r="V3408" s="15"/>
      <c r="W3408" s="16"/>
      <c r="X3408" s="16"/>
      <c r="Y3408" s="16"/>
    </row>
    <row r="3409" customFormat="false" ht="15.75" hidden="false" customHeight="false" outlineLevel="0" collapsed="false">
      <c r="A3409" s="9"/>
      <c r="B3409" s="10"/>
      <c r="C3409" s="10"/>
      <c r="D3409" s="10"/>
      <c r="E3409" s="10"/>
      <c r="F3409" s="10"/>
      <c r="G3409" s="10"/>
      <c r="H3409" s="10"/>
      <c r="I3409" s="25" t="n">
        <v>4</v>
      </c>
      <c r="J3409" s="25"/>
      <c r="K3409" s="26"/>
      <c r="L3409" s="26"/>
      <c r="M3409" s="25"/>
      <c r="N3409" s="25"/>
      <c r="O3409" s="25"/>
      <c r="P3409" s="26"/>
      <c r="Q3409" s="26"/>
      <c r="R3409" s="25"/>
      <c r="S3409" s="25"/>
      <c r="T3409" s="25"/>
      <c r="U3409" s="27"/>
      <c r="V3409" s="21"/>
      <c r="W3409" s="16"/>
      <c r="X3409" s="16"/>
      <c r="Y3409" s="16"/>
    </row>
    <row r="3410" customFormat="false" ht="15.75" hidden="false" customHeight="false" outlineLevel="0" collapsed="false">
      <c r="A3410" s="9"/>
      <c r="B3410" s="10"/>
      <c r="C3410" s="11"/>
      <c r="D3410" s="10"/>
      <c r="E3410" s="10"/>
      <c r="F3410" s="10"/>
      <c r="G3410" s="10"/>
      <c r="H3410" s="10"/>
      <c r="I3410" s="12" t="n">
        <v>1</v>
      </c>
      <c r="J3410" s="12"/>
      <c r="K3410" s="13"/>
      <c r="L3410" s="13"/>
      <c r="M3410" s="12"/>
      <c r="N3410" s="12"/>
      <c r="O3410" s="12"/>
      <c r="P3410" s="13"/>
      <c r="Q3410" s="13"/>
      <c r="R3410" s="12"/>
      <c r="S3410" s="12"/>
      <c r="T3410" s="12"/>
      <c r="U3410" s="14"/>
      <c r="V3410" s="15"/>
      <c r="W3410" s="16" t="n">
        <f aca="false">A3410</f>
        <v>0</v>
      </c>
      <c r="X3410" s="17" t="e">
        <f aca="false">ifs(C3410="","",X3410="",NOW(),TRUE(),X3410)</f>
        <v>#VALUE!</v>
      </c>
      <c r="Y3410" s="17" t="e">
        <f aca="false">ifs(COUNTA(K3410:U3413)&lt;44,"",Y3410="",NOW(),TRUE(),Y3410)</f>
        <v>#VALUE!</v>
      </c>
    </row>
    <row r="3411" customFormat="false" ht="15.75" hidden="false" customHeight="false" outlineLevel="0" collapsed="false">
      <c r="A3411" s="9"/>
      <c r="B3411" s="10"/>
      <c r="C3411" s="10"/>
      <c r="D3411" s="10"/>
      <c r="E3411" s="10"/>
      <c r="F3411" s="10"/>
      <c r="G3411" s="10"/>
      <c r="H3411" s="10"/>
      <c r="I3411" s="18" t="n">
        <v>2</v>
      </c>
      <c r="J3411" s="18"/>
      <c r="K3411" s="19"/>
      <c r="L3411" s="19"/>
      <c r="M3411" s="18"/>
      <c r="N3411" s="18"/>
      <c r="O3411" s="18"/>
      <c r="P3411" s="19"/>
      <c r="Q3411" s="19"/>
      <c r="R3411" s="18"/>
      <c r="S3411" s="18"/>
      <c r="T3411" s="18"/>
      <c r="U3411" s="20"/>
      <c r="V3411" s="21"/>
      <c r="W3411" s="16"/>
      <c r="X3411" s="16"/>
      <c r="Y3411" s="16"/>
    </row>
    <row r="3412" customFormat="false" ht="15.75" hidden="false" customHeight="false" outlineLevel="0" collapsed="false">
      <c r="A3412" s="9"/>
      <c r="B3412" s="10"/>
      <c r="C3412" s="10"/>
      <c r="D3412" s="10"/>
      <c r="E3412" s="10"/>
      <c r="F3412" s="10"/>
      <c r="G3412" s="10"/>
      <c r="H3412" s="10"/>
      <c r="I3412" s="22" t="n">
        <v>3</v>
      </c>
      <c r="J3412" s="22"/>
      <c r="K3412" s="23"/>
      <c r="L3412" s="23"/>
      <c r="M3412" s="22"/>
      <c r="N3412" s="22"/>
      <c r="O3412" s="22"/>
      <c r="P3412" s="23"/>
      <c r="Q3412" s="23"/>
      <c r="R3412" s="22"/>
      <c r="S3412" s="22"/>
      <c r="T3412" s="22"/>
      <c r="U3412" s="24"/>
      <c r="V3412" s="15"/>
      <c r="W3412" s="16"/>
      <c r="X3412" s="16"/>
      <c r="Y3412" s="16"/>
    </row>
    <row r="3413" customFormat="false" ht="15.75" hidden="false" customHeight="false" outlineLevel="0" collapsed="false">
      <c r="A3413" s="9"/>
      <c r="B3413" s="10"/>
      <c r="C3413" s="10"/>
      <c r="D3413" s="10"/>
      <c r="E3413" s="10"/>
      <c r="F3413" s="10"/>
      <c r="G3413" s="10"/>
      <c r="H3413" s="10"/>
      <c r="I3413" s="25" t="n">
        <v>4</v>
      </c>
      <c r="J3413" s="25"/>
      <c r="K3413" s="26"/>
      <c r="L3413" s="26"/>
      <c r="M3413" s="25"/>
      <c r="N3413" s="25"/>
      <c r="O3413" s="25"/>
      <c r="P3413" s="26"/>
      <c r="Q3413" s="26"/>
      <c r="R3413" s="25"/>
      <c r="S3413" s="25"/>
      <c r="T3413" s="25"/>
      <c r="U3413" s="27"/>
      <c r="V3413" s="21"/>
      <c r="W3413" s="16"/>
      <c r="X3413" s="16"/>
      <c r="Y3413" s="16"/>
    </row>
    <row r="3414" customFormat="false" ht="15.75" hidden="false" customHeight="false" outlineLevel="0" collapsed="false">
      <c r="A3414" s="9"/>
      <c r="B3414" s="10"/>
      <c r="C3414" s="11"/>
      <c r="D3414" s="10"/>
      <c r="E3414" s="10"/>
      <c r="F3414" s="10"/>
      <c r="G3414" s="10"/>
      <c r="H3414" s="10"/>
      <c r="I3414" s="12" t="n">
        <v>1</v>
      </c>
      <c r="J3414" s="12"/>
      <c r="K3414" s="13"/>
      <c r="L3414" s="13"/>
      <c r="M3414" s="12"/>
      <c r="N3414" s="12"/>
      <c r="O3414" s="12"/>
      <c r="P3414" s="13"/>
      <c r="Q3414" s="13"/>
      <c r="R3414" s="12"/>
      <c r="S3414" s="12"/>
      <c r="T3414" s="12"/>
      <c r="U3414" s="14"/>
      <c r="V3414" s="15"/>
      <c r="W3414" s="16" t="n">
        <f aca="false">A3414</f>
        <v>0</v>
      </c>
      <c r="X3414" s="17" t="e">
        <f aca="false">ifs(C3414="","",X3414="",NOW(),TRUE(),X3414)</f>
        <v>#VALUE!</v>
      </c>
      <c r="Y3414" s="17" t="e">
        <f aca="false">ifs(COUNTA(K3414:U3417)&lt;44,"",Y3414="",NOW(),TRUE(),Y3414)</f>
        <v>#VALUE!</v>
      </c>
    </row>
    <row r="3415" customFormat="false" ht="15.75" hidden="false" customHeight="false" outlineLevel="0" collapsed="false">
      <c r="A3415" s="9"/>
      <c r="B3415" s="10"/>
      <c r="C3415" s="10"/>
      <c r="D3415" s="10"/>
      <c r="E3415" s="10"/>
      <c r="F3415" s="10"/>
      <c r="G3415" s="10"/>
      <c r="H3415" s="10"/>
      <c r="I3415" s="18" t="n">
        <v>2</v>
      </c>
      <c r="J3415" s="18"/>
      <c r="K3415" s="19"/>
      <c r="L3415" s="19"/>
      <c r="M3415" s="18"/>
      <c r="N3415" s="18"/>
      <c r="O3415" s="18"/>
      <c r="P3415" s="19"/>
      <c r="Q3415" s="19"/>
      <c r="R3415" s="18"/>
      <c r="S3415" s="18"/>
      <c r="T3415" s="18"/>
      <c r="U3415" s="20"/>
      <c r="V3415" s="21"/>
      <c r="W3415" s="16"/>
      <c r="X3415" s="16"/>
      <c r="Y3415" s="16"/>
    </row>
    <row r="3416" customFormat="false" ht="15.75" hidden="false" customHeight="false" outlineLevel="0" collapsed="false">
      <c r="A3416" s="9"/>
      <c r="B3416" s="10"/>
      <c r="C3416" s="10"/>
      <c r="D3416" s="10"/>
      <c r="E3416" s="10"/>
      <c r="F3416" s="10"/>
      <c r="G3416" s="10"/>
      <c r="H3416" s="10"/>
      <c r="I3416" s="22" t="n">
        <v>3</v>
      </c>
      <c r="J3416" s="22"/>
      <c r="K3416" s="23"/>
      <c r="L3416" s="23"/>
      <c r="M3416" s="22"/>
      <c r="N3416" s="22"/>
      <c r="O3416" s="22"/>
      <c r="P3416" s="23"/>
      <c r="Q3416" s="23"/>
      <c r="R3416" s="22"/>
      <c r="S3416" s="22"/>
      <c r="T3416" s="22"/>
      <c r="U3416" s="24"/>
      <c r="V3416" s="15"/>
      <c r="W3416" s="16"/>
      <c r="X3416" s="16"/>
      <c r="Y3416" s="16"/>
    </row>
    <row r="3417" customFormat="false" ht="15.75" hidden="false" customHeight="false" outlineLevel="0" collapsed="false">
      <c r="A3417" s="9"/>
      <c r="B3417" s="10"/>
      <c r="C3417" s="10"/>
      <c r="D3417" s="10"/>
      <c r="E3417" s="10"/>
      <c r="F3417" s="10"/>
      <c r="G3417" s="10"/>
      <c r="H3417" s="10"/>
      <c r="I3417" s="25" t="n">
        <v>4</v>
      </c>
      <c r="J3417" s="25"/>
      <c r="K3417" s="26"/>
      <c r="L3417" s="26"/>
      <c r="M3417" s="25"/>
      <c r="N3417" s="25"/>
      <c r="O3417" s="25"/>
      <c r="P3417" s="26"/>
      <c r="Q3417" s="26"/>
      <c r="R3417" s="25"/>
      <c r="S3417" s="25"/>
      <c r="T3417" s="25"/>
      <c r="U3417" s="27"/>
      <c r="V3417" s="21"/>
      <c r="W3417" s="16"/>
      <c r="X3417" s="16"/>
      <c r="Y3417" s="16"/>
    </row>
    <row r="3418" customFormat="false" ht="15.75" hidden="false" customHeight="false" outlineLevel="0" collapsed="false">
      <c r="A3418" s="9"/>
      <c r="B3418" s="10"/>
      <c r="C3418" s="11"/>
      <c r="D3418" s="10"/>
      <c r="E3418" s="10"/>
      <c r="F3418" s="10"/>
      <c r="G3418" s="10"/>
      <c r="H3418" s="10"/>
      <c r="I3418" s="12" t="n">
        <v>1</v>
      </c>
      <c r="J3418" s="12"/>
      <c r="K3418" s="13"/>
      <c r="L3418" s="13"/>
      <c r="M3418" s="12"/>
      <c r="N3418" s="12"/>
      <c r="O3418" s="12"/>
      <c r="P3418" s="13"/>
      <c r="Q3418" s="13"/>
      <c r="R3418" s="12"/>
      <c r="S3418" s="12"/>
      <c r="T3418" s="12"/>
      <c r="U3418" s="14"/>
      <c r="V3418" s="15"/>
      <c r="W3418" s="16" t="n">
        <f aca="false">A3418</f>
        <v>0</v>
      </c>
      <c r="X3418" s="17" t="e">
        <f aca="false">ifs(C3418="","",X3418="",NOW(),TRUE(),X3418)</f>
        <v>#VALUE!</v>
      </c>
      <c r="Y3418" s="17" t="e">
        <f aca="false">ifs(COUNTA(K3418:U3421)&lt;44,"",Y3418="",NOW(),TRUE(),Y3418)</f>
        <v>#VALUE!</v>
      </c>
    </row>
    <row r="3419" customFormat="false" ht="15.75" hidden="false" customHeight="false" outlineLevel="0" collapsed="false">
      <c r="A3419" s="9"/>
      <c r="B3419" s="10"/>
      <c r="C3419" s="10"/>
      <c r="D3419" s="10"/>
      <c r="E3419" s="10"/>
      <c r="F3419" s="10"/>
      <c r="G3419" s="10"/>
      <c r="H3419" s="10"/>
      <c r="I3419" s="18" t="n">
        <v>2</v>
      </c>
      <c r="J3419" s="18"/>
      <c r="K3419" s="19"/>
      <c r="L3419" s="19"/>
      <c r="M3419" s="18"/>
      <c r="N3419" s="18"/>
      <c r="O3419" s="18"/>
      <c r="P3419" s="19"/>
      <c r="Q3419" s="19"/>
      <c r="R3419" s="18"/>
      <c r="S3419" s="18"/>
      <c r="T3419" s="18"/>
      <c r="U3419" s="20"/>
      <c r="V3419" s="21"/>
      <c r="W3419" s="16"/>
      <c r="X3419" s="16"/>
      <c r="Y3419" s="16"/>
    </row>
    <row r="3420" customFormat="false" ht="15.75" hidden="false" customHeight="false" outlineLevel="0" collapsed="false">
      <c r="A3420" s="9"/>
      <c r="B3420" s="10"/>
      <c r="C3420" s="10"/>
      <c r="D3420" s="10"/>
      <c r="E3420" s="10"/>
      <c r="F3420" s="10"/>
      <c r="G3420" s="10"/>
      <c r="H3420" s="10"/>
      <c r="I3420" s="22" t="n">
        <v>3</v>
      </c>
      <c r="J3420" s="22"/>
      <c r="K3420" s="23"/>
      <c r="L3420" s="23"/>
      <c r="M3420" s="22"/>
      <c r="N3420" s="22"/>
      <c r="O3420" s="22"/>
      <c r="P3420" s="23"/>
      <c r="Q3420" s="23"/>
      <c r="R3420" s="22"/>
      <c r="S3420" s="22"/>
      <c r="T3420" s="22"/>
      <c r="U3420" s="24"/>
      <c r="V3420" s="15"/>
      <c r="W3420" s="16"/>
      <c r="X3420" s="16"/>
      <c r="Y3420" s="16"/>
    </row>
    <row r="3421" customFormat="false" ht="15.75" hidden="false" customHeight="false" outlineLevel="0" collapsed="false">
      <c r="A3421" s="9"/>
      <c r="B3421" s="10"/>
      <c r="C3421" s="10"/>
      <c r="D3421" s="10"/>
      <c r="E3421" s="10"/>
      <c r="F3421" s="10"/>
      <c r="G3421" s="10"/>
      <c r="H3421" s="10"/>
      <c r="I3421" s="25" t="n">
        <v>4</v>
      </c>
      <c r="J3421" s="25"/>
      <c r="K3421" s="26"/>
      <c r="L3421" s="26"/>
      <c r="M3421" s="25"/>
      <c r="N3421" s="25"/>
      <c r="O3421" s="25"/>
      <c r="P3421" s="26"/>
      <c r="Q3421" s="26"/>
      <c r="R3421" s="25"/>
      <c r="S3421" s="25"/>
      <c r="T3421" s="25"/>
      <c r="U3421" s="27"/>
      <c r="V3421" s="21"/>
      <c r="W3421" s="16"/>
      <c r="X3421" s="16"/>
      <c r="Y3421" s="16"/>
    </row>
    <row r="3422" customFormat="false" ht="15.75" hidden="false" customHeight="false" outlineLevel="0" collapsed="false">
      <c r="A3422" s="9"/>
      <c r="B3422" s="10"/>
      <c r="C3422" s="11"/>
      <c r="D3422" s="10"/>
      <c r="E3422" s="10"/>
      <c r="F3422" s="10"/>
      <c r="G3422" s="10"/>
      <c r="H3422" s="10"/>
      <c r="I3422" s="12" t="n">
        <v>1</v>
      </c>
      <c r="J3422" s="12"/>
      <c r="K3422" s="13"/>
      <c r="L3422" s="13"/>
      <c r="M3422" s="12"/>
      <c r="N3422" s="12"/>
      <c r="O3422" s="12"/>
      <c r="P3422" s="13"/>
      <c r="Q3422" s="13"/>
      <c r="R3422" s="12"/>
      <c r="S3422" s="12"/>
      <c r="T3422" s="12"/>
      <c r="U3422" s="14"/>
      <c r="V3422" s="15"/>
      <c r="W3422" s="16" t="n">
        <f aca="false">A3422</f>
        <v>0</v>
      </c>
      <c r="X3422" s="17" t="e">
        <f aca="false">ifs(C3422="","",X3422="",NOW(),TRUE(),X3422)</f>
        <v>#VALUE!</v>
      </c>
      <c r="Y3422" s="17" t="e">
        <f aca="false">ifs(COUNTA(K3422:U3425)&lt;44,"",Y3422="",NOW(),TRUE(),Y3422)</f>
        <v>#VALUE!</v>
      </c>
    </row>
    <row r="3423" customFormat="false" ht="15.75" hidden="false" customHeight="false" outlineLevel="0" collapsed="false">
      <c r="A3423" s="9"/>
      <c r="B3423" s="10"/>
      <c r="C3423" s="10"/>
      <c r="D3423" s="10"/>
      <c r="E3423" s="10"/>
      <c r="F3423" s="10"/>
      <c r="G3423" s="10"/>
      <c r="H3423" s="10"/>
      <c r="I3423" s="18" t="n">
        <v>2</v>
      </c>
      <c r="J3423" s="18"/>
      <c r="K3423" s="19"/>
      <c r="L3423" s="19"/>
      <c r="M3423" s="18"/>
      <c r="N3423" s="18"/>
      <c r="O3423" s="18"/>
      <c r="P3423" s="19"/>
      <c r="Q3423" s="19"/>
      <c r="R3423" s="18"/>
      <c r="S3423" s="18"/>
      <c r="T3423" s="18"/>
      <c r="U3423" s="20"/>
      <c r="V3423" s="21"/>
      <c r="W3423" s="16"/>
      <c r="X3423" s="16"/>
      <c r="Y3423" s="16"/>
    </row>
    <row r="3424" customFormat="false" ht="15.75" hidden="false" customHeight="false" outlineLevel="0" collapsed="false">
      <c r="A3424" s="9"/>
      <c r="B3424" s="10"/>
      <c r="C3424" s="10"/>
      <c r="D3424" s="10"/>
      <c r="E3424" s="10"/>
      <c r="F3424" s="10"/>
      <c r="G3424" s="10"/>
      <c r="H3424" s="10"/>
      <c r="I3424" s="22" t="n">
        <v>3</v>
      </c>
      <c r="J3424" s="22"/>
      <c r="K3424" s="23"/>
      <c r="L3424" s="23"/>
      <c r="M3424" s="22"/>
      <c r="N3424" s="22"/>
      <c r="O3424" s="22"/>
      <c r="P3424" s="23"/>
      <c r="Q3424" s="23"/>
      <c r="R3424" s="22"/>
      <c r="S3424" s="22"/>
      <c r="T3424" s="22"/>
      <c r="U3424" s="24"/>
      <c r="V3424" s="15"/>
      <c r="W3424" s="16"/>
      <c r="X3424" s="16"/>
      <c r="Y3424" s="16"/>
    </row>
    <row r="3425" customFormat="false" ht="15.75" hidden="false" customHeight="false" outlineLevel="0" collapsed="false">
      <c r="A3425" s="9"/>
      <c r="B3425" s="10"/>
      <c r="C3425" s="10"/>
      <c r="D3425" s="10"/>
      <c r="E3425" s="10"/>
      <c r="F3425" s="10"/>
      <c r="G3425" s="10"/>
      <c r="H3425" s="10"/>
      <c r="I3425" s="25" t="n">
        <v>4</v>
      </c>
      <c r="J3425" s="25"/>
      <c r="K3425" s="26"/>
      <c r="L3425" s="26"/>
      <c r="M3425" s="25"/>
      <c r="N3425" s="25"/>
      <c r="O3425" s="25"/>
      <c r="P3425" s="26"/>
      <c r="Q3425" s="26"/>
      <c r="R3425" s="25"/>
      <c r="S3425" s="25"/>
      <c r="T3425" s="25"/>
      <c r="U3425" s="27"/>
      <c r="V3425" s="21"/>
      <c r="W3425" s="16"/>
      <c r="X3425" s="16"/>
      <c r="Y3425" s="16"/>
    </row>
    <row r="3426" customFormat="false" ht="15.75" hidden="false" customHeight="false" outlineLevel="0" collapsed="false">
      <c r="A3426" s="9"/>
      <c r="B3426" s="10"/>
      <c r="C3426" s="11"/>
      <c r="D3426" s="10"/>
      <c r="E3426" s="10"/>
      <c r="F3426" s="10"/>
      <c r="G3426" s="10"/>
      <c r="H3426" s="10"/>
      <c r="I3426" s="12" t="n">
        <v>1</v>
      </c>
      <c r="J3426" s="12"/>
      <c r="K3426" s="13"/>
      <c r="L3426" s="13"/>
      <c r="M3426" s="12"/>
      <c r="N3426" s="12"/>
      <c r="O3426" s="12"/>
      <c r="P3426" s="13"/>
      <c r="Q3426" s="13"/>
      <c r="R3426" s="12"/>
      <c r="S3426" s="12"/>
      <c r="T3426" s="12"/>
      <c r="U3426" s="14"/>
      <c r="V3426" s="15"/>
      <c r="W3426" s="16" t="n">
        <f aca="false">A3426</f>
        <v>0</v>
      </c>
      <c r="X3426" s="17" t="e">
        <f aca="false">ifs(C3426="","",X3426="",NOW(),TRUE(),X3426)</f>
        <v>#VALUE!</v>
      </c>
      <c r="Y3426" s="17" t="e">
        <f aca="false">ifs(COUNTA(K3426:U3429)&lt;44,"",Y3426="",NOW(),TRUE(),Y3426)</f>
        <v>#VALUE!</v>
      </c>
    </row>
    <row r="3427" customFormat="false" ht="15.75" hidden="false" customHeight="false" outlineLevel="0" collapsed="false">
      <c r="A3427" s="9"/>
      <c r="B3427" s="10"/>
      <c r="C3427" s="10"/>
      <c r="D3427" s="10"/>
      <c r="E3427" s="10"/>
      <c r="F3427" s="10"/>
      <c r="G3427" s="10"/>
      <c r="H3427" s="10"/>
      <c r="I3427" s="18" t="n">
        <v>2</v>
      </c>
      <c r="J3427" s="18"/>
      <c r="K3427" s="19"/>
      <c r="L3427" s="19"/>
      <c r="M3427" s="18"/>
      <c r="N3427" s="18"/>
      <c r="O3427" s="18"/>
      <c r="P3427" s="19"/>
      <c r="Q3427" s="19"/>
      <c r="R3427" s="18"/>
      <c r="S3427" s="18"/>
      <c r="T3427" s="18"/>
      <c r="U3427" s="20"/>
      <c r="V3427" s="21"/>
      <c r="W3427" s="16"/>
      <c r="X3427" s="16"/>
      <c r="Y3427" s="16"/>
    </row>
    <row r="3428" customFormat="false" ht="15.75" hidden="false" customHeight="false" outlineLevel="0" collapsed="false">
      <c r="A3428" s="9"/>
      <c r="B3428" s="10"/>
      <c r="C3428" s="10"/>
      <c r="D3428" s="10"/>
      <c r="E3428" s="10"/>
      <c r="F3428" s="10"/>
      <c r="G3428" s="10"/>
      <c r="H3428" s="10"/>
      <c r="I3428" s="22" t="n">
        <v>3</v>
      </c>
      <c r="J3428" s="22"/>
      <c r="K3428" s="23"/>
      <c r="L3428" s="23"/>
      <c r="M3428" s="22"/>
      <c r="N3428" s="22"/>
      <c r="O3428" s="22"/>
      <c r="P3428" s="23"/>
      <c r="Q3428" s="23"/>
      <c r="R3428" s="22"/>
      <c r="S3428" s="22"/>
      <c r="T3428" s="22"/>
      <c r="U3428" s="24"/>
      <c r="V3428" s="15"/>
      <c r="W3428" s="16"/>
      <c r="X3428" s="16"/>
      <c r="Y3428" s="16"/>
    </row>
    <row r="3429" customFormat="false" ht="15.75" hidden="false" customHeight="false" outlineLevel="0" collapsed="false">
      <c r="A3429" s="9"/>
      <c r="B3429" s="10"/>
      <c r="C3429" s="10"/>
      <c r="D3429" s="10"/>
      <c r="E3429" s="10"/>
      <c r="F3429" s="10"/>
      <c r="G3429" s="10"/>
      <c r="H3429" s="10"/>
      <c r="I3429" s="25" t="n">
        <v>4</v>
      </c>
      <c r="J3429" s="25"/>
      <c r="K3429" s="26"/>
      <c r="L3429" s="26"/>
      <c r="M3429" s="25"/>
      <c r="N3429" s="25"/>
      <c r="O3429" s="25"/>
      <c r="P3429" s="26"/>
      <c r="Q3429" s="26"/>
      <c r="R3429" s="25"/>
      <c r="S3429" s="25"/>
      <c r="T3429" s="25"/>
      <c r="U3429" s="27"/>
      <c r="V3429" s="21"/>
      <c r="W3429" s="16"/>
      <c r="X3429" s="16"/>
      <c r="Y3429" s="16"/>
    </row>
    <row r="3430" customFormat="false" ht="15.75" hidden="false" customHeight="false" outlineLevel="0" collapsed="false">
      <c r="A3430" s="9"/>
      <c r="B3430" s="10"/>
      <c r="C3430" s="11"/>
      <c r="D3430" s="10"/>
      <c r="E3430" s="10"/>
      <c r="F3430" s="10"/>
      <c r="G3430" s="10"/>
      <c r="H3430" s="10"/>
      <c r="I3430" s="12" t="n">
        <v>1</v>
      </c>
      <c r="J3430" s="12"/>
      <c r="K3430" s="13"/>
      <c r="L3430" s="13"/>
      <c r="M3430" s="12"/>
      <c r="N3430" s="12"/>
      <c r="O3430" s="12"/>
      <c r="P3430" s="13"/>
      <c r="Q3430" s="13"/>
      <c r="R3430" s="12"/>
      <c r="S3430" s="12"/>
      <c r="T3430" s="12"/>
      <c r="U3430" s="14"/>
      <c r="V3430" s="15"/>
      <c r="W3430" s="16" t="n">
        <f aca="false">A3430</f>
        <v>0</v>
      </c>
      <c r="X3430" s="17" t="e">
        <f aca="false">ifs(C3430="","",X3430="",NOW(),TRUE(),X3430)</f>
        <v>#VALUE!</v>
      </c>
      <c r="Y3430" s="17" t="e">
        <f aca="false">ifs(COUNTA(K3430:U3433)&lt;44,"",Y3430="",NOW(),TRUE(),Y3430)</f>
        <v>#VALUE!</v>
      </c>
    </row>
    <row r="3431" customFormat="false" ht="15.75" hidden="false" customHeight="false" outlineLevel="0" collapsed="false">
      <c r="A3431" s="9"/>
      <c r="B3431" s="10"/>
      <c r="C3431" s="10"/>
      <c r="D3431" s="10"/>
      <c r="E3431" s="10"/>
      <c r="F3431" s="10"/>
      <c r="G3431" s="10"/>
      <c r="H3431" s="10"/>
      <c r="I3431" s="18" t="n">
        <v>2</v>
      </c>
      <c r="J3431" s="18"/>
      <c r="K3431" s="19"/>
      <c r="L3431" s="19"/>
      <c r="M3431" s="18"/>
      <c r="N3431" s="18"/>
      <c r="O3431" s="18"/>
      <c r="P3431" s="19"/>
      <c r="Q3431" s="19"/>
      <c r="R3431" s="18"/>
      <c r="S3431" s="18"/>
      <c r="T3431" s="18"/>
      <c r="U3431" s="20"/>
      <c r="V3431" s="21"/>
      <c r="W3431" s="16"/>
      <c r="X3431" s="16"/>
      <c r="Y3431" s="16"/>
    </row>
    <row r="3432" customFormat="false" ht="15.75" hidden="false" customHeight="false" outlineLevel="0" collapsed="false">
      <c r="A3432" s="9"/>
      <c r="B3432" s="10"/>
      <c r="C3432" s="10"/>
      <c r="D3432" s="10"/>
      <c r="E3432" s="10"/>
      <c r="F3432" s="10"/>
      <c r="G3432" s="10"/>
      <c r="H3432" s="10"/>
      <c r="I3432" s="22" t="n">
        <v>3</v>
      </c>
      <c r="J3432" s="22"/>
      <c r="K3432" s="23"/>
      <c r="L3432" s="23"/>
      <c r="M3432" s="22"/>
      <c r="N3432" s="22"/>
      <c r="O3432" s="22"/>
      <c r="P3432" s="23"/>
      <c r="Q3432" s="23"/>
      <c r="R3432" s="22"/>
      <c r="S3432" s="22"/>
      <c r="T3432" s="22"/>
      <c r="U3432" s="24"/>
      <c r="V3432" s="15"/>
      <c r="W3432" s="16"/>
      <c r="X3432" s="16"/>
      <c r="Y3432" s="16"/>
    </row>
    <row r="3433" customFormat="false" ht="15.75" hidden="false" customHeight="false" outlineLevel="0" collapsed="false">
      <c r="A3433" s="9"/>
      <c r="B3433" s="10"/>
      <c r="C3433" s="10"/>
      <c r="D3433" s="10"/>
      <c r="E3433" s="10"/>
      <c r="F3433" s="10"/>
      <c r="G3433" s="10"/>
      <c r="H3433" s="10"/>
      <c r="I3433" s="25" t="n">
        <v>4</v>
      </c>
      <c r="J3433" s="25"/>
      <c r="K3433" s="26"/>
      <c r="L3433" s="26"/>
      <c r="M3433" s="25"/>
      <c r="N3433" s="25"/>
      <c r="O3433" s="25"/>
      <c r="P3433" s="26"/>
      <c r="Q3433" s="26"/>
      <c r="R3433" s="25"/>
      <c r="S3433" s="25"/>
      <c r="T3433" s="25"/>
      <c r="U3433" s="27"/>
      <c r="V3433" s="21"/>
      <c r="W3433" s="16"/>
      <c r="X3433" s="16"/>
      <c r="Y3433" s="16"/>
    </row>
    <row r="3434" customFormat="false" ht="15.75" hidden="false" customHeight="false" outlineLevel="0" collapsed="false">
      <c r="A3434" s="9"/>
      <c r="B3434" s="10"/>
      <c r="C3434" s="11"/>
      <c r="D3434" s="10"/>
      <c r="E3434" s="10"/>
      <c r="F3434" s="10"/>
      <c r="G3434" s="10"/>
      <c r="H3434" s="10"/>
      <c r="I3434" s="12" t="n">
        <v>1</v>
      </c>
      <c r="J3434" s="12"/>
      <c r="K3434" s="13"/>
      <c r="L3434" s="13"/>
      <c r="M3434" s="12"/>
      <c r="N3434" s="12"/>
      <c r="O3434" s="12"/>
      <c r="P3434" s="13"/>
      <c r="Q3434" s="13"/>
      <c r="R3434" s="12"/>
      <c r="S3434" s="12"/>
      <c r="T3434" s="12"/>
      <c r="U3434" s="14"/>
      <c r="V3434" s="15"/>
      <c r="W3434" s="16" t="n">
        <f aca="false">A3434</f>
        <v>0</v>
      </c>
      <c r="X3434" s="17" t="e">
        <f aca="false">ifs(C3434="","",X3434="",NOW(),TRUE(),X3434)</f>
        <v>#VALUE!</v>
      </c>
      <c r="Y3434" s="17" t="e">
        <f aca="false">ifs(COUNTA(K3434:U3437)&lt;44,"",Y3434="",NOW(),TRUE(),Y3434)</f>
        <v>#VALUE!</v>
      </c>
    </row>
    <row r="3435" customFormat="false" ht="15.75" hidden="false" customHeight="false" outlineLevel="0" collapsed="false">
      <c r="A3435" s="9"/>
      <c r="B3435" s="10"/>
      <c r="C3435" s="10"/>
      <c r="D3435" s="10"/>
      <c r="E3435" s="10"/>
      <c r="F3435" s="10"/>
      <c r="G3435" s="10"/>
      <c r="H3435" s="10"/>
      <c r="I3435" s="18" t="n">
        <v>2</v>
      </c>
      <c r="J3435" s="18"/>
      <c r="K3435" s="19"/>
      <c r="L3435" s="19"/>
      <c r="M3435" s="18"/>
      <c r="N3435" s="18"/>
      <c r="O3435" s="18"/>
      <c r="P3435" s="19"/>
      <c r="Q3435" s="19"/>
      <c r="R3435" s="18"/>
      <c r="S3435" s="18"/>
      <c r="T3435" s="18"/>
      <c r="U3435" s="20"/>
      <c r="V3435" s="21"/>
      <c r="W3435" s="16"/>
      <c r="X3435" s="16"/>
      <c r="Y3435" s="16"/>
    </row>
    <row r="3436" customFormat="false" ht="15.75" hidden="false" customHeight="false" outlineLevel="0" collapsed="false">
      <c r="A3436" s="9"/>
      <c r="B3436" s="10"/>
      <c r="C3436" s="10"/>
      <c r="D3436" s="10"/>
      <c r="E3436" s="10"/>
      <c r="F3436" s="10"/>
      <c r="G3436" s="10"/>
      <c r="H3436" s="10"/>
      <c r="I3436" s="22" t="n">
        <v>3</v>
      </c>
      <c r="J3436" s="22"/>
      <c r="K3436" s="23"/>
      <c r="L3436" s="23"/>
      <c r="M3436" s="22"/>
      <c r="N3436" s="22"/>
      <c r="O3436" s="22"/>
      <c r="P3436" s="23"/>
      <c r="Q3436" s="23"/>
      <c r="R3436" s="22"/>
      <c r="S3436" s="22"/>
      <c r="T3436" s="22"/>
      <c r="U3436" s="24"/>
      <c r="V3436" s="15"/>
      <c r="W3436" s="16"/>
      <c r="X3436" s="16"/>
      <c r="Y3436" s="16"/>
    </row>
    <row r="3437" customFormat="false" ht="15.75" hidden="false" customHeight="false" outlineLevel="0" collapsed="false">
      <c r="A3437" s="9"/>
      <c r="B3437" s="10"/>
      <c r="C3437" s="10"/>
      <c r="D3437" s="10"/>
      <c r="E3437" s="10"/>
      <c r="F3437" s="10"/>
      <c r="G3437" s="10"/>
      <c r="H3437" s="10"/>
      <c r="I3437" s="25" t="n">
        <v>4</v>
      </c>
      <c r="J3437" s="25"/>
      <c r="K3437" s="26"/>
      <c r="L3437" s="26"/>
      <c r="M3437" s="25"/>
      <c r="N3437" s="25"/>
      <c r="O3437" s="25"/>
      <c r="P3437" s="26"/>
      <c r="Q3437" s="26"/>
      <c r="R3437" s="25"/>
      <c r="S3437" s="25"/>
      <c r="T3437" s="25"/>
      <c r="U3437" s="27"/>
      <c r="V3437" s="21"/>
      <c r="W3437" s="16"/>
      <c r="X3437" s="16"/>
      <c r="Y3437" s="16"/>
    </row>
    <row r="3438" customFormat="false" ht="15.75" hidden="false" customHeight="false" outlineLevel="0" collapsed="false">
      <c r="A3438" s="9"/>
      <c r="B3438" s="10"/>
      <c r="C3438" s="11"/>
      <c r="D3438" s="10"/>
      <c r="E3438" s="10"/>
      <c r="F3438" s="10"/>
      <c r="G3438" s="10"/>
      <c r="H3438" s="10"/>
      <c r="I3438" s="12" t="n">
        <v>1</v>
      </c>
      <c r="J3438" s="12"/>
      <c r="K3438" s="13"/>
      <c r="L3438" s="13"/>
      <c r="M3438" s="12"/>
      <c r="N3438" s="12"/>
      <c r="O3438" s="12"/>
      <c r="P3438" s="13"/>
      <c r="Q3438" s="13"/>
      <c r="R3438" s="12"/>
      <c r="S3438" s="12"/>
      <c r="T3438" s="12"/>
      <c r="U3438" s="14"/>
      <c r="V3438" s="15"/>
      <c r="W3438" s="16" t="n">
        <f aca="false">A3438</f>
        <v>0</v>
      </c>
      <c r="X3438" s="17" t="e">
        <f aca="false">ifs(C3438="","",X3438="",NOW(),TRUE(),X3438)</f>
        <v>#VALUE!</v>
      </c>
      <c r="Y3438" s="17" t="e">
        <f aca="false">ifs(COUNTA(K3438:U3441)&lt;44,"",Y3438="",NOW(),TRUE(),Y3438)</f>
        <v>#VALUE!</v>
      </c>
    </row>
    <row r="3439" customFormat="false" ht="15.75" hidden="false" customHeight="false" outlineLevel="0" collapsed="false">
      <c r="A3439" s="9"/>
      <c r="B3439" s="10"/>
      <c r="C3439" s="10"/>
      <c r="D3439" s="10"/>
      <c r="E3439" s="10"/>
      <c r="F3439" s="10"/>
      <c r="G3439" s="10"/>
      <c r="H3439" s="10"/>
      <c r="I3439" s="18" t="n">
        <v>2</v>
      </c>
      <c r="J3439" s="18"/>
      <c r="K3439" s="19"/>
      <c r="L3439" s="19"/>
      <c r="M3439" s="18"/>
      <c r="N3439" s="18"/>
      <c r="O3439" s="18"/>
      <c r="P3439" s="19"/>
      <c r="Q3439" s="19"/>
      <c r="R3439" s="18"/>
      <c r="S3439" s="18"/>
      <c r="T3439" s="18"/>
      <c r="U3439" s="20"/>
      <c r="V3439" s="21"/>
      <c r="W3439" s="16"/>
      <c r="X3439" s="16"/>
      <c r="Y3439" s="16"/>
    </row>
    <row r="3440" customFormat="false" ht="15.75" hidden="false" customHeight="false" outlineLevel="0" collapsed="false">
      <c r="A3440" s="9"/>
      <c r="B3440" s="10"/>
      <c r="C3440" s="10"/>
      <c r="D3440" s="10"/>
      <c r="E3440" s="10"/>
      <c r="F3440" s="10"/>
      <c r="G3440" s="10"/>
      <c r="H3440" s="10"/>
      <c r="I3440" s="22" t="n">
        <v>3</v>
      </c>
      <c r="J3440" s="22"/>
      <c r="K3440" s="23"/>
      <c r="L3440" s="23"/>
      <c r="M3440" s="22"/>
      <c r="N3440" s="22"/>
      <c r="O3440" s="22"/>
      <c r="P3440" s="23"/>
      <c r="Q3440" s="23"/>
      <c r="R3440" s="22"/>
      <c r="S3440" s="22"/>
      <c r="T3440" s="22"/>
      <c r="U3440" s="24"/>
      <c r="V3440" s="15"/>
      <c r="W3440" s="16"/>
      <c r="X3440" s="16"/>
      <c r="Y3440" s="16"/>
    </row>
    <row r="3441" customFormat="false" ht="15.75" hidden="false" customHeight="false" outlineLevel="0" collapsed="false">
      <c r="A3441" s="9"/>
      <c r="B3441" s="10"/>
      <c r="C3441" s="10"/>
      <c r="D3441" s="10"/>
      <c r="E3441" s="10"/>
      <c r="F3441" s="10"/>
      <c r="G3441" s="10"/>
      <c r="H3441" s="10"/>
      <c r="I3441" s="25" t="n">
        <v>4</v>
      </c>
      <c r="J3441" s="25"/>
      <c r="K3441" s="26"/>
      <c r="L3441" s="26"/>
      <c r="M3441" s="25"/>
      <c r="N3441" s="25"/>
      <c r="O3441" s="25"/>
      <c r="P3441" s="26"/>
      <c r="Q3441" s="26"/>
      <c r="R3441" s="25"/>
      <c r="S3441" s="25"/>
      <c r="T3441" s="25"/>
      <c r="U3441" s="27"/>
      <c r="V3441" s="21"/>
      <c r="W3441" s="16"/>
      <c r="X3441" s="16"/>
      <c r="Y3441" s="16"/>
    </row>
    <row r="3442" customFormat="false" ht="15.75" hidden="false" customHeight="false" outlineLevel="0" collapsed="false">
      <c r="A3442" s="9"/>
      <c r="B3442" s="10"/>
      <c r="C3442" s="11"/>
      <c r="D3442" s="10"/>
      <c r="E3442" s="10"/>
      <c r="F3442" s="10"/>
      <c r="G3442" s="10"/>
      <c r="H3442" s="10"/>
      <c r="I3442" s="12" t="n">
        <v>1</v>
      </c>
      <c r="J3442" s="12"/>
      <c r="K3442" s="13"/>
      <c r="L3442" s="13"/>
      <c r="M3442" s="12"/>
      <c r="N3442" s="12"/>
      <c r="O3442" s="12"/>
      <c r="P3442" s="13"/>
      <c r="Q3442" s="13"/>
      <c r="R3442" s="12"/>
      <c r="S3442" s="12"/>
      <c r="T3442" s="12"/>
      <c r="U3442" s="14"/>
      <c r="V3442" s="15"/>
      <c r="W3442" s="16" t="n">
        <f aca="false">A3442</f>
        <v>0</v>
      </c>
      <c r="X3442" s="17" t="e">
        <f aca="false">ifs(C3442="","",X3442="",NOW(),TRUE(),X3442)</f>
        <v>#VALUE!</v>
      </c>
      <c r="Y3442" s="17" t="e">
        <f aca="false">ifs(COUNTA(K3442:U3445)&lt;44,"",Y3442="",NOW(),TRUE(),Y3442)</f>
        <v>#VALUE!</v>
      </c>
    </row>
    <row r="3443" customFormat="false" ht="15.75" hidden="false" customHeight="false" outlineLevel="0" collapsed="false">
      <c r="A3443" s="9"/>
      <c r="B3443" s="10"/>
      <c r="C3443" s="10"/>
      <c r="D3443" s="10"/>
      <c r="E3443" s="10"/>
      <c r="F3443" s="10"/>
      <c r="G3443" s="10"/>
      <c r="H3443" s="10"/>
      <c r="I3443" s="18" t="n">
        <v>2</v>
      </c>
      <c r="J3443" s="18"/>
      <c r="K3443" s="19"/>
      <c r="L3443" s="19"/>
      <c r="M3443" s="18"/>
      <c r="N3443" s="18"/>
      <c r="O3443" s="18"/>
      <c r="P3443" s="19"/>
      <c r="Q3443" s="19"/>
      <c r="R3443" s="18"/>
      <c r="S3443" s="18"/>
      <c r="T3443" s="18"/>
      <c r="U3443" s="20"/>
      <c r="V3443" s="21"/>
      <c r="W3443" s="16"/>
      <c r="X3443" s="16"/>
      <c r="Y3443" s="16"/>
    </row>
    <row r="3444" customFormat="false" ht="15.75" hidden="false" customHeight="false" outlineLevel="0" collapsed="false">
      <c r="A3444" s="9"/>
      <c r="B3444" s="10"/>
      <c r="C3444" s="10"/>
      <c r="D3444" s="10"/>
      <c r="E3444" s="10"/>
      <c r="F3444" s="10"/>
      <c r="G3444" s="10"/>
      <c r="H3444" s="10"/>
      <c r="I3444" s="22" t="n">
        <v>3</v>
      </c>
      <c r="J3444" s="22"/>
      <c r="K3444" s="23"/>
      <c r="L3444" s="23"/>
      <c r="M3444" s="22"/>
      <c r="N3444" s="22"/>
      <c r="O3444" s="22"/>
      <c r="P3444" s="23"/>
      <c r="Q3444" s="23"/>
      <c r="R3444" s="22"/>
      <c r="S3444" s="22"/>
      <c r="T3444" s="22"/>
      <c r="U3444" s="24"/>
      <c r="V3444" s="15"/>
      <c r="W3444" s="16"/>
      <c r="X3444" s="16"/>
      <c r="Y3444" s="16"/>
    </row>
    <row r="3445" customFormat="false" ht="15.75" hidden="false" customHeight="false" outlineLevel="0" collapsed="false">
      <c r="A3445" s="9"/>
      <c r="B3445" s="10"/>
      <c r="C3445" s="10"/>
      <c r="D3445" s="10"/>
      <c r="E3445" s="10"/>
      <c r="F3445" s="10"/>
      <c r="G3445" s="10"/>
      <c r="H3445" s="10"/>
      <c r="I3445" s="25" t="n">
        <v>4</v>
      </c>
      <c r="J3445" s="25"/>
      <c r="K3445" s="26"/>
      <c r="L3445" s="26"/>
      <c r="M3445" s="25"/>
      <c r="N3445" s="25"/>
      <c r="O3445" s="25"/>
      <c r="P3445" s="26"/>
      <c r="Q3445" s="26"/>
      <c r="R3445" s="25"/>
      <c r="S3445" s="25"/>
      <c r="T3445" s="25"/>
      <c r="U3445" s="27"/>
      <c r="V3445" s="21"/>
      <c r="W3445" s="16"/>
      <c r="X3445" s="16"/>
      <c r="Y3445" s="16"/>
    </row>
    <row r="3446" customFormat="false" ht="15.75" hidden="false" customHeight="false" outlineLevel="0" collapsed="false">
      <c r="A3446" s="9"/>
      <c r="B3446" s="10"/>
      <c r="C3446" s="11"/>
      <c r="D3446" s="10"/>
      <c r="E3446" s="10"/>
      <c r="F3446" s="10"/>
      <c r="G3446" s="10"/>
      <c r="H3446" s="10"/>
      <c r="I3446" s="12" t="n">
        <v>1</v>
      </c>
      <c r="J3446" s="12"/>
      <c r="K3446" s="13"/>
      <c r="L3446" s="13"/>
      <c r="M3446" s="12"/>
      <c r="N3446" s="12"/>
      <c r="O3446" s="12"/>
      <c r="P3446" s="13"/>
      <c r="Q3446" s="13"/>
      <c r="R3446" s="12"/>
      <c r="S3446" s="12"/>
      <c r="T3446" s="12"/>
      <c r="U3446" s="14"/>
      <c r="V3446" s="15"/>
      <c r="W3446" s="16" t="n">
        <f aca="false">A3446</f>
        <v>0</v>
      </c>
      <c r="X3446" s="17" t="e">
        <f aca="false">ifs(C3446="","",X3446="",NOW(),TRUE(),X3446)</f>
        <v>#VALUE!</v>
      </c>
      <c r="Y3446" s="17" t="e">
        <f aca="false">ifs(COUNTA(K3446:U3449)&lt;44,"",Y3446="",NOW(),TRUE(),Y3446)</f>
        <v>#VALUE!</v>
      </c>
    </row>
    <row r="3447" customFormat="false" ht="15.75" hidden="false" customHeight="false" outlineLevel="0" collapsed="false">
      <c r="A3447" s="9"/>
      <c r="B3447" s="10"/>
      <c r="C3447" s="10"/>
      <c r="D3447" s="10"/>
      <c r="E3447" s="10"/>
      <c r="F3447" s="10"/>
      <c r="G3447" s="10"/>
      <c r="H3447" s="10"/>
      <c r="I3447" s="18" t="n">
        <v>2</v>
      </c>
      <c r="J3447" s="18"/>
      <c r="K3447" s="19"/>
      <c r="L3447" s="19"/>
      <c r="M3447" s="18"/>
      <c r="N3447" s="18"/>
      <c r="O3447" s="18"/>
      <c r="P3447" s="19"/>
      <c r="Q3447" s="19"/>
      <c r="R3447" s="18"/>
      <c r="S3447" s="18"/>
      <c r="T3447" s="18"/>
      <c r="U3447" s="20"/>
      <c r="V3447" s="21"/>
      <c r="W3447" s="16"/>
      <c r="X3447" s="16"/>
      <c r="Y3447" s="16"/>
    </row>
    <row r="3448" customFormat="false" ht="15.75" hidden="false" customHeight="false" outlineLevel="0" collapsed="false">
      <c r="A3448" s="9"/>
      <c r="B3448" s="10"/>
      <c r="C3448" s="10"/>
      <c r="D3448" s="10"/>
      <c r="E3448" s="10"/>
      <c r="F3448" s="10"/>
      <c r="G3448" s="10"/>
      <c r="H3448" s="10"/>
      <c r="I3448" s="22" t="n">
        <v>3</v>
      </c>
      <c r="J3448" s="22"/>
      <c r="K3448" s="23"/>
      <c r="L3448" s="23"/>
      <c r="M3448" s="22"/>
      <c r="N3448" s="22"/>
      <c r="O3448" s="22"/>
      <c r="P3448" s="23"/>
      <c r="Q3448" s="23"/>
      <c r="R3448" s="22"/>
      <c r="S3448" s="22"/>
      <c r="T3448" s="22"/>
      <c r="U3448" s="24"/>
      <c r="V3448" s="15"/>
      <c r="W3448" s="16"/>
      <c r="X3448" s="16"/>
      <c r="Y3448" s="16"/>
    </row>
    <row r="3449" customFormat="false" ht="15.75" hidden="false" customHeight="false" outlineLevel="0" collapsed="false">
      <c r="A3449" s="9"/>
      <c r="B3449" s="10"/>
      <c r="C3449" s="10"/>
      <c r="D3449" s="10"/>
      <c r="E3449" s="10"/>
      <c r="F3449" s="10"/>
      <c r="G3449" s="10"/>
      <c r="H3449" s="10"/>
      <c r="I3449" s="25" t="n">
        <v>4</v>
      </c>
      <c r="J3449" s="25"/>
      <c r="K3449" s="26"/>
      <c r="L3449" s="26"/>
      <c r="M3449" s="25"/>
      <c r="N3449" s="25"/>
      <c r="O3449" s="25"/>
      <c r="P3449" s="26"/>
      <c r="Q3449" s="26"/>
      <c r="R3449" s="25"/>
      <c r="S3449" s="25"/>
      <c r="T3449" s="25"/>
      <c r="U3449" s="27"/>
      <c r="V3449" s="21"/>
      <c r="W3449" s="16"/>
      <c r="X3449" s="16"/>
      <c r="Y3449" s="16"/>
    </row>
    <row r="3450" customFormat="false" ht="15.75" hidden="false" customHeight="false" outlineLevel="0" collapsed="false">
      <c r="A3450" s="9"/>
      <c r="B3450" s="10"/>
      <c r="C3450" s="11"/>
      <c r="D3450" s="10"/>
      <c r="E3450" s="10"/>
      <c r="F3450" s="10"/>
      <c r="G3450" s="10"/>
      <c r="H3450" s="10"/>
      <c r="I3450" s="12" t="n">
        <v>1</v>
      </c>
      <c r="J3450" s="12"/>
      <c r="K3450" s="13"/>
      <c r="L3450" s="13"/>
      <c r="M3450" s="12"/>
      <c r="N3450" s="12"/>
      <c r="O3450" s="12"/>
      <c r="P3450" s="13"/>
      <c r="Q3450" s="13"/>
      <c r="R3450" s="12"/>
      <c r="S3450" s="12"/>
      <c r="T3450" s="12"/>
      <c r="U3450" s="14"/>
      <c r="V3450" s="15"/>
      <c r="W3450" s="16" t="n">
        <f aca="false">A3450</f>
        <v>0</v>
      </c>
      <c r="X3450" s="17" t="e">
        <f aca="false">ifs(C3450="","",X3450="",NOW(),TRUE(),X3450)</f>
        <v>#VALUE!</v>
      </c>
      <c r="Y3450" s="17" t="e">
        <f aca="false">ifs(COUNTA(K3450:U3453)&lt;44,"",Y3450="",NOW(),TRUE(),Y3450)</f>
        <v>#VALUE!</v>
      </c>
    </row>
    <row r="3451" customFormat="false" ht="15.75" hidden="false" customHeight="false" outlineLevel="0" collapsed="false">
      <c r="A3451" s="9"/>
      <c r="B3451" s="10"/>
      <c r="C3451" s="10"/>
      <c r="D3451" s="10"/>
      <c r="E3451" s="10"/>
      <c r="F3451" s="10"/>
      <c r="G3451" s="10"/>
      <c r="H3451" s="10"/>
      <c r="I3451" s="18" t="n">
        <v>2</v>
      </c>
      <c r="J3451" s="18"/>
      <c r="K3451" s="19"/>
      <c r="L3451" s="19"/>
      <c r="M3451" s="18"/>
      <c r="N3451" s="18"/>
      <c r="O3451" s="18"/>
      <c r="P3451" s="19"/>
      <c r="Q3451" s="19"/>
      <c r="R3451" s="18"/>
      <c r="S3451" s="18"/>
      <c r="T3451" s="18"/>
      <c r="U3451" s="20"/>
      <c r="V3451" s="21"/>
      <c r="W3451" s="16"/>
      <c r="X3451" s="16"/>
      <c r="Y3451" s="16"/>
    </row>
    <row r="3452" customFormat="false" ht="15.75" hidden="false" customHeight="false" outlineLevel="0" collapsed="false">
      <c r="A3452" s="9"/>
      <c r="B3452" s="10"/>
      <c r="C3452" s="10"/>
      <c r="D3452" s="10"/>
      <c r="E3452" s="10"/>
      <c r="F3452" s="10"/>
      <c r="G3452" s="10"/>
      <c r="H3452" s="10"/>
      <c r="I3452" s="22" t="n">
        <v>3</v>
      </c>
      <c r="J3452" s="22"/>
      <c r="K3452" s="23"/>
      <c r="L3452" s="23"/>
      <c r="M3452" s="22"/>
      <c r="N3452" s="22"/>
      <c r="O3452" s="22"/>
      <c r="P3452" s="23"/>
      <c r="Q3452" s="23"/>
      <c r="R3452" s="22"/>
      <c r="S3452" s="22"/>
      <c r="T3452" s="22"/>
      <c r="U3452" s="24"/>
      <c r="V3452" s="15"/>
      <c r="W3452" s="16"/>
      <c r="X3452" s="16"/>
      <c r="Y3452" s="16"/>
    </row>
    <row r="3453" customFormat="false" ht="15.75" hidden="false" customHeight="false" outlineLevel="0" collapsed="false">
      <c r="A3453" s="9"/>
      <c r="B3453" s="10"/>
      <c r="C3453" s="10"/>
      <c r="D3453" s="10"/>
      <c r="E3453" s="10"/>
      <c r="F3453" s="10"/>
      <c r="G3453" s="10"/>
      <c r="H3453" s="10"/>
      <c r="I3453" s="25" t="n">
        <v>4</v>
      </c>
      <c r="J3453" s="25"/>
      <c r="K3453" s="26"/>
      <c r="L3453" s="26"/>
      <c r="M3453" s="25"/>
      <c r="N3453" s="25"/>
      <c r="O3453" s="25"/>
      <c r="P3453" s="26"/>
      <c r="Q3453" s="26"/>
      <c r="R3453" s="25"/>
      <c r="S3453" s="25"/>
      <c r="T3453" s="25"/>
      <c r="U3453" s="27"/>
      <c r="V3453" s="21"/>
      <c r="W3453" s="16"/>
      <c r="X3453" s="16"/>
      <c r="Y3453" s="16"/>
    </row>
    <row r="3454" customFormat="false" ht="15.75" hidden="false" customHeight="false" outlineLevel="0" collapsed="false">
      <c r="A3454" s="9"/>
      <c r="B3454" s="10"/>
      <c r="C3454" s="11"/>
      <c r="D3454" s="10"/>
      <c r="E3454" s="10"/>
      <c r="F3454" s="10"/>
      <c r="G3454" s="10"/>
      <c r="H3454" s="10"/>
      <c r="I3454" s="12" t="n">
        <v>1</v>
      </c>
      <c r="J3454" s="12"/>
      <c r="K3454" s="13"/>
      <c r="L3454" s="13"/>
      <c r="M3454" s="12"/>
      <c r="N3454" s="12"/>
      <c r="O3454" s="12"/>
      <c r="P3454" s="13"/>
      <c r="Q3454" s="13"/>
      <c r="R3454" s="12"/>
      <c r="S3454" s="12"/>
      <c r="T3454" s="12"/>
      <c r="U3454" s="14"/>
      <c r="V3454" s="15"/>
      <c r="W3454" s="16" t="n">
        <f aca="false">A3454</f>
        <v>0</v>
      </c>
      <c r="X3454" s="17" t="e">
        <f aca="false">ifs(C3454="","",X3454="",NOW(),TRUE(),X3454)</f>
        <v>#VALUE!</v>
      </c>
      <c r="Y3454" s="17" t="e">
        <f aca="false">ifs(COUNTA(K3454:U3457)&lt;44,"",Y3454="",NOW(),TRUE(),Y3454)</f>
        <v>#VALUE!</v>
      </c>
    </row>
    <row r="3455" customFormat="false" ht="15.75" hidden="false" customHeight="false" outlineLevel="0" collapsed="false">
      <c r="A3455" s="9"/>
      <c r="B3455" s="10"/>
      <c r="C3455" s="10"/>
      <c r="D3455" s="10"/>
      <c r="E3455" s="10"/>
      <c r="F3455" s="10"/>
      <c r="G3455" s="10"/>
      <c r="H3455" s="10"/>
      <c r="I3455" s="18" t="n">
        <v>2</v>
      </c>
      <c r="J3455" s="18"/>
      <c r="K3455" s="19"/>
      <c r="L3455" s="19"/>
      <c r="M3455" s="18"/>
      <c r="N3455" s="18"/>
      <c r="O3455" s="18"/>
      <c r="P3455" s="19"/>
      <c r="Q3455" s="19"/>
      <c r="R3455" s="18"/>
      <c r="S3455" s="18"/>
      <c r="T3455" s="18"/>
      <c r="U3455" s="20"/>
      <c r="V3455" s="21"/>
      <c r="W3455" s="16"/>
      <c r="X3455" s="16"/>
      <c r="Y3455" s="16"/>
    </row>
    <row r="3456" customFormat="false" ht="15.75" hidden="false" customHeight="false" outlineLevel="0" collapsed="false">
      <c r="A3456" s="9"/>
      <c r="B3456" s="10"/>
      <c r="C3456" s="10"/>
      <c r="D3456" s="10"/>
      <c r="E3456" s="10"/>
      <c r="F3456" s="10"/>
      <c r="G3456" s="10"/>
      <c r="H3456" s="10"/>
      <c r="I3456" s="22" t="n">
        <v>3</v>
      </c>
      <c r="J3456" s="22"/>
      <c r="K3456" s="23"/>
      <c r="L3456" s="23"/>
      <c r="M3456" s="22"/>
      <c r="N3456" s="22"/>
      <c r="O3456" s="22"/>
      <c r="P3456" s="23"/>
      <c r="Q3456" s="23"/>
      <c r="R3456" s="22"/>
      <c r="S3456" s="22"/>
      <c r="T3456" s="22"/>
      <c r="U3456" s="24"/>
      <c r="V3456" s="15"/>
      <c r="W3456" s="16"/>
      <c r="X3456" s="16"/>
      <c r="Y3456" s="16"/>
    </row>
    <row r="3457" customFormat="false" ht="15.75" hidden="false" customHeight="false" outlineLevel="0" collapsed="false">
      <c r="A3457" s="9"/>
      <c r="B3457" s="10"/>
      <c r="C3457" s="10"/>
      <c r="D3457" s="10"/>
      <c r="E3457" s="10"/>
      <c r="F3457" s="10"/>
      <c r="G3457" s="10"/>
      <c r="H3457" s="10"/>
      <c r="I3457" s="25" t="n">
        <v>4</v>
      </c>
      <c r="J3457" s="25"/>
      <c r="K3457" s="26"/>
      <c r="L3457" s="26"/>
      <c r="M3457" s="25"/>
      <c r="N3457" s="25"/>
      <c r="O3457" s="25"/>
      <c r="P3457" s="26"/>
      <c r="Q3457" s="26"/>
      <c r="R3457" s="25"/>
      <c r="S3457" s="25"/>
      <c r="T3457" s="25"/>
      <c r="U3457" s="27"/>
      <c r="V3457" s="21"/>
      <c r="W3457" s="16"/>
      <c r="X3457" s="16"/>
      <c r="Y3457" s="16"/>
    </row>
    <row r="3458" customFormat="false" ht="15.75" hidden="false" customHeight="false" outlineLevel="0" collapsed="false">
      <c r="A3458" s="9"/>
      <c r="B3458" s="10"/>
      <c r="C3458" s="11"/>
      <c r="D3458" s="10"/>
      <c r="E3458" s="10"/>
      <c r="F3458" s="10"/>
      <c r="G3458" s="10"/>
      <c r="H3458" s="10"/>
      <c r="I3458" s="12" t="n">
        <v>1</v>
      </c>
      <c r="J3458" s="12"/>
      <c r="K3458" s="13"/>
      <c r="L3458" s="13"/>
      <c r="M3458" s="12"/>
      <c r="N3458" s="12"/>
      <c r="O3458" s="12"/>
      <c r="P3458" s="13"/>
      <c r="Q3458" s="13"/>
      <c r="R3458" s="12"/>
      <c r="S3458" s="12"/>
      <c r="T3458" s="12"/>
      <c r="U3458" s="14"/>
      <c r="V3458" s="15"/>
      <c r="W3458" s="16" t="n">
        <f aca="false">A3458</f>
        <v>0</v>
      </c>
      <c r="X3458" s="17" t="e">
        <f aca="false">ifs(C3458="","",X3458="",NOW(),TRUE(),X3458)</f>
        <v>#VALUE!</v>
      </c>
      <c r="Y3458" s="17" t="e">
        <f aca="false">ifs(COUNTA(K3458:U3461)&lt;44,"",Y3458="",NOW(),TRUE(),Y3458)</f>
        <v>#VALUE!</v>
      </c>
    </row>
    <row r="3459" customFormat="false" ht="15.75" hidden="false" customHeight="false" outlineLevel="0" collapsed="false">
      <c r="A3459" s="9"/>
      <c r="B3459" s="10"/>
      <c r="C3459" s="10"/>
      <c r="D3459" s="10"/>
      <c r="E3459" s="10"/>
      <c r="F3459" s="10"/>
      <c r="G3459" s="10"/>
      <c r="H3459" s="10"/>
      <c r="I3459" s="18" t="n">
        <v>2</v>
      </c>
      <c r="J3459" s="18"/>
      <c r="K3459" s="19"/>
      <c r="L3459" s="19"/>
      <c r="M3459" s="18"/>
      <c r="N3459" s="18"/>
      <c r="O3459" s="18"/>
      <c r="P3459" s="19"/>
      <c r="Q3459" s="19"/>
      <c r="R3459" s="18"/>
      <c r="S3459" s="18"/>
      <c r="T3459" s="18"/>
      <c r="U3459" s="20"/>
      <c r="V3459" s="21"/>
      <c r="W3459" s="16"/>
      <c r="X3459" s="16"/>
      <c r="Y3459" s="16"/>
    </row>
    <row r="3460" customFormat="false" ht="15.75" hidden="false" customHeight="false" outlineLevel="0" collapsed="false">
      <c r="A3460" s="9"/>
      <c r="B3460" s="10"/>
      <c r="C3460" s="10"/>
      <c r="D3460" s="10"/>
      <c r="E3460" s="10"/>
      <c r="F3460" s="10"/>
      <c r="G3460" s="10"/>
      <c r="H3460" s="10"/>
      <c r="I3460" s="22" t="n">
        <v>3</v>
      </c>
      <c r="J3460" s="22"/>
      <c r="K3460" s="23"/>
      <c r="L3460" s="23"/>
      <c r="M3460" s="22"/>
      <c r="N3460" s="22"/>
      <c r="O3460" s="22"/>
      <c r="P3460" s="23"/>
      <c r="Q3460" s="23"/>
      <c r="R3460" s="22"/>
      <c r="S3460" s="22"/>
      <c r="T3460" s="22"/>
      <c r="U3460" s="24"/>
      <c r="V3460" s="15"/>
      <c r="W3460" s="16"/>
      <c r="X3460" s="16"/>
      <c r="Y3460" s="16"/>
    </row>
    <row r="3461" customFormat="false" ht="15.75" hidden="false" customHeight="false" outlineLevel="0" collapsed="false">
      <c r="A3461" s="9"/>
      <c r="B3461" s="10"/>
      <c r="C3461" s="10"/>
      <c r="D3461" s="10"/>
      <c r="E3461" s="10"/>
      <c r="F3461" s="10"/>
      <c r="G3461" s="10"/>
      <c r="H3461" s="10"/>
      <c r="I3461" s="25" t="n">
        <v>4</v>
      </c>
      <c r="J3461" s="25"/>
      <c r="K3461" s="26"/>
      <c r="L3461" s="26"/>
      <c r="M3461" s="25"/>
      <c r="N3461" s="25"/>
      <c r="O3461" s="25"/>
      <c r="P3461" s="26"/>
      <c r="Q3461" s="26"/>
      <c r="R3461" s="25"/>
      <c r="S3461" s="25"/>
      <c r="T3461" s="25"/>
      <c r="U3461" s="27"/>
      <c r="V3461" s="21"/>
      <c r="W3461" s="16"/>
      <c r="X3461" s="16"/>
      <c r="Y3461" s="16"/>
    </row>
    <row r="3462" customFormat="false" ht="15.75" hidden="false" customHeight="false" outlineLevel="0" collapsed="false">
      <c r="A3462" s="9"/>
      <c r="B3462" s="10"/>
      <c r="C3462" s="11"/>
      <c r="D3462" s="10"/>
      <c r="E3462" s="10"/>
      <c r="F3462" s="10"/>
      <c r="G3462" s="10"/>
      <c r="H3462" s="10"/>
      <c r="I3462" s="12" t="n">
        <v>1</v>
      </c>
      <c r="J3462" s="12"/>
      <c r="K3462" s="13"/>
      <c r="L3462" s="13"/>
      <c r="M3462" s="12"/>
      <c r="N3462" s="12"/>
      <c r="O3462" s="12"/>
      <c r="P3462" s="13"/>
      <c r="Q3462" s="13"/>
      <c r="R3462" s="12"/>
      <c r="S3462" s="12"/>
      <c r="T3462" s="12"/>
      <c r="U3462" s="14"/>
      <c r="V3462" s="15"/>
      <c r="W3462" s="16" t="n">
        <f aca="false">A3462</f>
        <v>0</v>
      </c>
      <c r="X3462" s="17" t="e">
        <f aca="false">ifs(C3462="","",X3462="",NOW(),TRUE(),X3462)</f>
        <v>#VALUE!</v>
      </c>
      <c r="Y3462" s="17" t="e">
        <f aca="false">ifs(COUNTA(K3462:U3465)&lt;44,"",Y3462="",NOW(),TRUE(),Y3462)</f>
        <v>#VALUE!</v>
      </c>
    </row>
    <row r="3463" customFormat="false" ht="15.75" hidden="false" customHeight="false" outlineLevel="0" collapsed="false">
      <c r="A3463" s="9"/>
      <c r="B3463" s="10"/>
      <c r="C3463" s="10"/>
      <c r="D3463" s="10"/>
      <c r="E3463" s="10"/>
      <c r="F3463" s="10"/>
      <c r="G3463" s="10"/>
      <c r="H3463" s="10"/>
      <c r="I3463" s="18" t="n">
        <v>2</v>
      </c>
      <c r="J3463" s="18"/>
      <c r="K3463" s="19"/>
      <c r="L3463" s="19"/>
      <c r="M3463" s="18"/>
      <c r="N3463" s="18"/>
      <c r="O3463" s="18"/>
      <c r="P3463" s="19"/>
      <c r="Q3463" s="19"/>
      <c r="R3463" s="18"/>
      <c r="S3463" s="18"/>
      <c r="T3463" s="18"/>
      <c r="U3463" s="20"/>
      <c r="V3463" s="21"/>
      <c r="W3463" s="16"/>
      <c r="X3463" s="16"/>
      <c r="Y3463" s="16"/>
    </row>
    <row r="3464" customFormat="false" ht="15.75" hidden="false" customHeight="false" outlineLevel="0" collapsed="false">
      <c r="A3464" s="9"/>
      <c r="B3464" s="10"/>
      <c r="C3464" s="10"/>
      <c r="D3464" s="10"/>
      <c r="E3464" s="10"/>
      <c r="F3464" s="10"/>
      <c r="G3464" s="10"/>
      <c r="H3464" s="10"/>
      <c r="I3464" s="22" t="n">
        <v>3</v>
      </c>
      <c r="J3464" s="22"/>
      <c r="K3464" s="23"/>
      <c r="L3464" s="23"/>
      <c r="M3464" s="22"/>
      <c r="N3464" s="22"/>
      <c r="O3464" s="22"/>
      <c r="P3464" s="23"/>
      <c r="Q3464" s="23"/>
      <c r="R3464" s="22"/>
      <c r="S3464" s="22"/>
      <c r="T3464" s="22"/>
      <c r="U3464" s="24"/>
      <c r="V3464" s="15"/>
      <c r="W3464" s="16"/>
      <c r="X3464" s="16"/>
      <c r="Y3464" s="16"/>
    </row>
    <row r="3465" customFormat="false" ht="15.75" hidden="false" customHeight="false" outlineLevel="0" collapsed="false">
      <c r="A3465" s="9"/>
      <c r="B3465" s="10"/>
      <c r="C3465" s="10"/>
      <c r="D3465" s="10"/>
      <c r="E3465" s="10"/>
      <c r="F3465" s="10"/>
      <c r="G3465" s="10"/>
      <c r="H3465" s="10"/>
      <c r="I3465" s="25" t="n">
        <v>4</v>
      </c>
      <c r="J3465" s="25"/>
      <c r="K3465" s="26"/>
      <c r="L3465" s="26"/>
      <c r="M3465" s="25"/>
      <c r="N3465" s="25"/>
      <c r="O3465" s="25"/>
      <c r="P3465" s="26"/>
      <c r="Q3465" s="26"/>
      <c r="R3465" s="25"/>
      <c r="S3465" s="25"/>
      <c r="T3465" s="25"/>
      <c r="U3465" s="27"/>
      <c r="V3465" s="21"/>
      <c r="W3465" s="16"/>
      <c r="X3465" s="16"/>
      <c r="Y3465" s="16"/>
    </row>
    <row r="3466" customFormat="false" ht="15.75" hidden="false" customHeight="false" outlineLevel="0" collapsed="false">
      <c r="A3466" s="9"/>
      <c r="B3466" s="10"/>
      <c r="C3466" s="11"/>
      <c r="D3466" s="10"/>
      <c r="E3466" s="10"/>
      <c r="F3466" s="10"/>
      <c r="G3466" s="10"/>
      <c r="H3466" s="10"/>
      <c r="I3466" s="12" t="n">
        <v>1</v>
      </c>
      <c r="J3466" s="12"/>
      <c r="K3466" s="13"/>
      <c r="L3466" s="13"/>
      <c r="M3466" s="12"/>
      <c r="N3466" s="12"/>
      <c r="O3466" s="12"/>
      <c r="P3466" s="13"/>
      <c r="Q3466" s="13"/>
      <c r="R3466" s="12"/>
      <c r="S3466" s="12"/>
      <c r="T3466" s="12"/>
      <c r="U3466" s="14"/>
      <c r="V3466" s="15"/>
      <c r="W3466" s="16" t="n">
        <f aca="false">A3466</f>
        <v>0</v>
      </c>
      <c r="X3466" s="17" t="e">
        <f aca="false">ifs(C3466="","",X3466="",NOW(),TRUE(),X3466)</f>
        <v>#VALUE!</v>
      </c>
      <c r="Y3466" s="17" t="e">
        <f aca="false">ifs(COUNTA(K3466:U3469)&lt;44,"",Y3466="",NOW(),TRUE(),Y3466)</f>
        <v>#VALUE!</v>
      </c>
    </row>
    <row r="3467" customFormat="false" ht="15.75" hidden="false" customHeight="false" outlineLevel="0" collapsed="false">
      <c r="A3467" s="9"/>
      <c r="B3467" s="10"/>
      <c r="C3467" s="10"/>
      <c r="D3467" s="10"/>
      <c r="E3467" s="10"/>
      <c r="F3467" s="10"/>
      <c r="G3467" s="10"/>
      <c r="H3467" s="10"/>
      <c r="I3467" s="18" t="n">
        <v>2</v>
      </c>
      <c r="J3467" s="18"/>
      <c r="K3467" s="19"/>
      <c r="L3467" s="19"/>
      <c r="M3467" s="18"/>
      <c r="N3467" s="18"/>
      <c r="O3467" s="18"/>
      <c r="P3467" s="19"/>
      <c r="Q3467" s="19"/>
      <c r="R3467" s="18"/>
      <c r="S3467" s="18"/>
      <c r="T3467" s="18"/>
      <c r="U3467" s="20"/>
      <c r="V3467" s="21"/>
      <c r="W3467" s="16"/>
      <c r="X3467" s="16"/>
      <c r="Y3467" s="16"/>
    </row>
    <row r="3468" customFormat="false" ht="15.75" hidden="false" customHeight="false" outlineLevel="0" collapsed="false">
      <c r="A3468" s="9"/>
      <c r="B3468" s="10"/>
      <c r="C3468" s="10"/>
      <c r="D3468" s="10"/>
      <c r="E3468" s="10"/>
      <c r="F3468" s="10"/>
      <c r="G3468" s="10"/>
      <c r="H3468" s="10"/>
      <c r="I3468" s="22" t="n">
        <v>3</v>
      </c>
      <c r="J3468" s="22"/>
      <c r="K3468" s="23"/>
      <c r="L3468" s="23"/>
      <c r="M3468" s="22"/>
      <c r="N3468" s="22"/>
      <c r="O3468" s="22"/>
      <c r="P3468" s="23"/>
      <c r="Q3468" s="23"/>
      <c r="R3468" s="22"/>
      <c r="S3468" s="22"/>
      <c r="T3468" s="22"/>
      <c r="U3468" s="24"/>
      <c r="V3468" s="15"/>
      <c r="W3468" s="16"/>
      <c r="X3468" s="16"/>
      <c r="Y3468" s="16"/>
    </row>
    <row r="3469" customFormat="false" ht="15.75" hidden="false" customHeight="false" outlineLevel="0" collapsed="false">
      <c r="A3469" s="9"/>
      <c r="B3469" s="10"/>
      <c r="C3469" s="10"/>
      <c r="D3469" s="10"/>
      <c r="E3469" s="10"/>
      <c r="F3469" s="10"/>
      <c r="G3469" s="10"/>
      <c r="H3469" s="10"/>
      <c r="I3469" s="25" t="n">
        <v>4</v>
      </c>
      <c r="J3469" s="25"/>
      <c r="K3469" s="26"/>
      <c r="L3469" s="26"/>
      <c r="M3469" s="25"/>
      <c r="N3469" s="25"/>
      <c r="O3469" s="25"/>
      <c r="P3469" s="26"/>
      <c r="Q3469" s="26"/>
      <c r="R3469" s="25"/>
      <c r="S3469" s="25"/>
      <c r="T3469" s="25"/>
      <c r="U3469" s="27"/>
      <c r="V3469" s="21"/>
      <c r="W3469" s="16"/>
      <c r="X3469" s="16"/>
      <c r="Y3469" s="16"/>
    </row>
    <row r="3470" customFormat="false" ht="15.75" hidden="false" customHeight="false" outlineLevel="0" collapsed="false">
      <c r="A3470" s="9"/>
      <c r="B3470" s="10"/>
      <c r="C3470" s="11"/>
      <c r="D3470" s="10"/>
      <c r="E3470" s="10"/>
      <c r="F3470" s="10"/>
      <c r="G3470" s="10"/>
      <c r="H3470" s="10"/>
      <c r="I3470" s="12" t="n">
        <v>1</v>
      </c>
      <c r="J3470" s="12"/>
      <c r="K3470" s="13"/>
      <c r="L3470" s="13"/>
      <c r="M3470" s="12"/>
      <c r="N3470" s="12"/>
      <c r="O3470" s="12"/>
      <c r="P3470" s="13"/>
      <c r="Q3470" s="13"/>
      <c r="R3470" s="12"/>
      <c r="S3470" s="12"/>
      <c r="T3470" s="12"/>
      <c r="U3470" s="14"/>
      <c r="V3470" s="15"/>
      <c r="W3470" s="16" t="n">
        <f aca="false">A3470</f>
        <v>0</v>
      </c>
      <c r="X3470" s="17" t="e">
        <f aca="false">ifs(C3470="","",X3470="",NOW(),TRUE(),X3470)</f>
        <v>#VALUE!</v>
      </c>
      <c r="Y3470" s="17" t="e">
        <f aca="false">ifs(COUNTA(K3470:U3473)&lt;44,"",Y3470="",NOW(),TRUE(),Y3470)</f>
        <v>#VALUE!</v>
      </c>
    </row>
    <row r="3471" customFormat="false" ht="15.75" hidden="false" customHeight="false" outlineLevel="0" collapsed="false">
      <c r="A3471" s="9"/>
      <c r="B3471" s="10"/>
      <c r="C3471" s="10"/>
      <c r="D3471" s="10"/>
      <c r="E3471" s="10"/>
      <c r="F3471" s="10"/>
      <c r="G3471" s="10"/>
      <c r="H3471" s="10"/>
      <c r="I3471" s="18" t="n">
        <v>2</v>
      </c>
      <c r="J3471" s="18"/>
      <c r="K3471" s="19"/>
      <c r="L3471" s="19"/>
      <c r="M3471" s="18"/>
      <c r="N3471" s="18"/>
      <c r="O3471" s="18"/>
      <c r="P3471" s="19"/>
      <c r="Q3471" s="19"/>
      <c r="R3471" s="18"/>
      <c r="S3471" s="18"/>
      <c r="T3471" s="18"/>
      <c r="U3471" s="20"/>
      <c r="V3471" s="21"/>
      <c r="W3471" s="16"/>
      <c r="X3471" s="16"/>
      <c r="Y3471" s="16"/>
    </row>
    <row r="3472" customFormat="false" ht="15.75" hidden="false" customHeight="false" outlineLevel="0" collapsed="false">
      <c r="A3472" s="9"/>
      <c r="B3472" s="10"/>
      <c r="C3472" s="10"/>
      <c r="D3472" s="10"/>
      <c r="E3472" s="10"/>
      <c r="F3472" s="10"/>
      <c r="G3472" s="10"/>
      <c r="H3472" s="10"/>
      <c r="I3472" s="22" t="n">
        <v>3</v>
      </c>
      <c r="J3472" s="22"/>
      <c r="K3472" s="23"/>
      <c r="L3472" s="23"/>
      <c r="M3472" s="22"/>
      <c r="N3472" s="22"/>
      <c r="O3472" s="22"/>
      <c r="P3472" s="23"/>
      <c r="Q3472" s="23"/>
      <c r="R3472" s="22"/>
      <c r="S3472" s="22"/>
      <c r="T3472" s="22"/>
      <c r="U3472" s="24"/>
      <c r="V3472" s="15"/>
      <c r="W3472" s="16"/>
      <c r="X3472" s="16"/>
      <c r="Y3472" s="16"/>
    </row>
    <row r="3473" customFormat="false" ht="15.75" hidden="false" customHeight="false" outlineLevel="0" collapsed="false">
      <c r="A3473" s="9"/>
      <c r="B3473" s="10"/>
      <c r="C3473" s="10"/>
      <c r="D3473" s="10"/>
      <c r="E3473" s="10"/>
      <c r="F3473" s="10"/>
      <c r="G3473" s="10"/>
      <c r="H3473" s="10"/>
      <c r="I3473" s="25" t="n">
        <v>4</v>
      </c>
      <c r="J3473" s="25"/>
      <c r="K3473" s="26"/>
      <c r="L3473" s="26"/>
      <c r="M3473" s="25"/>
      <c r="N3473" s="25"/>
      <c r="O3473" s="25"/>
      <c r="P3473" s="26"/>
      <c r="Q3473" s="26"/>
      <c r="R3473" s="25"/>
      <c r="S3473" s="25"/>
      <c r="T3473" s="25"/>
      <c r="U3473" s="27"/>
      <c r="V3473" s="21"/>
      <c r="W3473" s="16"/>
      <c r="X3473" s="16"/>
      <c r="Y3473" s="16"/>
    </row>
    <row r="3474" customFormat="false" ht="15.75" hidden="false" customHeight="false" outlineLevel="0" collapsed="false">
      <c r="A3474" s="9"/>
      <c r="B3474" s="10"/>
      <c r="C3474" s="11"/>
      <c r="D3474" s="10"/>
      <c r="E3474" s="10"/>
      <c r="F3474" s="10"/>
      <c r="G3474" s="10"/>
      <c r="H3474" s="10"/>
      <c r="I3474" s="12" t="n">
        <v>1</v>
      </c>
      <c r="J3474" s="12"/>
      <c r="K3474" s="13"/>
      <c r="L3474" s="13"/>
      <c r="M3474" s="12"/>
      <c r="N3474" s="12"/>
      <c r="O3474" s="12"/>
      <c r="P3474" s="13"/>
      <c r="Q3474" s="13"/>
      <c r="R3474" s="12"/>
      <c r="S3474" s="12"/>
      <c r="T3474" s="12"/>
      <c r="U3474" s="14"/>
      <c r="V3474" s="15"/>
      <c r="W3474" s="16" t="n">
        <f aca="false">A3474</f>
        <v>0</v>
      </c>
      <c r="X3474" s="17" t="e">
        <f aca="false">ifs(C3474="","",X3474="",NOW(),TRUE(),X3474)</f>
        <v>#VALUE!</v>
      </c>
      <c r="Y3474" s="17" t="e">
        <f aca="false">ifs(COUNTA(K3474:U3477)&lt;44,"",Y3474="",NOW(),TRUE(),Y3474)</f>
        <v>#VALUE!</v>
      </c>
    </row>
    <row r="3475" customFormat="false" ht="15.75" hidden="false" customHeight="false" outlineLevel="0" collapsed="false">
      <c r="A3475" s="9"/>
      <c r="B3475" s="10"/>
      <c r="C3475" s="10"/>
      <c r="D3475" s="10"/>
      <c r="E3475" s="10"/>
      <c r="F3475" s="10"/>
      <c r="G3475" s="10"/>
      <c r="H3475" s="10"/>
      <c r="I3475" s="18" t="n">
        <v>2</v>
      </c>
      <c r="J3475" s="18"/>
      <c r="K3475" s="19"/>
      <c r="L3475" s="19"/>
      <c r="M3475" s="18"/>
      <c r="N3475" s="18"/>
      <c r="O3475" s="18"/>
      <c r="P3475" s="19"/>
      <c r="Q3475" s="19"/>
      <c r="R3475" s="18"/>
      <c r="S3475" s="18"/>
      <c r="T3475" s="18"/>
      <c r="U3475" s="20"/>
      <c r="V3475" s="21"/>
      <c r="W3475" s="16"/>
      <c r="X3475" s="16"/>
      <c r="Y3475" s="16"/>
    </row>
    <row r="3476" customFormat="false" ht="15.75" hidden="false" customHeight="false" outlineLevel="0" collapsed="false">
      <c r="A3476" s="9"/>
      <c r="B3476" s="10"/>
      <c r="C3476" s="10"/>
      <c r="D3476" s="10"/>
      <c r="E3476" s="10"/>
      <c r="F3476" s="10"/>
      <c r="G3476" s="10"/>
      <c r="H3476" s="10"/>
      <c r="I3476" s="22" t="n">
        <v>3</v>
      </c>
      <c r="J3476" s="22"/>
      <c r="K3476" s="23"/>
      <c r="L3476" s="23"/>
      <c r="M3476" s="22"/>
      <c r="N3476" s="22"/>
      <c r="O3476" s="22"/>
      <c r="P3476" s="23"/>
      <c r="Q3476" s="23"/>
      <c r="R3476" s="22"/>
      <c r="S3476" s="22"/>
      <c r="T3476" s="22"/>
      <c r="U3476" s="24"/>
      <c r="V3476" s="15"/>
      <c r="W3476" s="16"/>
      <c r="X3476" s="16"/>
      <c r="Y3476" s="16"/>
    </row>
    <row r="3477" customFormat="false" ht="15.75" hidden="false" customHeight="false" outlineLevel="0" collapsed="false">
      <c r="A3477" s="9"/>
      <c r="B3477" s="10"/>
      <c r="C3477" s="10"/>
      <c r="D3477" s="10"/>
      <c r="E3477" s="10"/>
      <c r="F3477" s="10"/>
      <c r="G3477" s="10"/>
      <c r="H3477" s="10"/>
      <c r="I3477" s="25" t="n">
        <v>4</v>
      </c>
      <c r="J3477" s="25"/>
      <c r="K3477" s="26"/>
      <c r="L3477" s="26"/>
      <c r="M3477" s="25"/>
      <c r="N3477" s="25"/>
      <c r="O3477" s="25"/>
      <c r="P3477" s="26"/>
      <c r="Q3477" s="26"/>
      <c r="R3477" s="25"/>
      <c r="S3477" s="25"/>
      <c r="T3477" s="25"/>
      <c r="U3477" s="27"/>
      <c r="V3477" s="21"/>
      <c r="W3477" s="16"/>
      <c r="X3477" s="16"/>
      <c r="Y3477" s="16"/>
    </row>
    <row r="3478" customFormat="false" ht="15.75" hidden="false" customHeight="false" outlineLevel="0" collapsed="false">
      <c r="A3478" s="9"/>
      <c r="B3478" s="10"/>
      <c r="C3478" s="11"/>
      <c r="D3478" s="10"/>
      <c r="E3478" s="10"/>
      <c r="F3478" s="10"/>
      <c r="G3478" s="10"/>
      <c r="H3478" s="10"/>
      <c r="I3478" s="12" t="n">
        <v>1</v>
      </c>
      <c r="J3478" s="12"/>
      <c r="K3478" s="13"/>
      <c r="L3478" s="13"/>
      <c r="M3478" s="12"/>
      <c r="N3478" s="12"/>
      <c r="O3478" s="12"/>
      <c r="P3478" s="13"/>
      <c r="Q3478" s="13"/>
      <c r="R3478" s="12"/>
      <c r="S3478" s="12"/>
      <c r="T3478" s="12"/>
      <c r="U3478" s="14"/>
      <c r="V3478" s="15"/>
      <c r="W3478" s="16" t="n">
        <f aca="false">A3478</f>
        <v>0</v>
      </c>
      <c r="X3478" s="17" t="e">
        <f aca="false">ifs(C3478="","",X3478="",NOW(),TRUE(),X3478)</f>
        <v>#VALUE!</v>
      </c>
      <c r="Y3478" s="17" t="e">
        <f aca="false">ifs(COUNTA(K3478:U3481)&lt;44,"",Y3478="",NOW(),TRUE(),Y3478)</f>
        <v>#VALUE!</v>
      </c>
    </row>
    <row r="3479" customFormat="false" ht="15.75" hidden="false" customHeight="false" outlineLevel="0" collapsed="false">
      <c r="A3479" s="9"/>
      <c r="B3479" s="10"/>
      <c r="C3479" s="10"/>
      <c r="D3479" s="10"/>
      <c r="E3479" s="10"/>
      <c r="F3479" s="10"/>
      <c r="G3479" s="10"/>
      <c r="H3479" s="10"/>
      <c r="I3479" s="18" t="n">
        <v>2</v>
      </c>
      <c r="J3479" s="18"/>
      <c r="K3479" s="19"/>
      <c r="L3479" s="19"/>
      <c r="M3479" s="18"/>
      <c r="N3479" s="18"/>
      <c r="O3479" s="18"/>
      <c r="P3479" s="19"/>
      <c r="Q3479" s="19"/>
      <c r="R3479" s="18"/>
      <c r="S3479" s="18"/>
      <c r="T3479" s="18"/>
      <c r="U3479" s="20"/>
      <c r="V3479" s="21"/>
      <c r="W3479" s="16"/>
      <c r="X3479" s="16"/>
      <c r="Y3479" s="16"/>
    </row>
    <row r="3480" customFormat="false" ht="15.75" hidden="false" customHeight="false" outlineLevel="0" collapsed="false">
      <c r="A3480" s="9"/>
      <c r="B3480" s="10"/>
      <c r="C3480" s="10"/>
      <c r="D3480" s="10"/>
      <c r="E3480" s="10"/>
      <c r="F3480" s="10"/>
      <c r="G3480" s="10"/>
      <c r="H3480" s="10"/>
      <c r="I3480" s="22" t="n">
        <v>3</v>
      </c>
      <c r="J3480" s="22"/>
      <c r="K3480" s="23"/>
      <c r="L3480" s="23"/>
      <c r="M3480" s="22"/>
      <c r="N3480" s="22"/>
      <c r="O3480" s="22"/>
      <c r="P3480" s="23"/>
      <c r="Q3480" s="23"/>
      <c r="R3480" s="22"/>
      <c r="S3480" s="22"/>
      <c r="T3480" s="22"/>
      <c r="U3480" s="24"/>
      <c r="V3480" s="15"/>
      <c r="W3480" s="16"/>
      <c r="X3480" s="16"/>
      <c r="Y3480" s="16"/>
    </row>
    <row r="3481" customFormat="false" ht="15.75" hidden="false" customHeight="false" outlineLevel="0" collapsed="false">
      <c r="A3481" s="9"/>
      <c r="B3481" s="10"/>
      <c r="C3481" s="10"/>
      <c r="D3481" s="10"/>
      <c r="E3481" s="10"/>
      <c r="F3481" s="10"/>
      <c r="G3481" s="10"/>
      <c r="H3481" s="10"/>
      <c r="I3481" s="25" t="n">
        <v>4</v>
      </c>
      <c r="J3481" s="25"/>
      <c r="K3481" s="26"/>
      <c r="L3481" s="26"/>
      <c r="M3481" s="25"/>
      <c r="N3481" s="25"/>
      <c r="O3481" s="25"/>
      <c r="P3481" s="26"/>
      <c r="Q3481" s="26"/>
      <c r="R3481" s="25"/>
      <c r="S3481" s="25"/>
      <c r="T3481" s="25"/>
      <c r="U3481" s="27"/>
      <c r="V3481" s="21"/>
      <c r="W3481" s="16"/>
      <c r="X3481" s="16"/>
      <c r="Y3481" s="16"/>
    </row>
    <row r="3482" customFormat="false" ht="15.75" hidden="false" customHeight="false" outlineLevel="0" collapsed="false">
      <c r="A3482" s="9"/>
      <c r="B3482" s="10"/>
      <c r="C3482" s="11"/>
      <c r="D3482" s="10"/>
      <c r="E3482" s="10"/>
      <c r="F3482" s="10"/>
      <c r="G3482" s="10"/>
      <c r="H3482" s="10"/>
      <c r="I3482" s="12" t="n">
        <v>1</v>
      </c>
      <c r="J3482" s="12"/>
      <c r="K3482" s="13"/>
      <c r="L3482" s="13"/>
      <c r="M3482" s="12"/>
      <c r="N3482" s="12"/>
      <c r="O3482" s="12"/>
      <c r="P3482" s="13"/>
      <c r="Q3482" s="13"/>
      <c r="R3482" s="12"/>
      <c r="S3482" s="12"/>
      <c r="T3482" s="12"/>
      <c r="U3482" s="14"/>
      <c r="V3482" s="15"/>
      <c r="W3482" s="16" t="n">
        <f aca="false">A3482</f>
        <v>0</v>
      </c>
      <c r="X3482" s="17" t="e">
        <f aca="false">ifs(C3482="","",X3482="",NOW(),TRUE(),X3482)</f>
        <v>#VALUE!</v>
      </c>
      <c r="Y3482" s="17" t="e">
        <f aca="false">ifs(COUNTA(K3482:U3485)&lt;44,"",Y3482="",NOW(),TRUE(),Y3482)</f>
        <v>#VALUE!</v>
      </c>
    </row>
    <row r="3483" customFormat="false" ht="15.75" hidden="false" customHeight="false" outlineLevel="0" collapsed="false">
      <c r="A3483" s="9"/>
      <c r="B3483" s="10"/>
      <c r="C3483" s="10"/>
      <c r="D3483" s="10"/>
      <c r="E3483" s="10"/>
      <c r="F3483" s="10"/>
      <c r="G3483" s="10"/>
      <c r="H3483" s="10"/>
      <c r="I3483" s="18" t="n">
        <v>2</v>
      </c>
      <c r="J3483" s="18"/>
      <c r="K3483" s="19"/>
      <c r="L3483" s="19"/>
      <c r="M3483" s="18"/>
      <c r="N3483" s="18"/>
      <c r="O3483" s="18"/>
      <c r="P3483" s="19"/>
      <c r="Q3483" s="19"/>
      <c r="R3483" s="18"/>
      <c r="S3483" s="18"/>
      <c r="T3483" s="18"/>
      <c r="U3483" s="20"/>
      <c r="V3483" s="21"/>
      <c r="W3483" s="16"/>
      <c r="X3483" s="16"/>
      <c r="Y3483" s="16"/>
    </row>
    <row r="3484" customFormat="false" ht="15.75" hidden="false" customHeight="false" outlineLevel="0" collapsed="false">
      <c r="A3484" s="9"/>
      <c r="B3484" s="10"/>
      <c r="C3484" s="10"/>
      <c r="D3484" s="10"/>
      <c r="E3484" s="10"/>
      <c r="F3484" s="10"/>
      <c r="G3484" s="10"/>
      <c r="H3484" s="10"/>
      <c r="I3484" s="22" t="n">
        <v>3</v>
      </c>
      <c r="J3484" s="22"/>
      <c r="K3484" s="23"/>
      <c r="L3484" s="23"/>
      <c r="M3484" s="22"/>
      <c r="N3484" s="22"/>
      <c r="O3484" s="22"/>
      <c r="P3484" s="23"/>
      <c r="Q3484" s="23"/>
      <c r="R3484" s="22"/>
      <c r="S3484" s="22"/>
      <c r="T3484" s="22"/>
      <c r="U3484" s="24"/>
      <c r="V3484" s="15"/>
      <c r="W3484" s="16"/>
      <c r="X3484" s="16"/>
      <c r="Y3484" s="16"/>
    </row>
    <row r="3485" customFormat="false" ht="15.75" hidden="false" customHeight="false" outlineLevel="0" collapsed="false">
      <c r="A3485" s="9"/>
      <c r="B3485" s="10"/>
      <c r="C3485" s="10"/>
      <c r="D3485" s="10"/>
      <c r="E3485" s="10"/>
      <c r="F3485" s="10"/>
      <c r="G3485" s="10"/>
      <c r="H3485" s="10"/>
      <c r="I3485" s="25" t="n">
        <v>4</v>
      </c>
      <c r="J3485" s="25"/>
      <c r="K3485" s="26"/>
      <c r="L3485" s="26"/>
      <c r="M3485" s="25"/>
      <c r="N3485" s="25"/>
      <c r="O3485" s="25"/>
      <c r="P3485" s="26"/>
      <c r="Q3485" s="26"/>
      <c r="R3485" s="25"/>
      <c r="S3485" s="25"/>
      <c r="T3485" s="25"/>
      <c r="U3485" s="27"/>
      <c r="V3485" s="21"/>
      <c r="W3485" s="16"/>
      <c r="X3485" s="16"/>
      <c r="Y3485" s="16"/>
    </row>
    <row r="3486" customFormat="false" ht="15.75" hidden="false" customHeight="false" outlineLevel="0" collapsed="false">
      <c r="A3486" s="9"/>
      <c r="B3486" s="10"/>
      <c r="C3486" s="11"/>
      <c r="D3486" s="10"/>
      <c r="E3486" s="10"/>
      <c r="F3486" s="10"/>
      <c r="G3486" s="10"/>
      <c r="H3486" s="10"/>
      <c r="I3486" s="12" t="n">
        <v>1</v>
      </c>
      <c r="J3486" s="12"/>
      <c r="K3486" s="13"/>
      <c r="L3486" s="13"/>
      <c r="M3486" s="12"/>
      <c r="N3486" s="12"/>
      <c r="O3486" s="12"/>
      <c r="P3486" s="13"/>
      <c r="Q3486" s="13"/>
      <c r="R3486" s="12"/>
      <c r="S3486" s="12"/>
      <c r="T3486" s="12"/>
      <c r="U3486" s="14"/>
      <c r="V3486" s="15"/>
      <c r="W3486" s="16" t="n">
        <f aca="false">A3486</f>
        <v>0</v>
      </c>
      <c r="X3486" s="17" t="e">
        <f aca="false">ifs(C3486="","",X3486="",NOW(),TRUE(),X3486)</f>
        <v>#VALUE!</v>
      </c>
      <c r="Y3486" s="17" t="e">
        <f aca="false">ifs(COUNTA(K3486:U3489)&lt;44,"",Y3486="",NOW(),TRUE(),Y3486)</f>
        <v>#VALUE!</v>
      </c>
    </row>
    <row r="3487" customFormat="false" ht="15.75" hidden="false" customHeight="false" outlineLevel="0" collapsed="false">
      <c r="A3487" s="9"/>
      <c r="B3487" s="10"/>
      <c r="C3487" s="10"/>
      <c r="D3487" s="10"/>
      <c r="E3487" s="10"/>
      <c r="F3487" s="10"/>
      <c r="G3487" s="10"/>
      <c r="H3487" s="10"/>
      <c r="I3487" s="18" t="n">
        <v>2</v>
      </c>
      <c r="J3487" s="18"/>
      <c r="K3487" s="19"/>
      <c r="L3487" s="19"/>
      <c r="M3487" s="18"/>
      <c r="N3487" s="18"/>
      <c r="O3487" s="18"/>
      <c r="P3487" s="19"/>
      <c r="Q3487" s="19"/>
      <c r="R3487" s="18"/>
      <c r="S3487" s="18"/>
      <c r="T3487" s="18"/>
      <c r="U3487" s="20"/>
      <c r="V3487" s="21"/>
      <c r="W3487" s="16"/>
      <c r="X3487" s="16"/>
      <c r="Y3487" s="16"/>
    </row>
    <row r="3488" customFormat="false" ht="15.75" hidden="false" customHeight="false" outlineLevel="0" collapsed="false">
      <c r="A3488" s="9"/>
      <c r="B3488" s="10"/>
      <c r="C3488" s="10"/>
      <c r="D3488" s="10"/>
      <c r="E3488" s="10"/>
      <c r="F3488" s="10"/>
      <c r="G3488" s="10"/>
      <c r="H3488" s="10"/>
      <c r="I3488" s="22" t="n">
        <v>3</v>
      </c>
      <c r="J3488" s="22"/>
      <c r="K3488" s="23"/>
      <c r="L3488" s="23"/>
      <c r="M3488" s="22"/>
      <c r="N3488" s="22"/>
      <c r="O3488" s="22"/>
      <c r="P3488" s="23"/>
      <c r="Q3488" s="23"/>
      <c r="R3488" s="22"/>
      <c r="S3488" s="22"/>
      <c r="T3488" s="22"/>
      <c r="U3488" s="24"/>
      <c r="V3488" s="15"/>
      <c r="W3488" s="16"/>
      <c r="X3488" s="16"/>
      <c r="Y3488" s="16"/>
    </row>
    <row r="3489" customFormat="false" ht="15.75" hidden="false" customHeight="false" outlineLevel="0" collapsed="false">
      <c r="A3489" s="9"/>
      <c r="B3489" s="10"/>
      <c r="C3489" s="10"/>
      <c r="D3489" s="10"/>
      <c r="E3489" s="10"/>
      <c r="F3489" s="10"/>
      <c r="G3489" s="10"/>
      <c r="H3489" s="10"/>
      <c r="I3489" s="25" t="n">
        <v>4</v>
      </c>
      <c r="J3489" s="25"/>
      <c r="K3489" s="26"/>
      <c r="L3489" s="26"/>
      <c r="M3489" s="25"/>
      <c r="N3489" s="25"/>
      <c r="O3489" s="25"/>
      <c r="P3489" s="26"/>
      <c r="Q3489" s="26"/>
      <c r="R3489" s="25"/>
      <c r="S3489" s="25"/>
      <c r="T3489" s="25"/>
      <c r="U3489" s="27"/>
      <c r="V3489" s="21"/>
      <c r="W3489" s="16"/>
      <c r="X3489" s="16"/>
      <c r="Y3489" s="16"/>
    </row>
    <row r="3490" customFormat="false" ht="15.75" hidden="false" customHeight="false" outlineLevel="0" collapsed="false">
      <c r="A3490" s="9"/>
      <c r="B3490" s="10"/>
      <c r="C3490" s="11"/>
      <c r="D3490" s="10"/>
      <c r="E3490" s="10"/>
      <c r="F3490" s="10"/>
      <c r="G3490" s="10"/>
      <c r="H3490" s="10"/>
      <c r="I3490" s="12" t="n">
        <v>1</v>
      </c>
      <c r="J3490" s="12"/>
      <c r="K3490" s="13"/>
      <c r="L3490" s="13"/>
      <c r="M3490" s="12"/>
      <c r="N3490" s="12"/>
      <c r="O3490" s="12"/>
      <c r="P3490" s="13"/>
      <c r="Q3490" s="13"/>
      <c r="R3490" s="12"/>
      <c r="S3490" s="12"/>
      <c r="T3490" s="12"/>
      <c r="U3490" s="14"/>
      <c r="V3490" s="15"/>
      <c r="W3490" s="16" t="n">
        <f aca="false">A3490</f>
        <v>0</v>
      </c>
      <c r="X3490" s="17" t="e">
        <f aca="false">ifs(C3490="","",X3490="",NOW(),TRUE(),X3490)</f>
        <v>#VALUE!</v>
      </c>
      <c r="Y3490" s="17" t="e">
        <f aca="false">ifs(COUNTA(K3490:U3493)&lt;44,"",Y3490="",NOW(),TRUE(),Y3490)</f>
        <v>#VALUE!</v>
      </c>
    </row>
    <row r="3491" customFormat="false" ht="15.75" hidden="false" customHeight="false" outlineLevel="0" collapsed="false">
      <c r="A3491" s="9"/>
      <c r="B3491" s="10"/>
      <c r="C3491" s="10"/>
      <c r="D3491" s="10"/>
      <c r="E3491" s="10"/>
      <c r="F3491" s="10"/>
      <c r="G3491" s="10"/>
      <c r="H3491" s="10"/>
      <c r="I3491" s="18" t="n">
        <v>2</v>
      </c>
      <c r="J3491" s="18"/>
      <c r="K3491" s="19"/>
      <c r="L3491" s="19"/>
      <c r="M3491" s="18"/>
      <c r="N3491" s="18"/>
      <c r="O3491" s="18"/>
      <c r="P3491" s="19"/>
      <c r="Q3491" s="19"/>
      <c r="R3491" s="18"/>
      <c r="S3491" s="18"/>
      <c r="T3491" s="18"/>
      <c r="U3491" s="20"/>
      <c r="V3491" s="21"/>
      <c r="W3491" s="16"/>
      <c r="X3491" s="16"/>
      <c r="Y3491" s="16"/>
    </row>
    <row r="3492" customFormat="false" ht="15.75" hidden="false" customHeight="false" outlineLevel="0" collapsed="false">
      <c r="A3492" s="9"/>
      <c r="B3492" s="10"/>
      <c r="C3492" s="10"/>
      <c r="D3492" s="10"/>
      <c r="E3492" s="10"/>
      <c r="F3492" s="10"/>
      <c r="G3492" s="10"/>
      <c r="H3492" s="10"/>
      <c r="I3492" s="22" t="n">
        <v>3</v>
      </c>
      <c r="J3492" s="22"/>
      <c r="K3492" s="23"/>
      <c r="L3492" s="23"/>
      <c r="M3492" s="22"/>
      <c r="N3492" s="22"/>
      <c r="O3492" s="22"/>
      <c r="P3492" s="23"/>
      <c r="Q3492" s="23"/>
      <c r="R3492" s="22"/>
      <c r="S3492" s="22"/>
      <c r="T3492" s="22"/>
      <c r="U3492" s="24"/>
      <c r="V3492" s="15"/>
      <c r="W3492" s="16"/>
      <c r="X3492" s="16"/>
      <c r="Y3492" s="16"/>
    </row>
    <row r="3493" customFormat="false" ht="15.75" hidden="false" customHeight="false" outlineLevel="0" collapsed="false">
      <c r="A3493" s="9"/>
      <c r="B3493" s="10"/>
      <c r="C3493" s="10"/>
      <c r="D3493" s="10"/>
      <c r="E3493" s="10"/>
      <c r="F3493" s="10"/>
      <c r="G3493" s="10"/>
      <c r="H3493" s="10"/>
      <c r="I3493" s="25" t="n">
        <v>4</v>
      </c>
      <c r="J3493" s="25"/>
      <c r="K3493" s="26"/>
      <c r="L3493" s="26"/>
      <c r="M3493" s="25"/>
      <c r="N3493" s="25"/>
      <c r="O3493" s="25"/>
      <c r="P3493" s="26"/>
      <c r="Q3493" s="26"/>
      <c r="R3493" s="25"/>
      <c r="S3493" s="25"/>
      <c r="T3493" s="25"/>
      <c r="U3493" s="27"/>
      <c r="V3493" s="21"/>
      <c r="W3493" s="16"/>
      <c r="X3493" s="16"/>
      <c r="Y3493" s="16"/>
    </row>
    <row r="3494" customFormat="false" ht="15.75" hidden="false" customHeight="false" outlineLevel="0" collapsed="false">
      <c r="A3494" s="9"/>
      <c r="B3494" s="10"/>
      <c r="C3494" s="11"/>
      <c r="D3494" s="10"/>
      <c r="E3494" s="10"/>
      <c r="F3494" s="10"/>
      <c r="G3494" s="10"/>
      <c r="H3494" s="10"/>
      <c r="I3494" s="12" t="n">
        <v>1</v>
      </c>
      <c r="J3494" s="12"/>
      <c r="K3494" s="13"/>
      <c r="L3494" s="13"/>
      <c r="M3494" s="12"/>
      <c r="N3494" s="12"/>
      <c r="O3494" s="12"/>
      <c r="P3494" s="13"/>
      <c r="Q3494" s="13"/>
      <c r="R3494" s="12"/>
      <c r="S3494" s="12"/>
      <c r="T3494" s="12"/>
      <c r="U3494" s="14"/>
      <c r="V3494" s="15"/>
      <c r="W3494" s="16" t="n">
        <f aca="false">A3494</f>
        <v>0</v>
      </c>
      <c r="X3494" s="17" t="e">
        <f aca="false">ifs(C3494="","",X3494="",NOW(),TRUE(),X3494)</f>
        <v>#VALUE!</v>
      </c>
      <c r="Y3494" s="17" t="e">
        <f aca="false">ifs(COUNTA(K3494:U3497)&lt;44,"",Y3494="",NOW(),TRUE(),Y3494)</f>
        <v>#VALUE!</v>
      </c>
    </row>
    <row r="3495" customFormat="false" ht="15.75" hidden="false" customHeight="false" outlineLevel="0" collapsed="false">
      <c r="A3495" s="9"/>
      <c r="B3495" s="10"/>
      <c r="C3495" s="10"/>
      <c r="D3495" s="10"/>
      <c r="E3495" s="10"/>
      <c r="F3495" s="10"/>
      <c r="G3495" s="10"/>
      <c r="H3495" s="10"/>
      <c r="I3495" s="18" t="n">
        <v>2</v>
      </c>
      <c r="J3495" s="18"/>
      <c r="K3495" s="19"/>
      <c r="L3495" s="19"/>
      <c r="M3495" s="18"/>
      <c r="N3495" s="18"/>
      <c r="O3495" s="18"/>
      <c r="P3495" s="19"/>
      <c r="Q3495" s="19"/>
      <c r="R3495" s="18"/>
      <c r="S3495" s="18"/>
      <c r="T3495" s="18"/>
      <c r="U3495" s="20"/>
      <c r="V3495" s="21"/>
      <c r="W3495" s="16"/>
      <c r="X3495" s="16"/>
      <c r="Y3495" s="16"/>
    </row>
    <row r="3496" customFormat="false" ht="15.75" hidden="false" customHeight="false" outlineLevel="0" collapsed="false">
      <c r="A3496" s="9"/>
      <c r="B3496" s="10"/>
      <c r="C3496" s="10"/>
      <c r="D3496" s="10"/>
      <c r="E3496" s="10"/>
      <c r="F3496" s="10"/>
      <c r="G3496" s="10"/>
      <c r="H3496" s="10"/>
      <c r="I3496" s="22" t="n">
        <v>3</v>
      </c>
      <c r="J3496" s="22"/>
      <c r="K3496" s="23"/>
      <c r="L3496" s="23"/>
      <c r="M3496" s="22"/>
      <c r="N3496" s="22"/>
      <c r="O3496" s="22"/>
      <c r="P3496" s="23"/>
      <c r="Q3496" s="23"/>
      <c r="R3496" s="22"/>
      <c r="S3496" s="22"/>
      <c r="T3496" s="22"/>
      <c r="U3496" s="24"/>
      <c r="V3496" s="15"/>
      <c r="W3496" s="16"/>
      <c r="X3496" s="16"/>
      <c r="Y3496" s="16"/>
    </row>
    <row r="3497" customFormat="false" ht="15.75" hidden="false" customHeight="false" outlineLevel="0" collapsed="false">
      <c r="A3497" s="9"/>
      <c r="B3497" s="10"/>
      <c r="C3497" s="10"/>
      <c r="D3497" s="10"/>
      <c r="E3497" s="10"/>
      <c r="F3497" s="10"/>
      <c r="G3497" s="10"/>
      <c r="H3497" s="10"/>
      <c r="I3497" s="25" t="n">
        <v>4</v>
      </c>
      <c r="J3497" s="25"/>
      <c r="K3497" s="26"/>
      <c r="L3497" s="26"/>
      <c r="M3497" s="25"/>
      <c r="N3497" s="25"/>
      <c r="O3497" s="25"/>
      <c r="P3497" s="26"/>
      <c r="Q3497" s="26"/>
      <c r="R3497" s="25"/>
      <c r="S3497" s="25"/>
      <c r="T3497" s="25"/>
      <c r="U3497" s="27"/>
      <c r="V3497" s="21"/>
      <c r="W3497" s="16"/>
      <c r="X3497" s="16"/>
      <c r="Y3497" s="16"/>
    </row>
    <row r="3498" customFormat="false" ht="15.75" hidden="false" customHeight="false" outlineLevel="0" collapsed="false">
      <c r="A3498" s="9"/>
      <c r="B3498" s="10"/>
      <c r="C3498" s="11"/>
      <c r="D3498" s="10"/>
      <c r="E3498" s="10"/>
      <c r="F3498" s="10"/>
      <c r="G3498" s="10"/>
      <c r="H3498" s="10"/>
      <c r="I3498" s="12" t="n">
        <v>1</v>
      </c>
      <c r="J3498" s="12"/>
      <c r="K3498" s="13"/>
      <c r="L3498" s="13"/>
      <c r="M3498" s="12"/>
      <c r="N3498" s="12"/>
      <c r="O3498" s="12"/>
      <c r="P3498" s="13"/>
      <c r="Q3498" s="13"/>
      <c r="R3498" s="12"/>
      <c r="S3498" s="12"/>
      <c r="T3498" s="12"/>
      <c r="U3498" s="14"/>
      <c r="V3498" s="15"/>
      <c r="W3498" s="16" t="n">
        <f aca="false">A3498</f>
        <v>0</v>
      </c>
      <c r="X3498" s="17" t="e">
        <f aca="false">ifs(C3498="","",X3498="",NOW(),TRUE(),X3498)</f>
        <v>#VALUE!</v>
      </c>
      <c r="Y3498" s="17" t="e">
        <f aca="false">ifs(COUNTA(K3498:U3501)&lt;44,"",Y3498="",NOW(),TRUE(),Y3498)</f>
        <v>#VALUE!</v>
      </c>
    </row>
    <row r="3499" customFormat="false" ht="15.75" hidden="false" customHeight="false" outlineLevel="0" collapsed="false">
      <c r="A3499" s="9"/>
      <c r="B3499" s="10"/>
      <c r="C3499" s="10"/>
      <c r="D3499" s="10"/>
      <c r="E3499" s="10"/>
      <c r="F3499" s="10"/>
      <c r="G3499" s="10"/>
      <c r="H3499" s="10"/>
      <c r="I3499" s="18" t="n">
        <v>2</v>
      </c>
      <c r="J3499" s="18"/>
      <c r="K3499" s="19"/>
      <c r="L3499" s="19"/>
      <c r="M3499" s="18"/>
      <c r="N3499" s="18"/>
      <c r="O3499" s="18"/>
      <c r="P3499" s="19"/>
      <c r="Q3499" s="19"/>
      <c r="R3499" s="18"/>
      <c r="S3499" s="18"/>
      <c r="T3499" s="18"/>
      <c r="U3499" s="20"/>
      <c r="V3499" s="21"/>
      <c r="W3499" s="16"/>
      <c r="X3499" s="16"/>
      <c r="Y3499" s="16"/>
    </row>
    <row r="3500" customFormat="false" ht="15.75" hidden="false" customHeight="false" outlineLevel="0" collapsed="false">
      <c r="A3500" s="9"/>
      <c r="B3500" s="10"/>
      <c r="C3500" s="10"/>
      <c r="D3500" s="10"/>
      <c r="E3500" s="10"/>
      <c r="F3500" s="10"/>
      <c r="G3500" s="10"/>
      <c r="H3500" s="10"/>
      <c r="I3500" s="22" t="n">
        <v>3</v>
      </c>
      <c r="J3500" s="22"/>
      <c r="K3500" s="23"/>
      <c r="L3500" s="23"/>
      <c r="M3500" s="22"/>
      <c r="N3500" s="22"/>
      <c r="O3500" s="22"/>
      <c r="P3500" s="23"/>
      <c r="Q3500" s="23"/>
      <c r="R3500" s="22"/>
      <c r="S3500" s="22"/>
      <c r="T3500" s="22"/>
      <c r="U3500" s="24"/>
      <c r="V3500" s="15"/>
      <c r="W3500" s="16"/>
      <c r="X3500" s="16"/>
      <c r="Y3500" s="16"/>
    </row>
    <row r="3501" customFormat="false" ht="15.75" hidden="false" customHeight="false" outlineLevel="0" collapsed="false">
      <c r="A3501" s="9"/>
      <c r="B3501" s="10"/>
      <c r="C3501" s="10"/>
      <c r="D3501" s="10"/>
      <c r="E3501" s="10"/>
      <c r="F3501" s="10"/>
      <c r="G3501" s="10"/>
      <c r="H3501" s="10"/>
      <c r="I3501" s="25" t="n">
        <v>4</v>
      </c>
      <c r="J3501" s="25"/>
      <c r="K3501" s="26"/>
      <c r="L3501" s="26"/>
      <c r="M3501" s="25"/>
      <c r="N3501" s="25"/>
      <c r="O3501" s="25"/>
      <c r="P3501" s="26"/>
      <c r="Q3501" s="26"/>
      <c r="R3501" s="25"/>
      <c r="S3501" s="25"/>
      <c r="T3501" s="25"/>
      <c r="U3501" s="27"/>
      <c r="V3501" s="21"/>
      <c r="W3501" s="16"/>
      <c r="X3501" s="16"/>
      <c r="Y3501" s="16"/>
    </row>
    <row r="3502" customFormat="false" ht="15.75" hidden="false" customHeight="false" outlineLevel="0" collapsed="false">
      <c r="A3502" s="9"/>
      <c r="B3502" s="10"/>
      <c r="C3502" s="11"/>
      <c r="D3502" s="10"/>
      <c r="E3502" s="10"/>
      <c r="F3502" s="10"/>
      <c r="G3502" s="10"/>
      <c r="H3502" s="10"/>
      <c r="I3502" s="12" t="n">
        <v>1</v>
      </c>
      <c r="J3502" s="12"/>
      <c r="K3502" s="13"/>
      <c r="L3502" s="13"/>
      <c r="M3502" s="12"/>
      <c r="N3502" s="12"/>
      <c r="O3502" s="12"/>
      <c r="P3502" s="13"/>
      <c r="Q3502" s="13"/>
      <c r="R3502" s="12"/>
      <c r="S3502" s="12"/>
      <c r="T3502" s="12"/>
      <c r="U3502" s="14"/>
      <c r="V3502" s="15"/>
      <c r="W3502" s="16" t="n">
        <f aca="false">A3502</f>
        <v>0</v>
      </c>
      <c r="X3502" s="17" t="e">
        <f aca="false">ifs(C3502="","",X3502="",NOW(),TRUE(),X3502)</f>
        <v>#VALUE!</v>
      </c>
      <c r="Y3502" s="17" t="e">
        <f aca="false">ifs(COUNTA(K3502:U3505)&lt;44,"",Y3502="",NOW(),TRUE(),Y3502)</f>
        <v>#VALUE!</v>
      </c>
    </row>
    <row r="3503" customFormat="false" ht="15.75" hidden="false" customHeight="false" outlineLevel="0" collapsed="false">
      <c r="A3503" s="9"/>
      <c r="B3503" s="10"/>
      <c r="C3503" s="10"/>
      <c r="D3503" s="10"/>
      <c r="E3503" s="10"/>
      <c r="F3503" s="10"/>
      <c r="G3503" s="10"/>
      <c r="H3503" s="10"/>
      <c r="I3503" s="18" t="n">
        <v>2</v>
      </c>
      <c r="J3503" s="18"/>
      <c r="K3503" s="19"/>
      <c r="L3503" s="19"/>
      <c r="M3503" s="18"/>
      <c r="N3503" s="18"/>
      <c r="O3503" s="18"/>
      <c r="P3503" s="19"/>
      <c r="Q3503" s="19"/>
      <c r="R3503" s="18"/>
      <c r="S3503" s="18"/>
      <c r="T3503" s="18"/>
      <c r="U3503" s="20"/>
      <c r="V3503" s="21"/>
      <c r="W3503" s="16"/>
      <c r="X3503" s="16"/>
      <c r="Y3503" s="16"/>
    </row>
    <row r="3504" customFormat="false" ht="15.75" hidden="false" customHeight="false" outlineLevel="0" collapsed="false">
      <c r="A3504" s="9"/>
      <c r="B3504" s="10"/>
      <c r="C3504" s="10"/>
      <c r="D3504" s="10"/>
      <c r="E3504" s="10"/>
      <c r="F3504" s="10"/>
      <c r="G3504" s="10"/>
      <c r="H3504" s="10"/>
      <c r="I3504" s="22" t="n">
        <v>3</v>
      </c>
      <c r="J3504" s="22"/>
      <c r="K3504" s="23"/>
      <c r="L3504" s="23"/>
      <c r="M3504" s="22"/>
      <c r="N3504" s="22"/>
      <c r="O3504" s="22"/>
      <c r="P3504" s="23"/>
      <c r="Q3504" s="23"/>
      <c r="R3504" s="22"/>
      <c r="S3504" s="22"/>
      <c r="T3504" s="22"/>
      <c r="U3504" s="24"/>
      <c r="V3504" s="15"/>
      <c r="W3504" s="16"/>
      <c r="X3504" s="16"/>
      <c r="Y3504" s="16"/>
    </row>
    <row r="3505" customFormat="false" ht="15.75" hidden="false" customHeight="false" outlineLevel="0" collapsed="false">
      <c r="A3505" s="9"/>
      <c r="B3505" s="10"/>
      <c r="C3505" s="10"/>
      <c r="D3505" s="10"/>
      <c r="E3505" s="10"/>
      <c r="F3505" s="10"/>
      <c r="G3505" s="10"/>
      <c r="H3505" s="10"/>
      <c r="I3505" s="25" t="n">
        <v>4</v>
      </c>
      <c r="J3505" s="25"/>
      <c r="K3505" s="26"/>
      <c r="L3505" s="26"/>
      <c r="M3505" s="25"/>
      <c r="N3505" s="25"/>
      <c r="O3505" s="25"/>
      <c r="P3505" s="26"/>
      <c r="Q3505" s="26"/>
      <c r="R3505" s="25"/>
      <c r="S3505" s="25"/>
      <c r="T3505" s="25"/>
      <c r="U3505" s="27"/>
      <c r="V3505" s="21"/>
      <c r="W3505" s="16"/>
      <c r="X3505" s="16"/>
      <c r="Y3505" s="16"/>
    </row>
    <row r="3506" customFormat="false" ht="15.75" hidden="false" customHeight="false" outlineLevel="0" collapsed="false">
      <c r="A3506" s="9"/>
      <c r="B3506" s="10"/>
      <c r="C3506" s="11"/>
      <c r="D3506" s="10"/>
      <c r="E3506" s="10"/>
      <c r="F3506" s="10"/>
      <c r="G3506" s="10"/>
      <c r="H3506" s="10"/>
      <c r="I3506" s="12" t="n">
        <v>1</v>
      </c>
      <c r="J3506" s="12"/>
      <c r="K3506" s="13"/>
      <c r="L3506" s="13"/>
      <c r="M3506" s="12"/>
      <c r="N3506" s="12"/>
      <c r="O3506" s="12"/>
      <c r="P3506" s="13"/>
      <c r="Q3506" s="13"/>
      <c r="R3506" s="12"/>
      <c r="S3506" s="12"/>
      <c r="T3506" s="12"/>
      <c r="U3506" s="14"/>
      <c r="V3506" s="15"/>
      <c r="W3506" s="16" t="n">
        <f aca="false">A3506</f>
        <v>0</v>
      </c>
      <c r="X3506" s="17" t="e">
        <f aca="false">ifs(C3506="","",X3506="",NOW(),TRUE(),X3506)</f>
        <v>#VALUE!</v>
      </c>
      <c r="Y3506" s="17" t="e">
        <f aca="false">ifs(COUNTA(K3506:U3509)&lt;44,"",Y3506="",NOW(),TRUE(),Y3506)</f>
        <v>#VALUE!</v>
      </c>
    </row>
    <row r="3507" customFormat="false" ht="15.75" hidden="false" customHeight="false" outlineLevel="0" collapsed="false">
      <c r="A3507" s="9"/>
      <c r="B3507" s="10"/>
      <c r="C3507" s="10"/>
      <c r="D3507" s="10"/>
      <c r="E3507" s="10"/>
      <c r="F3507" s="10"/>
      <c r="G3507" s="10"/>
      <c r="H3507" s="10"/>
      <c r="I3507" s="18" t="n">
        <v>2</v>
      </c>
      <c r="J3507" s="18"/>
      <c r="K3507" s="19"/>
      <c r="L3507" s="19"/>
      <c r="M3507" s="18"/>
      <c r="N3507" s="18"/>
      <c r="O3507" s="18"/>
      <c r="P3507" s="19"/>
      <c r="Q3507" s="19"/>
      <c r="R3507" s="18"/>
      <c r="S3507" s="18"/>
      <c r="T3507" s="18"/>
      <c r="U3507" s="20"/>
      <c r="V3507" s="21"/>
      <c r="W3507" s="16"/>
      <c r="X3507" s="16"/>
      <c r="Y3507" s="16"/>
    </row>
    <row r="3508" customFormat="false" ht="15.75" hidden="false" customHeight="false" outlineLevel="0" collapsed="false">
      <c r="A3508" s="9"/>
      <c r="B3508" s="10"/>
      <c r="C3508" s="10"/>
      <c r="D3508" s="10"/>
      <c r="E3508" s="10"/>
      <c r="F3508" s="10"/>
      <c r="G3508" s="10"/>
      <c r="H3508" s="10"/>
      <c r="I3508" s="22" t="n">
        <v>3</v>
      </c>
      <c r="J3508" s="22"/>
      <c r="K3508" s="23"/>
      <c r="L3508" s="23"/>
      <c r="M3508" s="22"/>
      <c r="N3508" s="22"/>
      <c r="O3508" s="22"/>
      <c r="P3508" s="23"/>
      <c r="Q3508" s="23"/>
      <c r="R3508" s="22"/>
      <c r="S3508" s="22"/>
      <c r="T3508" s="22"/>
      <c r="U3508" s="24"/>
      <c r="V3508" s="15"/>
      <c r="W3508" s="16"/>
      <c r="X3508" s="16"/>
      <c r="Y3508" s="16"/>
    </row>
    <row r="3509" customFormat="false" ht="15.75" hidden="false" customHeight="false" outlineLevel="0" collapsed="false">
      <c r="A3509" s="9"/>
      <c r="B3509" s="10"/>
      <c r="C3509" s="10"/>
      <c r="D3509" s="10"/>
      <c r="E3509" s="10"/>
      <c r="F3509" s="10"/>
      <c r="G3509" s="10"/>
      <c r="H3509" s="10"/>
      <c r="I3509" s="25" t="n">
        <v>4</v>
      </c>
      <c r="J3509" s="25"/>
      <c r="K3509" s="26"/>
      <c r="L3509" s="26"/>
      <c r="M3509" s="25"/>
      <c r="N3509" s="25"/>
      <c r="O3509" s="25"/>
      <c r="P3509" s="26"/>
      <c r="Q3509" s="26"/>
      <c r="R3509" s="25"/>
      <c r="S3509" s="25"/>
      <c r="T3509" s="25"/>
      <c r="U3509" s="27"/>
      <c r="V3509" s="21"/>
      <c r="W3509" s="16"/>
      <c r="X3509" s="16"/>
      <c r="Y3509" s="16"/>
    </row>
    <row r="3510" customFormat="false" ht="15.75" hidden="false" customHeight="false" outlineLevel="0" collapsed="false">
      <c r="A3510" s="9"/>
      <c r="B3510" s="10"/>
      <c r="C3510" s="11"/>
      <c r="D3510" s="10"/>
      <c r="E3510" s="10"/>
      <c r="F3510" s="10"/>
      <c r="G3510" s="10"/>
      <c r="H3510" s="10"/>
      <c r="I3510" s="12" t="n">
        <v>1</v>
      </c>
      <c r="J3510" s="12"/>
      <c r="K3510" s="13"/>
      <c r="L3510" s="13"/>
      <c r="M3510" s="12"/>
      <c r="N3510" s="12"/>
      <c r="O3510" s="12"/>
      <c r="P3510" s="13"/>
      <c r="Q3510" s="13"/>
      <c r="R3510" s="12"/>
      <c r="S3510" s="12"/>
      <c r="T3510" s="12"/>
      <c r="U3510" s="14"/>
      <c r="V3510" s="15"/>
      <c r="W3510" s="16" t="n">
        <f aca="false">A3510</f>
        <v>0</v>
      </c>
      <c r="X3510" s="17" t="e">
        <f aca="false">ifs(C3510="","",X3510="",NOW(),TRUE(),X3510)</f>
        <v>#VALUE!</v>
      </c>
      <c r="Y3510" s="17" t="e">
        <f aca="false">ifs(COUNTA(K3510:U3513)&lt;44,"",Y3510="",NOW(),TRUE(),Y3510)</f>
        <v>#VALUE!</v>
      </c>
    </row>
    <row r="3511" customFormat="false" ht="15.75" hidden="false" customHeight="false" outlineLevel="0" collapsed="false">
      <c r="A3511" s="9"/>
      <c r="B3511" s="10"/>
      <c r="C3511" s="10"/>
      <c r="D3511" s="10"/>
      <c r="E3511" s="10"/>
      <c r="F3511" s="10"/>
      <c r="G3511" s="10"/>
      <c r="H3511" s="10"/>
      <c r="I3511" s="18" t="n">
        <v>2</v>
      </c>
      <c r="J3511" s="18"/>
      <c r="K3511" s="19"/>
      <c r="L3511" s="19"/>
      <c r="M3511" s="18"/>
      <c r="N3511" s="18"/>
      <c r="O3511" s="18"/>
      <c r="P3511" s="19"/>
      <c r="Q3511" s="19"/>
      <c r="R3511" s="18"/>
      <c r="S3511" s="18"/>
      <c r="T3511" s="18"/>
      <c r="U3511" s="20"/>
      <c r="V3511" s="21"/>
      <c r="W3511" s="16"/>
      <c r="X3511" s="16"/>
      <c r="Y3511" s="16"/>
    </row>
    <row r="3512" customFormat="false" ht="15.75" hidden="false" customHeight="false" outlineLevel="0" collapsed="false">
      <c r="A3512" s="9"/>
      <c r="B3512" s="10"/>
      <c r="C3512" s="10"/>
      <c r="D3512" s="10"/>
      <c r="E3512" s="10"/>
      <c r="F3512" s="10"/>
      <c r="G3512" s="10"/>
      <c r="H3512" s="10"/>
      <c r="I3512" s="22" t="n">
        <v>3</v>
      </c>
      <c r="J3512" s="22"/>
      <c r="K3512" s="23"/>
      <c r="L3512" s="23"/>
      <c r="M3512" s="22"/>
      <c r="N3512" s="22"/>
      <c r="O3512" s="22"/>
      <c r="P3512" s="23"/>
      <c r="Q3512" s="23"/>
      <c r="R3512" s="22"/>
      <c r="S3512" s="22"/>
      <c r="T3512" s="22"/>
      <c r="U3512" s="24"/>
      <c r="V3512" s="15"/>
      <c r="W3512" s="16"/>
      <c r="X3512" s="16"/>
      <c r="Y3512" s="16"/>
    </row>
    <row r="3513" customFormat="false" ht="15.75" hidden="false" customHeight="false" outlineLevel="0" collapsed="false">
      <c r="A3513" s="9"/>
      <c r="B3513" s="10"/>
      <c r="C3513" s="10"/>
      <c r="D3513" s="10"/>
      <c r="E3513" s="10"/>
      <c r="F3513" s="10"/>
      <c r="G3513" s="10"/>
      <c r="H3513" s="10"/>
      <c r="I3513" s="25" t="n">
        <v>4</v>
      </c>
      <c r="J3513" s="25"/>
      <c r="K3513" s="26"/>
      <c r="L3513" s="26"/>
      <c r="M3513" s="25"/>
      <c r="N3513" s="25"/>
      <c r="O3513" s="25"/>
      <c r="P3513" s="26"/>
      <c r="Q3513" s="26"/>
      <c r="R3513" s="25"/>
      <c r="S3513" s="25"/>
      <c r="T3513" s="25"/>
      <c r="U3513" s="27"/>
      <c r="V3513" s="21"/>
      <c r="W3513" s="16"/>
      <c r="X3513" s="16"/>
      <c r="Y3513" s="16"/>
    </row>
    <row r="3514" customFormat="false" ht="15.75" hidden="false" customHeight="false" outlineLevel="0" collapsed="false">
      <c r="A3514" s="9"/>
      <c r="B3514" s="10"/>
      <c r="C3514" s="11"/>
      <c r="D3514" s="10"/>
      <c r="E3514" s="10"/>
      <c r="F3514" s="10"/>
      <c r="G3514" s="10"/>
      <c r="H3514" s="10"/>
      <c r="I3514" s="12" t="n">
        <v>1</v>
      </c>
      <c r="J3514" s="12"/>
      <c r="K3514" s="13"/>
      <c r="L3514" s="13"/>
      <c r="M3514" s="12"/>
      <c r="N3514" s="12"/>
      <c r="O3514" s="12"/>
      <c r="P3514" s="13"/>
      <c r="Q3514" s="13"/>
      <c r="R3514" s="12"/>
      <c r="S3514" s="12"/>
      <c r="T3514" s="12"/>
      <c r="U3514" s="14"/>
      <c r="V3514" s="15"/>
      <c r="W3514" s="16" t="n">
        <f aca="false">A3514</f>
        <v>0</v>
      </c>
      <c r="X3514" s="17" t="e">
        <f aca="false">ifs(C3514="","",X3514="",NOW(),TRUE(),X3514)</f>
        <v>#VALUE!</v>
      </c>
      <c r="Y3514" s="17" t="e">
        <f aca="false">ifs(COUNTA(K3514:U3517)&lt;44,"",Y3514="",NOW(),TRUE(),Y3514)</f>
        <v>#VALUE!</v>
      </c>
    </row>
    <row r="3515" customFormat="false" ht="15.75" hidden="false" customHeight="false" outlineLevel="0" collapsed="false">
      <c r="A3515" s="9"/>
      <c r="B3515" s="10"/>
      <c r="C3515" s="10"/>
      <c r="D3515" s="10"/>
      <c r="E3515" s="10"/>
      <c r="F3515" s="10"/>
      <c r="G3515" s="10"/>
      <c r="H3515" s="10"/>
      <c r="I3515" s="18" t="n">
        <v>2</v>
      </c>
      <c r="J3515" s="18"/>
      <c r="K3515" s="19"/>
      <c r="L3515" s="19"/>
      <c r="M3515" s="18"/>
      <c r="N3515" s="18"/>
      <c r="O3515" s="18"/>
      <c r="P3515" s="19"/>
      <c r="Q3515" s="19"/>
      <c r="R3515" s="18"/>
      <c r="S3515" s="18"/>
      <c r="T3515" s="18"/>
      <c r="U3515" s="20"/>
      <c r="V3515" s="21"/>
      <c r="W3515" s="16"/>
      <c r="X3515" s="16"/>
      <c r="Y3515" s="16"/>
    </row>
    <row r="3516" customFormat="false" ht="15.75" hidden="false" customHeight="false" outlineLevel="0" collapsed="false">
      <c r="A3516" s="9"/>
      <c r="B3516" s="10"/>
      <c r="C3516" s="10"/>
      <c r="D3516" s="10"/>
      <c r="E3516" s="10"/>
      <c r="F3516" s="10"/>
      <c r="G3516" s="10"/>
      <c r="H3516" s="10"/>
      <c r="I3516" s="22" t="n">
        <v>3</v>
      </c>
      <c r="J3516" s="22"/>
      <c r="K3516" s="23"/>
      <c r="L3516" s="23"/>
      <c r="M3516" s="22"/>
      <c r="N3516" s="22"/>
      <c r="O3516" s="22"/>
      <c r="P3516" s="23"/>
      <c r="Q3516" s="23"/>
      <c r="R3516" s="22"/>
      <c r="S3516" s="22"/>
      <c r="T3516" s="22"/>
      <c r="U3516" s="24"/>
      <c r="V3516" s="15"/>
      <c r="W3516" s="16"/>
      <c r="X3516" s="16"/>
      <c r="Y3516" s="16"/>
    </row>
    <row r="3517" customFormat="false" ht="15.75" hidden="false" customHeight="false" outlineLevel="0" collapsed="false">
      <c r="A3517" s="9"/>
      <c r="B3517" s="10"/>
      <c r="C3517" s="10"/>
      <c r="D3517" s="10"/>
      <c r="E3517" s="10"/>
      <c r="F3517" s="10"/>
      <c r="G3517" s="10"/>
      <c r="H3517" s="10"/>
      <c r="I3517" s="25" t="n">
        <v>4</v>
      </c>
      <c r="J3517" s="25"/>
      <c r="K3517" s="26"/>
      <c r="L3517" s="26"/>
      <c r="M3517" s="25"/>
      <c r="N3517" s="25"/>
      <c r="O3517" s="25"/>
      <c r="P3517" s="26"/>
      <c r="Q3517" s="26"/>
      <c r="R3517" s="25"/>
      <c r="S3517" s="25"/>
      <c r="T3517" s="25"/>
      <c r="U3517" s="27"/>
      <c r="V3517" s="21"/>
      <c r="W3517" s="16"/>
      <c r="X3517" s="16"/>
      <c r="Y3517" s="16"/>
    </row>
    <row r="3518" customFormat="false" ht="15.75" hidden="false" customHeight="false" outlineLevel="0" collapsed="false">
      <c r="A3518" s="9"/>
      <c r="B3518" s="10"/>
      <c r="C3518" s="11"/>
      <c r="D3518" s="10"/>
      <c r="E3518" s="10"/>
      <c r="F3518" s="10"/>
      <c r="G3518" s="10"/>
      <c r="H3518" s="10"/>
      <c r="I3518" s="12" t="n">
        <v>1</v>
      </c>
      <c r="J3518" s="12"/>
      <c r="K3518" s="13"/>
      <c r="L3518" s="13"/>
      <c r="M3518" s="12"/>
      <c r="N3518" s="12"/>
      <c r="O3518" s="12"/>
      <c r="P3518" s="13"/>
      <c r="Q3518" s="13"/>
      <c r="R3518" s="12"/>
      <c r="S3518" s="12"/>
      <c r="T3518" s="12"/>
      <c r="U3518" s="14"/>
      <c r="V3518" s="15"/>
      <c r="W3518" s="16" t="n">
        <f aca="false">A3518</f>
        <v>0</v>
      </c>
      <c r="X3518" s="17" t="e">
        <f aca="false">ifs(C3518="","",X3518="",NOW(),TRUE(),X3518)</f>
        <v>#VALUE!</v>
      </c>
      <c r="Y3518" s="17" t="e">
        <f aca="false">ifs(COUNTA(K3518:U3521)&lt;44,"",Y3518="",NOW(),TRUE(),Y3518)</f>
        <v>#VALUE!</v>
      </c>
    </row>
    <row r="3519" customFormat="false" ht="15.75" hidden="false" customHeight="false" outlineLevel="0" collapsed="false">
      <c r="A3519" s="9"/>
      <c r="B3519" s="10"/>
      <c r="C3519" s="10"/>
      <c r="D3519" s="10"/>
      <c r="E3519" s="10"/>
      <c r="F3519" s="10"/>
      <c r="G3519" s="10"/>
      <c r="H3519" s="10"/>
      <c r="I3519" s="18" t="n">
        <v>2</v>
      </c>
      <c r="J3519" s="18"/>
      <c r="K3519" s="19"/>
      <c r="L3519" s="19"/>
      <c r="M3519" s="18"/>
      <c r="N3519" s="18"/>
      <c r="O3519" s="18"/>
      <c r="P3519" s="19"/>
      <c r="Q3519" s="19"/>
      <c r="R3519" s="18"/>
      <c r="S3519" s="18"/>
      <c r="T3519" s="18"/>
      <c r="U3519" s="20"/>
      <c r="V3519" s="21"/>
      <c r="W3519" s="16"/>
      <c r="X3519" s="16"/>
      <c r="Y3519" s="16"/>
    </row>
    <row r="3520" customFormat="false" ht="15.75" hidden="false" customHeight="false" outlineLevel="0" collapsed="false">
      <c r="A3520" s="9"/>
      <c r="B3520" s="10"/>
      <c r="C3520" s="10"/>
      <c r="D3520" s="10"/>
      <c r="E3520" s="10"/>
      <c r="F3520" s="10"/>
      <c r="G3520" s="10"/>
      <c r="H3520" s="10"/>
      <c r="I3520" s="22" t="n">
        <v>3</v>
      </c>
      <c r="J3520" s="22"/>
      <c r="K3520" s="23"/>
      <c r="L3520" s="23"/>
      <c r="M3520" s="22"/>
      <c r="N3520" s="22"/>
      <c r="O3520" s="22"/>
      <c r="P3520" s="23"/>
      <c r="Q3520" s="23"/>
      <c r="R3520" s="22"/>
      <c r="S3520" s="22"/>
      <c r="T3520" s="22"/>
      <c r="U3520" s="24"/>
      <c r="V3520" s="15"/>
      <c r="W3520" s="16"/>
      <c r="X3520" s="16"/>
      <c r="Y3520" s="16"/>
    </row>
    <row r="3521" customFormat="false" ht="15.75" hidden="false" customHeight="false" outlineLevel="0" collapsed="false">
      <c r="A3521" s="9"/>
      <c r="B3521" s="10"/>
      <c r="C3521" s="10"/>
      <c r="D3521" s="10"/>
      <c r="E3521" s="10"/>
      <c r="F3521" s="10"/>
      <c r="G3521" s="10"/>
      <c r="H3521" s="10"/>
      <c r="I3521" s="25" t="n">
        <v>4</v>
      </c>
      <c r="J3521" s="25"/>
      <c r="K3521" s="26"/>
      <c r="L3521" s="26"/>
      <c r="M3521" s="25"/>
      <c r="N3521" s="25"/>
      <c r="O3521" s="25"/>
      <c r="P3521" s="26"/>
      <c r="Q3521" s="26"/>
      <c r="R3521" s="25"/>
      <c r="S3521" s="25"/>
      <c r="T3521" s="25"/>
      <c r="U3521" s="27"/>
      <c r="V3521" s="21"/>
      <c r="W3521" s="16"/>
      <c r="X3521" s="16"/>
      <c r="Y3521" s="16"/>
    </row>
    <row r="3522" customFormat="false" ht="15.75" hidden="false" customHeight="false" outlineLevel="0" collapsed="false">
      <c r="A3522" s="9"/>
      <c r="B3522" s="10"/>
      <c r="C3522" s="11"/>
      <c r="D3522" s="10"/>
      <c r="E3522" s="10"/>
      <c r="F3522" s="10"/>
      <c r="G3522" s="10"/>
      <c r="H3522" s="10"/>
      <c r="I3522" s="12" t="n">
        <v>1</v>
      </c>
      <c r="J3522" s="12"/>
      <c r="K3522" s="13"/>
      <c r="L3522" s="13"/>
      <c r="M3522" s="12"/>
      <c r="N3522" s="12"/>
      <c r="O3522" s="12"/>
      <c r="P3522" s="13"/>
      <c r="Q3522" s="13"/>
      <c r="R3522" s="12"/>
      <c r="S3522" s="12"/>
      <c r="T3522" s="12"/>
      <c r="U3522" s="14"/>
      <c r="V3522" s="15"/>
      <c r="W3522" s="16" t="n">
        <f aca="false">A3522</f>
        <v>0</v>
      </c>
      <c r="X3522" s="17" t="e">
        <f aca="false">ifs(C3522="","",X3522="",NOW(),TRUE(),X3522)</f>
        <v>#VALUE!</v>
      </c>
      <c r="Y3522" s="17" t="e">
        <f aca="false">ifs(COUNTA(K3522:U3525)&lt;44,"",Y3522="",NOW(),TRUE(),Y3522)</f>
        <v>#VALUE!</v>
      </c>
    </row>
    <row r="3523" customFormat="false" ht="15.75" hidden="false" customHeight="false" outlineLevel="0" collapsed="false">
      <c r="A3523" s="9"/>
      <c r="B3523" s="10"/>
      <c r="C3523" s="10"/>
      <c r="D3523" s="10"/>
      <c r="E3523" s="10"/>
      <c r="F3523" s="10"/>
      <c r="G3523" s="10"/>
      <c r="H3523" s="10"/>
      <c r="I3523" s="18" t="n">
        <v>2</v>
      </c>
      <c r="J3523" s="18"/>
      <c r="K3523" s="19"/>
      <c r="L3523" s="19"/>
      <c r="M3523" s="18"/>
      <c r="N3523" s="18"/>
      <c r="O3523" s="18"/>
      <c r="P3523" s="19"/>
      <c r="Q3523" s="19"/>
      <c r="R3523" s="18"/>
      <c r="S3523" s="18"/>
      <c r="T3523" s="18"/>
      <c r="U3523" s="20"/>
      <c r="V3523" s="21"/>
      <c r="W3523" s="16"/>
      <c r="X3523" s="16"/>
      <c r="Y3523" s="16"/>
    </row>
    <row r="3524" customFormat="false" ht="15.75" hidden="false" customHeight="false" outlineLevel="0" collapsed="false">
      <c r="A3524" s="9"/>
      <c r="B3524" s="10"/>
      <c r="C3524" s="10"/>
      <c r="D3524" s="10"/>
      <c r="E3524" s="10"/>
      <c r="F3524" s="10"/>
      <c r="G3524" s="10"/>
      <c r="H3524" s="10"/>
      <c r="I3524" s="22" t="n">
        <v>3</v>
      </c>
      <c r="J3524" s="22"/>
      <c r="K3524" s="23"/>
      <c r="L3524" s="23"/>
      <c r="M3524" s="22"/>
      <c r="N3524" s="22"/>
      <c r="O3524" s="22"/>
      <c r="P3524" s="23"/>
      <c r="Q3524" s="23"/>
      <c r="R3524" s="22"/>
      <c r="S3524" s="22"/>
      <c r="T3524" s="22"/>
      <c r="U3524" s="24"/>
      <c r="V3524" s="15"/>
      <c r="W3524" s="16"/>
      <c r="X3524" s="16"/>
      <c r="Y3524" s="16"/>
    </row>
    <row r="3525" customFormat="false" ht="15.75" hidden="false" customHeight="false" outlineLevel="0" collapsed="false">
      <c r="A3525" s="9"/>
      <c r="B3525" s="10"/>
      <c r="C3525" s="10"/>
      <c r="D3525" s="10"/>
      <c r="E3525" s="10"/>
      <c r="F3525" s="10"/>
      <c r="G3525" s="10"/>
      <c r="H3525" s="10"/>
      <c r="I3525" s="25" t="n">
        <v>4</v>
      </c>
      <c r="J3525" s="25"/>
      <c r="K3525" s="26"/>
      <c r="L3525" s="26"/>
      <c r="M3525" s="25"/>
      <c r="N3525" s="25"/>
      <c r="O3525" s="25"/>
      <c r="P3525" s="26"/>
      <c r="Q3525" s="26"/>
      <c r="R3525" s="25"/>
      <c r="S3525" s="25"/>
      <c r="T3525" s="25"/>
      <c r="U3525" s="27"/>
      <c r="V3525" s="21"/>
      <c r="W3525" s="16"/>
      <c r="X3525" s="16"/>
      <c r="Y3525" s="16"/>
    </row>
    <row r="3526" customFormat="false" ht="15.75" hidden="false" customHeight="false" outlineLevel="0" collapsed="false">
      <c r="A3526" s="9"/>
      <c r="B3526" s="10"/>
      <c r="C3526" s="11"/>
      <c r="D3526" s="10"/>
      <c r="E3526" s="10"/>
      <c r="F3526" s="10"/>
      <c r="G3526" s="10"/>
      <c r="H3526" s="10"/>
      <c r="I3526" s="12" t="n">
        <v>1</v>
      </c>
      <c r="J3526" s="12"/>
      <c r="K3526" s="13"/>
      <c r="L3526" s="13"/>
      <c r="M3526" s="12"/>
      <c r="N3526" s="12"/>
      <c r="O3526" s="12"/>
      <c r="P3526" s="13"/>
      <c r="Q3526" s="13"/>
      <c r="R3526" s="12"/>
      <c r="S3526" s="12"/>
      <c r="T3526" s="12"/>
      <c r="U3526" s="14"/>
      <c r="V3526" s="15"/>
      <c r="W3526" s="16" t="n">
        <f aca="false">A3526</f>
        <v>0</v>
      </c>
      <c r="X3526" s="17" t="e">
        <f aca="false">ifs(C3526="","",X3526="",NOW(),TRUE(),X3526)</f>
        <v>#VALUE!</v>
      </c>
      <c r="Y3526" s="17" t="e">
        <f aca="false">ifs(COUNTA(K3526:U3529)&lt;44,"",Y3526="",NOW(),TRUE(),Y3526)</f>
        <v>#VALUE!</v>
      </c>
    </row>
    <row r="3527" customFormat="false" ht="15.75" hidden="false" customHeight="false" outlineLevel="0" collapsed="false">
      <c r="A3527" s="9"/>
      <c r="B3527" s="10"/>
      <c r="C3527" s="10"/>
      <c r="D3527" s="10"/>
      <c r="E3527" s="10"/>
      <c r="F3527" s="10"/>
      <c r="G3527" s="10"/>
      <c r="H3527" s="10"/>
      <c r="I3527" s="18" t="n">
        <v>2</v>
      </c>
      <c r="J3527" s="18"/>
      <c r="K3527" s="19"/>
      <c r="L3527" s="19"/>
      <c r="M3527" s="18"/>
      <c r="N3527" s="18"/>
      <c r="O3527" s="18"/>
      <c r="P3527" s="19"/>
      <c r="Q3527" s="19"/>
      <c r="R3527" s="18"/>
      <c r="S3527" s="18"/>
      <c r="T3527" s="18"/>
      <c r="U3527" s="20"/>
      <c r="V3527" s="21"/>
      <c r="W3527" s="16"/>
      <c r="X3527" s="16"/>
      <c r="Y3527" s="16"/>
    </row>
    <row r="3528" customFormat="false" ht="15.75" hidden="false" customHeight="false" outlineLevel="0" collapsed="false">
      <c r="A3528" s="9"/>
      <c r="B3528" s="10"/>
      <c r="C3528" s="10"/>
      <c r="D3528" s="10"/>
      <c r="E3528" s="10"/>
      <c r="F3528" s="10"/>
      <c r="G3528" s="10"/>
      <c r="H3528" s="10"/>
      <c r="I3528" s="22" t="n">
        <v>3</v>
      </c>
      <c r="J3528" s="22"/>
      <c r="K3528" s="23"/>
      <c r="L3528" s="23"/>
      <c r="M3528" s="22"/>
      <c r="N3528" s="22"/>
      <c r="O3528" s="22"/>
      <c r="P3528" s="23"/>
      <c r="Q3528" s="23"/>
      <c r="R3528" s="22"/>
      <c r="S3528" s="22"/>
      <c r="T3528" s="22"/>
      <c r="U3528" s="24"/>
      <c r="V3528" s="15"/>
      <c r="W3528" s="16"/>
      <c r="X3528" s="16"/>
      <c r="Y3528" s="16"/>
    </row>
    <row r="3529" customFormat="false" ht="15.75" hidden="false" customHeight="false" outlineLevel="0" collapsed="false">
      <c r="A3529" s="9"/>
      <c r="B3529" s="10"/>
      <c r="C3529" s="10"/>
      <c r="D3529" s="10"/>
      <c r="E3529" s="10"/>
      <c r="F3529" s="10"/>
      <c r="G3529" s="10"/>
      <c r="H3529" s="10"/>
      <c r="I3529" s="25" t="n">
        <v>4</v>
      </c>
      <c r="J3529" s="25"/>
      <c r="K3529" s="26"/>
      <c r="L3529" s="26"/>
      <c r="M3529" s="25"/>
      <c r="N3529" s="25"/>
      <c r="O3529" s="25"/>
      <c r="P3529" s="26"/>
      <c r="Q3529" s="26"/>
      <c r="R3529" s="25"/>
      <c r="S3529" s="25"/>
      <c r="T3529" s="25"/>
      <c r="U3529" s="27"/>
      <c r="V3529" s="21"/>
      <c r="W3529" s="16"/>
      <c r="X3529" s="16"/>
      <c r="Y3529" s="16"/>
    </row>
    <row r="3530" customFormat="false" ht="15.75" hidden="false" customHeight="false" outlineLevel="0" collapsed="false">
      <c r="A3530" s="9"/>
      <c r="B3530" s="10"/>
      <c r="C3530" s="11"/>
      <c r="D3530" s="10"/>
      <c r="E3530" s="10"/>
      <c r="F3530" s="10"/>
      <c r="G3530" s="10"/>
      <c r="H3530" s="10"/>
      <c r="I3530" s="12" t="n">
        <v>1</v>
      </c>
      <c r="J3530" s="12"/>
      <c r="K3530" s="13"/>
      <c r="L3530" s="13"/>
      <c r="M3530" s="12"/>
      <c r="N3530" s="12"/>
      <c r="O3530" s="12"/>
      <c r="P3530" s="13"/>
      <c r="Q3530" s="13"/>
      <c r="R3530" s="12"/>
      <c r="S3530" s="12"/>
      <c r="T3530" s="12"/>
      <c r="U3530" s="14"/>
      <c r="V3530" s="15"/>
      <c r="W3530" s="16" t="n">
        <f aca="false">A3530</f>
        <v>0</v>
      </c>
      <c r="X3530" s="17" t="e">
        <f aca="false">ifs(C3530="","",X3530="",NOW(),TRUE(),X3530)</f>
        <v>#VALUE!</v>
      </c>
      <c r="Y3530" s="17" t="e">
        <f aca="false">ifs(COUNTA(K3530:U3533)&lt;44,"",Y3530="",NOW(),TRUE(),Y3530)</f>
        <v>#VALUE!</v>
      </c>
    </row>
    <row r="3531" customFormat="false" ht="15.75" hidden="false" customHeight="false" outlineLevel="0" collapsed="false">
      <c r="A3531" s="9"/>
      <c r="B3531" s="10"/>
      <c r="C3531" s="10"/>
      <c r="D3531" s="10"/>
      <c r="E3531" s="10"/>
      <c r="F3531" s="10"/>
      <c r="G3531" s="10"/>
      <c r="H3531" s="10"/>
      <c r="I3531" s="18" t="n">
        <v>2</v>
      </c>
      <c r="J3531" s="18"/>
      <c r="K3531" s="19"/>
      <c r="L3531" s="19"/>
      <c r="M3531" s="18"/>
      <c r="N3531" s="18"/>
      <c r="O3531" s="18"/>
      <c r="P3531" s="19"/>
      <c r="Q3531" s="19"/>
      <c r="R3531" s="18"/>
      <c r="S3531" s="18"/>
      <c r="T3531" s="18"/>
      <c r="U3531" s="20"/>
      <c r="V3531" s="21"/>
      <c r="W3531" s="16"/>
      <c r="X3531" s="16"/>
      <c r="Y3531" s="16"/>
    </row>
    <row r="3532" customFormat="false" ht="15.75" hidden="false" customHeight="false" outlineLevel="0" collapsed="false">
      <c r="A3532" s="9"/>
      <c r="B3532" s="10"/>
      <c r="C3532" s="10"/>
      <c r="D3532" s="10"/>
      <c r="E3532" s="10"/>
      <c r="F3532" s="10"/>
      <c r="G3532" s="10"/>
      <c r="H3532" s="10"/>
      <c r="I3532" s="22" t="n">
        <v>3</v>
      </c>
      <c r="J3532" s="22"/>
      <c r="K3532" s="23"/>
      <c r="L3532" s="23"/>
      <c r="M3532" s="22"/>
      <c r="N3532" s="22"/>
      <c r="O3532" s="22"/>
      <c r="P3532" s="23"/>
      <c r="Q3532" s="23"/>
      <c r="R3532" s="22"/>
      <c r="S3532" s="22"/>
      <c r="T3532" s="22"/>
      <c r="U3532" s="24"/>
      <c r="V3532" s="15"/>
      <c r="W3532" s="16"/>
      <c r="X3532" s="16"/>
      <c r="Y3532" s="16"/>
    </row>
    <row r="3533" customFormat="false" ht="15.75" hidden="false" customHeight="false" outlineLevel="0" collapsed="false">
      <c r="A3533" s="9"/>
      <c r="B3533" s="10"/>
      <c r="C3533" s="10"/>
      <c r="D3533" s="10"/>
      <c r="E3533" s="10"/>
      <c r="F3533" s="10"/>
      <c r="G3533" s="10"/>
      <c r="H3533" s="10"/>
      <c r="I3533" s="25" t="n">
        <v>4</v>
      </c>
      <c r="J3533" s="25"/>
      <c r="K3533" s="26"/>
      <c r="L3533" s="26"/>
      <c r="M3533" s="25"/>
      <c r="N3533" s="25"/>
      <c r="O3533" s="25"/>
      <c r="P3533" s="26"/>
      <c r="Q3533" s="26"/>
      <c r="R3533" s="25"/>
      <c r="S3533" s="25"/>
      <c r="T3533" s="25"/>
      <c r="U3533" s="27"/>
      <c r="V3533" s="21"/>
      <c r="W3533" s="16"/>
      <c r="X3533" s="16"/>
      <c r="Y3533" s="16"/>
    </row>
    <row r="3534" customFormat="false" ht="15.75" hidden="false" customHeight="false" outlineLevel="0" collapsed="false">
      <c r="A3534" s="9"/>
      <c r="B3534" s="10"/>
      <c r="C3534" s="11"/>
      <c r="D3534" s="10"/>
      <c r="E3534" s="10"/>
      <c r="F3534" s="10"/>
      <c r="G3534" s="10"/>
      <c r="H3534" s="10"/>
      <c r="I3534" s="12" t="n">
        <v>1</v>
      </c>
      <c r="J3534" s="12"/>
      <c r="K3534" s="13"/>
      <c r="L3534" s="13"/>
      <c r="M3534" s="12"/>
      <c r="N3534" s="12"/>
      <c r="O3534" s="12"/>
      <c r="P3534" s="13"/>
      <c r="Q3534" s="13"/>
      <c r="R3534" s="12"/>
      <c r="S3534" s="12"/>
      <c r="T3534" s="12"/>
      <c r="U3534" s="14"/>
      <c r="V3534" s="15"/>
      <c r="W3534" s="16" t="n">
        <f aca="false">A3534</f>
        <v>0</v>
      </c>
      <c r="X3534" s="17" t="e">
        <f aca="false">ifs(C3534="","",X3534="",NOW(),TRUE(),X3534)</f>
        <v>#VALUE!</v>
      </c>
      <c r="Y3534" s="17" t="e">
        <f aca="false">ifs(COUNTA(K3534:U3537)&lt;44,"",Y3534="",NOW(),TRUE(),Y3534)</f>
        <v>#VALUE!</v>
      </c>
    </row>
    <row r="3535" customFormat="false" ht="15.75" hidden="false" customHeight="false" outlineLevel="0" collapsed="false">
      <c r="A3535" s="9"/>
      <c r="B3535" s="10"/>
      <c r="C3535" s="10"/>
      <c r="D3535" s="10"/>
      <c r="E3535" s="10"/>
      <c r="F3535" s="10"/>
      <c r="G3535" s="10"/>
      <c r="H3535" s="10"/>
      <c r="I3535" s="18" t="n">
        <v>2</v>
      </c>
      <c r="J3535" s="18"/>
      <c r="K3535" s="19"/>
      <c r="L3535" s="19"/>
      <c r="M3535" s="18"/>
      <c r="N3535" s="18"/>
      <c r="O3535" s="18"/>
      <c r="P3535" s="19"/>
      <c r="Q3535" s="19"/>
      <c r="R3535" s="18"/>
      <c r="S3535" s="18"/>
      <c r="T3535" s="18"/>
      <c r="U3535" s="20"/>
      <c r="V3535" s="21"/>
      <c r="W3535" s="16"/>
      <c r="X3535" s="16"/>
      <c r="Y3535" s="16"/>
    </row>
    <row r="3536" customFormat="false" ht="15.75" hidden="false" customHeight="false" outlineLevel="0" collapsed="false">
      <c r="A3536" s="9"/>
      <c r="B3536" s="10"/>
      <c r="C3536" s="10"/>
      <c r="D3536" s="10"/>
      <c r="E3536" s="10"/>
      <c r="F3536" s="10"/>
      <c r="G3536" s="10"/>
      <c r="H3536" s="10"/>
      <c r="I3536" s="22" t="n">
        <v>3</v>
      </c>
      <c r="J3536" s="22"/>
      <c r="K3536" s="23"/>
      <c r="L3536" s="23"/>
      <c r="M3536" s="22"/>
      <c r="N3536" s="22"/>
      <c r="O3536" s="22"/>
      <c r="P3536" s="23"/>
      <c r="Q3536" s="23"/>
      <c r="R3536" s="22"/>
      <c r="S3536" s="22"/>
      <c r="T3536" s="22"/>
      <c r="U3536" s="24"/>
      <c r="V3536" s="15"/>
      <c r="W3536" s="16"/>
      <c r="X3536" s="16"/>
      <c r="Y3536" s="16"/>
    </row>
    <row r="3537" customFormat="false" ht="15.75" hidden="false" customHeight="false" outlineLevel="0" collapsed="false">
      <c r="A3537" s="9"/>
      <c r="B3537" s="10"/>
      <c r="C3537" s="10"/>
      <c r="D3537" s="10"/>
      <c r="E3537" s="10"/>
      <c r="F3537" s="10"/>
      <c r="G3537" s="10"/>
      <c r="H3537" s="10"/>
      <c r="I3537" s="25" t="n">
        <v>4</v>
      </c>
      <c r="J3537" s="25"/>
      <c r="K3537" s="26"/>
      <c r="L3537" s="26"/>
      <c r="M3537" s="25"/>
      <c r="N3537" s="25"/>
      <c r="O3537" s="25"/>
      <c r="P3537" s="26"/>
      <c r="Q3537" s="26"/>
      <c r="R3537" s="25"/>
      <c r="S3537" s="25"/>
      <c r="T3537" s="25"/>
      <c r="U3537" s="27"/>
      <c r="V3537" s="21"/>
      <c r="W3537" s="16"/>
      <c r="X3537" s="16"/>
      <c r="Y3537" s="16"/>
    </row>
    <row r="3538" customFormat="false" ht="15.75" hidden="false" customHeight="false" outlineLevel="0" collapsed="false">
      <c r="A3538" s="9"/>
      <c r="B3538" s="10"/>
      <c r="C3538" s="11"/>
      <c r="D3538" s="10"/>
      <c r="E3538" s="10"/>
      <c r="F3538" s="10"/>
      <c r="G3538" s="10"/>
      <c r="H3538" s="10"/>
      <c r="I3538" s="12" t="n">
        <v>1</v>
      </c>
      <c r="J3538" s="12"/>
      <c r="K3538" s="13"/>
      <c r="L3538" s="13"/>
      <c r="M3538" s="12"/>
      <c r="N3538" s="12"/>
      <c r="O3538" s="12"/>
      <c r="P3538" s="13"/>
      <c r="Q3538" s="13"/>
      <c r="R3538" s="12"/>
      <c r="S3538" s="12"/>
      <c r="T3538" s="12"/>
      <c r="U3538" s="14"/>
      <c r="V3538" s="15"/>
      <c r="W3538" s="16" t="n">
        <f aca="false">A3538</f>
        <v>0</v>
      </c>
      <c r="X3538" s="17" t="e">
        <f aca="false">ifs(C3538="","",X3538="",NOW(),TRUE(),X3538)</f>
        <v>#VALUE!</v>
      </c>
      <c r="Y3538" s="17" t="e">
        <f aca="false">ifs(COUNTA(K3538:U3541)&lt;44,"",Y3538="",NOW(),TRUE(),Y3538)</f>
        <v>#VALUE!</v>
      </c>
    </row>
    <row r="3539" customFormat="false" ht="15.75" hidden="false" customHeight="false" outlineLevel="0" collapsed="false">
      <c r="A3539" s="9"/>
      <c r="B3539" s="10"/>
      <c r="C3539" s="10"/>
      <c r="D3539" s="10"/>
      <c r="E3539" s="10"/>
      <c r="F3539" s="10"/>
      <c r="G3539" s="10"/>
      <c r="H3539" s="10"/>
      <c r="I3539" s="18" t="n">
        <v>2</v>
      </c>
      <c r="J3539" s="18"/>
      <c r="K3539" s="19"/>
      <c r="L3539" s="19"/>
      <c r="M3539" s="18"/>
      <c r="N3539" s="18"/>
      <c r="O3539" s="18"/>
      <c r="P3539" s="19"/>
      <c r="Q3539" s="19"/>
      <c r="R3539" s="18"/>
      <c r="S3539" s="18"/>
      <c r="T3539" s="18"/>
      <c r="U3539" s="20"/>
      <c r="V3539" s="21"/>
      <c r="W3539" s="16"/>
      <c r="X3539" s="16"/>
      <c r="Y3539" s="16"/>
    </row>
    <row r="3540" customFormat="false" ht="15.75" hidden="false" customHeight="false" outlineLevel="0" collapsed="false">
      <c r="A3540" s="9"/>
      <c r="B3540" s="10"/>
      <c r="C3540" s="10"/>
      <c r="D3540" s="10"/>
      <c r="E3540" s="10"/>
      <c r="F3540" s="10"/>
      <c r="G3540" s="10"/>
      <c r="H3540" s="10"/>
      <c r="I3540" s="22" t="n">
        <v>3</v>
      </c>
      <c r="J3540" s="22"/>
      <c r="K3540" s="23"/>
      <c r="L3540" s="23"/>
      <c r="M3540" s="22"/>
      <c r="N3540" s="22"/>
      <c r="O3540" s="22"/>
      <c r="P3540" s="23"/>
      <c r="Q3540" s="23"/>
      <c r="R3540" s="22"/>
      <c r="S3540" s="22"/>
      <c r="T3540" s="22"/>
      <c r="U3540" s="24"/>
      <c r="V3540" s="15"/>
      <c r="W3540" s="16"/>
      <c r="X3540" s="16"/>
      <c r="Y3540" s="16"/>
    </row>
    <row r="3541" customFormat="false" ht="15.75" hidden="false" customHeight="false" outlineLevel="0" collapsed="false">
      <c r="A3541" s="9"/>
      <c r="B3541" s="10"/>
      <c r="C3541" s="10"/>
      <c r="D3541" s="10"/>
      <c r="E3541" s="10"/>
      <c r="F3541" s="10"/>
      <c r="G3541" s="10"/>
      <c r="H3541" s="10"/>
      <c r="I3541" s="25" t="n">
        <v>4</v>
      </c>
      <c r="J3541" s="25"/>
      <c r="K3541" s="26"/>
      <c r="L3541" s="26"/>
      <c r="M3541" s="25"/>
      <c r="N3541" s="25"/>
      <c r="O3541" s="25"/>
      <c r="P3541" s="26"/>
      <c r="Q3541" s="26"/>
      <c r="R3541" s="25"/>
      <c r="S3541" s="25"/>
      <c r="T3541" s="25"/>
      <c r="U3541" s="27"/>
      <c r="V3541" s="21"/>
      <c r="W3541" s="16"/>
      <c r="X3541" s="16"/>
      <c r="Y3541" s="16"/>
    </row>
    <row r="3542" customFormat="false" ht="15.75" hidden="false" customHeight="false" outlineLevel="0" collapsed="false">
      <c r="A3542" s="9"/>
      <c r="B3542" s="10"/>
      <c r="C3542" s="11"/>
      <c r="D3542" s="10"/>
      <c r="E3542" s="10"/>
      <c r="F3542" s="10"/>
      <c r="G3542" s="10"/>
      <c r="H3542" s="10"/>
      <c r="I3542" s="12" t="n">
        <v>1</v>
      </c>
      <c r="J3542" s="12"/>
      <c r="K3542" s="13"/>
      <c r="L3542" s="13"/>
      <c r="M3542" s="12"/>
      <c r="N3542" s="12"/>
      <c r="O3542" s="12"/>
      <c r="P3542" s="13"/>
      <c r="Q3542" s="13"/>
      <c r="R3542" s="12"/>
      <c r="S3542" s="12"/>
      <c r="T3542" s="12"/>
      <c r="U3542" s="14"/>
      <c r="V3542" s="15"/>
      <c r="W3542" s="16" t="n">
        <f aca="false">A3542</f>
        <v>0</v>
      </c>
      <c r="X3542" s="17" t="e">
        <f aca="false">ifs(C3542="","",X3542="",NOW(),TRUE(),X3542)</f>
        <v>#VALUE!</v>
      </c>
      <c r="Y3542" s="17" t="e">
        <f aca="false">ifs(COUNTA(K3542:U3545)&lt;44,"",Y3542="",NOW(),TRUE(),Y3542)</f>
        <v>#VALUE!</v>
      </c>
    </row>
    <row r="3543" customFormat="false" ht="15.75" hidden="false" customHeight="false" outlineLevel="0" collapsed="false">
      <c r="A3543" s="9"/>
      <c r="B3543" s="10"/>
      <c r="C3543" s="10"/>
      <c r="D3543" s="10"/>
      <c r="E3543" s="10"/>
      <c r="F3543" s="10"/>
      <c r="G3543" s="10"/>
      <c r="H3543" s="10"/>
      <c r="I3543" s="18" t="n">
        <v>2</v>
      </c>
      <c r="J3543" s="18"/>
      <c r="K3543" s="19"/>
      <c r="L3543" s="19"/>
      <c r="M3543" s="18"/>
      <c r="N3543" s="18"/>
      <c r="O3543" s="18"/>
      <c r="P3543" s="19"/>
      <c r="Q3543" s="19"/>
      <c r="R3543" s="18"/>
      <c r="S3543" s="18"/>
      <c r="T3543" s="18"/>
      <c r="U3543" s="20"/>
      <c r="V3543" s="21"/>
      <c r="W3543" s="16"/>
      <c r="X3543" s="16"/>
      <c r="Y3543" s="16"/>
    </row>
    <row r="3544" customFormat="false" ht="15.75" hidden="false" customHeight="false" outlineLevel="0" collapsed="false">
      <c r="A3544" s="9"/>
      <c r="B3544" s="10"/>
      <c r="C3544" s="10"/>
      <c r="D3544" s="10"/>
      <c r="E3544" s="10"/>
      <c r="F3544" s="10"/>
      <c r="G3544" s="10"/>
      <c r="H3544" s="10"/>
      <c r="I3544" s="22" t="n">
        <v>3</v>
      </c>
      <c r="J3544" s="22"/>
      <c r="K3544" s="23"/>
      <c r="L3544" s="23"/>
      <c r="M3544" s="22"/>
      <c r="N3544" s="22"/>
      <c r="O3544" s="22"/>
      <c r="P3544" s="23"/>
      <c r="Q3544" s="23"/>
      <c r="R3544" s="22"/>
      <c r="S3544" s="22"/>
      <c r="T3544" s="22"/>
      <c r="U3544" s="24"/>
      <c r="V3544" s="15"/>
      <c r="W3544" s="16"/>
      <c r="X3544" s="16"/>
      <c r="Y3544" s="16"/>
    </row>
    <row r="3545" customFormat="false" ht="15.75" hidden="false" customHeight="false" outlineLevel="0" collapsed="false">
      <c r="A3545" s="9"/>
      <c r="B3545" s="10"/>
      <c r="C3545" s="10"/>
      <c r="D3545" s="10"/>
      <c r="E3545" s="10"/>
      <c r="F3545" s="10"/>
      <c r="G3545" s="10"/>
      <c r="H3545" s="10"/>
      <c r="I3545" s="25" t="n">
        <v>4</v>
      </c>
      <c r="J3545" s="25"/>
      <c r="K3545" s="26"/>
      <c r="L3545" s="26"/>
      <c r="M3545" s="25"/>
      <c r="N3545" s="25"/>
      <c r="O3545" s="25"/>
      <c r="P3545" s="26"/>
      <c r="Q3545" s="26"/>
      <c r="R3545" s="25"/>
      <c r="S3545" s="25"/>
      <c r="T3545" s="25"/>
      <c r="U3545" s="27"/>
      <c r="V3545" s="21"/>
      <c r="W3545" s="16"/>
      <c r="X3545" s="16"/>
      <c r="Y3545" s="16"/>
    </row>
    <row r="3546" customFormat="false" ht="15.75" hidden="false" customHeight="false" outlineLevel="0" collapsed="false">
      <c r="A3546" s="9"/>
      <c r="B3546" s="10"/>
      <c r="C3546" s="11"/>
      <c r="D3546" s="10"/>
      <c r="E3546" s="10"/>
      <c r="F3546" s="10"/>
      <c r="G3546" s="10"/>
      <c r="H3546" s="10"/>
      <c r="I3546" s="12" t="n">
        <v>1</v>
      </c>
      <c r="J3546" s="12"/>
      <c r="K3546" s="13"/>
      <c r="L3546" s="13"/>
      <c r="M3546" s="12"/>
      <c r="N3546" s="12"/>
      <c r="O3546" s="12"/>
      <c r="P3546" s="13"/>
      <c r="Q3546" s="13"/>
      <c r="R3546" s="12"/>
      <c r="S3546" s="12"/>
      <c r="T3546" s="12"/>
      <c r="U3546" s="14"/>
      <c r="V3546" s="15"/>
      <c r="W3546" s="16" t="n">
        <f aca="false">A3546</f>
        <v>0</v>
      </c>
      <c r="X3546" s="17" t="e">
        <f aca="false">ifs(C3546="","",X3546="",NOW(),TRUE(),X3546)</f>
        <v>#VALUE!</v>
      </c>
      <c r="Y3546" s="17" t="e">
        <f aca="false">ifs(COUNTA(K3546:U3549)&lt;44,"",Y3546="",NOW(),TRUE(),Y3546)</f>
        <v>#VALUE!</v>
      </c>
    </row>
    <row r="3547" customFormat="false" ht="15.75" hidden="false" customHeight="false" outlineLevel="0" collapsed="false">
      <c r="A3547" s="9"/>
      <c r="B3547" s="10"/>
      <c r="C3547" s="10"/>
      <c r="D3547" s="10"/>
      <c r="E3547" s="10"/>
      <c r="F3547" s="10"/>
      <c r="G3547" s="10"/>
      <c r="H3547" s="10"/>
      <c r="I3547" s="18" t="n">
        <v>2</v>
      </c>
      <c r="J3547" s="18"/>
      <c r="K3547" s="19"/>
      <c r="L3547" s="19"/>
      <c r="M3547" s="18"/>
      <c r="N3547" s="18"/>
      <c r="O3547" s="18"/>
      <c r="P3547" s="19"/>
      <c r="Q3547" s="19"/>
      <c r="R3547" s="18"/>
      <c r="S3547" s="18"/>
      <c r="T3547" s="18"/>
      <c r="U3547" s="20"/>
      <c r="V3547" s="21"/>
      <c r="W3547" s="16"/>
      <c r="X3547" s="16"/>
      <c r="Y3547" s="16"/>
    </row>
    <row r="3548" customFormat="false" ht="15.75" hidden="false" customHeight="false" outlineLevel="0" collapsed="false">
      <c r="A3548" s="9"/>
      <c r="B3548" s="10"/>
      <c r="C3548" s="10"/>
      <c r="D3548" s="10"/>
      <c r="E3548" s="10"/>
      <c r="F3548" s="10"/>
      <c r="G3548" s="10"/>
      <c r="H3548" s="10"/>
      <c r="I3548" s="22" t="n">
        <v>3</v>
      </c>
      <c r="J3548" s="22"/>
      <c r="K3548" s="23"/>
      <c r="L3548" s="23"/>
      <c r="M3548" s="22"/>
      <c r="N3548" s="22"/>
      <c r="O3548" s="22"/>
      <c r="P3548" s="23"/>
      <c r="Q3548" s="23"/>
      <c r="R3548" s="22"/>
      <c r="S3548" s="22"/>
      <c r="T3548" s="22"/>
      <c r="U3548" s="24"/>
      <c r="V3548" s="15"/>
      <c r="W3548" s="16"/>
      <c r="X3548" s="16"/>
      <c r="Y3548" s="16"/>
    </row>
    <row r="3549" customFormat="false" ht="15.75" hidden="false" customHeight="false" outlineLevel="0" collapsed="false">
      <c r="A3549" s="9"/>
      <c r="B3549" s="10"/>
      <c r="C3549" s="10"/>
      <c r="D3549" s="10"/>
      <c r="E3549" s="10"/>
      <c r="F3549" s="10"/>
      <c r="G3549" s="10"/>
      <c r="H3549" s="10"/>
      <c r="I3549" s="25" t="n">
        <v>4</v>
      </c>
      <c r="J3549" s="25"/>
      <c r="K3549" s="26"/>
      <c r="L3549" s="26"/>
      <c r="M3549" s="25"/>
      <c r="N3549" s="25"/>
      <c r="O3549" s="25"/>
      <c r="P3549" s="26"/>
      <c r="Q3549" s="26"/>
      <c r="R3549" s="25"/>
      <c r="S3549" s="25"/>
      <c r="T3549" s="25"/>
      <c r="U3549" s="27"/>
      <c r="V3549" s="21"/>
      <c r="W3549" s="16"/>
      <c r="X3549" s="16"/>
      <c r="Y3549" s="16"/>
    </row>
    <row r="3550" customFormat="false" ht="15.75" hidden="false" customHeight="false" outlineLevel="0" collapsed="false">
      <c r="A3550" s="9"/>
      <c r="B3550" s="10"/>
      <c r="C3550" s="11"/>
      <c r="D3550" s="10"/>
      <c r="E3550" s="10"/>
      <c r="F3550" s="10"/>
      <c r="G3550" s="10"/>
      <c r="H3550" s="10"/>
      <c r="I3550" s="12" t="n">
        <v>1</v>
      </c>
      <c r="J3550" s="12"/>
      <c r="K3550" s="13"/>
      <c r="L3550" s="13"/>
      <c r="M3550" s="12"/>
      <c r="N3550" s="12"/>
      <c r="O3550" s="12"/>
      <c r="P3550" s="13"/>
      <c r="Q3550" s="13"/>
      <c r="R3550" s="12"/>
      <c r="S3550" s="12"/>
      <c r="T3550" s="12"/>
      <c r="U3550" s="14"/>
      <c r="V3550" s="15"/>
      <c r="W3550" s="16" t="n">
        <f aca="false">A3550</f>
        <v>0</v>
      </c>
      <c r="X3550" s="17" t="e">
        <f aca="false">ifs(C3550="","",X3550="",NOW(),TRUE(),X3550)</f>
        <v>#VALUE!</v>
      </c>
      <c r="Y3550" s="17" t="e">
        <f aca="false">ifs(COUNTA(K3550:U3553)&lt;44,"",Y3550="",NOW(),TRUE(),Y3550)</f>
        <v>#VALUE!</v>
      </c>
    </row>
    <row r="3551" customFormat="false" ht="15.75" hidden="false" customHeight="false" outlineLevel="0" collapsed="false">
      <c r="A3551" s="9"/>
      <c r="B3551" s="10"/>
      <c r="C3551" s="10"/>
      <c r="D3551" s="10"/>
      <c r="E3551" s="10"/>
      <c r="F3551" s="10"/>
      <c r="G3551" s="10"/>
      <c r="H3551" s="10"/>
      <c r="I3551" s="18" t="n">
        <v>2</v>
      </c>
      <c r="J3551" s="18"/>
      <c r="K3551" s="19"/>
      <c r="L3551" s="19"/>
      <c r="M3551" s="18"/>
      <c r="N3551" s="18"/>
      <c r="O3551" s="18"/>
      <c r="P3551" s="19"/>
      <c r="Q3551" s="19"/>
      <c r="R3551" s="18"/>
      <c r="S3551" s="18"/>
      <c r="T3551" s="18"/>
      <c r="U3551" s="20"/>
      <c r="V3551" s="21"/>
      <c r="W3551" s="16"/>
      <c r="X3551" s="16"/>
      <c r="Y3551" s="16"/>
    </row>
    <row r="3552" customFormat="false" ht="15.75" hidden="false" customHeight="false" outlineLevel="0" collapsed="false">
      <c r="A3552" s="9"/>
      <c r="B3552" s="10"/>
      <c r="C3552" s="10"/>
      <c r="D3552" s="10"/>
      <c r="E3552" s="10"/>
      <c r="F3552" s="10"/>
      <c r="G3552" s="10"/>
      <c r="H3552" s="10"/>
      <c r="I3552" s="22" t="n">
        <v>3</v>
      </c>
      <c r="J3552" s="22"/>
      <c r="K3552" s="23"/>
      <c r="L3552" s="23"/>
      <c r="M3552" s="22"/>
      <c r="N3552" s="22"/>
      <c r="O3552" s="22"/>
      <c r="P3552" s="23"/>
      <c r="Q3552" s="23"/>
      <c r="R3552" s="22"/>
      <c r="S3552" s="22"/>
      <c r="T3552" s="22"/>
      <c r="U3552" s="24"/>
      <c r="V3552" s="15"/>
      <c r="W3552" s="16"/>
      <c r="X3552" s="16"/>
      <c r="Y3552" s="16"/>
    </row>
    <row r="3553" customFormat="false" ht="15.75" hidden="false" customHeight="false" outlineLevel="0" collapsed="false">
      <c r="A3553" s="9"/>
      <c r="B3553" s="10"/>
      <c r="C3553" s="10"/>
      <c r="D3553" s="10"/>
      <c r="E3553" s="10"/>
      <c r="F3553" s="10"/>
      <c r="G3553" s="10"/>
      <c r="H3553" s="10"/>
      <c r="I3553" s="25" t="n">
        <v>4</v>
      </c>
      <c r="J3553" s="25"/>
      <c r="K3553" s="26"/>
      <c r="L3553" s="26"/>
      <c r="M3553" s="25"/>
      <c r="N3553" s="25"/>
      <c r="O3553" s="25"/>
      <c r="P3553" s="26"/>
      <c r="Q3553" s="26"/>
      <c r="R3553" s="25"/>
      <c r="S3553" s="25"/>
      <c r="T3553" s="25"/>
      <c r="U3553" s="27"/>
      <c r="V3553" s="21"/>
      <c r="W3553" s="16"/>
      <c r="X3553" s="16"/>
      <c r="Y3553" s="16"/>
    </row>
    <row r="3554" customFormat="false" ht="15.75" hidden="false" customHeight="false" outlineLevel="0" collapsed="false">
      <c r="A3554" s="9"/>
      <c r="B3554" s="10"/>
      <c r="C3554" s="11"/>
      <c r="D3554" s="10"/>
      <c r="E3554" s="10"/>
      <c r="F3554" s="10"/>
      <c r="G3554" s="10"/>
      <c r="H3554" s="10"/>
      <c r="I3554" s="12" t="n">
        <v>1</v>
      </c>
      <c r="J3554" s="12"/>
      <c r="K3554" s="13"/>
      <c r="L3554" s="13"/>
      <c r="M3554" s="12"/>
      <c r="N3554" s="12"/>
      <c r="O3554" s="12"/>
      <c r="P3554" s="13"/>
      <c r="Q3554" s="13"/>
      <c r="R3554" s="12"/>
      <c r="S3554" s="12"/>
      <c r="T3554" s="12"/>
      <c r="U3554" s="14"/>
      <c r="V3554" s="15"/>
      <c r="W3554" s="16" t="n">
        <f aca="false">A3554</f>
        <v>0</v>
      </c>
      <c r="X3554" s="17" t="e">
        <f aca="false">ifs(C3554="","",X3554="",NOW(),TRUE(),X3554)</f>
        <v>#VALUE!</v>
      </c>
      <c r="Y3554" s="17" t="e">
        <f aca="false">ifs(COUNTA(K3554:U3557)&lt;44,"",Y3554="",NOW(),TRUE(),Y3554)</f>
        <v>#VALUE!</v>
      </c>
    </row>
    <row r="3555" customFormat="false" ht="15.75" hidden="false" customHeight="false" outlineLevel="0" collapsed="false">
      <c r="A3555" s="9"/>
      <c r="B3555" s="10"/>
      <c r="C3555" s="10"/>
      <c r="D3555" s="10"/>
      <c r="E3555" s="10"/>
      <c r="F3555" s="10"/>
      <c r="G3555" s="10"/>
      <c r="H3555" s="10"/>
      <c r="I3555" s="18" t="n">
        <v>2</v>
      </c>
      <c r="J3555" s="18"/>
      <c r="K3555" s="19"/>
      <c r="L3555" s="19"/>
      <c r="M3555" s="18"/>
      <c r="N3555" s="18"/>
      <c r="O3555" s="18"/>
      <c r="P3555" s="19"/>
      <c r="Q3555" s="19"/>
      <c r="R3555" s="18"/>
      <c r="S3555" s="18"/>
      <c r="T3555" s="18"/>
      <c r="U3555" s="20"/>
      <c r="V3555" s="21"/>
      <c r="W3555" s="16"/>
      <c r="X3555" s="16"/>
      <c r="Y3555" s="16"/>
    </row>
    <row r="3556" customFormat="false" ht="15.75" hidden="false" customHeight="false" outlineLevel="0" collapsed="false">
      <c r="A3556" s="9"/>
      <c r="B3556" s="10"/>
      <c r="C3556" s="10"/>
      <c r="D3556" s="10"/>
      <c r="E3556" s="10"/>
      <c r="F3556" s="10"/>
      <c r="G3556" s="10"/>
      <c r="H3556" s="10"/>
      <c r="I3556" s="22" t="n">
        <v>3</v>
      </c>
      <c r="J3556" s="22"/>
      <c r="K3556" s="23"/>
      <c r="L3556" s="23"/>
      <c r="M3556" s="22"/>
      <c r="N3556" s="22"/>
      <c r="O3556" s="22"/>
      <c r="P3556" s="23"/>
      <c r="Q3556" s="23"/>
      <c r="R3556" s="22"/>
      <c r="S3556" s="22"/>
      <c r="T3556" s="22"/>
      <c r="U3556" s="24"/>
      <c r="V3556" s="15"/>
      <c r="W3556" s="16"/>
      <c r="X3556" s="16"/>
      <c r="Y3556" s="16"/>
    </row>
    <row r="3557" customFormat="false" ht="15.75" hidden="false" customHeight="false" outlineLevel="0" collapsed="false">
      <c r="A3557" s="9"/>
      <c r="B3557" s="10"/>
      <c r="C3557" s="10"/>
      <c r="D3557" s="10"/>
      <c r="E3557" s="10"/>
      <c r="F3557" s="10"/>
      <c r="G3557" s="10"/>
      <c r="H3557" s="10"/>
      <c r="I3557" s="25" t="n">
        <v>4</v>
      </c>
      <c r="J3557" s="25"/>
      <c r="K3557" s="26"/>
      <c r="L3557" s="26"/>
      <c r="M3557" s="25"/>
      <c r="N3557" s="25"/>
      <c r="O3557" s="25"/>
      <c r="P3557" s="26"/>
      <c r="Q3557" s="26"/>
      <c r="R3557" s="25"/>
      <c r="S3557" s="25"/>
      <c r="T3557" s="25"/>
      <c r="U3557" s="27"/>
      <c r="V3557" s="21"/>
      <c r="W3557" s="16"/>
      <c r="X3557" s="16"/>
      <c r="Y3557" s="16"/>
    </row>
    <row r="3558" customFormat="false" ht="15.75" hidden="false" customHeight="false" outlineLevel="0" collapsed="false">
      <c r="A3558" s="9"/>
      <c r="B3558" s="10"/>
      <c r="C3558" s="11"/>
      <c r="D3558" s="10"/>
      <c r="E3558" s="10"/>
      <c r="F3558" s="10"/>
      <c r="G3558" s="10"/>
      <c r="H3558" s="10"/>
      <c r="I3558" s="12" t="n">
        <v>1</v>
      </c>
      <c r="J3558" s="12"/>
      <c r="K3558" s="13"/>
      <c r="L3558" s="13"/>
      <c r="M3558" s="12"/>
      <c r="N3558" s="12"/>
      <c r="O3558" s="12"/>
      <c r="P3558" s="13"/>
      <c r="Q3558" s="13"/>
      <c r="R3558" s="12"/>
      <c r="S3558" s="12"/>
      <c r="T3558" s="12"/>
      <c r="U3558" s="14"/>
      <c r="V3558" s="15"/>
      <c r="W3558" s="16" t="n">
        <f aca="false">A3558</f>
        <v>0</v>
      </c>
      <c r="X3558" s="17" t="e">
        <f aca="false">ifs(C3558="","",X3558="",NOW(),TRUE(),X3558)</f>
        <v>#VALUE!</v>
      </c>
      <c r="Y3558" s="17" t="e">
        <f aca="false">ifs(COUNTA(K3558:U3561)&lt;44,"",Y3558="",NOW(),TRUE(),Y3558)</f>
        <v>#VALUE!</v>
      </c>
    </row>
    <row r="3559" customFormat="false" ht="15.75" hidden="false" customHeight="false" outlineLevel="0" collapsed="false">
      <c r="A3559" s="9"/>
      <c r="B3559" s="10"/>
      <c r="C3559" s="10"/>
      <c r="D3559" s="10"/>
      <c r="E3559" s="10"/>
      <c r="F3559" s="10"/>
      <c r="G3559" s="10"/>
      <c r="H3559" s="10"/>
      <c r="I3559" s="18" t="n">
        <v>2</v>
      </c>
      <c r="J3559" s="18"/>
      <c r="K3559" s="19"/>
      <c r="L3559" s="19"/>
      <c r="M3559" s="18"/>
      <c r="N3559" s="18"/>
      <c r="O3559" s="18"/>
      <c r="P3559" s="19"/>
      <c r="Q3559" s="19"/>
      <c r="R3559" s="18"/>
      <c r="S3559" s="18"/>
      <c r="T3559" s="18"/>
      <c r="U3559" s="20"/>
      <c r="V3559" s="21"/>
      <c r="W3559" s="16"/>
      <c r="X3559" s="16"/>
      <c r="Y3559" s="16"/>
    </row>
    <row r="3560" customFormat="false" ht="15.75" hidden="false" customHeight="false" outlineLevel="0" collapsed="false">
      <c r="A3560" s="9"/>
      <c r="B3560" s="10"/>
      <c r="C3560" s="10"/>
      <c r="D3560" s="10"/>
      <c r="E3560" s="10"/>
      <c r="F3560" s="10"/>
      <c r="G3560" s="10"/>
      <c r="H3560" s="10"/>
      <c r="I3560" s="22" t="n">
        <v>3</v>
      </c>
      <c r="J3560" s="22"/>
      <c r="K3560" s="23"/>
      <c r="L3560" s="23"/>
      <c r="M3560" s="22"/>
      <c r="N3560" s="22"/>
      <c r="O3560" s="22"/>
      <c r="P3560" s="23"/>
      <c r="Q3560" s="23"/>
      <c r="R3560" s="22"/>
      <c r="S3560" s="22"/>
      <c r="T3560" s="22"/>
      <c r="U3560" s="24"/>
      <c r="V3560" s="15"/>
      <c r="W3560" s="16"/>
      <c r="X3560" s="16"/>
      <c r="Y3560" s="16"/>
    </row>
    <row r="3561" customFormat="false" ht="15.75" hidden="false" customHeight="false" outlineLevel="0" collapsed="false">
      <c r="A3561" s="9"/>
      <c r="B3561" s="10"/>
      <c r="C3561" s="10"/>
      <c r="D3561" s="10"/>
      <c r="E3561" s="10"/>
      <c r="F3561" s="10"/>
      <c r="G3561" s="10"/>
      <c r="H3561" s="10"/>
      <c r="I3561" s="25" t="n">
        <v>4</v>
      </c>
      <c r="J3561" s="25"/>
      <c r="K3561" s="26"/>
      <c r="L3561" s="26"/>
      <c r="M3561" s="25"/>
      <c r="N3561" s="25"/>
      <c r="O3561" s="25"/>
      <c r="P3561" s="26"/>
      <c r="Q3561" s="26"/>
      <c r="R3561" s="25"/>
      <c r="S3561" s="25"/>
      <c r="T3561" s="25"/>
      <c r="U3561" s="27"/>
      <c r="V3561" s="21"/>
      <c r="W3561" s="16"/>
      <c r="X3561" s="16"/>
      <c r="Y3561" s="16"/>
    </row>
    <row r="3562" customFormat="false" ht="15.75" hidden="false" customHeight="false" outlineLevel="0" collapsed="false">
      <c r="A3562" s="9"/>
      <c r="B3562" s="10"/>
      <c r="C3562" s="11"/>
      <c r="D3562" s="10"/>
      <c r="E3562" s="10"/>
      <c r="F3562" s="10"/>
      <c r="G3562" s="10"/>
      <c r="H3562" s="10"/>
      <c r="I3562" s="12" t="n">
        <v>1</v>
      </c>
      <c r="J3562" s="12"/>
      <c r="K3562" s="13"/>
      <c r="L3562" s="13"/>
      <c r="M3562" s="12"/>
      <c r="N3562" s="12"/>
      <c r="O3562" s="12"/>
      <c r="P3562" s="13"/>
      <c r="Q3562" s="13"/>
      <c r="R3562" s="12"/>
      <c r="S3562" s="12"/>
      <c r="T3562" s="12"/>
      <c r="U3562" s="14"/>
      <c r="V3562" s="15"/>
      <c r="W3562" s="16" t="n">
        <f aca="false">A3562</f>
        <v>0</v>
      </c>
      <c r="X3562" s="17" t="e">
        <f aca="false">ifs(C3562="","",X3562="",NOW(),TRUE(),X3562)</f>
        <v>#VALUE!</v>
      </c>
      <c r="Y3562" s="17" t="e">
        <f aca="false">ifs(COUNTA(K3562:U3565)&lt;44,"",Y3562="",NOW(),TRUE(),Y3562)</f>
        <v>#VALUE!</v>
      </c>
    </row>
    <row r="3563" customFormat="false" ht="15.75" hidden="false" customHeight="false" outlineLevel="0" collapsed="false">
      <c r="A3563" s="9"/>
      <c r="B3563" s="10"/>
      <c r="C3563" s="10"/>
      <c r="D3563" s="10"/>
      <c r="E3563" s="10"/>
      <c r="F3563" s="10"/>
      <c r="G3563" s="10"/>
      <c r="H3563" s="10"/>
      <c r="I3563" s="18" t="n">
        <v>2</v>
      </c>
      <c r="J3563" s="18"/>
      <c r="K3563" s="19"/>
      <c r="L3563" s="19"/>
      <c r="M3563" s="18"/>
      <c r="N3563" s="18"/>
      <c r="O3563" s="18"/>
      <c r="P3563" s="19"/>
      <c r="Q3563" s="19"/>
      <c r="R3563" s="18"/>
      <c r="S3563" s="18"/>
      <c r="T3563" s="18"/>
      <c r="U3563" s="20"/>
      <c r="V3563" s="21"/>
      <c r="W3563" s="16"/>
      <c r="X3563" s="16"/>
      <c r="Y3563" s="16"/>
    </row>
    <row r="3564" customFormat="false" ht="15.75" hidden="false" customHeight="false" outlineLevel="0" collapsed="false">
      <c r="A3564" s="9"/>
      <c r="B3564" s="10"/>
      <c r="C3564" s="10"/>
      <c r="D3564" s="10"/>
      <c r="E3564" s="10"/>
      <c r="F3564" s="10"/>
      <c r="G3564" s="10"/>
      <c r="H3564" s="10"/>
      <c r="I3564" s="22" t="n">
        <v>3</v>
      </c>
      <c r="J3564" s="22"/>
      <c r="K3564" s="23"/>
      <c r="L3564" s="23"/>
      <c r="M3564" s="22"/>
      <c r="N3564" s="22"/>
      <c r="O3564" s="22"/>
      <c r="P3564" s="23"/>
      <c r="Q3564" s="23"/>
      <c r="R3564" s="22"/>
      <c r="S3564" s="22"/>
      <c r="T3564" s="22"/>
      <c r="U3564" s="24"/>
      <c r="V3564" s="15"/>
      <c r="W3564" s="16"/>
      <c r="X3564" s="16"/>
      <c r="Y3564" s="16"/>
    </row>
    <row r="3565" customFormat="false" ht="15.75" hidden="false" customHeight="false" outlineLevel="0" collapsed="false">
      <c r="A3565" s="9"/>
      <c r="B3565" s="10"/>
      <c r="C3565" s="10"/>
      <c r="D3565" s="10"/>
      <c r="E3565" s="10"/>
      <c r="F3565" s="10"/>
      <c r="G3565" s="10"/>
      <c r="H3565" s="10"/>
      <c r="I3565" s="25" t="n">
        <v>4</v>
      </c>
      <c r="J3565" s="25"/>
      <c r="K3565" s="26"/>
      <c r="L3565" s="26"/>
      <c r="M3565" s="25"/>
      <c r="N3565" s="25"/>
      <c r="O3565" s="25"/>
      <c r="P3565" s="26"/>
      <c r="Q3565" s="26"/>
      <c r="R3565" s="25"/>
      <c r="S3565" s="25"/>
      <c r="T3565" s="25"/>
      <c r="U3565" s="27"/>
      <c r="V3565" s="21"/>
      <c r="W3565" s="16"/>
      <c r="X3565" s="16"/>
      <c r="Y3565" s="16"/>
    </row>
    <row r="3566" customFormat="false" ht="15.75" hidden="false" customHeight="false" outlineLevel="0" collapsed="false">
      <c r="A3566" s="9"/>
      <c r="B3566" s="10"/>
      <c r="C3566" s="11"/>
      <c r="D3566" s="10"/>
      <c r="E3566" s="10"/>
      <c r="F3566" s="10"/>
      <c r="G3566" s="10"/>
      <c r="H3566" s="10"/>
      <c r="I3566" s="12" t="n">
        <v>1</v>
      </c>
      <c r="J3566" s="12"/>
      <c r="K3566" s="13"/>
      <c r="L3566" s="13"/>
      <c r="M3566" s="12"/>
      <c r="N3566" s="12"/>
      <c r="O3566" s="12"/>
      <c r="P3566" s="13"/>
      <c r="Q3566" s="13"/>
      <c r="R3566" s="12"/>
      <c r="S3566" s="12"/>
      <c r="T3566" s="12"/>
      <c r="U3566" s="14"/>
      <c r="V3566" s="15"/>
      <c r="W3566" s="16" t="n">
        <f aca="false">A3566</f>
        <v>0</v>
      </c>
      <c r="X3566" s="17" t="e">
        <f aca="false">ifs(C3566="","",X3566="",NOW(),TRUE(),X3566)</f>
        <v>#VALUE!</v>
      </c>
      <c r="Y3566" s="17" t="e">
        <f aca="false">ifs(COUNTA(K3566:U3569)&lt;44,"",Y3566="",NOW(),TRUE(),Y3566)</f>
        <v>#VALUE!</v>
      </c>
    </row>
    <row r="3567" customFormat="false" ht="15.75" hidden="false" customHeight="false" outlineLevel="0" collapsed="false">
      <c r="A3567" s="9"/>
      <c r="B3567" s="10"/>
      <c r="C3567" s="10"/>
      <c r="D3567" s="10"/>
      <c r="E3567" s="10"/>
      <c r="F3567" s="10"/>
      <c r="G3567" s="10"/>
      <c r="H3567" s="10"/>
      <c r="I3567" s="18" t="n">
        <v>2</v>
      </c>
      <c r="J3567" s="18"/>
      <c r="K3567" s="19"/>
      <c r="L3567" s="19"/>
      <c r="M3567" s="18"/>
      <c r="N3567" s="18"/>
      <c r="O3567" s="18"/>
      <c r="P3567" s="19"/>
      <c r="Q3567" s="19"/>
      <c r="R3567" s="18"/>
      <c r="S3567" s="18"/>
      <c r="T3567" s="18"/>
      <c r="U3567" s="20"/>
      <c r="V3567" s="21"/>
      <c r="W3567" s="16"/>
      <c r="X3567" s="16"/>
      <c r="Y3567" s="16"/>
    </row>
    <row r="3568" customFormat="false" ht="15.75" hidden="false" customHeight="false" outlineLevel="0" collapsed="false">
      <c r="A3568" s="9"/>
      <c r="B3568" s="10"/>
      <c r="C3568" s="10"/>
      <c r="D3568" s="10"/>
      <c r="E3568" s="10"/>
      <c r="F3568" s="10"/>
      <c r="G3568" s="10"/>
      <c r="H3568" s="10"/>
      <c r="I3568" s="22" t="n">
        <v>3</v>
      </c>
      <c r="J3568" s="22"/>
      <c r="K3568" s="23"/>
      <c r="L3568" s="23"/>
      <c r="M3568" s="22"/>
      <c r="N3568" s="22"/>
      <c r="O3568" s="22"/>
      <c r="P3568" s="23"/>
      <c r="Q3568" s="23"/>
      <c r="R3568" s="22"/>
      <c r="S3568" s="22"/>
      <c r="T3568" s="22"/>
      <c r="U3568" s="24"/>
      <c r="V3568" s="15"/>
      <c r="W3568" s="16"/>
      <c r="X3568" s="16"/>
      <c r="Y3568" s="16"/>
    </row>
    <row r="3569" customFormat="false" ht="15.75" hidden="false" customHeight="false" outlineLevel="0" collapsed="false">
      <c r="A3569" s="9"/>
      <c r="B3569" s="10"/>
      <c r="C3569" s="10"/>
      <c r="D3569" s="10"/>
      <c r="E3569" s="10"/>
      <c r="F3569" s="10"/>
      <c r="G3569" s="10"/>
      <c r="H3569" s="10"/>
      <c r="I3569" s="25" t="n">
        <v>4</v>
      </c>
      <c r="J3569" s="25"/>
      <c r="K3569" s="26"/>
      <c r="L3569" s="26"/>
      <c r="M3569" s="25"/>
      <c r="N3569" s="25"/>
      <c r="O3569" s="25"/>
      <c r="P3569" s="26"/>
      <c r="Q3569" s="26"/>
      <c r="R3569" s="25"/>
      <c r="S3569" s="25"/>
      <c r="T3569" s="25"/>
      <c r="U3569" s="27"/>
      <c r="V3569" s="21"/>
      <c r="W3569" s="16"/>
      <c r="X3569" s="16"/>
      <c r="Y3569" s="16"/>
    </row>
    <row r="3570" customFormat="false" ht="15.75" hidden="false" customHeight="false" outlineLevel="0" collapsed="false">
      <c r="A3570" s="9"/>
      <c r="B3570" s="10"/>
      <c r="C3570" s="11"/>
      <c r="D3570" s="10"/>
      <c r="E3570" s="10"/>
      <c r="F3570" s="10"/>
      <c r="G3570" s="10"/>
      <c r="H3570" s="10"/>
      <c r="I3570" s="12" t="n">
        <v>1</v>
      </c>
      <c r="J3570" s="12"/>
      <c r="K3570" s="13"/>
      <c r="L3570" s="13"/>
      <c r="M3570" s="12"/>
      <c r="N3570" s="12"/>
      <c r="O3570" s="12"/>
      <c r="P3570" s="13"/>
      <c r="Q3570" s="13"/>
      <c r="R3570" s="12"/>
      <c r="S3570" s="12"/>
      <c r="T3570" s="12"/>
      <c r="U3570" s="14"/>
      <c r="V3570" s="15"/>
      <c r="W3570" s="16" t="n">
        <f aca="false">A3570</f>
        <v>0</v>
      </c>
      <c r="X3570" s="17" t="e">
        <f aca="false">ifs(C3570="","",X3570="",NOW(),TRUE(),X3570)</f>
        <v>#VALUE!</v>
      </c>
      <c r="Y3570" s="17" t="e">
        <f aca="false">ifs(COUNTA(K3570:U3573)&lt;44,"",Y3570="",NOW(),TRUE(),Y3570)</f>
        <v>#VALUE!</v>
      </c>
    </row>
    <row r="3571" customFormat="false" ht="15.75" hidden="false" customHeight="false" outlineLevel="0" collapsed="false">
      <c r="A3571" s="9"/>
      <c r="B3571" s="10"/>
      <c r="C3571" s="10"/>
      <c r="D3571" s="10"/>
      <c r="E3571" s="10"/>
      <c r="F3571" s="10"/>
      <c r="G3571" s="10"/>
      <c r="H3571" s="10"/>
      <c r="I3571" s="18" t="n">
        <v>2</v>
      </c>
      <c r="J3571" s="18"/>
      <c r="K3571" s="19"/>
      <c r="L3571" s="19"/>
      <c r="M3571" s="18"/>
      <c r="N3571" s="18"/>
      <c r="O3571" s="18"/>
      <c r="P3571" s="19"/>
      <c r="Q3571" s="19"/>
      <c r="R3571" s="18"/>
      <c r="S3571" s="18"/>
      <c r="T3571" s="18"/>
      <c r="U3571" s="20"/>
      <c r="V3571" s="21"/>
      <c r="W3571" s="16"/>
      <c r="X3571" s="16"/>
      <c r="Y3571" s="16"/>
    </row>
    <row r="3572" customFormat="false" ht="15.75" hidden="false" customHeight="false" outlineLevel="0" collapsed="false">
      <c r="A3572" s="9"/>
      <c r="B3572" s="10"/>
      <c r="C3572" s="10"/>
      <c r="D3572" s="10"/>
      <c r="E3572" s="10"/>
      <c r="F3572" s="10"/>
      <c r="G3572" s="10"/>
      <c r="H3572" s="10"/>
      <c r="I3572" s="22" t="n">
        <v>3</v>
      </c>
      <c r="J3572" s="22"/>
      <c r="K3572" s="23"/>
      <c r="L3572" s="23"/>
      <c r="M3572" s="22"/>
      <c r="N3572" s="22"/>
      <c r="O3572" s="22"/>
      <c r="P3572" s="23"/>
      <c r="Q3572" s="23"/>
      <c r="R3572" s="22"/>
      <c r="S3572" s="22"/>
      <c r="T3572" s="22"/>
      <c r="U3572" s="24"/>
      <c r="V3572" s="15"/>
      <c r="W3572" s="16"/>
      <c r="X3572" s="16"/>
      <c r="Y3572" s="16"/>
    </row>
    <row r="3573" customFormat="false" ht="15.75" hidden="false" customHeight="false" outlineLevel="0" collapsed="false">
      <c r="A3573" s="9"/>
      <c r="B3573" s="10"/>
      <c r="C3573" s="10"/>
      <c r="D3573" s="10"/>
      <c r="E3573" s="10"/>
      <c r="F3573" s="10"/>
      <c r="G3573" s="10"/>
      <c r="H3573" s="10"/>
      <c r="I3573" s="25" t="n">
        <v>4</v>
      </c>
      <c r="J3573" s="25"/>
      <c r="K3573" s="26"/>
      <c r="L3573" s="26"/>
      <c r="M3573" s="25"/>
      <c r="N3573" s="25"/>
      <c r="O3573" s="25"/>
      <c r="P3573" s="26"/>
      <c r="Q3573" s="26"/>
      <c r="R3573" s="25"/>
      <c r="S3573" s="25"/>
      <c r="T3573" s="25"/>
      <c r="U3573" s="27"/>
      <c r="V3573" s="21"/>
      <c r="W3573" s="16"/>
      <c r="X3573" s="16"/>
      <c r="Y3573" s="16"/>
    </row>
    <row r="3574" customFormat="false" ht="15.75" hidden="false" customHeight="false" outlineLevel="0" collapsed="false">
      <c r="A3574" s="9"/>
      <c r="B3574" s="10"/>
      <c r="C3574" s="11"/>
      <c r="D3574" s="10"/>
      <c r="E3574" s="10"/>
      <c r="F3574" s="10"/>
      <c r="G3574" s="10"/>
      <c r="H3574" s="10"/>
      <c r="I3574" s="12" t="n">
        <v>1</v>
      </c>
      <c r="J3574" s="12"/>
      <c r="K3574" s="13"/>
      <c r="L3574" s="13"/>
      <c r="M3574" s="12"/>
      <c r="N3574" s="12"/>
      <c r="O3574" s="12"/>
      <c r="P3574" s="13"/>
      <c r="Q3574" s="13"/>
      <c r="R3574" s="12"/>
      <c r="S3574" s="12"/>
      <c r="T3574" s="12"/>
      <c r="U3574" s="14"/>
      <c r="V3574" s="15"/>
      <c r="W3574" s="16" t="n">
        <f aca="false">A3574</f>
        <v>0</v>
      </c>
      <c r="X3574" s="17" t="e">
        <f aca="false">ifs(C3574="","",X3574="",NOW(),TRUE(),X3574)</f>
        <v>#VALUE!</v>
      </c>
      <c r="Y3574" s="17" t="e">
        <f aca="false">ifs(COUNTA(K3574:U3577)&lt;44,"",Y3574="",NOW(),TRUE(),Y3574)</f>
        <v>#VALUE!</v>
      </c>
    </row>
    <row r="3575" customFormat="false" ht="15.75" hidden="false" customHeight="false" outlineLevel="0" collapsed="false">
      <c r="A3575" s="9"/>
      <c r="B3575" s="10"/>
      <c r="C3575" s="10"/>
      <c r="D3575" s="10"/>
      <c r="E3575" s="10"/>
      <c r="F3575" s="10"/>
      <c r="G3575" s="10"/>
      <c r="H3575" s="10"/>
      <c r="I3575" s="18" t="n">
        <v>2</v>
      </c>
      <c r="J3575" s="18"/>
      <c r="K3575" s="19"/>
      <c r="L3575" s="19"/>
      <c r="M3575" s="18"/>
      <c r="N3575" s="18"/>
      <c r="O3575" s="18"/>
      <c r="P3575" s="19"/>
      <c r="Q3575" s="19"/>
      <c r="R3575" s="18"/>
      <c r="S3575" s="18"/>
      <c r="T3575" s="18"/>
      <c r="U3575" s="20"/>
      <c r="V3575" s="21"/>
      <c r="W3575" s="16"/>
      <c r="X3575" s="16"/>
      <c r="Y3575" s="16"/>
    </row>
    <row r="3576" customFormat="false" ht="15.75" hidden="false" customHeight="false" outlineLevel="0" collapsed="false">
      <c r="A3576" s="9"/>
      <c r="B3576" s="10"/>
      <c r="C3576" s="10"/>
      <c r="D3576" s="10"/>
      <c r="E3576" s="10"/>
      <c r="F3576" s="10"/>
      <c r="G3576" s="10"/>
      <c r="H3576" s="10"/>
      <c r="I3576" s="22" t="n">
        <v>3</v>
      </c>
      <c r="J3576" s="22"/>
      <c r="K3576" s="23"/>
      <c r="L3576" s="23"/>
      <c r="M3576" s="22"/>
      <c r="N3576" s="22"/>
      <c r="O3576" s="22"/>
      <c r="P3576" s="23"/>
      <c r="Q3576" s="23"/>
      <c r="R3576" s="22"/>
      <c r="S3576" s="22"/>
      <c r="T3576" s="22"/>
      <c r="U3576" s="24"/>
      <c r="V3576" s="15"/>
      <c r="W3576" s="16"/>
      <c r="X3576" s="16"/>
      <c r="Y3576" s="16"/>
    </row>
    <row r="3577" customFormat="false" ht="15.75" hidden="false" customHeight="false" outlineLevel="0" collapsed="false">
      <c r="A3577" s="9"/>
      <c r="B3577" s="10"/>
      <c r="C3577" s="10"/>
      <c r="D3577" s="10"/>
      <c r="E3577" s="10"/>
      <c r="F3577" s="10"/>
      <c r="G3577" s="10"/>
      <c r="H3577" s="10"/>
      <c r="I3577" s="25" t="n">
        <v>4</v>
      </c>
      <c r="J3577" s="25"/>
      <c r="K3577" s="26"/>
      <c r="L3577" s="26"/>
      <c r="M3577" s="25"/>
      <c r="N3577" s="25"/>
      <c r="O3577" s="25"/>
      <c r="P3577" s="26"/>
      <c r="Q3577" s="26"/>
      <c r="R3577" s="25"/>
      <c r="S3577" s="25"/>
      <c r="T3577" s="25"/>
      <c r="U3577" s="27"/>
      <c r="V3577" s="21"/>
      <c r="W3577" s="16"/>
      <c r="X3577" s="16"/>
      <c r="Y3577" s="16"/>
    </row>
    <row r="3578" customFormat="false" ht="15.75" hidden="false" customHeight="false" outlineLevel="0" collapsed="false">
      <c r="A3578" s="9"/>
      <c r="B3578" s="10"/>
      <c r="C3578" s="11"/>
      <c r="D3578" s="10"/>
      <c r="E3578" s="10"/>
      <c r="F3578" s="10"/>
      <c r="G3578" s="10"/>
      <c r="H3578" s="10"/>
      <c r="I3578" s="12" t="n">
        <v>1</v>
      </c>
      <c r="J3578" s="12"/>
      <c r="K3578" s="13"/>
      <c r="L3578" s="13"/>
      <c r="M3578" s="12"/>
      <c r="N3578" s="12"/>
      <c r="O3578" s="12"/>
      <c r="P3578" s="13"/>
      <c r="Q3578" s="13"/>
      <c r="R3578" s="12"/>
      <c r="S3578" s="12"/>
      <c r="T3578" s="12"/>
      <c r="U3578" s="14"/>
      <c r="V3578" s="15"/>
      <c r="W3578" s="16" t="n">
        <f aca="false">A3578</f>
        <v>0</v>
      </c>
      <c r="X3578" s="17" t="e">
        <f aca="false">ifs(C3578="","",X3578="",NOW(),TRUE(),X3578)</f>
        <v>#VALUE!</v>
      </c>
      <c r="Y3578" s="17" t="e">
        <f aca="false">ifs(COUNTA(K3578:U3581)&lt;44,"",Y3578="",NOW(),TRUE(),Y3578)</f>
        <v>#VALUE!</v>
      </c>
    </row>
    <row r="3579" customFormat="false" ht="15.75" hidden="false" customHeight="false" outlineLevel="0" collapsed="false">
      <c r="A3579" s="9"/>
      <c r="B3579" s="10"/>
      <c r="C3579" s="10"/>
      <c r="D3579" s="10"/>
      <c r="E3579" s="10"/>
      <c r="F3579" s="10"/>
      <c r="G3579" s="10"/>
      <c r="H3579" s="10"/>
      <c r="I3579" s="18" t="n">
        <v>2</v>
      </c>
      <c r="J3579" s="18"/>
      <c r="K3579" s="19"/>
      <c r="L3579" s="19"/>
      <c r="M3579" s="18"/>
      <c r="N3579" s="18"/>
      <c r="O3579" s="18"/>
      <c r="P3579" s="19"/>
      <c r="Q3579" s="19"/>
      <c r="R3579" s="18"/>
      <c r="S3579" s="18"/>
      <c r="T3579" s="18"/>
      <c r="U3579" s="20"/>
      <c r="V3579" s="21"/>
      <c r="W3579" s="16"/>
      <c r="X3579" s="16"/>
      <c r="Y3579" s="16"/>
    </row>
    <row r="3580" customFormat="false" ht="15.75" hidden="false" customHeight="false" outlineLevel="0" collapsed="false">
      <c r="A3580" s="9"/>
      <c r="B3580" s="10"/>
      <c r="C3580" s="10"/>
      <c r="D3580" s="10"/>
      <c r="E3580" s="10"/>
      <c r="F3580" s="10"/>
      <c r="G3580" s="10"/>
      <c r="H3580" s="10"/>
      <c r="I3580" s="22" t="n">
        <v>3</v>
      </c>
      <c r="J3580" s="22"/>
      <c r="K3580" s="23"/>
      <c r="L3580" s="23"/>
      <c r="M3580" s="22"/>
      <c r="N3580" s="22"/>
      <c r="O3580" s="22"/>
      <c r="P3580" s="23"/>
      <c r="Q3580" s="23"/>
      <c r="R3580" s="22"/>
      <c r="S3580" s="22"/>
      <c r="T3580" s="22"/>
      <c r="U3580" s="24"/>
      <c r="V3580" s="15"/>
      <c r="W3580" s="16"/>
      <c r="X3580" s="16"/>
      <c r="Y3580" s="16"/>
    </row>
    <row r="3581" customFormat="false" ht="15.75" hidden="false" customHeight="false" outlineLevel="0" collapsed="false">
      <c r="A3581" s="9"/>
      <c r="B3581" s="10"/>
      <c r="C3581" s="10"/>
      <c r="D3581" s="10"/>
      <c r="E3581" s="10"/>
      <c r="F3581" s="10"/>
      <c r="G3581" s="10"/>
      <c r="H3581" s="10"/>
      <c r="I3581" s="25" t="n">
        <v>4</v>
      </c>
      <c r="J3581" s="25"/>
      <c r="K3581" s="26"/>
      <c r="L3581" s="26"/>
      <c r="M3581" s="25"/>
      <c r="N3581" s="25"/>
      <c r="O3581" s="25"/>
      <c r="P3581" s="26"/>
      <c r="Q3581" s="26"/>
      <c r="R3581" s="25"/>
      <c r="S3581" s="25"/>
      <c r="T3581" s="25"/>
      <c r="U3581" s="27"/>
      <c r="V3581" s="21"/>
      <c r="W3581" s="16"/>
      <c r="X3581" s="16"/>
      <c r="Y3581" s="16"/>
    </row>
    <row r="3582" customFormat="false" ht="15.75" hidden="false" customHeight="false" outlineLevel="0" collapsed="false">
      <c r="A3582" s="9"/>
      <c r="B3582" s="10"/>
      <c r="C3582" s="11"/>
      <c r="D3582" s="10"/>
      <c r="E3582" s="10"/>
      <c r="F3582" s="10"/>
      <c r="G3582" s="10"/>
      <c r="H3582" s="10"/>
      <c r="I3582" s="12" t="n">
        <v>1</v>
      </c>
      <c r="J3582" s="12"/>
      <c r="K3582" s="13"/>
      <c r="L3582" s="13"/>
      <c r="M3582" s="12"/>
      <c r="N3582" s="12"/>
      <c r="O3582" s="12"/>
      <c r="P3582" s="13"/>
      <c r="Q3582" s="13"/>
      <c r="R3582" s="12"/>
      <c r="S3582" s="12"/>
      <c r="T3582" s="12"/>
      <c r="U3582" s="14"/>
      <c r="V3582" s="15"/>
      <c r="W3582" s="16" t="n">
        <f aca="false">A3582</f>
        <v>0</v>
      </c>
      <c r="X3582" s="17" t="e">
        <f aca="false">ifs(C3582="","",X3582="",NOW(),TRUE(),X3582)</f>
        <v>#VALUE!</v>
      </c>
      <c r="Y3582" s="17" t="e">
        <f aca="false">ifs(COUNTA(K3582:U3585)&lt;44,"",Y3582="",NOW(),TRUE(),Y3582)</f>
        <v>#VALUE!</v>
      </c>
    </row>
    <row r="3583" customFormat="false" ht="15.75" hidden="false" customHeight="false" outlineLevel="0" collapsed="false">
      <c r="A3583" s="9"/>
      <c r="B3583" s="10"/>
      <c r="C3583" s="10"/>
      <c r="D3583" s="10"/>
      <c r="E3583" s="10"/>
      <c r="F3583" s="10"/>
      <c r="G3583" s="10"/>
      <c r="H3583" s="10"/>
      <c r="I3583" s="18" t="n">
        <v>2</v>
      </c>
      <c r="J3583" s="18"/>
      <c r="K3583" s="19"/>
      <c r="L3583" s="19"/>
      <c r="M3583" s="18"/>
      <c r="N3583" s="18"/>
      <c r="O3583" s="18"/>
      <c r="P3583" s="19"/>
      <c r="Q3583" s="19"/>
      <c r="R3583" s="18"/>
      <c r="S3583" s="18"/>
      <c r="T3583" s="18"/>
      <c r="U3583" s="20"/>
      <c r="V3583" s="21"/>
      <c r="W3583" s="16"/>
      <c r="X3583" s="16"/>
      <c r="Y3583" s="16"/>
    </row>
    <row r="3584" customFormat="false" ht="15.75" hidden="false" customHeight="false" outlineLevel="0" collapsed="false">
      <c r="A3584" s="9"/>
      <c r="B3584" s="10"/>
      <c r="C3584" s="10"/>
      <c r="D3584" s="10"/>
      <c r="E3584" s="10"/>
      <c r="F3584" s="10"/>
      <c r="G3584" s="10"/>
      <c r="H3584" s="10"/>
      <c r="I3584" s="22" t="n">
        <v>3</v>
      </c>
      <c r="J3584" s="22"/>
      <c r="K3584" s="23"/>
      <c r="L3584" s="23"/>
      <c r="M3584" s="22"/>
      <c r="N3584" s="22"/>
      <c r="O3584" s="22"/>
      <c r="P3584" s="23"/>
      <c r="Q3584" s="23"/>
      <c r="R3584" s="22"/>
      <c r="S3584" s="22"/>
      <c r="T3584" s="22"/>
      <c r="U3584" s="24"/>
      <c r="V3584" s="15"/>
      <c r="W3584" s="16"/>
      <c r="X3584" s="16"/>
      <c r="Y3584" s="16"/>
    </row>
    <row r="3585" customFormat="false" ht="15.75" hidden="false" customHeight="false" outlineLevel="0" collapsed="false">
      <c r="A3585" s="9"/>
      <c r="B3585" s="10"/>
      <c r="C3585" s="10"/>
      <c r="D3585" s="10"/>
      <c r="E3585" s="10"/>
      <c r="F3585" s="10"/>
      <c r="G3585" s="10"/>
      <c r="H3585" s="10"/>
      <c r="I3585" s="25" t="n">
        <v>4</v>
      </c>
      <c r="J3585" s="25"/>
      <c r="K3585" s="26"/>
      <c r="L3585" s="26"/>
      <c r="M3585" s="25"/>
      <c r="N3585" s="25"/>
      <c r="O3585" s="25"/>
      <c r="P3585" s="26"/>
      <c r="Q3585" s="26"/>
      <c r="R3585" s="25"/>
      <c r="S3585" s="25"/>
      <c r="T3585" s="25"/>
      <c r="U3585" s="27"/>
      <c r="V3585" s="21"/>
      <c r="W3585" s="16"/>
      <c r="X3585" s="16"/>
      <c r="Y3585" s="16"/>
    </row>
    <row r="3586" customFormat="false" ht="15.75" hidden="false" customHeight="false" outlineLevel="0" collapsed="false">
      <c r="A3586" s="9"/>
      <c r="B3586" s="10"/>
      <c r="C3586" s="11"/>
      <c r="D3586" s="10"/>
      <c r="E3586" s="10"/>
      <c r="F3586" s="10"/>
      <c r="G3586" s="10"/>
      <c r="H3586" s="10"/>
      <c r="I3586" s="12" t="n">
        <v>1</v>
      </c>
      <c r="J3586" s="12"/>
      <c r="K3586" s="13"/>
      <c r="L3586" s="13"/>
      <c r="M3586" s="12"/>
      <c r="N3586" s="12"/>
      <c r="O3586" s="12"/>
      <c r="P3586" s="13"/>
      <c r="Q3586" s="13"/>
      <c r="R3586" s="12"/>
      <c r="S3586" s="12"/>
      <c r="T3586" s="12"/>
      <c r="U3586" s="14"/>
      <c r="V3586" s="15"/>
      <c r="W3586" s="16" t="n">
        <f aca="false">A3586</f>
        <v>0</v>
      </c>
      <c r="X3586" s="17" t="e">
        <f aca="false">ifs(C3586="","",X3586="",NOW(),TRUE(),X3586)</f>
        <v>#VALUE!</v>
      </c>
      <c r="Y3586" s="17" t="e">
        <f aca="false">ifs(COUNTA(K3586:U3589)&lt;44,"",Y3586="",NOW(),TRUE(),Y3586)</f>
        <v>#VALUE!</v>
      </c>
    </row>
    <row r="3587" customFormat="false" ht="15.75" hidden="false" customHeight="false" outlineLevel="0" collapsed="false">
      <c r="A3587" s="9"/>
      <c r="B3587" s="10"/>
      <c r="C3587" s="10"/>
      <c r="D3587" s="10"/>
      <c r="E3587" s="10"/>
      <c r="F3587" s="10"/>
      <c r="G3587" s="10"/>
      <c r="H3587" s="10"/>
      <c r="I3587" s="18" t="n">
        <v>2</v>
      </c>
      <c r="J3587" s="18"/>
      <c r="K3587" s="19"/>
      <c r="L3587" s="19"/>
      <c r="M3587" s="18"/>
      <c r="N3587" s="18"/>
      <c r="O3587" s="18"/>
      <c r="P3587" s="19"/>
      <c r="Q3587" s="19"/>
      <c r="R3587" s="18"/>
      <c r="S3587" s="18"/>
      <c r="T3587" s="18"/>
      <c r="U3587" s="20"/>
      <c r="V3587" s="21"/>
      <c r="W3587" s="16"/>
      <c r="X3587" s="16"/>
      <c r="Y3587" s="16"/>
    </row>
    <row r="3588" customFormat="false" ht="15.75" hidden="false" customHeight="false" outlineLevel="0" collapsed="false">
      <c r="A3588" s="9"/>
      <c r="B3588" s="10"/>
      <c r="C3588" s="10"/>
      <c r="D3588" s="10"/>
      <c r="E3588" s="10"/>
      <c r="F3588" s="10"/>
      <c r="G3588" s="10"/>
      <c r="H3588" s="10"/>
      <c r="I3588" s="22" t="n">
        <v>3</v>
      </c>
      <c r="J3588" s="22"/>
      <c r="K3588" s="23"/>
      <c r="L3588" s="23"/>
      <c r="M3588" s="22"/>
      <c r="N3588" s="22"/>
      <c r="O3588" s="22"/>
      <c r="P3588" s="23"/>
      <c r="Q3588" s="23"/>
      <c r="R3588" s="22"/>
      <c r="S3588" s="22"/>
      <c r="T3588" s="22"/>
      <c r="U3588" s="24"/>
      <c r="V3588" s="15"/>
      <c r="W3588" s="16"/>
      <c r="X3588" s="16"/>
      <c r="Y3588" s="16"/>
    </row>
    <row r="3589" customFormat="false" ht="15.75" hidden="false" customHeight="false" outlineLevel="0" collapsed="false">
      <c r="A3589" s="9"/>
      <c r="B3589" s="10"/>
      <c r="C3589" s="10"/>
      <c r="D3589" s="10"/>
      <c r="E3589" s="10"/>
      <c r="F3589" s="10"/>
      <c r="G3589" s="10"/>
      <c r="H3589" s="10"/>
      <c r="I3589" s="25" t="n">
        <v>4</v>
      </c>
      <c r="J3589" s="25"/>
      <c r="K3589" s="26"/>
      <c r="L3589" s="26"/>
      <c r="M3589" s="25"/>
      <c r="N3589" s="25"/>
      <c r="O3589" s="25"/>
      <c r="P3589" s="26"/>
      <c r="Q3589" s="26"/>
      <c r="R3589" s="25"/>
      <c r="S3589" s="25"/>
      <c r="T3589" s="25"/>
      <c r="U3589" s="27"/>
      <c r="V3589" s="21"/>
      <c r="W3589" s="16"/>
      <c r="X3589" s="16"/>
      <c r="Y3589" s="16"/>
    </row>
    <row r="3590" customFormat="false" ht="15.75" hidden="false" customHeight="false" outlineLevel="0" collapsed="false">
      <c r="A3590" s="9"/>
      <c r="B3590" s="10"/>
      <c r="C3590" s="11"/>
      <c r="D3590" s="10"/>
      <c r="E3590" s="10"/>
      <c r="F3590" s="10"/>
      <c r="G3590" s="10"/>
      <c r="H3590" s="10"/>
      <c r="I3590" s="12" t="n">
        <v>1</v>
      </c>
      <c r="J3590" s="12"/>
      <c r="K3590" s="13"/>
      <c r="L3590" s="13"/>
      <c r="M3590" s="12"/>
      <c r="N3590" s="12"/>
      <c r="O3590" s="12"/>
      <c r="P3590" s="13"/>
      <c r="Q3590" s="13"/>
      <c r="R3590" s="12"/>
      <c r="S3590" s="12"/>
      <c r="T3590" s="12"/>
      <c r="U3590" s="14"/>
      <c r="V3590" s="15"/>
      <c r="W3590" s="16" t="n">
        <f aca="false">A3590</f>
        <v>0</v>
      </c>
      <c r="X3590" s="17" t="e">
        <f aca="false">ifs(C3590="","",X3590="",NOW(),TRUE(),X3590)</f>
        <v>#VALUE!</v>
      </c>
      <c r="Y3590" s="17" t="e">
        <f aca="false">ifs(COUNTA(K3590:U3593)&lt;44,"",Y3590="",NOW(),TRUE(),Y3590)</f>
        <v>#VALUE!</v>
      </c>
    </row>
    <row r="3591" customFormat="false" ht="15.75" hidden="false" customHeight="false" outlineLevel="0" collapsed="false">
      <c r="A3591" s="9"/>
      <c r="B3591" s="10"/>
      <c r="C3591" s="10"/>
      <c r="D3591" s="10"/>
      <c r="E3591" s="10"/>
      <c r="F3591" s="10"/>
      <c r="G3591" s="10"/>
      <c r="H3591" s="10"/>
      <c r="I3591" s="18" t="n">
        <v>2</v>
      </c>
      <c r="J3591" s="18"/>
      <c r="K3591" s="19"/>
      <c r="L3591" s="19"/>
      <c r="M3591" s="18"/>
      <c r="N3591" s="18"/>
      <c r="O3591" s="18"/>
      <c r="P3591" s="19"/>
      <c r="Q3591" s="19"/>
      <c r="R3591" s="18"/>
      <c r="S3591" s="18"/>
      <c r="T3591" s="18"/>
      <c r="U3591" s="20"/>
      <c r="V3591" s="21"/>
      <c r="W3591" s="16"/>
      <c r="X3591" s="16"/>
      <c r="Y3591" s="16"/>
    </row>
    <row r="3592" customFormat="false" ht="15.75" hidden="false" customHeight="false" outlineLevel="0" collapsed="false">
      <c r="A3592" s="9"/>
      <c r="B3592" s="10"/>
      <c r="C3592" s="10"/>
      <c r="D3592" s="10"/>
      <c r="E3592" s="10"/>
      <c r="F3592" s="10"/>
      <c r="G3592" s="10"/>
      <c r="H3592" s="10"/>
      <c r="I3592" s="22" t="n">
        <v>3</v>
      </c>
      <c r="J3592" s="22"/>
      <c r="K3592" s="23"/>
      <c r="L3592" s="23"/>
      <c r="M3592" s="22"/>
      <c r="N3592" s="22"/>
      <c r="O3592" s="22"/>
      <c r="P3592" s="23"/>
      <c r="Q3592" s="23"/>
      <c r="R3592" s="22"/>
      <c r="S3592" s="22"/>
      <c r="T3592" s="22"/>
      <c r="U3592" s="24"/>
      <c r="V3592" s="15"/>
      <c r="W3592" s="16"/>
      <c r="X3592" s="16"/>
      <c r="Y3592" s="16"/>
    </row>
    <row r="3593" customFormat="false" ht="15.75" hidden="false" customHeight="false" outlineLevel="0" collapsed="false">
      <c r="A3593" s="9"/>
      <c r="B3593" s="10"/>
      <c r="C3593" s="10"/>
      <c r="D3593" s="10"/>
      <c r="E3593" s="10"/>
      <c r="F3593" s="10"/>
      <c r="G3593" s="10"/>
      <c r="H3593" s="10"/>
      <c r="I3593" s="25" t="n">
        <v>4</v>
      </c>
      <c r="J3593" s="25"/>
      <c r="K3593" s="26"/>
      <c r="L3593" s="26"/>
      <c r="M3593" s="25"/>
      <c r="N3593" s="25"/>
      <c r="O3593" s="25"/>
      <c r="P3593" s="26"/>
      <c r="Q3593" s="26"/>
      <c r="R3593" s="25"/>
      <c r="S3593" s="25"/>
      <c r="T3593" s="25"/>
      <c r="U3593" s="27"/>
      <c r="V3593" s="21"/>
      <c r="W3593" s="16"/>
      <c r="X3593" s="16"/>
      <c r="Y3593" s="16"/>
    </row>
    <row r="3594" customFormat="false" ht="15.75" hidden="false" customHeight="false" outlineLevel="0" collapsed="false">
      <c r="A3594" s="9"/>
      <c r="B3594" s="10"/>
      <c r="C3594" s="11"/>
      <c r="D3594" s="10"/>
      <c r="E3594" s="10"/>
      <c r="F3594" s="10"/>
      <c r="G3594" s="10"/>
      <c r="H3594" s="10"/>
      <c r="I3594" s="12" t="n">
        <v>1</v>
      </c>
      <c r="J3594" s="12"/>
      <c r="K3594" s="13"/>
      <c r="L3594" s="13"/>
      <c r="M3594" s="12"/>
      <c r="N3594" s="12"/>
      <c r="O3594" s="12"/>
      <c r="P3594" s="13"/>
      <c r="Q3594" s="13"/>
      <c r="R3594" s="12"/>
      <c r="S3594" s="12"/>
      <c r="T3594" s="12"/>
      <c r="U3594" s="14"/>
      <c r="V3594" s="15"/>
      <c r="W3594" s="16" t="n">
        <f aca="false">A3594</f>
        <v>0</v>
      </c>
      <c r="X3594" s="17" t="e">
        <f aca="false">ifs(C3594="","",X3594="",NOW(),TRUE(),X3594)</f>
        <v>#VALUE!</v>
      </c>
      <c r="Y3594" s="17" t="e">
        <f aca="false">ifs(COUNTA(K3594:U3597)&lt;44,"",Y3594="",NOW(),TRUE(),Y3594)</f>
        <v>#VALUE!</v>
      </c>
    </row>
    <row r="3595" customFormat="false" ht="15.75" hidden="false" customHeight="false" outlineLevel="0" collapsed="false">
      <c r="A3595" s="9"/>
      <c r="B3595" s="10"/>
      <c r="C3595" s="10"/>
      <c r="D3595" s="10"/>
      <c r="E3595" s="10"/>
      <c r="F3595" s="10"/>
      <c r="G3595" s="10"/>
      <c r="H3595" s="10"/>
      <c r="I3595" s="18" t="n">
        <v>2</v>
      </c>
      <c r="J3595" s="18"/>
      <c r="K3595" s="19"/>
      <c r="L3595" s="19"/>
      <c r="M3595" s="18"/>
      <c r="N3595" s="18"/>
      <c r="O3595" s="18"/>
      <c r="P3595" s="19"/>
      <c r="Q3595" s="19"/>
      <c r="R3595" s="18"/>
      <c r="S3595" s="18"/>
      <c r="T3595" s="18"/>
      <c r="U3595" s="20"/>
      <c r="V3595" s="21"/>
      <c r="W3595" s="16"/>
      <c r="X3595" s="16"/>
      <c r="Y3595" s="16"/>
    </row>
    <row r="3596" customFormat="false" ht="15.75" hidden="false" customHeight="false" outlineLevel="0" collapsed="false">
      <c r="A3596" s="9"/>
      <c r="B3596" s="10"/>
      <c r="C3596" s="10"/>
      <c r="D3596" s="10"/>
      <c r="E3596" s="10"/>
      <c r="F3596" s="10"/>
      <c r="G3596" s="10"/>
      <c r="H3596" s="10"/>
      <c r="I3596" s="22" t="n">
        <v>3</v>
      </c>
      <c r="J3596" s="22"/>
      <c r="K3596" s="23"/>
      <c r="L3596" s="23"/>
      <c r="M3596" s="22"/>
      <c r="N3596" s="22"/>
      <c r="O3596" s="22"/>
      <c r="P3596" s="23"/>
      <c r="Q3596" s="23"/>
      <c r="R3596" s="22"/>
      <c r="S3596" s="22"/>
      <c r="T3596" s="22"/>
      <c r="U3596" s="24"/>
      <c r="V3596" s="15"/>
      <c r="W3596" s="16"/>
      <c r="X3596" s="16"/>
      <c r="Y3596" s="16"/>
    </row>
    <row r="3597" customFormat="false" ht="15.75" hidden="false" customHeight="false" outlineLevel="0" collapsed="false">
      <c r="A3597" s="9"/>
      <c r="B3597" s="10"/>
      <c r="C3597" s="10"/>
      <c r="D3597" s="10"/>
      <c r="E3597" s="10"/>
      <c r="F3597" s="10"/>
      <c r="G3597" s="10"/>
      <c r="H3597" s="10"/>
      <c r="I3597" s="25" t="n">
        <v>4</v>
      </c>
      <c r="J3597" s="25"/>
      <c r="K3597" s="26"/>
      <c r="L3597" s="26"/>
      <c r="M3597" s="25"/>
      <c r="N3597" s="25"/>
      <c r="O3597" s="25"/>
      <c r="P3597" s="26"/>
      <c r="Q3597" s="26"/>
      <c r="R3597" s="25"/>
      <c r="S3597" s="25"/>
      <c r="T3597" s="25"/>
      <c r="U3597" s="27"/>
      <c r="V3597" s="21"/>
      <c r="W3597" s="16"/>
      <c r="X3597" s="16"/>
      <c r="Y3597" s="16"/>
    </row>
    <row r="3598" customFormat="false" ht="15.75" hidden="false" customHeight="false" outlineLevel="0" collapsed="false">
      <c r="A3598" s="9"/>
      <c r="B3598" s="10"/>
      <c r="C3598" s="11"/>
      <c r="D3598" s="10"/>
      <c r="E3598" s="10"/>
      <c r="F3598" s="10"/>
      <c r="G3598" s="10"/>
      <c r="H3598" s="10"/>
      <c r="I3598" s="12" t="n">
        <v>1</v>
      </c>
      <c r="J3598" s="12"/>
      <c r="K3598" s="13"/>
      <c r="L3598" s="13"/>
      <c r="M3598" s="12"/>
      <c r="N3598" s="12"/>
      <c r="O3598" s="12"/>
      <c r="P3598" s="13"/>
      <c r="Q3598" s="13"/>
      <c r="R3598" s="12"/>
      <c r="S3598" s="12"/>
      <c r="T3598" s="12"/>
      <c r="U3598" s="14"/>
      <c r="V3598" s="15"/>
      <c r="W3598" s="16" t="n">
        <f aca="false">A3598</f>
        <v>0</v>
      </c>
      <c r="X3598" s="17" t="e">
        <f aca="false">ifs(C3598="","",X3598="",NOW(),TRUE(),X3598)</f>
        <v>#VALUE!</v>
      </c>
      <c r="Y3598" s="17" t="e">
        <f aca="false">ifs(COUNTA(K3598:U3601)&lt;44,"",Y3598="",NOW(),TRUE(),Y3598)</f>
        <v>#VALUE!</v>
      </c>
    </row>
    <row r="3599" customFormat="false" ht="15.75" hidden="false" customHeight="false" outlineLevel="0" collapsed="false">
      <c r="A3599" s="9"/>
      <c r="B3599" s="10"/>
      <c r="C3599" s="10"/>
      <c r="D3599" s="10"/>
      <c r="E3599" s="10"/>
      <c r="F3599" s="10"/>
      <c r="G3599" s="10"/>
      <c r="H3599" s="10"/>
      <c r="I3599" s="18" t="n">
        <v>2</v>
      </c>
      <c r="J3599" s="18"/>
      <c r="K3599" s="19"/>
      <c r="L3599" s="19"/>
      <c r="M3599" s="18"/>
      <c r="N3599" s="18"/>
      <c r="O3599" s="18"/>
      <c r="P3599" s="19"/>
      <c r="Q3599" s="19"/>
      <c r="R3599" s="18"/>
      <c r="S3599" s="18"/>
      <c r="T3599" s="18"/>
      <c r="U3599" s="20"/>
      <c r="V3599" s="21"/>
      <c r="W3599" s="16"/>
      <c r="X3599" s="16"/>
      <c r="Y3599" s="16"/>
    </row>
    <row r="3600" customFormat="false" ht="15.75" hidden="false" customHeight="false" outlineLevel="0" collapsed="false">
      <c r="A3600" s="9"/>
      <c r="B3600" s="10"/>
      <c r="C3600" s="10"/>
      <c r="D3600" s="10"/>
      <c r="E3600" s="10"/>
      <c r="F3600" s="10"/>
      <c r="G3600" s="10"/>
      <c r="H3600" s="10"/>
      <c r="I3600" s="22" t="n">
        <v>3</v>
      </c>
      <c r="J3600" s="22"/>
      <c r="K3600" s="23"/>
      <c r="L3600" s="23"/>
      <c r="M3600" s="22"/>
      <c r="N3600" s="22"/>
      <c r="O3600" s="22"/>
      <c r="P3600" s="23"/>
      <c r="Q3600" s="23"/>
      <c r="R3600" s="22"/>
      <c r="S3600" s="22"/>
      <c r="T3600" s="22"/>
      <c r="U3600" s="24"/>
      <c r="V3600" s="15"/>
      <c r="W3600" s="16"/>
      <c r="X3600" s="16"/>
      <c r="Y3600" s="16"/>
    </row>
    <row r="3601" customFormat="false" ht="15.75" hidden="false" customHeight="false" outlineLevel="0" collapsed="false">
      <c r="A3601" s="9"/>
      <c r="B3601" s="10"/>
      <c r="C3601" s="10"/>
      <c r="D3601" s="10"/>
      <c r="E3601" s="10"/>
      <c r="F3601" s="10"/>
      <c r="G3601" s="10"/>
      <c r="H3601" s="10"/>
      <c r="I3601" s="25" t="n">
        <v>4</v>
      </c>
      <c r="J3601" s="25"/>
      <c r="K3601" s="26"/>
      <c r="L3601" s="26"/>
      <c r="M3601" s="25"/>
      <c r="N3601" s="25"/>
      <c r="O3601" s="25"/>
      <c r="P3601" s="26"/>
      <c r="Q3601" s="26"/>
      <c r="R3601" s="25"/>
      <c r="S3601" s="25"/>
      <c r="T3601" s="25"/>
      <c r="U3601" s="27"/>
      <c r="V3601" s="21"/>
      <c r="W3601" s="16"/>
      <c r="X3601" s="16"/>
      <c r="Y3601" s="16"/>
    </row>
    <row r="3602" customFormat="false" ht="15.75" hidden="false" customHeight="false" outlineLevel="0" collapsed="false">
      <c r="A3602" s="9"/>
      <c r="B3602" s="10"/>
      <c r="C3602" s="11"/>
      <c r="D3602" s="10"/>
      <c r="E3602" s="10"/>
      <c r="F3602" s="10"/>
      <c r="G3602" s="10"/>
      <c r="H3602" s="10"/>
      <c r="I3602" s="12" t="n">
        <v>1</v>
      </c>
      <c r="J3602" s="12"/>
      <c r="K3602" s="13"/>
      <c r="L3602" s="13"/>
      <c r="M3602" s="12"/>
      <c r="N3602" s="12"/>
      <c r="O3602" s="12"/>
      <c r="P3602" s="13"/>
      <c r="Q3602" s="13"/>
      <c r="R3602" s="12"/>
      <c r="S3602" s="12"/>
      <c r="T3602" s="12"/>
      <c r="U3602" s="14"/>
      <c r="V3602" s="15"/>
      <c r="W3602" s="16" t="n">
        <f aca="false">A3602</f>
        <v>0</v>
      </c>
      <c r="X3602" s="17" t="e">
        <f aca="false">ifs(C3602="","",X3602="",NOW(),TRUE(),X3602)</f>
        <v>#VALUE!</v>
      </c>
      <c r="Y3602" s="17" t="e">
        <f aca="false">ifs(COUNTA(K3602:U3605)&lt;44,"",Y3602="",NOW(),TRUE(),Y3602)</f>
        <v>#VALUE!</v>
      </c>
    </row>
    <row r="3603" customFormat="false" ht="15.75" hidden="false" customHeight="false" outlineLevel="0" collapsed="false">
      <c r="A3603" s="9"/>
      <c r="B3603" s="10"/>
      <c r="C3603" s="10"/>
      <c r="D3603" s="10"/>
      <c r="E3603" s="10"/>
      <c r="F3603" s="10"/>
      <c r="G3603" s="10"/>
      <c r="H3603" s="10"/>
      <c r="I3603" s="18" t="n">
        <v>2</v>
      </c>
      <c r="J3603" s="18"/>
      <c r="K3603" s="19"/>
      <c r="L3603" s="19"/>
      <c r="M3603" s="18"/>
      <c r="N3603" s="18"/>
      <c r="O3603" s="18"/>
      <c r="P3603" s="19"/>
      <c r="Q3603" s="19"/>
      <c r="R3603" s="18"/>
      <c r="S3603" s="18"/>
      <c r="T3603" s="18"/>
      <c r="U3603" s="20"/>
      <c r="V3603" s="21"/>
      <c r="W3603" s="16"/>
      <c r="X3603" s="16"/>
      <c r="Y3603" s="16"/>
    </row>
    <row r="3604" customFormat="false" ht="15.75" hidden="false" customHeight="false" outlineLevel="0" collapsed="false">
      <c r="A3604" s="9"/>
      <c r="B3604" s="10"/>
      <c r="C3604" s="10"/>
      <c r="D3604" s="10"/>
      <c r="E3604" s="10"/>
      <c r="F3604" s="10"/>
      <c r="G3604" s="10"/>
      <c r="H3604" s="10"/>
      <c r="I3604" s="22" t="n">
        <v>3</v>
      </c>
      <c r="J3604" s="22"/>
      <c r="K3604" s="23"/>
      <c r="L3604" s="23"/>
      <c r="M3604" s="22"/>
      <c r="N3604" s="22"/>
      <c r="O3604" s="22"/>
      <c r="P3604" s="23"/>
      <c r="Q3604" s="23"/>
      <c r="R3604" s="22"/>
      <c r="S3604" s="22"/>
      <c r="T3604" s="22"/>
      <c r="U3604" s="24"/>
      <c r="V3604" s="15"/>
      <c r="W3604" s="16"/>
      <c r="X3604" s="16"/>
      <c r="Y3604" s="16"/>
    </row>
    <row r="3605" customFormat="false" ht="15.75" hidden="false" customHeight="false" outlineLevel="0" collapsed="false">
      <c r="A3605" s="9"/>
      <c r="B3605" s="10"/>
      <c r="C3605" s="10"/>
      <c r="D3605" s="10"/>
      <c r="E3605" s="10"/>
      <c r="F3605" s="10"/>
      <c r="G3605" s="10"/>
      <c r="H3605" s="10"/>
      <c r="I3605" s="25" t="n">
        <v>4</v>
      </c>
      <c r="J3605" s="25"/>
      <c r="K3605" s="26"/>
      <c r="L3605" s="26"/>
      <c r="M3605" s="25"/>
      <c r="N3605" s="25"/>
      <c r="O3605" s="25"/>
      <c r="P3605" s="26"/>
      <c r="Q3605" s="26"/>
      <c r="R3605" s="25"/>
      <c r="S3605" s="25"/>
      <c r="T3605" s="25"/>
      <c r="U3605" s="27"/>
      <c r="V3605" s="21"/>
      <c r="W3605" s="16"/>
      <c r="X3605" s="16"/>
      <c r="Y3605" s="16"/>
    </row>
    <row r="3606" customFormat="false" ht="15.75" hidden="false" customHeight="false" outlineLevel="0" collapsed="false">
      <c r="A3606" s="9"/>
      <c r="B3606" s="10"/>
      <c r="C3606" s="11"/>
      <c r="D3606" s="10"/>
      <c r="E3606" s="10"/>
      <c r="F3606" s="10"/>
      <c r="G3606" s="10"/>
      <c r="H3606" s="10"/>
      <c r="I3606" s="12" t="n">
        <v>1</v>
      </c>
      <c r="J3606" s="12"/>
      <c r="K3606" s="13"/>
      <c r="L3606" s="13"/>
      <c r="M3606" s="12"/>
      <c r="N3606" s="12"/>
      <c r="O3606" s="12"/>
      <c r="P3606" s="13"/>
      <c r="Q3606" s="13"/>
      <c r="R3606" s="12"/>
      <c r="S3606" s="12"/>
      <c r="T3606" s="12"/>
      <c r="U3606" s="14"/>
      <c r="V3606" s="15"/>
      <c r="W3606" s="16" t="n">
        <f aca="false">A3606</f>
        <v>0</v>
      </c>
      <c r="X3606" s="17" t="e">
        <f aca="false">ifs(C3606="","",X3606="",NOW(),TRUE(),X3606)</f>
        <v>#VALUE!</v>
      </c>
      <c r="Y3606" s="17" t="e">
        <f aca="false">ifs(COUNTA(K3606:U3609)&lt;44,"",Y3606="",NOW(),TRUE(),Y3606)</f>
        <v>#VALUE!</v>
      </c>
    </row>
    <row r="3607" customFormat="false" ht="15.75" hidden="false" customHeight="false" outlineLevel="0" collapsed="false">
      <c r="A3607" s="9"/>
      <c r="B3607" s="10"/>
      <c r="C3607" s="10"/>
      <c r="D3607" s="10"/>
      <c r="E3607" s="10"/>
      <c r="F3607" s="10"/>
      <c r="G3607" s="10"/>
      <c r="H3607" s="10"/>
      <c r="I3607" s="18" t="n">
        <v>2</v>
      </c>
      <c r="J3607" s="18"/>
      <c r="K3607" s="19"/>
      <c r="L3607" s="19"/>
      <c r="M3607" s="18"/>
      <c r="N3607" s="18"/>
      <c r="O3607" s="18"/>
      <c r="P3607" s="19"/>
      <c r="Q3607" s="19"/>
      <c r="R3607" s="18"/>
      <c r="S3607" s="18"/>
      <c r="T3607" s="18"/>
      <c r="U3607" s="20"/>
      <c r="V3607" s="21"/>
      <c r="W3607" s="16"/>
      <c r="X3607" s="16"/>
      <c r="Y3607" s="16"/>
    </row>
    <row r="3608" customFormat="false" ht="15.75" hidden="false" customHeight="false" outlineLevel="0" collapsed="false">
      <c r="A3608" s="9"/>
      <c r="B3608" s="10"/>
      <c r="C3608" s="10"/>
      <c r="D3608" s="10"/>
      <c r="E3608" s="10"/>
      <c r="F3608" s="10"/>
      <c r="G3608" s="10"/>
      <c r="H3608" s="10"/>
      <c r="I3608" s="22" t="n">
        <v>3</v>
      </c>
      <c r="J3608" s="22"/>
      <c r="K3608" s="23"/>
      <c r="L3608" s="23"/>
      <c r="M3608" s="22"/>
      <c r="N3608" s="22"/>
      <c r="O3608" s="22"/>
      <c r="P3608" s="23"/>
      <c r="Q3608" s="23"/>
      <c r="R3608" s="22"/>
      <c r="S3608" s="22"/>
      <c r="T3608" s="22"/>
      <c r="U3608" s="24"/>
      <c r="V3608" s="15"/>
      <c r="W3608" s="16"/>
      <c r="X3608" s="16"/>
      <c r="Y3608" s="16"/>
    </row>
    <row r="3609" customFormat="false" ht="15.75" hidden="false" customHeight="false" outlineLevel="0" collapsed="false">
      <c r="A3609" s="9"/>
      <c r="B3609" s="10"/>
      <c r="C3609" s="10"/>
      <c r="D3609" s="10"/>
      <c r="E3609" s="10"/>
      <c r="F3609" s="10"/>
      <c r="G3609" s="10"/>
      <c r="H3609" s="10"/>
      <c r="I3609" s="25" t="n">
        <v>4</v>
      </c>
      <c r="J3609" s="25"/>
      <c r="K3609" s="26"/>
      <c r="L3609" s="26"/>
      <c r="M3609" s="25"/>
      <c r="N3609" s="25"/>
      <c r="O3609" s="25"/>
      <c r="P3609" s="26"/>
      <c r="Q3609" s="26"/>
      <c r="R3609" s="25"/>
      <c r="S3609" s="25"/>
      <c r="T3609" s="25"/>
      <c r="U3609" s="27"/>
      <c r="V3609" s="21"/>
      <c r="W3609" s="16"/>
      <c r="X3609" s="16"/>
      <c r="Y3609" s="16"/>
    </row>
    <row r="3610" customFormat="false" ht="15.75" hidden="false" customHeight="false" outlineLevel="0" collapsed="false">
      <c r="A3610" s="9"/>
      <c r="B3610" s="10"/>
      <c r="C3610" s="11"/>
      <c r="D3610" s="10"/>
      <c r="E3610" s="10"/>
      <c r="F3610" s="10"/>
      <c r="G3610" s="10"/>
      <c r="H3610" s="10"/>
      <c r="I3610" s="12" t="n">
        <v>1</v>
      </c>
      <c r="J3610" s="12"/>
      <c r="K3610" s="13"/>
      <c r="L3610" s="13"/>
      <c r="M3610" s="12"/>
      <c r="N3610" s="12"/>
      <c r="O3610" s="12"/>
      <c r="P3610" s="13"/>
      <c r="Q3610" s="13"/>
      <c r="R3610" s="12"/>
      <c r="S3610" s="12"/>
      <c r="T3610" s="12"/>
      <c r="U3610" s="14"/>
      <c r="V3610" s="15"/>
      <c r="W3610" s="16" t="n">
        <f aca="false">A3610</f>
        <v>0</v>
      </c>
      <c r="X3610" s="17" t="e">
        <f aca="false">ifs(C3610="","",X3610="",NOW(),TRUE(),X3610)</f>
        <v>#VALUE!</v>
      </c>
      <c r="Y3610" s="17" t="e">
        <f aca="false">ifs(COUNTA(K3610:U3613)&lt;44,"",Y3610="",NOW(),TRUE(),Y3610)</f>
        <v>#VALUE!</v>
      </c>
    </row>
    <row r="3611" customFormat="false" ht="15.75" hidden="false" customHeight="false" outlineLevel="0" collapsed="false">
      <c r="A3611" s="9"/>
      <c r="B3611" s="10"/>
      <c r="C3611" s="10"/>
      <c r="D3611" s="10"/>
      <c r="E3611" s="10"/>
      <c r="F3611" s="10"/>
      <c r="G3611" s="10"/>
      <c r="H3611" s="10"/>
      <c r="I3611" s="18" t="n">
        <v>2</v>
      </c>
      <c r="J3611" s="18"/>
      <c r="K3611" s="19"/>
      <c r="L3611" s="19"/>
      <c r="M3611" s="18"/>
      <c r="N3611" s="18"/>
      <c r="O3611" s="18"/>
      <c r="P3611" s="19"/>
      <c r="Q3611" s="19"/>
      <c r="R3611" s="18"/>
      <c r="S3611" s="18"/>
      <c r="T3611" s="18"/>
      <c r="U3611" s="20"/>
      <c r="V3611" s="21"/>
      <c r="W3611" s="16"/>
      <c r="X3611" s="16"/>
      <c r="Y3611" s="16"/>
    </row>
    <row r="3612" customFormat="false" ht="15.75" hidden="false" customHeight="false" outlineLevel="0" collapsed="false">
      <c r="A3612" s="9"/>
      <c r="B3612" s="10"/>
      <c r="C3612" s="10"/>
      <c r="D3612" s="10"/>
      <c r="E3612" s="10"/>
      <c r="F3612" s="10"/>
      <c r="G3612" s="10"/>
      <c r="H3612" s="10"/>
      <c r="I3612" s="22" t="n">
        <v>3</v>
      </c>
      <c r="J3612" s="22"/>
      <c r="K3612" s="23"/>
      <c r="L3612" s="23"/>
      <c r="M3612" s="22"/>
      <c r="N3612" s="22"/>
      <c r="O3612" s="22"/>
      <c r="P3612" s="23"/>
      <c r="Q3612" s="23"/>
      <c r="R3612" s="22"/>
      <c r="S3612" s="22"/>
      <c r="T3612" s="22"/>
      <c r="U3612" s="24"/>
      <c r="V3612" s="15"/>
      <c r="W3612" s="16"/>
      <c r="X3612" s="16"/>
      <c r="Y3612" s="16"/>
    </row>
    <row r="3613" customFormat="false" ht="15.75" hidden="false" customHeight="false" outlineLevel="0" collapsed="false">
      <c r="A3613" s="9"/>
      <c r="B3613" s="10"/>
      <c r="C3613" s="10"/>
      <c r="D3613" s="10"/>
      <c r="E3613" s="10"/>
      <c r="F3613" s="10"/>
      <c r="G3613" s="10"/>
      <c r="H3613" s="10"/>
      <c r="I3613" s="25" t="n">
        <v>4</v>
      </c>
      <c r="J3613" s="25"/>
      <c r="K3613" s="26"/>
      <c r="L3613" s="26"/>
      <c r="M3613" s="25"/>
      <c r="N3613" s="25"/>
      <c r="O3613" s="25"/>
      <c r="P3613" s="26"/>
      <c r="Q3613" s="26"/>
      <c r="R3613" s="25"/>
      <c r="S3613" s="25"/>
      <c r="T3613" s="25"/>
      <c r="U3613" s="27"/>
      <c r="V3613" s="21"/>
      <c r="W3613" s="16"/>
      <c r="X3613" s="16"/>
      <c r="Y3613" s="16"/>
    </row>
    <row r="3614" customFormat="false" ht="15.75" hidden="false" customHeight="false" outlineLevel="0" collapsed="false">
      <c r="A3614" s="9"/>
      <c r="B3614" s="10"/>
      <c r="C3614" s="11"/>
      <c r="D3614" s="10"/>
      <c r="E3614" s="10"/>
      <c r="F3614" s="10"/>
      <c r="G3614" s="10"/>
      <c r="H3614" s="10"/>
      <c r="I3614" s="12" t="n">
        <v>1</v>
      </c>
      <c r="J3614" s="12"/>
      <c r="K3614" s="13"/>
      <c r="L3614" s="13"/>
      <c r="M3614" s="12"/>
      <c r="N3614" s="12"/>
      <c r="O3614" s="12"/>
      <c r="P3614" s="13"/>
      <c r="Q3614" s="13"/>
      <c r="R3614" s="12"/>
      <c r="S3614" s="12"/>
      <c r="T3614" s="12"/>
      <c r="U3614" s="14"/>
      <c r="V3614" s="15"/>
      <c r="W3614" s="16" t="n">
        <f aca="false">A3614</f>
        <v>0</v>
      </c>
      <c r="X3614" s="17" t="e">
        <f aca="false">ifs(C3614="","",X3614="",NOW(),TRUE(),X3614)</f>
        <v>#VALUE!</v>
      </c>
      <c r="Y3614" s="17" t="e">
        <f aca="false">ifs(COUNTA(K3614:U3617)&lt;44,"",Y3614="",NOW(),TRUE(),Y3614)</f>
        <v>#VALUE!</v>
      </c>
    </row>
    <row r="3615" customFormat="false" ht="15.75" hidden="false" customHeight="false" outlineLevel="0" collapsed="false">
      <c r="A3615" s="9"/>
      <c r="B3615" s="10"/>
      <c r="C3615" s="10"/>
      <c r="D3615" s="10"/>
      <c r="E3615" s="10"/>
      <c r="F3615" s="10"/>
      <c r="G3615" s="10"/>
      <c r="H3615" s="10"/>
      <c r="I3615" s="18" t="n">
        <v>2</v>
      </c>
      <c r="J3615" s="18"/>
      <c r="K3615" s="19"/>
      <c r="L3615" s="19"/>
      <c r="M3615" s="18"/>
      <c r="N3615" s="18"/>
      <c r="O3615" s="18"/>
      <c r="P3615" s="19"/>
      <c r="Q3615" s="19"/>
      <c r="R3615" s="18"/>
      <c r="S3615" s="18"/>
      <c r="T3615" s="18"/>
      <c r="U3615" s="20"/>
      <c r="V3615" s="21"/>
      <c r="W3615" s="16"/>
      <c r="X3615" s="16"/>
      <c r="Y3615" s="16"/>
    </row>
    <row r="3616" customFormat="false" ht="15.75" hidden="false" customHeight="false" outlineLevel="0" collapsed="false">
      <c r="A3616" s="9"/>
      <c r="B3616" s="10"/>
      <c r="C3616" s="10"/>
      <c r="D3616" s="10"/>
      <c r="E3616" s="10"/>
      <c r="F3616" s="10"/>
      <c r="G3616" s="10"/>
      <c r="H3616" s="10"/>
      <c r="I3616" s="22" t="n">
        <v>3</v>
      </c>
      <c r="J3616" s="22"/>
      <c r="K3616" s="23"/>
      <c r="L3616" s="23"/>
      <c r="M3616" s="22"/>
      <c r="N3616" s="22"/>
      <c r="O3616" s="22"/>
      <c r="P3616" s="23"/>
      <c r="Q3616" s="23"/>
      <c r="R3616" s="22"/>
      <c r="S3616" s="22"/>
      <c r="T3616" s="22"/>
      <c r="U3616" s="24"/>
      <c r="V3616" s="15"/>
      <c r="W3616" s="16"/>
      <c r="X3616" s="16"/>
      <c r="Y3616" s="16"/>
    </row>
    <row r="3617" customFormat="false" ht="15.75" hidden="false" customHeight="false" outlineLevel="0" collapsed="false">
      <c r="A3617" s="9"/>
      <c r="B3617" s="10"/>
      <c r="C3617" s="10"/>
      <c r="D3617" s="10"/>
      <c r="E3617" s="10"/>
      <c r="F3617" s="10"/>
      <c r="G3617" s="10"/>
      <c r="H3617" s="10"/>
      <c r="I3617" s="25" t="n">
        <v>4</v>
      </c>
      <c r="J3617" s="25"/>
      <c r="K3617" s="26"/>
      <c r="L3617" s="26"/>
      <c r="M3617" s="25"/>
      <c r="N3617" s="25"/>
      <c r="O3617" s="25"/>
      <c r="P3617" s="26"/>
      <c r="Q3617" s="26"/>
      <c r="R3617" s="25"/>
      <c r="S3617" s="25"/>
      <c r="T3617" s="25"/>
      <c r="U3617" s="27"/>
      <c r="V3617" s="21"/>
      <c r="W3617" s="16"/>
      <c r="X3617" s="16"/>
      <c r="Y3617" s="16"/>
    </row>
    <row r="3618" customFormat="false" ht="15.75" hidden="false" customHeight="false" outlineLevel="0" collapsed="false">
      <c r="A3618" s="9"/>
      <c r="B3618" s="10"/>
      <c r="C3618" s="11"/>
      <c r="D3618" s="10"/>
      <c r="E3618" s="10"/>
      <c r="F3618" s="10"/>
      <c r="G3618" s="10"/>
      <c r="H3618" s="10"/>
      <c r="I3618" s="12" t="n">
        <v>1</v>
      </c>
      <c r="J3618" s="12"/>
      <c r="K3618" s="13"/>
      <c r="L3618" s="13"/>
      <c r="M3618" s="12"/>
      <c r="N3618" s="12"/>
      <c r="O3618" s="12"/>
      <c r="P3618" s="13"/>
      <c r="Q3618" s="13"/>
      <c r="R3618" s="12"/>
      <c r="S3618" s="12"/>
      <c r="T3618" s="12"/>
      <c r="U3618" s="14"/>
      <c r="V3618" s="15"/>
      <c r="W3618" s="16" t="n">
        <f aca="false">A3618</f>
        <v>0</v>
      </c>
      <c r="X3618" s="17" t="e">
        <f aca="false">ifs(C3618="","",X3618="",NOW(),TRUE(),X3618)</f>
        <v>#VALUE!</v>
      </c>
      <c r="Y3618" s="17" t="e">
        <f aca="false">ifs(COUNTA(K3618:U3621)&lt;44,"",Y3618="",NOW(),TRUE(),Y3618)</f>
        <v>#VALUE!</v>
      </c>
    </row>
    <row r="3619" customFormat="false" ht="15.75" hidden="false" customHeight="false" outlineLevel="0" collapsed="false">
      <c r="A3619" s="9"/>
      <c r="B3619" s="10"/>
      <c r="C3619" s="10"/>
      <c r="D3619" s="10"/>
      <c r="E3619" s="10"/>
      <c r="F3619" s="10"/>
      <c r="G3619" s="10"/>
      <c r="H3619" s="10"/>
      <c r="I3619" s="18" t="n">
        <v>2</v>
      </c>
      <c r="J3619" s="18"/>
      <c r="K3619" s="19"/>
      <c r="L3619" s="19"/>
      <c r="M3619" s="18"/>
      <c r="N3619" s="18"/>
      <c r="O3619" s="18"/>
      <c r="P3619" s="19"/>
      <c r="Q3619" s="19"/>
      <c r="R3619" s="18"/>
      <c r="S3619" s="18"/>
      <c r="T3619" s="18"/>
      <c r="U3619" s="20"/>
      <c r="V3619" s="21"/>
      <c r="W3619" s="16"/>
      <c r="X3619" s="16"/>
      <c r="Y3619" s="16"/>
    </row>
    <row r="3620" customFormat="false" ht="15.75" hidden="false" customHeight="false" outlineLevel="0" collapsed="false">
      <c r="A3620" s="9"/>
      <c r="B3620" s="10"/>
      <c r="C3620" s="10"/>
      <c r="D3620" s="10"/>
      <c r="E3620" s="10"/>
      <c r="F3620" s="10"/>
      <c r="G3620" s="10"/>
      <c r="H3620" s="10"/>
      <c r="I3620" s="22" t="n">
        <v>3</v>
      </c>
      <c r="J3620" s="22"/>
      <c r="K3620" s="23"/>
      <c r="L3620" s="23"/>
      <c r="M3620" s="22"/>
      <c r="N3620" s="22"/>
      <c r="O3620" s="22"/>
      <c r="P3620" s="23"/>
      <c r="Q3620" s="23"/>
      <c r="R3620" s="22"/>
      <c r="S3620" s="22"/>
      <c r="T3620" s="22"/>
      <c r="U3620" s="24"/>
      <c r="V3620" s="15"/>
      <c r="W3620" s="16"/>
      <c r="X3620" s="16"/>
      <c r="Y3620" s="16"/>
    </row>
    <row r="3621" customFormat="false" ht="15.75" hidden="false" customHeight="false" outlineLevel="0" collapsed="false">
      <c r="A3621" s="9"/>
      <c r="B3621" s="10"/>
      <c r="C3621" s="10"/>
      <c r="D3621" s="10"/>
      <c r="E3621" s="10"/>
      <c r="F3621" s="10"/>
      <c r="G3621" s="10"/>
      <c r="H3621" s="10"/>
      <c r="I3621" s="25" t="n">
        <v>4</v>
      </c>
      <c r="J3621" s="25"/>
      <c r="K3621" s="26"/>
      <c r="L3621" s="26"/>
      <c r="M3621" s="25"/>
      <c r="N3621" s="25"/>
      <c r="O3621" s="25"/>
      <c r="P3621" s="26"/>
      <c r="Q3621" s="26"/>
      <c r="R3621" s="25"/>
      <c r="S3621" s="25"/>
      <c r="T3621" s="25"/>
      <c r="U3621" s="27"/>
      <c r="V3621" s="21"/>
      <c r="W3621" s="16"/>
      <c r="X3621" s="16"/>
      <c r="Y3621" s="16"/>
    </row>
    <row r="3622" customFormat="false" ht="15.75" hidden="false" customHeight="false" outlineLevel="0" collapsed="false">
      <c r="A3622" s="9"/>
      <c r="B3622" s="10"/>
      <c r="C3622" s="11"/>
      <c r="D3622" s="10"/>
      <c r="E3622" s="10"/>
      <c r="F3622" s="10"/>
      <c r="G3622" s="10"/>
      <c r="H3622" s="10"/>
      <c r="I3622" s="12" t="n">
        <v>1</v>
      </c>
      <c r="J3622" s="12"/>
      <c r="K3622" s="13"/>
      <c r="L3622" s="13"/>
      <c r="M3622" s="12"/>
      <c r="N3622" s="12"/>
      <c r="O3622" s="12"/>
      <c r="P3622" s="13"/>
      <c r="Q3622" s="13"/>
      <c r="R3622" s="12"/>
      <c r="S3622" s="12"/>
      <c r="T3622" s="12"/>
      <c r="U3622" s="14"/>
      <c r="V3622" s="15"/>
      <c r="W3622" s="16" t="n">
        <f aca="false">A3622</f>
        <v>0</v>
      </c>
      <c r="X3622" s="17" t="e">
        <f aca="false">ifs(C3622="","",X3622="",NOW(),TRUE(),X3622)</f>
        <v>#VALUE!</v>
      </c>
      <c r="Y3622" s="17" t="e">
        <f aca="false">ifs(COUNTA(K3622:U3625)&lt;44,"",Y3622="",NOW(),TRUE(),Y3622)</f>
        <v>#VALUE!</v>
      </c>
    </row>
    <row r="3623" customFormat="false" ht="15.75" hidden="false" customHeight="false" outlineLevel="0" collapsed="false">
      <c r="A3623" s="9"/>
      <c r="B3623" s="10"/>
      <c r="C3623" s="10"/>
      <c r="D3623" s="10"/>
      <c r="E3623" s="10"/>
      <c r="F3623" s="10"/>
      <c r="G3623" s="10"/>
      <c r="H3623" s="10"/>
      <c r="I3623" s="18" t="n">
        <v>2</v>
      </c>
      <c r="J3623" s="18"/>
      <c r="K3623" s="19"/>
      <c r="L3623" s="19"/>
      <c r="M3623" s="18"/>
      <c r="N3623" s="18"/>
      <c r="O3623" s="18"/>
      <c r="P3623" s="19"/>
      <c r="Q3623" s="19"/>
      <c r="R3623" s="18"/>
      <c r="S3623" s="18"/>
      <c r="T3623" s="18"/>
      <c r="U3623" s="20"/>
      <c r="V3623" s="21"/>
      <c r="W3623" s="16"/>
      <c r="X3623" s="16"/>
      <c r="Y3623" s="16"/>
    </row>
    <row r="3624" customFormat="false" ht="15.75" hidden="false" customHeight="false" outlineLevel="0" collapsed="false">
      <c r="A3624" s="9"/>
      <c r="B3624" s="10"/>
      <c r="C3624" s="10"/>
      <c r="D3624" s="10"/>
      <c r="E3624" s="10"/>
      <c r="F3624" s="10"/>
      <c r="G3624" s="10"/>
      <c r="H3624" s="10"/>
      <c r="I3624" s="22" t="n">
        <v>3</v>
      </c>
      <c r="J3624" s="22"/>
      <c r="K3624" s="23"/>
      <c r="L3624" s="23"/>
      <c r="M3624" s="22"/>
      <c r="N3624" s="22"/>
      <c r="O3624" s="22"/>
      <c r="P3624" s="23"/>
      <c r="Q3624" s="23"/>
      <c r="R3624" s="22"/>
      <c r="S3624" s="22"/>
      <c r="T3624" s="22"/>
      <c r="U3624" s="24"/>
      <c r="V3624" s="15"/>
      <c r="W3624" s="16"/>
      <c r="X3624" s="16"/>
      <c r="Y3624" s="16"/>
    </row>
    <row r="3625" customFormat="false" ht="15.75" hidden="false" customHeight="false" outlineLevel="0" collapsed="false">
      <c r="A3625" s="9"/>
      <c r="B3625" s="10"/>
      <c r="C3625" s="10"/>
      <c r="D3625" s="10"/>
      <c r="E3625" s="10"/>
      <c r="F3625" s="10"/>
      <c r="G3625" s="10"/>
      <c r="H3625" s="10"/>
      <c r="I3625" s="25" t="n">
        <v>4</v>
      </c>
      <c r="J3625" s="25"/>
      <c r="K3625" s="26"/>
      <c r="L3625" s="26"/>
      <c r="M3625" s="25"/>
      <c r="N3625" s="25"/>
      <c r="O3625" s="25"/>
      <c r="P3625" s="26"/>
      <c r="Q3625" s="26"/>
      <c r="R3625" s="25"/>
      <c r="S3625" s="25"/>
      <c r="T3625" s="25"/>
      <c r="U3625" s="27"/>
      <c r="V3625" s="21"/>
      <c r="W3625" s="16"/>
      <c r="X3625" s="16"/>
      <c r="Y3625" s="16"/>
    </row>
    <row r="3626" customFormat="false" ht="15.75" hidden="false" customHeight="false" outlineLevel="0" collapsed="false">
      <c r="A3626" s="9"/>
      <c r="B3626" s="10"/>
      <c r="C3626" s="11"/>
      <c r="D3626" s="10"/>
      <c r="E3626" s="10"/>
      <c r="F3626" s="10"/>
      <c r="G3626" s="10"/>
      <c r="H3626" s="10"/>
      <c r="I3626" s="12" t="n">
        <v>1</v>
      </c>
      <c r="J3626" s="12"/>
      <c r="K3626" s="13"/>
      <c r="L3626" s="13"/>
      <c r="M3626" s="12"/>
      <c r="N3626" s="12"/>
      <c r="O3626" s="12"/>
      <c r="P3626" s="13"/>
      <c r="Q3626" s="13"/>
      <c r="R3626" s="12"/>
      <c r="S3626" s="12"/>
      <c r="T3626" s="12"/>
      <c r="U3626" s="14"/>
      <c r="V3626" s="15"/>
      <c r="W3626" s="16" t="n">
        <f aca="false">A3626</f>
        <v>0</v>
      </c>
      <c r="X3626" s="17" t="e">
        <f aca="false">ifs(C3626="","",X3626="",NOW(),TRUE(),X3626)</f>
        <v>#VALUE!</v>
      </c>
      <c r="Y3626" s="17" t="e">
        <f aca="false">ifs(COUNTA(K3626:U3629)&lt;44,"",Y3626="",NOW(),TRUE(),Y3626)</f>
        <v>#VALUE!</v>
      </c>
    </row>
    <row r="3627" customFormat="false" ht="15.75" hidden="false" customHeight="false" outlineLevel="0" collapsed="false">
      <c r="A3627" s="9"/>
      <c r="B3627" s="10"/>
      <c r="C3627" s="10"/>
      <c r="D3627" s="10"/>
      <c r="E3627" s="10"/>
      <c r="F3627" s="10"/>
      <c r="G3627" s="10"/>
      <c r="H3627" s="10"/>
      <c r="I3627" s="18" t="n">
        <v>2</v>
      </c>
      <c r="J3627" s="18"/>
      <c r="K3627" s="19"/>
      <c r="L3627" s="19"/>
      <c r="M3627" s="18"/>
      <c r="N3627" s="18"/>
      <c r="O3627" s="18"/>
      <c r="P3627" s="19"/>
      <c r="Q3627" s="19"/>
      <c r="R3627" s="18"/>
      <c r="S3627" s="18"/>
      <c r="T3627" s="18"/>
      <c r="U3627" s="20"/>
      <c r="V3627" s="21"/>
      <c r="W3627" s="16"/>
      <c r="X3627" s="16"/>
      <c r="Y3627" s="16"/>
    </row>
    <row r="3628" customFormat="false" ht="15.75" hidden="false" customHeight="false" outlineLevel="0" collapsed="false">
      <c r="A3628" s="9"/>
      <c r="B3628" s="10"/>
      <c r="C3628" s="10"/>
      <c r="D3628" s="10"/>
      <c r="E3628" s="10"/>
      <c r="F3628" s="10"/>
      <c r="G3628" s="10"/>
      <c r="H3628" s="10"/>
      <c r="I3628" s="22" t="n">
        <v>3</v>
      </c>
      <c r="J3628" s="22"/>
      <c r="K3628" s="23"/>
      <c r="L3628" s="23"/>
      <c r="M3628" s="22"/>
      <c r="N3628" s="22"/>
      <c r="O3628" s="22"/>
      <c r="P3628" s="23"/>
      <c r="Q3628" s="23"/>
      <c r="R3628" s="22"/>
      <c r="S3628" s="22"/>
      <c r="T3628" s="22"/>
      <c r="U3628" s="24"/>
      <c r="V3628" s="15"/>
      <c r="W3628" s="16"/>
      <c r="X3628" s="16"/>
      <c r="Y3628" s="16"/>
    </row>
    <row r="3629" customFormat="false" ht="15.75" hidden="false" customHeight="false" outlineLevel="0" collapsed="false">
      <c r="A3629" s="9"/>
      <c r="B3629" s="10"/>
      <c r="C3629" s="10"/>
      <c r="D3629" s="10"/>
      <c r="E3629" s="10"/>
      <c r="F3629" s="10"/>
      <c r="G3629" s="10"/>
      <c r="H3629" s="10"/>
      <c r="I3629" s="25" t="n">
        <v>4</v>
      </c>
      <c r="J3629" s="25"/>
      <c r="K3629" s="26"/>
      <c r="L3629" s="26"/>
      <c r="M3629" s="25"/>
      <c r="N3629" s="25"/>
      <c r="O3629" s="25"/>
      <c r="P3629" s="26"/>
      <c r="Q3629" s="26"/>
      <c r="R3629" s="25"/>
      <c r="S3629" s="25"/>
      <c r="T3629" s="25"/>
      <c r="U3629" s="27"/>
      <c r="V3629" s="21"/>
      <c r="W3629" s="16"/>
      <c r="X3629" s="16"/>
      <c r="Y3629" s="16"/>
    </row>
    <row r="3630" customFormat="false" ht="15.75" hidden="false" customHeight="false" outlineLevel="0" collapsed="false">
      <c r="A3630" s="9"/>
      <c r="B3630" s="10"/>
      <c r="C3630" s="11"/>
      <c r="D3630" s="10"/>
      <c r="E3630" s="10"/>
      <c r="F3630" s="10"/>
      <c r="G3630" s="10"/>
      <c r="H3630" s="10"/>
      <c r="I3630" s="12" t="n">
        <v>1</v>
      </c>
      <c r="J3630" s="12"/>
      <c r="K3630" s="13"/>
      <c r="L3630" s="13"/>
      <c r="M3630" s="12"/>
      <c r="N3630" s="12"/>
      <c r="O3630" s="12"/>
      <c r="P3630" s="13"/>
      <c r="Q3630" s="13"/>
      <c r="R3630" s="12"/>
      <c r="S3630" s="12"/>
      <c r="T3630" s="12"/>
      <c r="U3630" s="14"/>
      <c r="V3630" s="15"/>
      <c r="W3630" s="16" t="n">
        <f aca="false">A3630</f>
        <v>0</v>
      </c>
      <c r="X3630" s="17" t="e">
        <f aca="false">ifs(C3630="","",X3630="",NOW(),TRUE(),X3630)</f>
        <v>#VALUE!</v>
      </c>
      <c r="Y3630" s="17" t="e">
        <f aca="false">ifs(COUNTA(K3630:U3633)&lt;44,"",Y3630="",NOW(),TRUE(),Y3630)</f>
        <v>#VALUE!</v>
      </c>
    </row>
    <row r="3631" customFormat="false" ht="15.75" hidden="false" customHeight="false" outlineLevel="0" collapsed="false">
      <c r="A3631" s="9"/>
      <c r="B3631" s="10"/>
      <c r="C3631" s="10"/>
      <c r="D3631" s="10"/>
      <c r="E3631" s="10"/>
      <c r="F3631" s="10"/>
      <c r="G3631" s="10"/>
      <c r="H3631" s="10"/>
      <c r="I3631" s="18" t="n">
        <v>2</v>
      </c>
      <c r="J3631" s="18"/>
      <c r="K3631" s="19"/>
      <c r="L3631" s="19"/>
      <c r="M3631" s="18"/>
      <c r="N3631" s="18"/>
      <c r="O3631" s="18"/>
      <c r="P3631" s="19"/>
      <c r="Q3631" s="19"/>
      <c r="R3631" s="18"/>
      <c r="S3631" s="18"/>
      <c r="T3631" s="18"/>
      <c r="U3631" s="20"/>
      <c r="V3631" s="21"/>
      <c r="W3631" s="16"/>
      <c r="X3631" s="16"/>
      <c r="Y3631" s="16"/>
    </row>
    <row r="3632" customFormat="false" ht="15.75" hidden="false" customHeight="false" outlineLevel="0" collapsed="false">
      <c r="A3632" s="9"/>
      <c r="B3632" s="10"/>
      <c r="C3632" s="10"/>
      <c r="D3632" s="10"/>
      <c r="E3632" s="10"/>
      <c r="F3632" s="10"/>
      <c r="G3632" s="10"/>
      <c r="H3632" s="10"/>
      <c r="I3632" s="22" t="n">
        <v>3</v>
      </c>
      <c r="J3632" s="22"/>
      <c r="K3632" s="23"/>
      <c r="L3632" s="23"/>
      <c r="M3632" s="22"/>
      <c r="N3632" s="22"/>
      <c r="O3632" s="22"/>
      <c r="P3632" s="23"/>
      <c r="Q3632" s="23"/>
      <c r="R3632" s="22"/>
      <c r="S3632" s="22"/>
      <c r="T3632" s="22"/>
      <c r="U3632" s="24"/>
      <c r="V3632" s="15"/>
      <c r="W3632" s="16"/>
      <c r="X3632" s="16"/>
      <c r="Y3632" s="16"/>
    </row>
    <row r="3633" customFormat="false" ht="15.75" hidden="false" customHeight="false" outlineLevel="0" collapsed="false">
      <c r="A3633" s="9"/>
      <c r="B3633" s="10"/>
      <c r="C3633" s="10"/>
      <c r="D3633" s="10"/>
      <c r="E3633" s="10"/>
      <c r="F3633" s="10"/>
      <c r="G3633" s="10"/>
      <c r="H3633" s="10"/>
      <c r="I3633" s="25" t="n">
        <v>4</v>
      </c>
      <c r="J3633" s="25"/>
      <c r="K3633" s="26"/>
      <c r="L3633" s="26"/>
      <c r="M3633" s="25"/>
      <c r="N3633" s="25"/>
      <c r="O3633" s="25"/>
      <c r="P3633" s="26"/>
      <c r="Q3633" s="26"/>
      <c r="R3633" s="25"/>
      <c r="S3633" s="25"/>
      <c r="T3633" s="25"/>
      <c r="U3633" s="27"/>
      <c r="V3633" s="21"/>
      <c r="W3633" s="16"/>
      <c r="X3633" s="16"/>
      <c r="Y3633" s="16"/>
    </row>
    <row r="3634" customFormat="false" ht="15.75" hidden="false" customHeight="false" outlineLevel="0" collapsed="false">
      <c r="A3634" s="9"/>
      <c r="B3634" s="10"/>
      <c r="C3634" s="11"/>
      <c r="D3634" s="10"/>
      <c r="E3634" s="10"/>
      <c r="F3634" s="10"/>
      <c r="G3634" s="10"/>
      <c r="H3634" s="10"/>
      <c r="I3634" s="12" t="n">
        <v>1</v>
      </c>
      <c r="J3634" s="12"/>
      <c r="K3634" s="13"/>
      <c r="L3634" s="13"/>
      <c r="M3634" s="12"/>
      <c r="N3634" s="12"/>
      <c r="O3634" s="12"/>
      <c r="P3634" s="13"/>
      <c r="Q3634" s="13"/>
      <c r="R3634" s="12"/>
      <c r="S3634" s="12"/>
      <c r="T3634" s="12"/>
      <c r="U3634" s="14"/>
      <c r="V3634" s="15"/>
      <c r="W3634" s="16" t="n">
        <f aca="false">A3634</f>
        <v>0</v>
      </c>
      <c r="X3634" s="17" t="e">
        <f aca="false">ifs(C3634="","",X3634="",NOW(),TRUE(),X3634)</f>
        <v>#VALUE!</v>
      </c>
      <c r="Y3634" s="17" t="e">
        <f aca="false">ifs(COUNTA(K3634:U3637)&lt;44,"",Y3634="",NOW(),TRUE(),Y3634)</f>
        <v>#VALUE!</v>
      </c>
    </row>
    <row r="3635" customFormat="false" ht="15.75" hidden="false" customHeight="false" outlineLevel="0" collapsed="false">
      <c r="A3635" s="9"/>
      <c r="B3635" s="10"/>
      <c r="C3635" s="10"/>
      <c r="D3635" s="10"/>
      <c r="E3635" s="10"/>
      <c r="F3635" s="10"/>
      <c r="G3635" s="10"/>
      <c r="H3635" s="10"/>
      <c r="I3635" s="18" t="n">
        <v>2</v>
      </c>
      <c r="J3635" s="18"/>
      <c r="K3635" s="19"/>
      <c r="L3635" s="19"/>
      <c r="M3635" s="18"/>
      <c r="N3635" s="18"/>
      <c r="O3635" s="18"/>
      <c r="P3635" s="19"/>
      <c r="Q3635" s="19"/>
      <c r="R3635" s="18"/>
      <c r="S3635" s="18"/>
      <c r="T3635" s="18"/>
      <c r="U3635" s="20"/>
      <c r="V3635" s="21"/>
      <c r="W3635" s="16"/>
      <c r="X3635" s="16"/>
      <c r="Y3635" s="16"/>
    </row>
    <row r="3636" customFormat="false" ht="15.75" hidden="false" customHeight="false" outlineLevel="0" collapsed="false">
      <c r="A3636" s="9"/>
      <c r="B3636" s="10"/>
      <c r="C3636" s="10"/>
      <c r="D3636" s="10"/>
      <c r="E3636" s="10"/>
      <c r="F3636" s="10"/>
      <c r="G3636" s="10"/>
      <c r="H3636" s="10"/>
      <c r="I3636" s="22" t="n">
        <v>3</v>
      </c>
      <c r="J3636" s="22"/>
      <c r="K3636" s="23"/>
      <c r="L3636" s="23"/>
      <c r="M3636" s="22"/>
      <c r="N3636" s="22"/>
      <c r="O3636" s="22"/>
      <c r="P3636" s="23"/>
      <c r="Q3636" s="23"/>
      <c r="R3636" s="22"/>
      <c r="S3636" s="22"/>
      <c r="T3636" s="22"/>
      <c r="U3636" s="24"/>
      <c r="V3636" s="15"/>
      <c r="W3636" s="16"/>
      <c r="X3636" s="16"/>
      <c r="Y3636" s="16"/>
    </row>
    <row r="3637" customFormat="false" ht="15.75" hidden="false" customHeight="false" outlineLevel="0" collapsed="false">
      <c r="A3637" s="9"/>
      <c r="B3637" s="10"/>
      <c r="C3637" s="10"/>
      <c r="D3637" s="10"/>
      <c r="E3637" s="10"/>
      <c r="F3637" s="10"/>
      <c r="G3637" s="10"/>
      <c r="H3637" s="10"/>
      <c r="I3637" s="25" t="n">
        <v>4</v>
      </c>
      <c r="J3637" s="25"/>
      <c r="K3637" s="26"/>
      <c r="L3637" s="26"/>
      <c r="M3637" s="25"/>
      <c r="N3637" s="25"/>
      <c r="O3637" s="25"/>
      <c r="P3637" s="26"/>
      <c r="Q3637" s="26"/>
      <c r="R3637" s="25"/>
      <c r="S3637" s="25"/>
      <c r="T3637" s="25"/>
      <c r="U3637" s="27"/>
      <c r="V3637" s="21"/>
      <c r="W3637" s="16"/>
      <c r="X3637" s="16"/>
      <c r="Y3637" s="16"/>
    </row>
    <row r="3638" customFormat="false" ht="15.75" hidden="false" customHeight="false" outlineLevel="0" collapsed="false">
      <c r="A3638" s="9"/>
      <c r="B3638" s="10"/>
      <c r="C3638" s="11"/>
      <c r="D3638" s="10"/>
      <c r="E3638" s="10"/>
      <c r="F3638" s="10"/>
      <c r="G3638" s="10"/>
      <c r="H3638" s="10"/>
      <c r="I3638" s="12" t="n">
        <v>1</v>
      </c>
      <c r="J3638" s="12"/>
      <c r="K3638" s="13"/>
      <c r="L3638" s="13"/>
      <c r="M3638" s="12"/>
      <c r="N3638" s="12"/>
      <c r="O3638" s="12"/>
      <c r="P3638" s="13"/>
      <c r="Q3638" s="13"/>
      <c r="R3638" s="12"/>
      <c r="S3638" s="12"/>
      <c r="T3638" s="12"/>
      <c r="U3638" s="14"/>
      <c r="V3638" s="15"/>
      <c r="W3638" s="16" t="n">
        <f aca="false">A3638</f>
        <v>0</v>
      </c>
      <c r="X3638" s="17" t="e">
        <f aca="false">ifs(C3638="","",X3638="",NOW(),TRUE(),X3638)</f>
        <v>#VALUE!</v>
      </c>
      <c r="Y3638" s="17" t="e">
        <f aca="false">ifs(COUNTA(K3638:U3641)&lt;44,"",Y3638="",NOW(),TRUE(),Y3638)</f>
        <v>#VALUE!</v>
      </c>
    </row>
    <row r="3639" customFormat="false" ht="15.75" hidden="false" customHeight="false" outlineLevel="0" collapsed="false">
      <c r="A3639" s="9"/>
      <c r="B3639" s="10"/>
      <c r="C3639" s="10"/>
      <c r="D3639" s="10"/>
      <c r="E3639" s="10"/>
      <c r="F3639" s="10"/>
      <c r="G3639" s="10"/>
      <c r="H3639" s="10"/>
      <c r="I3639" s="18" t="n">
        <v>2</v>
      </c>
      <c r="J3639" s="18"/>
      <c r="K3639" s="19"/>
      <c r="L3639" s="19"/>
      <c r="M3639" s="18"/>
      <c r="N3639" s="18"/>
      <c r="O3639" s="18"/>
      <c r="P3639" s="19"/>
      <c r="Q3639" s="19"/>
      <c r="R3639" s="18"/>
      <c r="S3639" s="18"/>
      <c r="T3639" s="18"/>
      <c r="U3639" s="20"/>
      <c r="V3639" s="21"/>
      <c r="W3639" s="16"/>
      <c r="X3639" s="16"/>
      <c r="Y3639" s="16"/>
    </row>
    <row r="3640" customFormat="false" ht="15.75" hidden="false" customHeight="false" outlineLevel="0" collapsed="false">
      <c r="A3640" s="9"/>
      <c r="B3640" s="10"/>
      <c r="C3640" s="10"/>
      <c r="D3640" s="10"/>
      <c r="E3640" s="10"/>
      <c r="F3640" s="10"/>
      <c r="G3640" s="10"/>
      <c r="H3640" s="10"/>
      <c r="I3640" s="22" t="n">
        <v>3</v>
      </c>
      <c r="J3640" s="22"/>
      <c r="K3640" s="23"/>
      <c r="L3640" s="23"/>
      <c r="M3640" s="22"/>
      <c r="N3640" s="22"/>
      <c r="O3640" s="22"/>
      <c r="P3640" s="23"/>
      <c r="Q3640" s="23"/>
      <c r="R3640" s="22"/>
      <c r="S3640" s="22"/>
      <c r="T3640" s="22"/>
      <c r="U3640" s="24"/>
      <c r="V3640" s="15"/>
      <c r="W3640" s="16"/>
      <c r="X3640" s="16"/>
      <c r="Y3640" s="16"/>
    </row>
    <row r="3641" customFormat="false" ht="15.75" hidden="false" customHeight="false" outlineLevel="0" collapsed="false">
      <c r="A3641" s="9"/>
      <c r="B3641" s="10"/>
      <c r="C3641" s="10"/>
      <c r="D3641" s="10"/>
      <c r="E3641" s="10"/>
      <c r="F3641" s="10"/>
      <c r="G3641" s="10"/>
      <c r="H3641" s="10"/>
      <c r="I3641" s="25" t="n">
        <v>4</v>
      </c>
      <c r="J3641" s="25"/>
      <c r="K3641" s="26"/>
      <c r="L3641" s="26"/>
      <c r="M3641" s="25"/>
      <c r="N3641" s="25"/>
      <c r="O3641" s="25"/>
      <c r="P3641" s="26"/>
      <c r="Q3641" s="26"/>
      <c r="R3641" s="25"/>
      <c r="S3641" s="25"/>
      <c r="T3641" s="25"/>
      <c r="U3641" s="27"/>
      <c r="V3641" s="21"/>
      <c r="W3641" s="16"/>
      <c r="X3641" s="16"/>
      <c r="Y3641" s="16"/>
    </row>
    <row r="3642" customFormat="false" ht="15.75" hidden="false" customHeight="false" outlineLevel="0" collapsed="false">
      <c r="A3642" s="9"/>
      <c r="B3642" s="10"/>
      <c r="C3642" s="11"/>
      <c r="D3642" s="10"/>
      <c r="E3642" s="10"/>
      <c r="F3642" s="10"/>
      <c r="G3642" s="10"/>
      <c r="H3642" s="10"/>
      <c r="I3642" s="12" t="n">
        <v>1</v>
      </c>
      <c r="J3642" s="12"/>
      <c r="K3642" s="13"/>
      <c r="L3642" s="13"/>
      <c r="M3642" s="12"/>
      <c r="N3642" s="12"/>
      <c r="O3642" s="12"/>
      <c r="P3642" s="13"/>
      <c r="Q3642" s="13"/>
      <c r="R3642" s="12"/>
      <c r="S3642" s="12"/>
      <c r="T3642" s="12"/>
      <c r="U3642" s="14"/>
      <c r="V3642" s="15"/>
      <c r="W3642" s="16" t="n">
        <f aca="false">A3642</f>
        <v>0</v>
      </c>
      <c r="X3642" s="17" t="e">
        <f aca="false">ifs(C3642="","",X3642="",NOW(),TRUE(),X3642)</f>
        <v>#VALUE!</v>
      </c>
      <c r="Y3642" s="17" t="e">
        <f aca="false">ifs(COUNTA(K3642:U3645)&lt;44,"",Y3642="",NOW(),TRUE(),Y3642)</f>
        <v>#VALUE!</v>
      </c>
    </row>
    <row r="3643" customFormat="false" ht="15.75" hidden="false" customHeight="false" outlineLevel="0" collapsed="false">
      <c r="A3643" s="9"/>
      <c r="B3643" s="10"/>
      <c r="C3643" s="10"/>
      <c r="D3643" s="10"/>
      <c r="E3643" s="10"/>
      <c r="F3643" s="10"/>
      <c r="G3643" s="10"/>
      <c r="H3643" s="10"/>
      <c r="I3643" s="18" t="n">
        <v>2</v>
      </c>
      <c r="J3643" s="18"/>
      <c r="K3643" s="19"/>
      <c r="L3643" s="19"/>
      <c r="M3643" s="18"/>
      <c r="N3643" s="18"/>
      <c r="O3643" s="18"/>
      <c r="P3643" s="19"/>
      <c r="Q3643" s="19"/>
      <c r="R3643" s="18"/>
      <c r="S3643" s="18"/>
      <c r="T3643" s="18"/>
      <c r="U3643" s="20"/>
      <c r="V3643" s="21"/>
      <c r="W3643" s="16"/>
      <c r="X3643" s="16"/>
      <c r="Y3643" s="16"/>
    </row>
    <row r="3644" customFormat="false" ht="15.75" hidden="false" customHeight="false" outlineLevel="0" collapsed="false">
      <c r="A3644" s="9"/>
      <c r="B3644" s="10"/>
      <c r="C3644" s="10"/>
      <c r="D3644" s="10"/>
      <c r="E3644" s="10"/>
      <c r="F3644" s="10"/>
      <c r="G3644" s="10"/>
      <c r="H3644" s="10"/>
      <c r="I3644" s="22" t="n">
        <v>3</v>
      </c>
      <c r="J3644" s="22"/>
      <c r="K3644" s="23"/>
      <c r="L3644" s="23"/>
      <c r="M3644" s="22"/>
      <c r="N3644" s="22"/>
      <c r="O3644" s="22"/>
      <c r="P3644" s="23"/>
      <c r="Q3644" s="23"/>
      <c r="R3644" s="22"/>
      <c r="S3644" s="22"/>
      <c r="T3644" s="22"/>
      <c r="U3644" s="24"/>
      <c r="V3644" s="15"/>
      <c r="W3644" s="16"/>
      <c r="X3644" s="16"/>
      <c r="Y3644" s="16"/>
    </row>
    <row r="3645" customFormat="false" ht="15.75" hidden="false" customHeight="false" outlineLevel="0" collapsed="false">
      <c r="A3645" s="9"/>
      <c r="B3645" s="10"/>
      <c r="C3645" s="10"/>
      <c r="D3645" s="10"/>
      <c r="E3645" s="10"/>
      <c r="F3645" s="10"/>
      <c r="G3645" s="10"/>
      <c r="H3645" s="10"/>
      <c r="I3645" s="25" t="n">
        <v>4</v>
      </c>
      <c r="J3645" s="25"/>
      <c r="K3645" s="26"/>
      <c r="L3645" s="26"/>
      <c r="M3645" s="25"/>
      <c r="N3645" s="25"/>
      <c r="O3645" s="25"/>
      <c r="P3645" s="26"/>
      <c r="Q3645" s="26"/>
      <c r="R3645" s="25"/>
      <c r="S3645" s="25"/>
      <c r="T3645" s="25"/>
      <c r="U3645" s="27"/>
      <c r="V3645" s="21"/>
      <c r="W3645" s="16"/>
      <c r="X3645" s="16"/>
      <c r="Y3645" s="16"/>
    </row>
    <row r="3646" customFormat="false" ht="15.75" hidden="false" customHeight="false" outlineLevel="0" collapsed="false">
      <c r="A3646" s="9"/>
      <c r="B3646" s="10"/>
      <c r="C3646" s="11"/>
      <c r="D3646" s="10"/>
      <c r="E3646" s="10"/>
      <c r="F3646" s="10"/>
      <c r="G3646" s="10"/>
      <c r="H3646" s="10"/>
      <c r="I3646" s="12" t="n">
        <v>1</v>
      </c>
      <c r="J3646" s="12"/>
      <c r="K3646" s="13"/>
      <c r="L3646" s="13"/>
      <c r="M3646" s="12"/>
      <c r="N3646" s="12"/>
      <c r="O3646" s="12"/>
      <c r="P3646" s="13"/>
      <c r="Q3646" s="13"/>
      <c r="R3646" s="12"/>
      <c r="S3646" s="12"/>
      <c r="T3646" s="12"/>
      <c r="U3646" s="14"/>
      <c r="V3646" s="15"/>
      <c r="W3646" s="16" t="n">
        <f aca="false">A3646</f>
        <v>0</v>
      </c>
      <c r="X3646" s="17" t="e">
        <f aca="false">ifs(C3646="","",X3646="",NOW(),TRUE(),X3646)</f>
        <v>#VALUE!</v>
      </c>
      <c r="Y3646" s="17" t="e">
        <f aca="false">ifs(COUNTA(K3646:U3649)&lt;44,"",Y3646="",NOW(),TRUE(),Y3646)</f>
        <v>#VALUE!</v>
      </c>
    </row>
    <row r="3647" customFormat="false" ht="15.75" hidden="false" customHeight="false" outlineLevel="0" collapsed="false">
      <c r="A3647" s="9"/>
      <c r="B3647" s="10"/>
      <c r="C3647" s="10"/>
      <c r="D3647" s="10"/>
      <c r="E3647" s="10"/>
      <c r="F3647" s="10"/>
      <c r="G3647" s="10"/>
      <c r="H3647" s="10"/>
      <c r="I3647" s="18" t="n">
        <v>2</v>
      </c>
      <c r="J3647" s="18"/>
      <c r="K3647" s="19"/>
      <c r="L3647" s="19"/>
      <c r="M3647" s="18"/>
      <c r="N3647" s="18"/>
      <c r="O3647" s="18"/>
      <c r="P3647" s="19"/>
      <c r="Q3647" s="19"/>
      <c r="R3647" s="18"/>
      <c r="S3647" s="18"/>
      <c r="T3647" s="18"/>
      <c r="U3647" s="20"/>
      <c r="V3647" s="21"/>
      <c r="W3647" s="16"/>
      <c r="X3647" s="16"/>
      <c r="Y3647" s="16"/>
    </row>
    <row r="3648" customFormat="false" ht="15.75" hidden="false" customHeight="false" outlineLevel="0" collapsed="false">
      <c r="A3648" s="9"/>
      <c r="B3648" s="10"/>
      <c r="C3648" s="10"/>
      <c r="D3648" s="10"/>
      <c r="E3648" s="10"/>
      <c r="F3648" s="10"/>
      <c r="G3648" s="10"/>
      <c r="H3648" s="10"/>
      <c r="I3648" s="22" t="n">
        <v>3</v>
      </c>
      <c r="J3648" s="22"/>
      <c r="K3648" s="23"/>
      <c r="L3648" s="23"/>
      <c r="M3648" s="22"/>
      <c r="N3648" s="22"/>
      <c r="O3648" s="22"/>
      <c r="P3648" s="23"/>
      <c r="Q3648" s="23"/>
      <c r="R3648" s="22"/>
      <c r="S3648" s="22"/>
      <c r="T3648" s="22"/>
      <c r="U3648" s="24"/>
      <c r="V3648" s="15"/>
      <c r="W3648" s="16"/>
      <c r="X3648" s="16"/>
      <c r="Y3648" s="16"/>
    </row>
    <row r="3649" customFormat="false" ht="15.75" hidden="false" customHeight="false" outlineLevel="0" collapsed="false">
      <c r="A3649" s="9"/>
      <c r="B3649" s="10"/>
      <c r="C3649" s="10"/>
      <c r="D3649" s="10"/>
      <c r="E3649" s="10"/>
      <c r="F3649" s="10"/>
      <c r="G3649" s="10"/>
      <c r="H3649" s="10"/>
      <c r="I3649" s="25" t="n">
        <v>4</v>
      </c>
      <c r="J3649" s="25"/>
      <c r="K3649" s="26"/>
      <c r="L3649" s="26"/>
      <c r="M3649" s="25"/>
      <c r="N3649" s="25"/>
      <c r="O3649" s="25"/>
      <c r="P3649" s="26"/>
      <c r="Q3649" s="26"/>
      <c r="R3649" s="25"/>
      <c r="S3649" s="25"/>
      <c r="T3649" s="25"/>
      <c r="U3649" s="27"/>
      <c r="V3649" s="21"/>
      <c r="W3649" s="16"/>
      <c r="X3649" s="16"/>
      <c r="Y3649" s="16"/>
    </row>
    <row r="3650" customFormat="false" ht="15.75" hidden="false" customHeight="false" outlineLevel="0" collapsed="false">
      <c r="A3650" s="9"/>
      <c r="B3650" s="10"/>
      <c r="C3650" s="11"/>
      <c r="D3650" s="10"/>
      <c r="E3650" s="10"/>
      <c r="F3650" s="10"/>
      <c r="G3650" s="10"/>
      <c r="H3650" s="10"/>
      <c r="I3650" s="12" t="n">
        <v>1</v>
      </c>
      <c r="J3650" s="12"/>
      <c r="K3650" s="13"/>
      <c r="L3650" s="13"/>
      <c r="M3650" s="12"/>
      <c r="N3650" s="12"/>
      <c r="O3650" s="12"/>
      <c r="P3650" s="13"/>
      <c r="Q3650" s="13"/>
      <c r="R3650" s="12"/>
      <c r="S3650" s="12"/>
      <c r="T3650" s="12"/>
      <c r="U3650" s="14"/>
      <c r="V3650" s="15"/>
      <c r="W3650" s="16" t="n">
        <f aca="false">A3650</f>
        <v>0</v>
      </c>
      <c r="X3650" s="17" t="e">
        <f aca="false">ifs(C3650="","",X3650="",NOW(),TRUE(),X3650)</f>
        <v>#VALUE!</v>
      </c>
      <c r="Y3650" s="17" t="e">
        <f aca="false">ifs(COUNTA(K3650:U3653)&lt;44,"",Y3650="",NOW(),TRUE(),Y3650)</f>
        <v>#VALUE!</v>
      </c>
    </row>
    <row r="3651" customFormat="false" ht="15.75" hidden="false" customHeight="false" outlineLevel="0" collapsed="false">
      <c r="A3651" s="9"/>
      <c r="B3651" s="10"/>
      <c r="C3651" s="10"/>
      <c r="D3651" s="10"/>
      <c r="E3651" s="10"/>
      <c r="F3651" s="10"/>
      <c r="G3651" s="10"/>
      <c r="H3651" s="10"/>
      <c r="I3651" s="18" t="n">
        <v>2</v>
      </c>
      <c r="J3651" s="18"/>
      <c r="K3651" s="19"/>
      <c r="L3651" s="19"/>
      <c r="M3651" s="18"/>
      <c r="N3651" s="18"/>
      <c r="O3651" s="18"/>
      <c r="P3651" s="19"/>
      <c r="Q3651" s="19"/>
      <c r="R3651" s="18"/>
      <c r="S3651" s="18"/>
      <c r="T3651" s="18"/>
      <c r="U3651" s="20"/>
      <c r="V3651" s="21"/>
      <c r="W3651" s="16"/>
      <c r="X3651" s="16"/>
      <c r="Y3651" s="16"/>
    </row>
    <row r="3652" customFormat="false" ht="15.75" hidden="false" customHeight="false" outlineLevel="0" collapsed="false">
      <c r="A3652" s="9"/>
      <c r="B3652" s="10"/>
      <c r="C3652" s="10"/>
      <c r="D3652" s="10"/>
      <c r="E3652" s="10"/>
      <c r="F3652" s="10"/>
      <c r="G3652" s="10"/>
      <c r="H3652" s="10"/>
      <c r="I3652" s="22" t="n">
        <v>3</v>
      </c>
      <c r="J3652" s="22"/>
      <c r="K3652" s="23"/>
      <c r="L3652" s="23"/>
      <c r="M3652" s="22"/>
      <c r="N3652" s="22"/>
      <c r="O3652" s="22"/>
      <c r="P3652" s="23"/>
      <c r="Q3652" s="23"/>
      <c r="R3652" s="22"/>
      <c r="S3652" s="22"/>
      <c r="T3652" s="22"/>
      <c r="U3652" s="24"/>
      <c r="V3652" s="15"/>
      <c r="W3652" s="16"/>
      <c r="X3652" s="16"/>
      <c r="Y3652" s="16"/>
    </row>
    <row r="3653" customFormat="false" ht="15.75" hidden="false" customHeight="false" outlineLevel="0" collapsed="false">
      <c r="A3653" s="9"/>
      <c r="B3653" s="10"/>
      <c r="C3653" s="10"/>
      <c r="D3653" s="10"/>
      <c r="E3653" s="10"/>
      <c r="F3653" s="10"/>
      <c r="G3653" s="10"/>
      <c r="H3653" s="10"/>
      <c r="I3653" s="25" t="n">
        <v>4</v>
      </c>
      <c r="J3653" s="25"/>
      <c r="K3653" s="26"/>
      <c r="L3653" s="26"/>
      <c r="M3653" s="25"/>
      <c r="N3653" s="25"/>
      <c r="O3653" s="25"/>
      <c r="P3653" s="26"/>
      <c r="Q3653" s="26"/>
      <c r="R3653" s="25"/>
      <c r="S3653" s="25"/>
      <c r="T3653" s="25"/>
      <c r="U3653" s="27"/>
      <c r="V3653" s="21"/>
      <c r="W3653" s="16"/>
      <c r="X3653" s="16"/>
      <c r="Y3653" s="16"/>
    </row>
    <row r="3654" customFormat="false" ht="15.75" hidden="false" customHeight="false" outlineLevel="0" collapsed="false">
      <c r="A3654" s="9"/>
      <c r="B3654" s="10"/>
      <c r="C3654" s="11"/>
      <c r="D3654" s="10"/>
      <c r="E3654" s="10"/>
      <c r="F3654" s="10"/>
      <c r="G3654" s="10"/>
      <c r="H3654" s="10"/>
      <c r="I3654" s="12" t="n">
        <v>1</v>
      </c>
      <c r="J3654" s="12"/>
      <c r="K3654" s="13"/>
      <c r="L3654" s="13"/>
      <c r="M3654" s="12"/>
      <c r="N3654" s="12"/>
      <c r="O3654" s="12"/>
      <c r="P3654" s="13"/>
      <c r="Q3654" s="13"/>
      <c r="R3654" s="12"/>
      <c r="S3654" s="12"/>
      <c r="T3654" s="12"/>
      <c r="U3654" s="14"/>
      <c r="V3654" s="15"/>
      <c r="W3654" s="16" t="n">
        <f aca="false">A3654</f>
        <v>0</v>
      </c>
      <c r="X3654" s="17" t="e">
        <f aca="false">ifs(C3654="","",X3654="",NOW(),TRUE(),X3654)</f>
        <v>#VALUE!</v>
      </c>
      <c r="Y3654" s="17" t="e">
        <f aca="false">ifs(COUNTA(K3654:U3657)&lt;44,"",Y3654="",NOW(),TRUE(),Y3654)</f>
        <v>#VALUE!</v>
      </c>
    </row>
    <row r="3655" customFormat="false" ht="15.75" hidden="false" customHeight="false" outlineLevel="0" collapsed="false">
      <c r="A3655" s="9"/>
      <c r="B3655" s="10"/>
      <c r="C3655" s="10"/>
      <c r="D3655" s="10"/>
      <c r="E3655" s="10"/>
      <c r="F3655" s="10"/>
      <c r="G3655" s="10"/>
      <c r="H3655" s="10"/>
      <c r="I3655" s="18" t="n">
        <v>2</v>
      </c>
      <c r="J3655" s="18"/>
      <c r="K3655" s="19"/>
      <c r="L3655" s="19"/>
      <c r="M3655" s="18"/>
      <c r="N3655" s="18"/>
      <c r="O3655" s="18"/>
      <c r="P3655" s="19"/>
      <c r="Q3655" s="19"/>
      <c r="R3655" s="18"/>
      <c r="S3655" s="18"/>
      <c r="T3655" s="18"/>
      <c r="U3655" s="20"/>
      <c r="V3655" s="21"/>
      <c r="W3655" s="16"/>
      <c r="X3655" s="16"/>
      <c r="Y3655" s="16"/>
    </row>
    <row r="3656" customFormat="false" ht="15.75" hidden="false" customHeight="false" outlineLevel="0" collapsed="false">
      <c r="A3656" s="9"/>
      <c r="B3656" s="10"/>
      <c r="C3656" s="10"/>
      <c r="D3656" s="10"/>
      <c r="E3656" s="10"/>
      <c r="F3656" s="10"/>
      <c r="G3656" s="10"/>
      <c r="H3656" s="10"/>
      <c r="I3656" s="22" t="n">
        <v>3</v>
      </c>
      <c r="J3656" s="22"/>
      <c r="K3656" s="23"/>
      <c r="L3656" s="23"/>
      <c r="M3656" s="22"/>
      <c r="N3656" s="22"/>
      <c r="O3656" s="22"/>
      <c r="P3656" s="23"/>
      <c r="Q3656" s="23"/>
      <c r="R3656" s="22"/>
      <c r="S3656" s="22"/>
      <c r="T3656" s="22"/>
      <c r="U3656" s="24"/>
      <c r="V3656" s="15"/>
      <c r="W3656" s="16"/>
      <c r="X3656" s="16"/>
      <c r="Y3656" s="16"/>
    </row>
    <row r="3657" customFormat="false" ht="15.75" hidden="false" customHeight="false" outlineLevel="0" collapsed="false">
      <c r="A3657" s="9"/>
      <c r="B3657" s="10"/>
      <c r="C3657" s="10"/>
      <c r="D3657" s="10"/>
      <c r="E3657" s="10"/>
      <c r="F3657" s="10"/>
      <c r="G3657" s="10"/>
      <c r="H3657" s="10"/>
      <c r="I3657" s="25" t="n">
        <v>4</v>
      </c>
      <c r="J3657" s="25"/>
      <c r="K3657" s="26"/>
      <c r="L3657" s="26"/>
      <c r="M3657" s="25"/>
      <c r="N3657" s="25"/>
      <c r="O3657" s="25"/>
      <c r="P3657" s="26"/>
      <c r="Q3657" s="26"/>
      <c r="R3657" s="25"/>
      <c r="S3657" s="25"/>
      <c r="T3657" s="25"/>
      <c r="U3657" s="27"/>
      <c r="V3657" s="21"/>
      <c r="W3657" s="16"/>
      <c r="X3657" s="16"/>
      <c r="Y3657" s="16"/>
    </row>
    <row r="3658" customFormat="false" ht="15.75" hidden="false" customHeight="false" outlineLevel="0" collapsed="false">
      <c r="A3658" s="9"/>
      <c r="B3658" s="10"/>
      <c r="C3658" s="11"/>
      <c r="D3658" s="10"/>
      <c r="E3658" s="10"/>
      <c r="F3658" s="10"/>
      <c r="G3658" s="10"/>
      <c r="H3658" s="10"/>
      <c r="I3658" s="12" t="n">
        <v>1</v>
      </c>
      <c r="J3658" s="12"/>
      <c r="K3658" s="13"/>
      <c r="L3658" s="13"/>
      <c r="M3658" s="12"/>
      <c r="N3658" s="12"/>
      <c r="O3658" s="12"/>
      <c r="P3658" s="13"/>
      <c r="Q3658" s="13"/>
      <c r="R3658" s="12"/>
      <c r="S3658" s="12"/>
      <c r="T3658" s="12"/>
      <c r="U3658" s="14"/>
      <c r="V3658" s="15"/>
      <c r="W3658" s="16" t="n">
        <f aca="false">A3658</f>
        <v>0</v>
      </c>
      <c r="X3658" s="17" t="e">
        <f aca="false">ifs(C3658="","",X3658="",NOW(),TRUE(),X3658)</f>
        <v>#VALUE!</v>
      </c>
      <c r="Y3658" s="17" t="e">
        <f aca="false">ifs(COUNTA(K3658:U3661)&lt;44,"",Y3658="",NOW(),TRUE(),Y3658)</f>
        <v>#VALUE!</v>
      </c>
    </row>
    <row r="3659" customFormat="false" ht="15.75" hidden="false" customHeight="false" outlineLevel="0" collapsed="false">
      <c r="A3659" s="9"/>
      <c r="B3659" s="10"/>
      <c r="C3659" s="10"/>
      <c r="D3659" s="10"/>
      <c r="E3659" s="10"/>
      <c r="F3659" s="10"/>
      <c r="G3659" s="10"/>
      <c r="H3659" s="10"/>
      <c r="I3659" s="18" t="n">
        <v>2</v>
      </c>
      <c r="J3659" s="18"/>
      <c r="K3659" s="19"/>
      <c r="L3659" s="19"/>
      <c r="M3659" s="18"/>
      <c r="N3659" s="18"/>
      <c r="O3659" s="18"/>
      <c r="P3659" s="19"/>
      <c r="Q3659" s="19"/>
      <c r="R3659" s="18"/>
      <c r="S3659" s="18"/>
      <c r="T3659" s="18"/>
      <c r="U3659" s="20"/>
      <c r="V3659" s="21"/>
      <c r="W3659" s="16"/>
      <c r="X3659" s="16"/>
      <c r="Y3659" s="16"/>
    </row>
    <row r="3660" customFormat="false" ht="15.75" hidden="false" customHeight="false" outlineLevel="0" collapsed="false">
      <c r="A3660" s="9"/>
      <c r="B3660" s="10"/>
      <c r="C3660" s="10"/>
      <c r="D3660" s="10"/>
      <c r="E3660" s="10"/>
      <c r="F3660" s="10"/>
      <c r="G3660" s="10"/>
      <c r="H3660" s="10"/>
      <c r="I3660" s="22" t="n">
        <v>3</v>
      </c>
      <c r="J3660" s="22"/>
      <c r="K3660" s="23"/>
      <c r="L3660" s="23"/>
      <c r="M3660" s="22"/>
      <c r="N3660" s="22"/>
      <c r="O3660" s="22"/>
      <c r="P3660" s="23"/>
      <c r="Q3660" s="23"/>
      <c r="R3660" s="22"/>
      <c r="S3660" s="22"/>
      <c r="T3660" s="22"/>
      <c r="U3660" s="24"/>
      <c r="V3660" s="15"/>
      <c r="W3660" s="16"/>
      <c r="X3660" s="16"/>
      <c r="Y3660" s="16"/>
    </row>
    <row r="3661" customFormat="false" ht="15.75" hidden="false" customHeight="false" outlineLevel="0" collapsed="false">
      <c r="A3661" s="9"/>
      <c r="B3661" s="10"/>
      <c r="C3661" s="10"/>
      <c r="D3661" s="10"/>
      <c r="E3661" s="10"/>
      <c r="F3661" s="10"/>
      <c r="G3661" s="10"/>
      <c r="H3661" s="10"/>
      <c r="I3661" s="25" t="n">
        <v>4</v>
      </c>
      <c r="J3661" s="25"/>
      <c r="K3661" s="26"/>
      <c r="L3661" s="26"/>
      <c r="M3661" s="25"/>
      <c r="N3661" s="25"/>
      <c r="O3661" s="25"/>
      <c r="P3661" s="26"/>
      <c r="Q3661" s="26"/>
      <c r="R3661" s="25"/>
      <c r="S3661" s="25"/>
      <c r="T3661" s="25"/>
      <c r="U3661" s="27"/>
      <c r="V3661" s="21"/>
      <c r="W3661" s="16"/>
      <c r="X3661" s="16"/>
      <c r="Y3661" s="16"/>
    </row>
    <row r="3662" customFormat="false" ht="15.75" hidden="false" customHeight="false" outlineLevel="0" collapsed="false">
      <c r="A3662" s="9"/>
      <c r="B3662" s="10"/>
      <c r="C3662" s="11"/>
      <c r="D3662" s="10"/>
      <c r="E3662" s="10"/>
      <c r="F3662" s="10"/>
      <c r="G3662" s="10"/>
      <c r="H3662" s="10"/>
      <c r="I3662" s="12" t="n">
        <v>1</v>
      </c>
      <c r="J3662" s="12"/>
      <c r="K3662" s="13"/>
      <c r="L3662" s="13"/>
      <c r="M3662" s="12"/>
      <c r="N3662" s="12"/>
      <c r="O3662" s="12"/>
      <c r="P3662" s="13"/>
      <c r="Q3662" s="13"/>
      <c r="R3662" s="12"/>
      <c r="S3662" s="12"/>
      <c r="T3662" s="12"/>
      <c r="U3662" s="14"/>
      <c r="V3662" s="15"/>
      <c r="W3662" s="16" t="n">
        <f aca="false">A3662</f>
        <v>0</v>
      </c>
      <c r="X3662" s="17" t="e">
        <f aca="false">ifs(C3662="","",X3662="",NOW(),TRUE(),X3662)</f>
        <v>#VALUE!</v>
      </c>
      <c r="Y3662" s="17" t="e">
        <f aca="false">ifs(COUNTA(K3662:U3665)&lt;44,"",Y3662="",NOW(),TRUE(),Y3662)</f>
        <v>#VALUE!</v>
      </c>
    </row>
    <row r="3663" customFormat="false" ht="15.75" hidden="false" customHeight="false" outlineLevel="0" collapsed="false">
      <c r="A3663" s="9"/>
      <c r="B3663" s="10"/>
      <c r="C3663" s="10"/>
      <c r="D3663" s="10"/>
      <c r="E3663" s="10"/>
      <c r="F3663" s="10"/>
      <c r="G3663" s="10"/>
      <c r="H3663" s="10"/>
      <c r="I3663" s="18" t="n">
        <v>2</v>
      </c>
      <c r="J3663" s="18"/>
      <c r="K3663" s="19"/>
      <c r="L3663" s="19"/>
      <c r="M3663" s="18"/>
      <c r="N3663" s="18"/>
      <c r="O3663" s="18"/>
      <c r="P3663" s="19"/>
      <c r="Q3663" s="19"/>
      <c r="R3663" s="18"/>
      <c r="S3663" s="18"/>
      <c r="T3663" s="18"/>
      <c r="U3663" s="20"/>
      <c r="V3663" s="21"/>
      <c r="W3663" s="16"/>
      <c r="X3663" s="16"/>
      <c r="Y3663" s="16"/>
    </row>
    <row r="3664" customFormat="false" ht="15.75" hidden="false" customHeight="false" outlineLevel="0" collapsed="false">
      <c r="A3664" s="9"/>
      <c r="B3664" s="10"/>
      <c r="C3664" s="10"/>
      <c r="D3664" s="10"/>
      <c r="E3664" s="10"/>
      <c r="F3664" s="10"/>
      <c r="G3664" s="10"/>
      <c r="H3664" s="10"/>
      <c r="I3664" s="22" t="n">
        <v>3</v>
      </c>
      <c r="J3664" s="22"/>
      <c r="K3664" s="23"/>
      <c r="L3664" s="23"/>
      <c r="M3664" s="22"/>
      <c r="N3664" s="22"/>
      <c r="O3664" s="22"/>
      <c r="P3664" s="23"/>
      <c r="Q3664" s="23"/>
      <c r="R3664" s="22"/>
      <c r="S3664" s="22"/>
      <c r="T3664" s="22"/>
      <c r="U3664" s="24"/>
      <c r="V3664" s="15"/>
      <c r="W3664" s="16"/>
      <c r="X3664" s="16"/>
      <c r="Y3664" s="16"/>
    </row>
    <row r="3665" customFormat="false" ht="15.75" hidden="false" customHeight="false" outlineLevel="0" collapsed="false">
      <c r="A3665" s="9"/>
      <c r="B3665" s="10"/>
      <c r="C3665" s="10"/>
      <c r="D3665" s="10"/>
      <c r="E3665" s="10"/>
      <c r="F3665" s="10"/>
      <c r="G3665" s="10"/>
      <c r="H3665" s="10"/>
      <c r="I3665" s="25" t="n">
        <v>4</v>
      </c>
      <c r="J3665" s="25"/>
      <c r="K3665" s="26"/>
      <c r="L3665" s="26"/>
      <c r="M3665" s="25"/>
      <c r="N3665" s="25"/>
      <c r="O3665" s="25"/>
      <c r="P3665" s="26"/>
      <c r="Q3665" s="26"/>
      <c r="R3665" s="25"/>
      <c r="S3665" s="25"/>
      <c r="T3665" s="25"/>
      <c r="U3665" s="27"/>
      <c r="V3665" s="21"/>
      <c r="W3665" s="16"/>
      <c r="X3665" s="16"/>
      <c r="Y3665" s="16"/>
    </row>
    <row r="3666" customFormat="false" ht="15.75" hidden="false" customHeight="false" outlineLevel="0" collapsed="false">
      <c r="A3666" s="9"/>
      <c r="B3666" s="10"/>
      <c r="C3666" s="11"/>
      <c r="D3666" s="10"/>
      <c r="E3666" s="10"/>
      <c r="F3666" s="10"/>
      <c r="G3666" s="10"/>
      <c r="H3666" s="10"/>
      <c r="I3666" s="12" t="n">
        <v>1</v>
      </c>
      <c r="J3666" s="12"/>
      <c r="K3666" s="13"/>
      <c r="L3666" s="13"/>
      <c r="M3666" s="12"/>
      <c r="N3666" s="12"/>
      <c r="O3666" s="12"/>
      <c r="P3666" s="13"/>
      <c r="Q3666" s="13"/>
      <c r="R3666" s="12"/>
      <c r="S3666" s="12"/>
      <c r="T3666" s="12"/>
      <c r="U3666" s="14"/>
      <c r="V3666" s="15"/>
      <c r="W3666" s="16" t="n">
        <f aca="false">A3666</f>
        <v>0</v>
      </c>
      <c r="X3666" s="17" t="e">
        <f aca="false">ifs(C3666="","",X3666="",NOW(),TRUE(),X3666)</f>
        <v>#VALUE!</v>
      </c>
      <c r="Y3666" s="17" t="e">
        <f aca="false">ifs(COUNTA(K3666:U3669)&lt;44,"",Y3666="",NOW(),TRUE(),Y3666)</f>
        <v>#VALUE!</v>
      </c>
    </row>
    <row r="3667" customFormat="false" ht="15.75" hidden="false" customHeight="false" outlineLevel="0" collapsed="false">
      <c r="A3667" s="9"/>
      <c r="B3667" s="10"/>
      <c r="C3667" s="10"/>
      <c r="D3667" s="10"/>
      <c r="E3667" s="10"/>
      <c r="F3667" s="10"/>
      <c r="G3667" s="10"/>
      <c r="H3667" s="10"/>
      <c r="I3667" s="18" t="n">
        <v>2</v>
      </c>
      <c r="J3667" s="18"/>
      <c r="K3667" s="19"/>
      <c r="L3667" s="19"/>
      <c r="M3667" s="18"/>
      <c r="N3667" s="18"/>
      <c r="O3667" s="18"/>
      <c r="P3667" s="19"/>
      <c r="Q3667" s="19"/>
      <c r="R3667" s="18"/>
      <c r="S3667" s="18"/>
      <c r="T3667" s="18"/>
      <c r="U3667" s="20"/>
      <c r="V3667" s="21"/>
      <c r="W3667" s="16"/>
      <c r="X3667" s="16"/>
      <c r="Y3667" s="16"/>
    </row>
    <row r="3668" customFormat="false" ht="15.75" hidden="false" customHeight="false" outlineLevel="0" collapsed="false">
      <c r="A3668" s="9"/>
      <c r="B3668" s="10"/>
      <c r="C3668" s="10"/>
      <c r="D3668" s="10"/>
      <c r="E3668" s="10"/>
      <c r="F3668" s="10"/>
      <c r="G3668" s="10"/>
      <c r="H3668" s="10"/>
      <c r="I3668" s="22" t="n">
        <v>3</v>
      </c>
      <c r="J3668" s="22"/>
      <c r="K3668" s="23"/>
      <c r="L3668" s="23"/>
      <c r="M3668" s="22"/>
      <c r="N3668" s="22"/>
      <c r="O3668" s="22"/>
      <c r="P3668" s="23"/>
      <c r="Q3668" s="23"/>
      <c r="R3668" s="22"/>
      <c r="S3668" s="22"/>
      <c r="T3668" s="22"/>
      <c r="U3668" s="24"/>
      <c r="V3668" s="15"/>
      <c r="W3668" s="16"/>
      <c r="X3668" s="16"/>
      <c r="Y3668" s="16"/>
    </row>
    <row r="3669" customFormat="false" ht="15.75" hidden="false" customHeight="false" outlineLevel="0" collapsed="false">
      <c r="A3669" s="9"/>
      <c r="B3669" s="10"/>
      <c r="C3669" s="10"/>
      <c r="D3669" s="10"/>
      <c r="E3669" s="10"/>
      <c r="F3669" s="10"/>
      <c r="G3669" s="10"/>
      <c r="H3669" s="10"/>
      <c r="I3669" s="25" t="n">
        <v>4</v>
      </c>
      <c r="J3669" s="25"/>
      <c r="K3669" s="26"/>
      <c r="L3669" s="26"/>
      <c r="M3669" s="25"/>
      <c r="N3669" s="25"/>
      <c r="O3669" s="25"/>
      <c r="P3669" s="26"/>
      <c r="Q3669" s="26"/>
      <c r="R3669" s="25"/>
      <c r="S3669" s="25"/>
      <c r="T3669" s="25"/>
      <c r="U3669" s="27"/>
      <c r="V3669" s="21"/>
      <c r="W3669" s="16"/>
      <c r="X3669" s="16"/>
      <c r="Y3669" s="16"/>
    </row>
    <row r="3670" customFormat="false" ht="15.75" hidden="false" customHeight="false" outlineLevel="0" collapsed="false">
      <c r="A3670" s="9"/>
      <c r="B3670" s="10"/>
      <c r="C3670" s="11"/>
      <c r="D3670" s="10"/>
      <c r="E3670" s="10"/>
      <c r="F3670" s="10"/>
      <c r="G3670" s="10"/>
      <c r="H3670" s="10"/>
      <c r="I3670" s="12" t="n">
        <v>1</v>
      </c>
      <c r="J3670" s="12"/>
      <c r="K3670" s="13"/>
      <c r="L3670" s="13"/>
      <c r="M3670" s="12"/>
      <c r="N3670" s="12"/>
      <c r="O3670" s="12"/>
      <c r="P3670" s="13"/>
      <c r="Q3670" s="13"/>
      <c r="R3670" s="12"/>
      <c r="S3670" s="12"/>
      <c r="T3670" s="12"/>
      <c r="U3670" s="14"/>
      <c r="V3670" s="15"/>
      <c r="W3670" s="16" t="n">
        <f aca="false">A3670</f>
        <v>0</v>
      </c>
      <c r="X3670" s="17" t="e">
        <f aca="false">ifs(C3670="","",X3670="",NOW(),TRUE(),X3670)</f>
        <v>#VALUE!</v>
      </c>
      <c r="Y3670" s="17" t="e">
        <f aca="false">ifs(COUNTA(K3670:U3673)&lt;44,"",Y3670="",NOW(),TRUE(),Y3670)</f>
        <v>#VALUE!</v>
      </c>
    </row>
    <row r="3671" customFormat="false" ht="15.75" hidden="false" customHeight="false" outlineLevel="0" collapsed="false">
      <c r="A3671" s="9"/>
      <c r="B3671" s="10"/>
      <c r="C3671" s="10"/>
      <c r="D3671" s="10"/>
      <c r="E3671" s="10"/>
      <c r="F3671" s="10"/>
      <c r="G3671" s="10"/>
      <c r="H3671" s="10"/>
      <c r="I3671" s="18" t="n">
        <v>2</v>
      </c>
      <c r="J3671" s="18"/>
      <c r="K3671" s="19"/>
      <c r="L3671" s="19"/>
      <c r="M3671" s="18"/>
      <c r="N3671" s="18"/>
      <c r="O3671" s="18"/>
      <c r="P3671" s="19"/>
      <c r="Q3671" s="19"/>
      <c r="R3671" s="18"/>
      <c r="S3671" s="18"/>
      <c r="T3671" s="18"/>
      <c r="U3671" s="20"/>
      <c r="V3671" s="21"/>
      <c r="W3671" s="16"/>
      <c r="X3671" s="16"/>
      <c r="Y3671" s="16"/>
    </row>
    <row r="3672" customFormat="false" ht="15.75" hidden="false" customHeight="false" outlineLevel="0" collapsed="false">
      <c r="A3672" s="9"/>
      <c r="B3672" s="10"/>
      <c r="C3672" s="10"/>
      <c r="D3672" s="10"/>
      <c r="E3672" s="10"/>
      <c r="F3672" s="10"/>
      <c r="G3672" s="10"/>
      <c r="H3672" s="10"/>
      <c r="I3672" s="22" t="n">
        <v>3</v>
      </c>
      <c r="J3672" s="22"/>
      <c r="K3672" s="23"/>
      <c r="L3672" s="23"/>
      <c r="M3672" s="22"/>
      <c r="N3672" s="22"/>
      <c r="O3672" s="22"/>
      <c r="P3672" s="23"/>
      <c r="Q3672" s="23"/>
      <c r="R3672" s="22"/>
      <c r="S3672" s="22"/>
      <c r="T3672" s="22"/>
      <c r="U3672" s="24"/>
      <c r="V3672" s="15"/>
      <c r="W3672" s="16"/>
      <c r="X3672" s="16"/>
      <c r="Y3672" s="16"/>
    </row>
    <row r="3673" customFormat="false" ht="15.75" hidden="false" customHeight="false" outlineLevel="0" collapsed="false">
      <c r="A3673" s="9"/>
      <c r="B3673" s="10"/>
      <c r="C3673" s="10"/>
      <c r="D3673" s="10"/>
      <c r="E3673" s="10"/>
      <c r="F3673" s="10"/>
      <c r="G3673" s="10"/>
      <c r="H3673" s="10"/>
      <c r="I3673" s="25" t="n">
        <v>4</v>
      </c>
      <c r="J3673" s="25"/>
      <c r="K3673" s="26"/>
      <c r="L3673" s="26"/>
      <c r="M3673" s="25"/>
      <c r="N3673" s="25"/>
      <c r="O3673" s="25"/>
      <c r="P3673" s="26"/>
      <c r="Q3673" s="26"/>
      <c r="R3673" s="25"/>
      <c r="S3673" s="25"/>
      <c r="T3673" s="25"/>
      <c r="U3673" s="27"/>
      <c r="V3673" s="21"/>
      <c r="W3673" s="16"/>
      <c r="X3673" s="16"/>
      <c r="Y3673" s="16"/>
    </row>
    <row r="3674" customFormat="false" ht="15.75" hidden="false" customHeight="false" outlineLevel="0" collapsed="false">
      <c r="A3674" s="9"/>
      <c r="B3674" s="10"/>
      <c r="C3674" s="11"/>
      <c r="D3674" s="10"/>
      <c r="E3674" s="10"/>
      <c r="F3674" s="10"/>
      <c r="G3674" s="10"/>
      <c r="H3674" s="10"/>
      <c r="I3674" s="12" t="n">
        <v>1</v>
      </c>
      <c r="J3674" s="12"/>
      <c r="K3674" s="13"/>
      <c r="L3674" s="13"/>
      <c r="M3674" s="12"/>
      <c r="N3674" s="12"/>
      <c r="O3674" s="12"/>
      <c r="P3674" s="13"/>
      <c r="Q3674" s="13"/>
      <c r="R3674" s="12"/>
      <c r="S3674" s="12"/>
      <c r="T3674" s="12"/>
      <c r="U3674" s="14"/>
      <c r="V3674" s="15"/>
      <c r="W3674" s="16" t="n">
        <f aca="false">A3674</f>
        <v>0</v>
      </c>
      <c r="X3674" s="17" t="e">
        <f aca="false">ifs(C3674="","",X3674="",NOW(),TRUE(),X3674)</f>
        <v>#VALUE!</v>
      </c>
      <c r="Y3674" s="17" t="e">
        <f aca="false">ifs(COUNTA(K3674:U3677)&lt;44,"",Y3674="",NOW(),TRUE(),Y3674)</f>
        <v>#VALUE!</v>
      </c>
    </row>
    <row r="3675" customFormat="false" ht="15.75" hidden="false" customHeight="false" outlineLevel="0" collapsed="false">
      <c r="A3675" s="9"/>
      <c r="B3675" s="10"/>
      <c r="C3675" s="10"/>
      <c r="D3675" s="10"/>
      <c r="E3675" s="10"/>
      <c r="F3675" s="10"/>
      <c r="G3675" s="10"/>
      <c r="H3675" s="10"/>
      <c r="I3675" s="18" t="n">
        <v>2</v>
      </c>
      <c r="J3675" s="18"/>
      <c r="K3675" s="19"/>
      <c r="L3675" s="19"/>
      <c r="M3675" s="18"/>
      <c r="N3675" s="18"/>
      <c r="O3675" s="18"/>
      <c r="P3675" s="19"/>
      <c r="Q3675" s="19"/>
      <c r="R3675" s="18"/>
      <c r="S3675" s="18"/>
      <c r="T3675" s="18"/>
      <c r="U3675" s="20"/>
      <c r="V3675" s="21"/>
      <c r="W3675" s="16"/>
      <c r="X3675" s="16"/>
      <c r="Y3675" s="16"/>
    </row>
    <row r="3676" customFormat="false" ht="15.75" hidden="false" customHeight="false" outlineLevel="0" collapsed="false">
      <c r="A3676" s="9"/>
      <c r="B3676" s="10"/>
      <c r="C3676" s="10"/>
      <c r="D3676" s="10"/>
      <c r="E3676" s="10"/>
      <c r="F3676" s="10"/>
      <c r="G3676" s="10"/>
      <c r="H3676" s="10"/>
      <c r="I3676" s="22" t="n">
        <v>3</v>
      </c>
      <c r="J3676" s="22"/>
      <c r="K3676" s="23"/>
      <c r="L3676" s="23"/>
      <c r="M3676" s="22"/>
      <c r="N3676" s="22"/>
      <c r="O3676" s="22"/>
      <c r="P3676" s="23"/>
      <c r="Q3676" s="23"/>
      <c r="R3676" s="22"/>
      <c r="S3676" s="22"/>
      <c r="T3676" s="22"/>
      <c r="U3676" s="24"/>
      <c r="V3676" s="15"/>
      <c r="W3676" s="16"/>
      <c r="X3676" s="16"/>
      <c r="Y3676" s="16"/>
    </row>
    <row r="3677" customFormat="false" ht="15.75" hidden="false" customHeight="false" outlineLevel="0" collapsed="false">
      <c r="A3677" s="9"/>
      <c r="B3677" s="10"/>
      <c r="C3677" s="10"/>
      <c r="D3677" s="10"/>
      <c r="E3677" s="10"/>
      <c r="F3677" s="10"/>
      <c r="G3677" s="10"/>
      <c r="H3677" s="10"/>
      <c r="I3677" s="25" t="n">
        <v>4</v>
      </c>
      <c r="J3677" s="25"/>
      <c r="K3677" s="26"/>
      <c r="L3677" s="26"/>
      <c r="M3677" s="25"/>
      <c r="N3677" s="25"/>
      <c r="O3677" s="25"/>
      <c r="P3677" s="26"/>
      <c r="Q3677" s="26"/>
      <c r="R3677" s="25"/>
      <c r="S3677" s="25"/>
      <c r="T3677" s="25"/>
      <c r="U3677" s="27"/>
      <c r="V3677" s="21"/>
      <c r="W3677" s="16"/>
      <c r="X3677" s="16"/>
      <c r="Y3677" s="16"/>
    </row>
    <row r="3678" customFormat="false" ht="15.75" hidden="false" customHeight="false" outlineLevel="0" collapsed="false">
      <c r="A3678" s="9"/>
      <c r="B3678" s="10"/>
      <c r="C3678" s="11"/>
      <c r="D3678" s="10"/>
      <c r="E3678" s="10"/>
      <c r="F3678" s="10"/>
      <c r="G3678" s="10"/>
      <c r="H3678" s="10"/>
      <c r="I3678" s="12" t="n">
        <v>1</v>
      </c>
      <c r="J3678" s="12"/>
      <c r="K3678" s="13"/>
      <c r="L3678" s="13"/>
      <c r="M3678" s="12"/>
      <c r="N3678" s="12"/>
      <c r="O3678" s="12"/>
      <c r="P3678" s="13"/>
      <c r="Q3678" s="13"/>
      <c r="R3678" s="12"/>
      <c r="S3678" s="12"/>
      <c r="T3678" s="12"/>
      <c r="U3678" s="14"/>
      <c r="V3678" s="15"/>
      <c r="W3678" s="16" t="n">
        <f aca="false">A3678</f>
        <v>0</v>
      </c>
      <c r="X3678" s="17" t="e">
        <f aca="false">ifs(C3678="","",X3678="",NOW(),TRUE(),X3678)</f>
        <v>#VALUE!</v>
      </c>
      <c r="Y3678" s="17" t="e">
        <f aca="false">ifs(COUNTA(K3678:U3681)&lt;44,"",Y3678="",NOW(),TRUE(),Y3678)</f>
        <v>#VALUE!</v>
      </c>
    </row>
    <row r="3679" customFormat="false" ht="15.75" hidden="false" customHeight="false" outlineLevel="0" collapsed="false">
      <c r="A3679" s="9"/>
      <c r="B3679" s="10"/>
      <c r="C3679" s="10"/>
      <c r="D3679" s="10"/>
      <c r="E3679" s="10"/>
      <c r="F3679" s="10"/>
      <c r="G3679" s="10"/>
      <c r="H3679" s="10"/>
      <c r="I3679" s="18" t="n">
        <v>2</v>
      </c>
      <c r="J3679" s="18"/>
      <c r="K3679" s="19"/>
      <c r="L3679" s="19"/>
      <c r="M3679" s="18"/>
      <c r="N3679" s="18"/>
      <c r="O3679" s="18"/>
      <c r="P3679" s="19"/>
      <c r="Q3679" s="19"/>
      <c r="R3679" s="18"/>
      <c r="S3679" s="18"/>
      <c r="T3679" s="18"/>
      <c r="U3679" s="20"/>
      <c r="V3679" s="21"/>
      <c r="W3679" s="16"/>
      <c r="X3679" s="16"/>
      <c r="Y3679" s="16"/>
    </row>
    <row r="3680" customFormat="false" ht="15.75" hidden="false" customHeight="false" outlineLevel="0" collapsed="false">
      <c r="A3680" s="9"/>
      <c r="B3680" s="10"/>
      <c r="C3680" s="10"/>
      <c r="D3680" s="10"/>
      <c r="E3680" s="10"/>
      <c r="F3680" s="10"/>
      <c r="G3680" s="10"/>
      <c r="H3680" s="10"/>
      <c r="I3680" s="22" t="n">
        <v>3</v>
      </c>
      <c r="J3680" s="22"/>
      <c r="K3680" s="23"/>
      <c r="L3680" s="23"/>
      <c r="M3680" s="22"/>
      <c r="N3680" s="22"/>
      <c r="O3680" s="22"/>
      <c r="P3680" s="23"/>
      <c r="Q3680" s="23"/>
      <c r="R3680" s="22"/>
      <c r="S3680" s="22"/>
      <c r="T3680" s="22"/>
      <c r="U3680" s="24"/>
      <c r="V3680" s="15"/>
      <c r="W3680" s="16"/>
      <c r="X3680" s="16"/>
      <c r="Y3680" s="16"/>
    </row>
    <row r="3681" customFormat="false" ht="15.75" hidden="false" customHeight="false" outlineLevel="0" collapsed="false">
      <c r="A3681" s="9"/>
      <c r="B3681" s="10"/>
      <c r="C3681" s="10"/>
      <c r="D3681" s="10"/>
      <c r="E3681" s="10"/>
      <c r="F3681" s="10"/>
      <c r="G3681" s="10"/>
      <c r="H3681" s="10"/>
      <c r="I3681" s="25" t="n">
        <v>4</v>
      </c>
      <c r="J3681" s="25"/>
      <c r="K3681" s="26"/>
      <c r="L3681" s="26"/>
      <c r="M3681" s="25"/>
      <c r="N3681" s="25"/>
      <c r="O3681" s="25"/>
      <c r="P3681" s="26"/>
      <c r="Q3681" s="26"/>
      <c r="R3681" s="25"/>
      <c r="S3681" s="25"/>
      <c r="T3681" s="25"/>
      <c r="U3681" s="27"/>
      <c r="V3681" s="21"/>
      <c r="W3681" s="16"/>
      <c r="X3681" s="16"/>
      <c r="Y3681" s="16"/>
    </row>
    <row r="3682" customFormat="false" ht="15.75" hidden="false" customHeight="false" outlineLevel="0" collapsed="false">
      <c r="A3682" s="9"/>
      <c r="B3682" s="10"/>
      <c r="C3682" s="11"/>
      <c r="D3682" s="10"/>
      <c r="E3682" s="10"/>
      <c r="F3682" s="10"/>
      <c r="G3682" s="10"/>
      <c r="H3682" s="10"/>
      <c r="I3682" s="12" t="n">
        <v>1</v>
      </c>
      <c r="J3682" s="12"/>
      <c r="K3682" s="13"/>
      <c r="L3682" s="13"/>
      <c r="M3682" s="12"/>
      <c r="N3682" s="12"/>
      <c r="O3682" s="12"/>
      <c r="P3682" s="13"/>
      <c r="Q3682" s="13"/>
      <c r="R3682" s="12"/>
      <c r="S3682" s="12"/>
      <c r="T3682" s="12"/>
      <c r="U3682" s="14"/>
      <c r="V3682" s="15"/>
      <c r="W3682" s="16" t="n">
        <f aca="false">A3682</f>
        <v>0</v>
      </c>
      <c r="X3682" s="17" t="e">
        <f aca="false">ifs(C3682="","",X3682="",NOW(),TRUE(),X3682)</f>
        <v>#VALUE!</v>
      </c>
      <c r="Y3682" s="17" t="e">
        <f aca="false">ifs(COUNTA(K3682:U3685)&lt;44,"",Y3682="",NOW(),TRUE(),Y3682)</f>
        <v>#VALUE!</v>
      </c>
    </row>
    <row r="3683" customFormat="false" ht="15.75" hidden="false" customHeight="false" outlineLevel="0" collapsed="false">
      <c r="A3683" s="9"/>
      <c r="B3683" s="10"/>
      <c r="C3683" s="10"/>
      <c r="D3683" s="10"/>
      <c r="E3683" s="10"/>
      <c r="F3683" s="10"/>
      <c r="G3683" s="10"/>
      <c r="H3683" s="10"/>
      <c r="I3683" s="18" t="n">
        <v>2</v>
      </c>
      <c r="J3683" s="18"/>
      <c r="K3683" s="19"/>
      <c r="L3683" s="19"/>
      <c r="M3683" s="18"/>
      <c r="N3683" s="18"/>
      <c r="O3683" s="18"/>
      <c r="P3683" s="19"/>
      <c r="Q3683" s="19"/>
      <c r="R3683" s="18"/>
      <c r="S3683" s="18"/>
      <c r="T3683" s="18"/>
      <c r="U3683" s="20"/>
      <c r="V3683" s="21"/>
      <c r="W3683" s="16"/>
      <c r="X3683" s="16"/>
      <c r="Y3683" s="16"/>
    </row>
    <row r="3684" customFormat="false" ht="15.75" hidden="false" customHeight="false" outlineLevel="0" collapsed="false">
      <c r="A3684" s="9"/>
      <c r="B3684" s="10"/>
      <c r="C3684" s="10"/>
      <c r="D3684" s="10"/>
      <c r="E3684" s="10"/>
      <c r="F3684" s="10"/>
      <c r="G3684" s="10"/>
      <c r="H3684" s="10"/>
      <c r="I3684" s="22" t="n">
        <v>3</v>
      </c>
      <c r="J3684" s="22"/>
      <c r="K3684" s="23"/>
      <c r="L3684" s="23"/>
      <c r="M3684" s="22"/>
      <c r="N3684" s="22"/>
      <c r="O3684" s="22"/>
      <c r="P3684" s="23"/>
      <c r="Q3684" s="23"/>
      <c r="R3684" s="22"/>
      <c r="S3684" s="22"/>
      <c r="T3684" s="22"/>
      <c r="U3684" s="24"/>
      <c r="V3684" s="15"/>
      <c r="W3684" s="16"/>
      <c r="X3684" s="16"/>
      <c r="Y3684" s="16"/>
    </row>
    <row r="3685" customFormat="false" ht="15.75" hidden="false" customHeight="false" outlineLevel="0" collapsed="false">
      <c r="A3685" s="9"/>
      <c r="B3685" s="10"/>
      <c r="C3685" s="10"/>
      <c r="D3685" s="10"/>
      <c r="E3685" s="10"/>
      <c r="F3685" s="10"/>
      <c r="G3685" s="10"/>
      <c r="H3685" s="10"/>
      <c r="I3685" s="25" t="n">
        <v>4</v>
      </c>
      <c r="J3685" s="25"/>
      <c r="K3685" s="26"/>
      <c r="L3685" s="26"/>
      <c r="M3685" s="25"/>
      <c r="N3685" s="25"/>
      <c r="O3685" s="25"/>
      <c r="P3685" s="26"/>
      <c r="Q3685" s="26"/>
      <c r="R3685" s="25"/>
      <c r="S3685" s="25"/>
      <c r="T3685" s="25"/>
      <c r="U3685" s="27"/>
      <c r="V3685" s="21"/>
      <c r="W3685" s="16"/>
      <c r="X3685" s="16"/>
      <c r="Y3685" s="16"/>
    </row>
    <row r="3686" customFormat="false" ht="15.75" hidden="false" customHeight="false" outlineLevel="0" collapsed="false">
      <c r="A3686" s="9"/>
      <c r="B3686" s="10"/>
      <c r="C3686" s="11"/>
      <c r="D3686" s="10"/>
      <c r="E3686" s="10"/>
      <c r="F3686" s="10"/>
      <c r="G3686" s="10"/>
      <c r="H3686" s="10"/>
      <c r="I3686" s="12" t="n">
        <v>1</v>
      </c>
      <c r="J3686" s="12"/>
      <c r="K3686" s="13"/>
      <c r="L3686" s="13"/>
      <c r="M3686" s="12"/>
      <c r="N3686" s="12"/>
      <c r="O3686" s="12"/>
      <c r="P3686" s="13"/>
      <c r="Q3686" s="13"/>
      <c r="R3686" s="12"/>
      <c r="S3686" s="12"/>
      <c r="T3686" s="12"/>
      <c r="U3686" s="14"/>
      <c r="V3686" s="15"/>
      <c r="W3686" s="16" t="n">
        <f aca="false">A3686</f>
        <v>0</v>
      </c>
      <c r="X3686" s="17" t="e">
        <f aca="false">ifs(C3686="","",X3686="",NOW(),TRUE(),X3686)</f>
        <v>#VALUE!</v>
      </c>
      <c r="Y3686" s="17" t="e">
        <f aca="false">ifs(COUNTA(K3686:U3689)&lt;44,"",Y3686="",NOW(),TRUE(),Y3686)</f>
        <v>#VALUE!</v>
      </c>
    </row>
    <row r="3687" customFormat="false" ht="15.75" hidden="false" customHeight="false" outlineLevel="0" collapsed="false">
      <c r="A3687" s="9"/>
      <c r="B3687" s="10"/>
      <c r="C3687" s="10"/>
      <c r="D3687" s="10"/>
      <c r="E3687" s="10"/>
      <c r="F3687" s="10"/>
      <c r="G3687" s="10"/>
      <c r="H3687" s="10"/>
      <c r="I3687" s="18" t="n">
        <v>2</v>
      </c>
      <c r="J3687" s="18"/>
      <c r="K3687" s="19"/>
      <c r="L3687" s="19"/>
      <c r="M3687" s="18"/>
      <c r="N3687" s="18"/>
      <c r="O3687" s="18"/>
      <c r="P3687" s="19"/>
      <c r="Q3687" s="19"/>
      <c r="R3687" s="18"/>
      <c r="S3687" s="18"/>
      <c r="T3687" s="18"/>
      <c r="U3687" s="20"/>
      <c r="V3687" s="21"/>
      <c r="W3687" s="16"/>
      <c r="X3687" s="16"/>
      <c r="Y3687" s="16"/>
    </row>
    <row r="3688" customFormat="false" ht="15.75" hidden="false" customHeight="false" outlineLevel="0" collapsed="false">
      <c r="A3688" s="9"/>
      <c r="B3688" s="10"/>
      <c r="C3688" s="10"/>
      <c r="D3688" s="10"/>
      <c r="E3688" s="10"/>
      <c r="F3688" s="10"/>
      <c r="G3688" s="10"/>
      <c r="H3688" s="10"/>
      <c r="I3688" s="22" t="n">
        <v>3</v>
      </c>
      <c r="J3688" s="22"/>
      <c r="K3688" s="23"/>
      <c r="L3688" s="23"/>
      <c r="M3688" s="22"/>
      <c r="N3688" s="22"/>
      <c r="O3688" s="22"/>
      <c r="P3688" s="23"/>
      <c r="Q3688" s="23"/>
      <c r="R3688" s="22"/>
      <c r="S3688" s="22"/>
      <c r="T3688" s="22"/>
      <c r="U3688" s="24"/>
      <c r="V3688" s="15"/>
      <c r="W3688" s="16"/>
      <c r="X3688" s="16"/>
      <c r="Y3688" s="16"/>
    </row>
    <row r="3689" customFormat="false" ht="15.75" hidden="false" customHeight="false" outlineLevel="0" collapsed="false">
      <c r="A3689" s="9"/>
      <c r="B3689" s="10"/>
      <c r="C3689" s="10"/>
      <c r="D3689" s="10"/>
      <c r="E3689" s="10"/>
      <c r="F3689" s="10"/>
      <c r="G3689" s="10"/>
      <c r="H3689" s="10"/>
      <c r="I3689" s="25" t="n">
        <v>4</v>
      </c>
      <c r="J3689" s="25"/>
      <c r="K3689" s="26"/>
      <c r="L3689" s="26"/>
      <c r="M3689" s="25"/>
      <c r="N3689" s="25"/>
      <c r="O3689" s="25"/>
      <c r="P3689" s="26"/>
      <c r="Q3689" s="26"/>
      <c r="R3689" s="25"/>
      <c r="S3689" s="25"/>
      <c r="T3689" s="25"/>
      <c r="U3689" s="27"/>
      <c r="V3689" s="21"/>
      <c r="W3689" s="16"/>
      <c r="X3689" s="16"/>
      <c r="Y3689" s="16"/>
    </row>
    <row r="3690" customFormat="false" ht="15.75" hidden="false" customHeight="false" outlineLevel="0" collapsed="false">
      <c r="A3690" s="9"/>
      <c r="B3690" s="10"/>
      <c r="C3690" s="11"/>
      <c r="D3690" s="10"/>
      <c r="E3690" s="10"/>
      <c r="F3690" s="10"/>
      <c r="G3690" s="10"/>
      <c r="H3690" s="10"/>
      <c r="I3690" s="12" t="n">
        <v>1</v>
      </c>
      <c r="J3690" s="12"/>
      <c r="K3690" s="13"/>
      <c r="L3690" s="13"/>
      <c r="M3690" s="12"/>
      <c r="N3690" s="12"/>
      <c r="O3690" s="12"/>
      <c r="P3690" s="13"/>
      <c r="Q3690" s="13"/>
      <c r="R3690" s="12"/>
      <c r="S3690" s="12"/>
      <c r="T3690" s="12"/>
      <c r="U3690" s="14"/>
      <c r="V3690" s="15"/>
      <c r="W3690" s="16" t="n">
        <f aca="false">A3690</f>
        <v>0</v>
      </c>
      <c r="X3690" s="17" t="e">
        <f aca="false">ifs(C3690="","",X3690="",NOW(),TRUE(),X3690)</f>
        <v>#VALUE!</v>
      </c>
      <c r="Y3690" s="17" t="e">
        <f aca="false">ifs(COUNTA(K3690:U3693)&lt;44,"",Y3690="",NOW(),TRUE(),Y3690)</f>
        <v>#VALUE!</v>
      </c>
    </row>
    <row r="3691" customFormat="false" ht="15.75" hidden="false" customHeight="false" outlineLevel="0" collapsed="false">
      <c r="A3691" s="9"/>
      <c r="B3691" s="10"/>
      <c r="C3691" s="10"/>
      <c r="D3691" s="10"/>
      <c r="E3691" s="10"/>
      <c r="F3691" s="10"/>
      <c r="G3691" s="10"/>
      <c r="H3691" s="10"/>
      <c r="I3691" s="18" t="n">
        <v>2</v>
      </c>
      <c r="J3691" s="18"/>
      <c r="K3691" s="19"/>
      <c r="L3691" s="19"/>
      <c r="M3691" s="18"/>
      <c r="N3691" s="18"/>
      <c r="O3691" s="18"/>
      <c r="P3691" s="19"/>
      <c r="Q3691" s="19"/>
      <c r="R3691" s="18"/>
      <c r="S3691" s="18"/>
      <c r="T3691" s="18"/>
      <c r="U3691" s="20"/>
      <c r="V3691" s="21"/>
      <c r="W3691" s="16"/>
      <c r="X3691" s="16"/>
      <c r="Y3691" s="16"/>
    </row>
    <row r="3692" customFormat="false" ht="15.75" hidden="false" customHeight="false" outlineLevel="0" collapsed="false">
      <c r="A3692" s="9"/>
      <c r="B3692" s="10"/>
      <c r="C3692" s="10"/>
      <c r="D3692" s="10"/>
      <c r="E3692" s="10"/>
      <c r="F3692" s="10"/>
      <c r="G3692" s="10"/>
      <c r="H3692" s="10"/>
      <c r="I3692" s="22" t="n">
        <v>3</v>
      </c>
      <c r="J3692" s="22"/>
      <c r="K3692" s="23"/>
      <c r="L3692" s="23"/>
      <c r="M3692" s="22"/>
      <c r="N3692" s="22"/>
      <c r="O3692" s="22"/>
      <c r="P3692" s="23"/>
      <c r="Q3692" s="23"/>
      <c r="R3692" s="22"/>
      <c r="S3692" s="22"/>
      <c r="T3692" s="22"/>
      <c r="U3692" s="24"/>
      <c r="V3692" s="15"/>
      <c r="W3692" s="16"/>
      <c r="X3692" s="16"/>
      <c r="Y3692" s="16"/>
    </row>
    <row r="3693" customFormat="false" ht="15.75" hidden="false" customHeight="false" outlineLevel="0" collapsed="false">
      <c r="A3693" s="9"/>
      <c r="B3693" s="10"/>
      <c r="C3693" s="10"/>
      <c r="D3693" s="10"/>
      <c r="E3693" s="10"/>
      <c r="F3693" s="10"/>
      <c r="G3693" s="10"/>
      <c r="H3693" s="10"/>
      <c r="I3693" s="25" t="n">
        <v>4</v>
      </c>
      <c r="J3693" s="25"/>
      <c r="K3693" s="26"/>
      <c r="L3693" s="26"/>
      <c r="M3693" s="25"/>
      <c r="N3693" s="25"/>
      <c r="O3693" s="25"/>
      <c r="P3693" s="26"/>
      <c r="Q3693" s="26"/>
      <c r="R3693" s="25"/>
      <c r="S3693" s="25"/>
      <c r="T3693" s="25"/>
      <c r="U3693" s="27"/>
      <c r="V3693" s="21"/>
      <c r="W3693" s="16"/>
      <c r="X3693" s="16"/>
      <c r="Y3693" s="16"/>
    </row>
    <row r="3694" customFormat="false" ht="15.75" hidden="false" customHeight="false" outlineLevel="0" collapsed="false">
      <c r="A3694" s="9"/>
      <c r="B3694" s="10"/>
      <c r="C3694" s="11"/>
      <c r="D3694" s="10"/>
      <c r="E3694" s="10"/>
      <c r="F3694" s="10"/>
      <c r="G3694" s="10"/>
      <c r="H3694" s="10"/>
      <c r="I3694" s="12" t="n">
        <v>1</v>
      </c>
      <c r="J3694" s="12"/>
      <c r="K3694" s="13"/>
      <c r="L3694" s="13"/>
      <c r="M3694" s="12"/>
      <c r="N3694" s="12"/>
      <c r="O3694" s="12"/>
      <c r="P3694" s="13"/>
      <c r="Q3694" s="13"/>
      <c r="R3694" s="12"/>
      <c r="S3694" s="12"/>
      <c r="T3694" s="12"/>
      <c r="U3694" s="14"/>
      <c r="V3694" s="15"/>
      <c r="W3694" s="16" t="n">
        <f aca="false">A3694</f>
        <v>0</v>
      </c>
      <c r="X3694" s="17" t="e">
        <f aca="false">ifs(C3694="","",X3694="",NOW(),TRUE(),X3694)</f>
        <v>#VALUE!</v>
      </c>
      <c r="Y3694" s="17" t="e">
        <f aca="false">ifs(COUNTA(K3694:U3697)&lt;44,"",Y3694="",NOW(),TRUE(),Y3694)</f>
        <v>#VALUE!</v>
      </c>
    </row>
    <row r="3695" customFormat="false" ht="15.75" hidden="false" customHeight="false" outlineLevel="0" collapsed="false">
      <c r="A3695" s="9"/>
      <c r="B3695" s="10"/>
      <c r="C3695" s="10"/>
      <c r="D3695" s="10"/>
      <c r="E3695" s="10"/>
      <c r="F3695" s="10"/>
      <c r="G3695" s="10"/>
      <c r="H3695" s="10"/>
      <c r="I3695" s="18" t="n">
        <v>2</v>
      </c>
      <c r="J3695" s="18"/>
      <c r="K3695" s="19"/>
      <c r="L3695" s="19"/>
      <c r="M3695" s="18"/>
      <c r="N3695" s="18"/>
      <c r="O3695" s="18"/>
      <c r="P3695" s="19"/>
      <c r="Q3695" s="19"/>
      <c r="R3695" s="18"/>
      <c r="S3695" s="18"/>
      <c r="T3695" s="18"/>
      <c r="U3695" s="20"/>
      <c r="V3695" s="21"/>
      <c r="W3695" s="16"/>
      <c r="X3695" s="16"/>
      <c r="Y3695" s="16"/>
    </row>
    <row r="3696" customFormat="false" ht="15.75" hidden="false" customHeight="false" outlineLevel="0" collapsed="false">
      <c r="A3696" s="9"/>
      <c r="B3696" s="10"/>
      <c r="C3696" s="10"/>
      <c r="D3696" s="10"/>
      <c r="E3696" s="10"/>
      <c r="F3696" s="10"/>
      <c r="G3696" s="10"/>
      <c r="H3696" s="10"/>
      <c r="I3696" s="22" t="n">
        <v>3</v>
      </c>
      <c r="J3696" s="22"/>
      <c r="K3696" s="23"/>
      <c r="L3696" s="23"/>
      <c r="M3696" s="22"/>
      <c r="N3696" s="22"/>
      <c r="O3696" s="22"/>
      <c r="P3696" s="23"/>
      <c r="Q3696" s="23"/>
      <c r="R3696" s="22"/>
      <c r="S3696" s="22"/>
      <c r="T3696" s="22"/>
      <c r="U3696" s="24"/>
      <c r="V3696" s="15"/>
      <c r="W3696" s="16"/>
      <c r="X3696" s="16"/>
      <c r="Y3696" s="16"/>
    </row>
    <row r="3697" customFormat="false" ht="15.75" hidden="false" customHeight="false" outlineLevel="0" collapsed="false">
      <c r="A3697" s="9"/>
      <c r="B3697" s="10"/>
      <c r="C3697" s="10"/>
      <c r="D3697" s="10"/>
      <c r="E3697" s="10"/>
      <c r="F3697" s="10"/>
      <c r="G3697" s="10"/>
      <c r="H3697" s="10"/>
      <c r="I3697" s="25" t="n">
        <v>4</v>
      </c>
      <c r="J3697" s="25"/>
      <c r="K3697" s="26"/>
      <c r="L3697" s="26"/>
      <c r="M3697" s="25"/>
      <c r="N3697" s="25"/>
      <c r="O3697" s="25"/>
      <c r="P3697" s="26"/>
      <c r="Q3697" s="26"/>
      <c r="R3697" s="25"/>
      <c r="S3697" s="25"/>
      <c r="T3697" s="25"/>
      <c r="U3697" s="27"/>
      <c r="V3697" s="21"/>
      <c r="W3697" s="16"/>
      <c r="X3697" s="16"/>
      <c r="Y3697" s="16"/>
    </row>
    <row r="3698" customFormat="false" ht="15.75" hidden="false" customHeight="false" outlineLevel="0" collapsed="false">
      <c r="A3698" s="9"/>
      <c r="B3698" s="10"/>
      <c r="C3698" s="11"/>
      <c r="D3698" s="10"/>
      <c r="E3698" s="10"/>
      <c r="F3698" s="10"/>
      <c r="G3698" s="10"/>
      <c r="H3698" s="10"/>
      <c r="I3698" s="12" t="n">
        <v>1</v>
      </c>
      <c r="J3698" s="12"/>
      <c r="K3698" s="13"/>
      <c r="L3698" s="13"/>
      <c r="M3698" s="12"/>
      <c r="N3698" s="12"/>
      <c r="O3698" s="12"/>
      <c r="P3698" s="13"/>
      <c r="Q3698" s="13"/>
      <c r="R3698" s="12"/>
      <c r="S3698" s="12"/>
      <c r="T3698" s="12"/>
      <c r="U3698" s="14"/>
      <c r="V3698" s="15"/>
      <c r="W3698" s="16" t="n">
        <f aca="false">A3698</f>
        <v>0</v>
      </c>
      <c r="X3698" s="17" t="e">
        <f aca="false">ifs(C3698="","",X3698="",NOW(),TRUE(),X3698)</f>
        <v>#VALUE!</v>
      </c>
      <c r="Y3698" s="17" t="e">
        <f aca="false">ifs(COUNTA(K3698:U3701)&lt;44,"",Y3698="",NOW(),TRUE(),Y3698)</f>
        <v>#VALUE!</v>
      </c>
    </row>
    <row r="3699" customFormat="false" ht="15.75" hidden="false" customHeight="false" outlineLevel="0" collapsed="false">
      <c r="A3699" s="9"/>
      <c r="B3699" s="10"/>
      <c r="C3699" s="10"/>
      <c r="D3699" s="10"/>
      <c r="E3699" s="10"/>
      <c r="F3699" s="10"/>
      <c r="G3699" s="10"/>
      <c r="H3699" s="10"/>
      <c r="I3699" s="18" t="n">
        <v>2</v>
      </c>
      <c r="J3699" s="18"/>
      <c r="K3699" s="19"/>
      <c r="L3699" s="19"/>
      <c r="M3699" s="18"/>
      <c r="N3699" s="18"/>
      <c r="O3699" s="18"/>
      <c r="P3699" s="19"/>
      <c r="Q3699" s="19"/>
      <c r="R3699" s="18"/>
      <c r="S3699" s="18"/>
      <c r="T3699" s="18"/>
      <c r="U3699" s="20"/>
      <c r="V3699" s="21"/>
      <c r="W3699" s="16"/>
      <c r="X3699" s="16"/>
      <c r="Y3699" s="16"/>
    </row>
    <row r="3700" customFormat="false" ht="15.75" hidden="false" customHeight="false" outlineLevel="0" collapsed="false">
      <c r="A3700" s="9"/>
      <c r="B3700" s="10"/>
      <c r="C3700" s="10"/>
      <c r="D3700" s="10"/>
      <c r="E3700" s="10"/>
      <c r="F3700" s="10"/>
      <c r="G3700" s="10"/>
      <c r="H3700" s="10"/>
      <c r="I3700" s="22" t="n">
        <v>3</v>
      </c>
      <c r="J3700" s="22"/>
      <c r="K3700" s="23"/>
      <c r="L3700" s="23"/>
      <c r="M3700" s="22"/>
      <c r="N3700" s="22"/>
      <c r="O3700" s="22"/>
      <c r="P3700" s="23"/>
      <c r="Q3700" s="23"/>
      <c r="R3700" s="22"/>
      <c r="S3700" s="22"/>
      <c r="T3700" s="22"/>
      <c r="U3700" s="24"/>
      <c r="V3700" s="15"/>
      <c r="W3700" s="16"/>
      <c r="X3700" s="16"/>
      <c r="Y3700" s="16"/>
    </row>
    <row r="3701" customFormat="false" ht="15.75" hidden="false" customHeight="false" outlineLevel="0" collapsed="false">
      <c r="A3701" s="9"/>
      <c r="B3701" s="10"/>
      <c r="C3701" s="10"/>
      <c r="D3701" s="10"/>
      <c r="E3701" s="10"/>
      <c r="F3701" s="10"/>
      <c r="G3701" s="10"/>
      <c r="H3701" s="10"/>
      <c r="I3701" s="25" t="n">
        <v>4</v>
      </c>
      <c r="J3701" s="25"/>
      <c r="K3701" s="26"/>
      <c r="L3701" s="26"/>
      <c r="M3701" s="25"/>
      <c r="N3701" s="25"/>
      <c r="O3701" s="25"/>
      <c r="P3701" s="26"/>
      <c r="Q3701" s="26"/>
      <c r="R3701" s="25"/>
      <c r="S3701" s="25"/>
      <c r="T3701" s="25"/>
      <c r="U3701" s="27"/>
      <c r="V3701" s="21"/>
      <c r="W3701" s="16"/>
      <c r="X3701" s="16"/>
      <c r="Y3701" s="16"/>
    </row>
    <row r="3702" customFormat="false" ht="15.75" hidden="false" customHeight="false" outlineLevel="0" collapsed="false">
      <c r="A3702" s="9"/>
      <c r="B3702" s="10"/>
      <c r="C3702" s="11"/>
      <c r="D3702" s="10"/>
      <c r="E3702" s="10"/>
      <c r="F3702" s="10"/>
      <c r="G3702" s="10"/>
      <c r="H3702" s="10"/>
      <c r="I3702" s="12" t="n">
        <v>1</v>
      </c>
      <c r="J3702" s="12"/>
      <c r="K3702" s="13"/>
      <c r="L3702" s="13"/>
      <c r="M3702" s="12"/>
      <c r="N3702" s="12"/>
      <c r="O3702" s="12"/>
      <c r="P3702" s="13"/>
      <c r="Q3702" s="13"/>
      <c r="R3702" s="12"/>
      <c r="S3702" s="12"/>
      <c r="T3702" s="12"/>
      <c r="U3702" s="14"/>
      <c r="V3702" s="15"/>
      <c r="W3702" s="16" t="n">
        <f aca="false">A3702</f>
        <v>0</v>
      </c>
      <c r="X3702" s="17" t="e">
        <f aca="false">ifs(C3702="","",X3702="",NOW(),TRUE(),X3702)</f>
        <v>#VALUE!</v>
      </c>
      <c r="Y3702" s="17" t="e">
        <f aca="false">ifs(COUNTA(K3702:U3705)&lt;44,"",Y3702="",NOW(),TRUE(),Y3702)</f>
        <v>#VALUE!</v>
      </c>
    </row>
    <row r="3703" customFormat="false" ht="15.75" hidden="false" customHeight="false" outlineLevel="0" collapsed="false">
      <c r="A3703" s="9"/>
      <c r="B3703" s="10"/>
      <c r="C3703" s="10"/>
      <c r="D3703" s="10"/>
      <c r="E3703" s="10"/>
      <c r="F3703" s="10"/>
      <c r="G3703" s="10"/>
      <c r="H3703" s="10"/>
      <c r="I3703" s="18" t="n">
        <v>2</v>
      </c>
      <c r="J3703" s="18"/>
      <c r="K3703" s="19"/>
      <c r="L3703" s="19"/>
      <c r="M3703" s="18"/>
      <c r="N3703" s="18"/>
      <c r="O3703" s="18"/>
      <c r="P3703" s="19"/>
      <c r="Q3703" s="19"/>
      <c r="R3703" s="18"/>
      <c r="S3703" s="18"/>
      <c r="T3703" s="18"/>
      <c r="U3703" s="20"/>
      <c r="V3703" s="21"/>
      <c r="W3703" s="16"/>
      <c r="X3703" s="16"/>
      <c r="Y3703" s="16"/>
    </row>
    <row r="3704" customFormat="false" ht="15.75" hidden="false" customHeight="false" outlineLevel="0" collapsed="false">
      <c r="A3704" s="9"/>
      <c r="B3704" s="10"/>
      <c r="C3704" s="10"/>
      <c r="D3704" s="10"/>
      <c r="E3704" s="10"/>
      <c r="F3704" s="10"/>
      <c r="G3704" s="10"/>
      <c r="H3704" s="10"/>
      <c r="I3704" s="22" t="n">
        <v>3</v>
      </c>
      <c r="J3704" s="22"/>
      <c r="K3704" s="23"/>
      <c r="L3704" s="23"/>
      <c r="M3704" s="22"/>
      <c r="N3704" s="22"/>
      <c r="O3704" s="22"/>
      <c r="P3704" s="23"/>
      <c r="Q3704" s="23"/>
      <c r="R3704" s="22"/>
      <c r="S3704" s="22"/>
      <c r="T3704" s="22"/>
      <c r="U3704" s="24"/>
      <c r="V3704" s="15"/>
      <c r="W3704" s="16"/>
      <c r="X3704" s="16"/>
      <c r="Y3704" s="16"/>
    </row>
    <row r="3705" customFormat="false" ht="15.75" hidden="false" customHeight="false" outlineLevel="0" collapsed="false">
      <c r="A3705" s="9"/>
      <c r="B3705" s="10"/>
      <c r="C3705" s="10"/>
      <c r="D3705" s="10"/>
      <c r="E3705" s="10"/>
      <c r="F3705" s="10"/>
      <c r="G3705" s="10"/>
      <c r="H3705" s="10"/>
      <c r="I3705" s="25" t="n">
        <v>4</v>
      </c>
      <c r="J3705" s="25"/>
      <c r="K3705" s="26"/>
      <c r="L3705" s="26"/>
      <c r="M3705" s="25"/>
      <c r="N3705" s="25"/>
      <c r="O3705" s="25"/>
      <c r="P3705" s="26"/>
      <c r="Q3705" s="26"/>
      <c r="R3705" s="25"/>
      <c r="S3705" s="25"/>
      <c r="T3705" s="25"/>
      <c r="U3705" s="27"/>
      <c r="V3705" s="21"/>
      <c r="W3705" s="16"/>
      <c r="X3705" s="16"/>
      <c r="Y3705" s="16"/>
    </row>
    <row r="3706" customFormat="false" ht="15.75" hidden="false" customHeight="false" outlineLevel="0" collapsed="false">
      <c r="A3706" s="9"/>
      <c r="B3706" s="10"/>
      <c r="C3706" s="11"/>
      <c r="D3706" s="10"/>
      <c r="E3706" s="10"/>
      <c r="F3706" s="10"/>
      <c r="G3706" s="10"/>
      <c r="H3706" s="10"/>
      <c r="I3706" s="12" t="n">
        <v>1</v>
      </c>
      <c r="J3706" s="12"/>
      <c r="K3706" s="13"/>
      <c r="L3706" s="13"/>
      <c r="M3706" s="12"/>
      <c r="N3706" s="12"/>
      <c r="O3706" s="12"/>
      <c r="P3706" s="13"/>
      <c r="Q3706" s="13"/>
      <c r="R3706" s="12"/>
      <c r="S3706" s="12"/>
      <c r="T3706" s="12"/>
      <c r="U3706" s="14"/>
      <c r="V3706" s="15"/>
      <c r="W3706" s="16" t="n">
        <f aca="false">A3706</f>
        <v>0</v>
      </c>
      <c r="X3706" s="17" t="e">
        <f aca="false">ifs(C3706="","",X3706="",NOW(),TRUE(),X3706)</f>
        <v>#VALUE!</v>
      </c>
      <c r="Y3706" s="17" t="e">
        <f aca="false">ifs(COUNTA(K3706:U3709)&lt;44,"",Y3706="",NOW(),TRUE(),Y3706)</f>
        <v>#VALUE!</v>
      </c>
    </row>
    <row r="3707" customFormat="false" ht="15.75" hidden="false" customHeight="false" outlineLevel="0" collapsed="false">
      <c r="A3707" s="9"/>
      <c r="B3707" s="10"/>
      <c r="C3707" s="10"/>
      <c r="D3707" s="10"/>
      <c r="E3707" s="10"/>
      <c r="F3707" s="10"/>
      <c r="G3707" s="10"/>
      <c r="H3707" s="10"/>
      <c r="I3707" s="18" t="n">
        <v>2</v>
      </c>
      <c r="J3707" s="18"/>
      <c r="K3707" s="19"/>
      <c r="L3707" s="19"/>
      <c r="M3707" s="18"/>
      <c r="N3707" s="18"/>
      <c r="O3707" s="18"/>
      <c r="P3707" s="19"/>
      <c r="Q3707" s="19"/>
      <c r="R3707" s="18"/>
      <c r="S3707" s="18"/>
      <c r="T3707" s="18"/>
      <c r="U3707" s="20"/>
      <c r="V3707" s="21"/>
      <c r="W3707" s="16"/>
      <c r="X3707" s="16"/>
      <c r="Y3707" s="16"/>
    </row>
    <row r="3708" customFormat="false" ht="15.75" hidden="false" customHeight="false" outlineLevel="0" collapsed="false">
      <c r="A3708" s="9"/>
      <c r="B3708" s="10"/>
      <c r="C3708" s="10"/>
      <c r="D3708" s="10"/>
      <c r="E3708" s="10"/>
      <c r="F3708" s="10"/>
      <c r="G3708" s="10"/>
      <c r="H3708" s="10"/>
      <c r="I3708" s="22" t="n">
        <v>3</v>
      </c>
      <c r="J3708" s="22"/>
      <c r="K3708" s="23"/>
      <c r="L3708" s="23"/>
      <c r="M3708" s="22"/>
      <c r="N3708" s="22"/>
      <c r="O3708" s="22"/>
      <c r="P3708" s="23"/>
      <c r="Q3708" s="23"/>
      <c r="R3708" s="22"/>
      <c r="S3708" s="22"/>
      <c r="T3708" s="22"/>
      <c r="U3708" s="24"/>
      <c r="V3708" s="15"/>
      <c r="W3708" s="16"/>
      <c r="X3708" s="16"/>
      <c r="Y3708" s="16"/>
    </row>
    <row r="3709" customFormat="false" ht="15.75" hidden="false" customHeight="false" outlineLevel="0" collapsed="false">
      <c r="A3709" s="9"/>
      <c r="B3709" s="10"/>
      <c r="C3709" s="10"/>
      <c r="D3709" s="10"/>
      <c r="E3709" s="10"/>
      <c r="F3709" s="10"/>
      <c r="G3709" s="10"/>
      <c r="H3709" s="10"/>
      <c r="I3709" s="25" t="n">
        <v>4</v>
      </c>
      <c r="J3709" s="25"/>
      <c r="K3709" s="26"/>
      <c r="L3709" s="26"/>
      <c r="M3709" s="25"/>
      <c r="N3709" s="25"/>
      <c r="O3709" s="25"/>
      <c r="P3709" s="26"/>
      <c r="Q3709" s="26"/>
      <c r="R3709" s="25"/>
      <c r="S3709" s="25"/>
      <c r="T3709" s="25"/>
      <c r="U3709" s="27"/>
      <c r="V3709" s="21"/>
      <c r="W3709" s="16"/>
      <c r="X3709" s="16"/>
      <c r="Y3709" s="16"/>
    </row>
    <row r="3710" customFormat="false" ht="15.75" hidden="false" customHeight="false" outlineLevel="0" collapsed="false">
      <c r="A3710" s="9"/>
      <c r="B3710" s="10"/>
      <c r="C3710" s="11"/>
      <c r="D3710" s="10"/>
      <c r="E3710" s="10"/>
      <c r="F3710" s="10"/>
      <c r="G3710" s="10"/>
      <c r="H3710" s="10"/>
      <c r="I3710" s="12" t="n">
        <v>1</v>
      </c>
      <c r="J3710" s="12"/>
      <c r="K3710" s="13"/>
      <c r="L3710" s="13"/>
      <c r="M3710" s="12"/>
      <c r="N3710" s="12"/>
      <c r="O3710" s="12"/>
      <c r="P3710" s="13"/>
      <c r="Q3710" s="13"/>
      <c r="R3710" s="12"/>
      <c r="S3710" s="12"/>
      <c r="T3710" s="12"/>
      <c r="U3710" s="14"/>
      <c r="V3710" s="15"/>
      <c r="W3710" s="16" t="n">
        <f aca="false">A3710</f>
        <v>0</v>
      </c>
      <c r="X3710" s="17" t="e">
        <f aca="false">ifs(C3710="","",X3710="",NOW(),TRUE(),X3710)</f>
        <v>#VALUE!</v>
      </c>
      <c r="Y3710" s="17" t="e">
        <f aca="false">ifs(COUNTA(K3710:U3713)&lt;44,"",Y3710="",NOW(),TRUE(),Y3710)</f>
        <v>#VALUE!</v>
      </c>
    </row>
    <row r="3711" customFormat="false" ht="15.75" hidden="false" customHeight="false" outlineLevel="0" collapsed="false">
      <c r="A3711" s="9"/>
      <c r="B3711" s="10"/>
      <c r="C3711" s="10"/>
      <c r="D3711" s="10"/>
      <c r="E3711" s="10"/>
      <c r="F3711" s="10"/>
      <c r="G3711" s="10"/>
      <c r="H3711" s="10"/>
      <c r="I3711" s="18" t="n">
        <v>2</v>
      </c>
      <c r="J3711" s="18"/>
      <c r="K3711" s="19"/>
      <c r="L3711" s="19"/>
      <c r="M3711" s="18"/>
      <c r="N3711" s="18"/>
      <c r="O3711" s="18"/>
      <c r="P3711" s="19"/>
      <c r="Q3711" s="19"/>
      <c r="R3711" s="18"/>
      <c r="S3711" s="18"/>
      <c r="T3711" s="18"/>
      <c r="U3711" s="20"/>
      <c r="V3711" s="21"/>
      <c r="W3711" s="16"/>
      <c r="X3711" s="16"/>
      <c r="Y3711" s="16"/>
    </row>
    <row r="3712" customFormat="false" ht="15.75" hidden="false" customHeight="false" outlineLevel="0" collapsed="false">
      <c r="A3712" s="9"/>
      <c r="B3712" s="10"/>
      <c r="C3712" s="10"/>
      <c r="D3712" s="10"/>
      <c r="E3712" s="10"/>
      <c r="F3712" s="10"/>
      <c r="G3712" s="10"/>
      <c r="H3712" s="10"/>
      <c r="I3712" s="22" t="n">
        <v>3</v>
      </c>
      <c r="J3712" s="22"/>
      <c r="K3712" s="23"/>
      <c r="L3712" s="23"/>
      <c r="M3712" s="22"/>
      <c r="N3712" s="22"/>
      <c r="O3712" s="22"/>
      <c r="P3712" s="23"/>
      <c r="Q3712" s="23"/>
      <c r="R3712" s="22"/>
      <c r="S3712" s="22"/>
      <c r="T3712" s="22"/>
      <c r="U3712" s="24"/>
      <c r="V3712" s="15"/>
      <c r="W3712" s="16"/>
      <c r="X3712" s="16"/>
      <c r="Y3712" s="16"/>
    </row>
    <row r="3713" customFormat="false" ht="15.75" hidden="false" customHeight="false" outlineLevel="0" collapsed="false">
      <c r="A3713" s="9"/>
      <c r="B3713" s="10"/>
      <c r="C3713" s="10"/>
      <c r="D3713" s="10"/>
      <c r="E3713" s="10"/>
      <c r="F3713" s="10"/>
      <c r="G3713" s="10"/>
      <c r="H3713" s="10"/>
      <c r="I3713" s="25" t="n">
        <v>4</v>
      </c>
      <c r="J3713" s="25"/>
      <c r="K3713" s="26"/>
      <c r="L3713" s="26"/>
      <c r="M3713" s="25"/>
      <c r="N3713" s="25"/>
      <c r="O3713" s="25"/>
      <c r="P3713" s="26"/>
      <c r="Q3713" s="26"/>
      <c r="R3713" s="25"/>
      <c r="S3713" s="25"/>
      <c r="T3713" s="25"/>
      <c r="U3713" s="27"/>
      <c r="V3713" s="21"/>
      <c r="W3713" s="16"/>
      <c r="X3713" s="16"/>
      <c r="Y3713" s="16"/>
    </row>
    <row r="3714" customFormat="false" ht="15.75" hidden="false" customHeight="false" outlineLevel="0" collapsed="false">
      <c r="A3714" s="9"/>
      <c r="B3714" s="10"/>
      <c r="C3714" s="11"/>
      <c r="D3714" s="10"/>
      <c r="E3714" s="10"/>
      <c r="F3714" s="10"/>
      <c r="G3714" s="10"/>
      <c r="H3714" s="10"/>
      <c r="I3714" s="12" t="n">
        <v>1</v>
      </c>
      <c r="J3714" s="12"/>
      <c r="K3714" s="13"/>
      <c r="L3714" s="13"/>
      <c r="M3714" s="12"/>
      <c r="N3714" s="12"/>
      <c r="O3714" s="12"/>
      <c r="P3714" s="13"/>
      <c r="Q3714" s="13"/>
      <c r="R3714" s="12"/>
      <c r="S3714" s="12"/>
      <c r="T3714" s="12"/>
      <c r="U3714" s="14"/>
      <c r="V3714" s="15"/>
      <c r="W3714" s="16" t="n">
        <f aca="false">A3714</f>
        <v>0</v>
      </c>
      <c r="X3714" s="17" t="e">
        <f aca="false">ifs(C3714="","",X3714="",NOW(),TRUE(),X3714)</f>
        <v>#VALUE!</v>
      </c>
      <c r="Y3714" s="17" t="e">
        <f aca="false">ifs(COUNTA(K3714:U3717)&lt;44,"",Y3714="",NOW(),TRUE(),Y3714)</f>
        <v>#VALUE!</v>
      </c>
    </row>
    <row r="3715" customFormat="false" ht="15.75" hidden="false" customHeight="false" outlineLevel="0" collapsed="false">
      <c r="A3715" s="9"/>
      <c r="B3715" s="10"/>
      <c r="C3715" s="10"/>
      <c r="D3715" s="10"/>
      <c r="E3715" s="10"/>
      <c r="F3715" s="10"/>
      <c r="G3715" s="10"/>
      <c r="H3715" s="10"/>
      <c r="I3715" s="18" t="n">
        <v>2</v>
      </c>
      <c r="J3715" s="18"/>
      <c r="K3715" s="19"/>
      <c r="L3715" s="19"/>
      <c r="M3715" s="18"/>
      <c r="N3715" s="18"/>
      <c r="O3715" s="18"/>
      <c r="P3715" s="19"/>
      <c r="Q3715" s="19"/>
      <c r="R3715" s="18"/>
      <c r="S3715" s="18"/>
      <c r="T3715" s="18"/>
      <c r="U3715" s="20"/>
      <c r="V3715" s="21"/>
      <c r="W3715" s="16"/>
      <c r="X3715" s="16"/>
      <c r="Y3715" s="16"/>
    </row>
    <row r="3716" customFormat="false" ht="15.75" hidden="false" customHeight="false" outlineLevel="0" collapsed="false">
      <c r="A3716" s="9"/>
      <c r="B3716" s="10"/>
      <c r="C3716" s="10"/>
      <c r="D3716" s="10"/>
      <c r="E3716" s="10"/>
      <c r="F3716" s="10"/>
      <c r="G3716" s="10"/>
      <c r="H3716" s="10"/>
      <c r="I3716" s="22" t="n">
        <v>3</v>
      </c>
      <c r="J3716" s="22"/>
      <c r="K3716" s="23"/>
      <c r="L3716" s="23"/>
      <c r="M3716" s="22"/>
      <c r="N3716" s="22"/>
      <c r="O3716" s="22"/>
      <c r="P3716" s="23"/>
      <c r="Q3716" s="23"/>
      <c r="R3716" s="22"/>
      <c r="S3716" s="22"/>
      <c r="T3716" s="22"/>
      <c r="U3716" s="24"/>
      <c r="V3716" s="15"/>
      <c r="W3716" s="16"/>
      <c r="X3716" s="16"/>
      <c r="Y3716" s="16"/>
    </row>
    <row r="3717" customFormat="false" ht="15.75" hidden="false" customHeight="false" outlineLevel="0" collapsed="false">
      <c r="A3717" s="9"/>
      <c r="B3717" s="10"/>
      <c r="C3717" s="10"/>
      <c r="D3717" s="10"/>
      <c r="E3717" s="10"/>
      <c r="F3717" s="10"/>
      <c r="G3717" s="10"/>
      <c r="H3717" s="10"/>
      <c r="I3717" s="25" t="n">
        <v>4</v>
      </c>
      <c r="J3717" s="25"/>
      <c r="K3717" s="26"/>
      <c r="L3717" s="26"/>
      <c r="M3717" s="25"/>
      <c r="N3717" s="25"/>
      <c r="O3717" s="25"/>
      <c r="P3717" s="26"/>
      <c r="Q3717" s="26"/>
      <c r="R3717" s="25"/>
      <c r="S3717" s="25"/>
      <c r="T3717" s="25"/>
      <c r="U3717" s="27"/>
      <c r="V3717" s="21"/>
      <c r="W3717" s="16"/>
      <c r="X3717" s="16"/>
      <c r="Y3717" s="16"/>
    </row>
    <row r="3718" customFormat="false" ht="15.75" hidden="false" customHeight="false" outlineLevel="0" collapsed="false">
      <c r="A3718" s="9"/>
      <c r="B3718" s="10"/>
      <c r="C3718" s="11"/>
      <c r="D3718" s="10"/>
      <c r="E3718" s="10"/>
      <c r="F3718" s="10"/>
      <c r="G3718" s="10"/>
      <c r="H3718" s="10"/>
      <c r="I3718" s="12" t="n">
        <v>1</v>
      </c>
      <c r="J3718" s="12"/>
      <c r="K3718" s="13"/>
      <c r="L3718" s="13"/>
      <c r="M3718" s="12"/>
      <c r="N3718" s="12"/>
      <c r="O3718" s="12"/>
      <c r="P3718" s="13"/>
      <c r="Q3718" s="13"/>
      <c r="R3718" s="12"/>
      <c r="S3718" s="12"/>
      <c r="T3718" s="12"/>
      <c r="U3718" s="14"/>
      <c r="V3718" s="15"/>
      <c r="W3718" s="16" t="n">
        <f aca="false">A3718</f>
        <v>0</v>
      </c>
      <c r="X3718" s="17" t="e">
        <f aca="false">ifs(C3718="","",X3718="",NOW(),TRUE(),X3718)</f>
        <v>#VALUE!</v>
      </c>
      <c r="Y3718" s="17" t="e">
        <f aca="false">ifs(COUNTA(K3718:U3721)&lt;44,"",Y3718="",NOW(),TRUE(),Y3718)</f>
        <v>#VALUE!</v>
      </c>
    </row>
    <row r="3719" customFormat="false" ht="15.75" hidden="false" customHeight="false" outlineLevel="0" collapsed="false">
      <c r="A3719" s="9"/>
      <c r="B3719" s="10"/>
      <c r="C3719" s="10"/>
      <c r="D3719" s="10"/>
      <c r="E3719" s="10"/>
      <c r="F3719" s="10"/>
      <c r="G3719" s="10"/>
      <c r="H3719" s="10"/>
      <c r="I3719" s="18" t="n">
        <v>2</v>
      </c>
      <c r="J3719" s="18"/>
      <c r="K3719" s="19"/>
      <c r="L3719" s="19"/>
      <c r="M3719" s="18"/>
      <c r="N3719" s="18"/>
      <c r="O3719" s="18"/>
      <c r="P3719" s="19"/>
      <c r="Q3719" s="19"/>
      <c r="R3719" s="18"/>
      <c r="S3719" s="18"/>
      <c r="T3719" s="18"/>
      <c r="U3719" s="20"/>
      <c r="V3719" s="21"/>
      <c r="W3719" s="16"/>
      <c r="X3719" s="16"/>
      <c r="Y3719" s="16"/>
    </row>
    <row r="3720" customFormat="false" ht="15.75" hidden="false" customHeight="false" outlineLevel="0" collapsed="false">
      <c r="A3720" s="9"/>
      <c r="B3720" s="10"/>
      <c r="C3720" s="10"/>
      <c r="D3720" s="10"/>
      <c r="E3720" s="10"/>
      <c r="F3720" s="10"/>
      <c r="G3720" s="10"/>
      <c r="H3720" s="10"/>
      <c r="I3720" s="22" t="n">
        <v>3</v>
      </c>
      <c r="J3720" s="22"/>
      <c r="K3720" s="23"/>
      <c r="L3720" s="23"/>
      <c r="M3720" s="22"/>
      <c r="N3720" s="22"/>
      <c r="O3720" s="22"/>
      <c r="P3720" s="23"/>
      <c r="Q3720" s="23"/>
      <c r="R3720" s="22"/>
      <c r="S3720" s="22"/>
      <c r="T3720" s="22"/>
      <c r="U3720" s="24"/>
      <c r="V3720" s="15"/>
      <c r="W3720" s="16"/>
      <c r="X3720" s="16"/>
      <c r="Y3720" s="16"/>
    </row>
    <row r="3721" customFormat="false" ht="15.75" hidden="false" customHeight="false" outlineLevel="0" collapsed="false">
      <c r="A3721" s="9"/>
      <c r="B3721" s="10"/>
      <c r="C3721" s="10"/>
      <c r="D3721" s="10"/>
      <c r="E3721" s="10"/>
      <c r="F3721" s="10"/>
      <c r="G3721" s="10"/>
      <c r="H3721" s="10"/>
      <c r="I3721" s="25" t="n">
        <v>4</v>
      </c>
      <c r="J3721" s="25"/>
      <c r="K3721" s="26"/>
      <c r="L3721" s="26"/>
      <c r="M3721" s="25"/>
      <c r="N3721" s="25"/>
      <c r="O3721" s="25"/>
      <c r="P3721" s="26"/>
      <c r="Q3721" s="26"/>
      <c r="R3721" s="25"/>
      <c r="S3721" s="25"/>
      <c r="T3721" s="25"/>
      <c r="U3721" s="27"/>
      <c r="V3721" s="21"/>
      <c r="W3721" s="16"/>
      <c r="X3721" s="16"/>
      <c r="Y3721" s="16"/>
    </row>
    <row r="3722" customFormat="false" ht="15.75" hidden="false" customHeight="false" outlineLevel="0" collapsed="false">
      <c r="A3722" s="9"/>
      <c r="B3722" s="10"/>
      <c r="C3722" s="11"/>
      <c r="D3722" s="10"/>
      <c r="E3722" s="10"/>
      <c r="F3722" s="10"/>
      <c r="G3722" s="10"/>
      <c r="H3722" s="10"/>
      <c r="I3722" s="12" t="n">
        <v>1</v>
      </c>
      <c r="J3722" s="12"/>
      <c r="K3722" s="13"/>
      <c r="L3722" s="13"/>
      <c r="M3722" s="12"/>
      <c r="N3722" s="12"/>
      <c r="O3722" s="12"/>
      <c r="P3722" s="13"/>
      <c r="Q3722" s="13"/>
      <c r="R3722" s="12"/>
      <c r="S3722" s="12"/>
      <c r="T3722" s="12"/>
      <c r="U3722" s="14"/>
      <c r="V3722" s="15"/>
      <c r="W3722" s="16" t="n">
        <f aca="false">A3722</f>
        <v>0</v>
      </c>
      <c r="X3722" s="17" t="e">
        <f aca="false">ifs(C3722="","",X3722="",NOW(),TRUE(),X3722)</f>
        <v>#VALUE!</v>
      </c>
      <c r="Y3722" s="17" t="e">
        <f aca="false">ifs(COUNTA(K3722:U3725)&lt;44,"",Y3722="",NOW(),TRUE(),Y3722)</f>
        <v>#VALUE!</v>
      </c>
    </row>
    <row r="3723" customFormat="false" ht="15.75" hidden="false" customHeight="false" outlineLevel="0" collapsed="false">
      <c r="A3723" s="9"/>
      <c r="B3723" s="10"/>
      <c r="C3723" s="10"/>
      <c r="D3723" s="10"/>
      <c r="E3723" s="10"/>
      <c r="F3723" s="10"/>
      <c r="G3723" s="10"/>
      <c r="H3723" s="10"/>
      <c r="I3723" s="18" t="n">
        <v>2</v>
      </c>
      <c r="J3723" s="18"/>
      <c r="K3723" s="19"/>
      <c r="L3723" s="19"/>
      <c r="M3723" s="18"/>
      <c r="N3723" s="18"/>
      <c r="O3723" s="18"/>
      <c r="P3723" s="19"/>
      <c r="Q3723" s="19"/>
      <c r="R3723" s="18"/>
      <c r="S3723" s="18"/>
      <c r="T3723" s="18"/>
      <c r="U3723" s="20"/>
      <c r="V3723" s="21"/>
      <c r="W3723" s="16"/>
      <c r="X3723" s="16"/>
      <c r="Y3723" s="16"/>
    </row>
    <row r="3724" customFormat="false" ht="15.75" hidden="false" customHeight="false" outlineLevel="0" collapsed="false">
      <c r="A3724" s="9"/>
      <c r="B3724" s="10"/>
      <c r="C3724" s="10"/>
      <c r="D3724" s="10"/>
      <c r="E3724" s="10"/>
      <c r="F3724" s="10"/>
      <c r="G3724" s="10"/>
      <c r="H3724" s="10"/>
      <c r="I3724" s="22" t="n">
        <v>3</v>
      </c>
      <c r="J3724" s="22"/>
      <c r="K3724" s="23"/>
      <c r="L3724" s="23"/>
      <c r="M3724" s="22"/>
      <c r="N3724" s="22"/>
      <c r="O3724" s="22"/>
      <c r="P3724" s="23"/>
      <c r="Q3724" s="23"/>
      <c r="R3724" s="22"/>
      <c r="S3724" s="22"/>
      <c r="T3724" s="22"/>
      <c r="U3724" s="24"/>
      <c r="V3724" s="15"/>
      <c r="W3724" s="16"/>
      <c r="X3724" s="16"/>
      <c r="Y3724" s="16"/>
    </row>
    <row r="3725" customFormat="false" ht="15.75" hidden="false" customHeight="false" outlineLevel="0" collapsed="false">
      <c r="A3725" s="9"/>
      <c r="B3725" s="10"/>
      <c r="C3725" s="10"/>
      <c r="D3725" s="10"/>
      <c r="E3725" s="10"/>
      <c r="F3725" s="10"/>
      <c r="G3725" s="10"/>
      <c r="H3725" s="10"/>
      <c r="I3725" s="25" t="n">
        <v>4</v>
      </c>
      <c r="J3725" s="25"/>
      <c r="K3725" s="26"/>
      <c r="L3725" s="26"/>
      <c r="M3725" s="25"/>
      <c r="N3725" s="25"/>
      <c r="O3725" s="25"/>
      <c r="P3725" s="26"/>
      <c r="Q3725" s="26"/>
      <c r="R3725" s="25"/>
      <c r="S3725" s="25"/>
      <c r="T3725" s="25"/>
      <c r="U3725" s="27"/>
      <c r="V3725" s="21"/>
      <c r="W3725" s="16"/>
      <c r="X3725" s="16"/>
      <c r="Y3725" s="16"/>
    </row>
    <row r="3726" customFormat="false" ht="15.75" hidden="false" customHeight="false" outlineLevel="0" collapsed="false">
      <c r="A3726" s="9"/>
      <c r="B3726" s="10"/>
      <c r="C3726" s="11"/>
      <c r="D3726" s="10"/>
      <c r="E3726" s="10"/>
      <c r="F3726" s="10"/>
      <c r="G3726" s="10"/>
      <c r="H3726" s="10"/>
      <c r="I3726" s="12" t="n">
        <v>1</v>
      </c>
      <c r="J3726" s="12"/>
      <c r="K3726" s="13"/>
      <c r="L3726" s="13"/>
      <c r="M3726" s="12"/>
      <c r="N3726" s="12"/>
      <c r="O3726" s="12"/>
      <c r="P3726" s="13"/>
      <c r="Q3726" s="13"/>
      <c r="R3726" s="12"/>
      <c r="S3726" s="12"/>
      <c r="T3726" s="12"/>
      <c r="U3726" s="14"/>
      <c r="V3726" s="15"/>
      <c r="W3726" s="16" t="n">
        <f aca="false">A3726</f>
        <v>0</v>
      </c>
      <c r="X3726" s="17" t="e">
        <f aca="false">ifs(C3726="","",X3726="",NOW(),TRUE(),X3726)</f>
        <v>#VALUE!</v>
      </c>
      <c r="Y3726" s="17" t="e">
        <f aca="false">ifs(COUNTA(K3726:U3729)&lt;44,"",Y3726="",NOW(),TRUE(),Y3726)</f>
        <v>#VALUE!</v>
      </c>
    </row>
    <row r="3727" customFormat="false" ht="15.75" hidden="false" customHeight="false" outlineLevel="0" collapsed="false">
      <c r="A3727" s="9"/>
      <c r="B3727" s="10"/>
      <c r="C3727" s="10"/>
      <c r="D3727" s="10"/>
      <c r="E3727" s="10"/>
      <c r="F3727" s="10"/>
      <c r="G3727" s="10"/>
      <c r="H3727" s="10"/>
      <c r="I3727" s="18" t="n">
        <v>2</v>
      </c>
      <c r="J3727" s="18"/>
      <c r="K3727" s="19"/>
      <c r="L3727" s="19"/>
      <c r="M3727" s="18"/>
      <c r="N3727" s="18"/>
      <c r="O3727" s="18"/>
      <c r="P3727" s="19"/>
      <c r="Q3727" s="19"/>
      <c r="R3727" s="18"/>
      <c r="S3727" s="18"/>
      <c r="T3727" s="18"/>
      <c r="U3727" s="20"/>
      <c r="V3727" s="21"/>
      <c r="W3727" s="16"/>
      <c r="X3727" s="16"/>
      <c r="Y3727" s="16"/>
    </row>
    <row r="3728" customFormat="false" ht="15.75" hidden="false" customHeight="false" outlineLevel="0" collapsed="false">
      <c r="A3728" s="9"/>
      <c r="B3728" s="10"/>
      <c r="C3728" s="10"/>
      <c r="D3728" s="10"/>
      <c r="E3728" s="10"/>
      <c r="F3728" s="10"/>
      <c r="G3728" s="10"/>
      <c r="H3728" s="10"/>
      <c r="I3728" s="22" t="n">
        <v>3</v>
      </c>
      <c r="J3728" s="22"/>
      <c r="K3728" s="23"/>
      <c r="L3728" s="23"/>
      <c r="M3728" s="22"/>
      <c r="N3728" s="22"/>
      <c r="O3728" s="22"/>
      <c r="P3728" s="23"/>
      <c r="Q3728" s="23"/>
      <c r="R3728" s="22"/>
      <c r="S3728" s="22"/>
      <c r="T3728" s="22"/>
      <c r="U3728" s="24"/>
      <c r="V3728" s="15"/>
      <c r="W3728" s="16"/>
      <c r="X3728" s="16"/>
      <c r="Y3728" s="16"/>
    </row>
    <row r="3729" customFormat="false" ht="15.75" hidden="false" customHeight="false" outlineLevel="0" collapsed="false">
      <c r="A3729" s="9"/>
      <c r="B3729" s="10"/>
      <c r="C3729" s="10"/>
      <c r="D3729" s="10"/>
      <c r="E3729" s="10"/>
      <c r="F3729" s="10"/>
      <c r="G3729" s="10"/>
      <c r="H3729" s="10"/>
      <c r="I3729" s="25" t="n">
        <v>4</v>
      </c>
      <c r="J3729" s="25"/>
      <c r="K3729" s="26"/>
      <c r="L3729" s="26"/>
      <c r="M3729" s="25"/>
      <c r="N3729" s="25"/>
      <c r="O3729" s="25"/>
      <c r="P3729" s="26"/>
      <c r="Q3729" s="26"/>
      <c r="R3729" s="25"/>
      <c r="S3729" s="25"/>
      <c r="T3729" s="25"/>
      <c r="U3729" s="27"/>
      <c r="V3729" s="21"/>
      <c r="W3729" s="16"/>
      <c r="X3729" s="16"/>
      <c r="Y3729" s="16"/>
    </row>
    <row r="3730" customFormat="false" ht="15.75" hidden="false" customHeight="false" outlineLevel="0" collapsed="false">
      <c r="A3730" s="9"/>
      <c r="B3730" s="10"/>
      <c r="C3730" s="11"/>
      <c r="D3730" s="10"/>
      <c r="E3730" s="10"/>
      <c r="F3730" s="10"/>
      <c r="G3730" s="10"/>
      <c r="H3730" s="10"/>
      <c r="I3730" s="12" t="n">
        <v>1</v>
      </c>
      <c r="J3730" s="12"/>
      <c r="K3730" s="13"/>
      <c r="L3730" s="13"/>
      <c r="M3730" s="12"/>
      <c r="N3730" s="12"/>
      <c r="O3730" s="12"/>
      <c r="P3730" s="13"/>
      <c r="Q3730" s="13"/>
      <c r="R3730" s="12"/>
      <c r="S3730" s="12"/>
      <c r="T3730" s="12"/>
      <c r="U3730" s="14"/>
      <c r="V3730" s="15"/>
      <c r="W3730" s="16" t="n">
        <f aca="false">A3730</f>
        <v>0</v>
      </c>
      <c r="X3730" s="17" t="e">
        <f aca="false">ifs(C3730="","",X3730="",NOW(),TRUE(),X3730)</f>
        <v>#VALUE!</v>
      </c>
      <c r="Y3730" s="17" t="e">
        <f aca="false">ifs(COUNTA(K3730:U3733)&lt;44,"",Y3730="",NOW(),TRUE(),Y3730)</f>
        <v>#VALUE!</v>
      </c>
    </row>
    <row r="3731" customFormat="false" ht="15.75" hidden="false" customHeight="false" outlineLevel="0" collapsed="false">
      <c r="A3731" s="9"/>
      <c r="B3731" s="10"/>
      <c r="C3731" s="10"/>
      <c r="D3731" s="10"/>
      <c r="E3731" s="10"/>
      <c r="F3731" s="10"/>
      <c r="G3731" s="10"/>
      <c r="H3731" s="10"/>
      <c r="I3731" s="18" t="n">
        <v>2</v>
      </c>
      <c r="J3731" s="18"/>
      <c r="K3731" s="19"/>
      <c r="L3731" s="19"/>
      <c r="M3731" s="18"/>
      <c r="N3731" s="18"/>
      <c r="O3731" s="18"/>
      <c r="P3731" s="19"/>
      <c r="Q3731" s="19"/>
      <c r="R3731" s="18"/>
      <c r="S3731" s="18"/>
      <c r="T3731" s="18"/>
      <c r="U3731" s="20"/>
      <c r="V3731" s="21"/>
      <c r="W3731" s="16"/>
      <c r="X3731" s="16"/>
      <c r="Y3731" s="16"/>
    </row>
    <row r="3732" customFormat="false" ht="15.75" hidden="false" customHeight="false" outlineLevel="0" collapsed="false">
      <c r="A3732" s="9"/>
      <c r="B3732" s="10"/>
      <c r="C3732" s="10"/>
      <c r="D3732" s="10"/>
      <c r="E3732" s="10"/>
      <c r="F3732" s="10"/>
      <c r="G3732" s="10"/>
      <c r="H3732" s="10"/>
      <c r="I3732" s="22" t="n">
        <v>3</v>
      </c>
      <c r="J3732" s="22"/>
      <c r="K3732" s="23"/>
      <c r="L3732" s="23"/>
      <c r="M3732" s="22"/>
      <c r="N3732" s="22"/>
      <c r="O3732" s="22"/>
      <c r="P3732" s="23"/>
      <c r="Q3732" s="23"/>
      <c r="R3732" s="22"/>
      <c r="S3732" s="22"/>
      <c r="T3732" s="22"/>
      <c r="U3732" s="24"/>
      <c r="V3732" s="15"/>
      <c r="W3732" s="16"/>
      <c r="X3732" s="16"/>
      <c r="Y3732" s="16"/>
    </row>
    <row r="3733" customFormat="false" ht="15.75" hidden="false" customHeight="false" outlineLevel="0" collapsed="false">
      <c r="A3733" s="9"/>
      <c r="B3733" s="10"/>
      <c r="C3733" s="10"/>
      <c r="D3733" s="10"/>
      <c r="E3733" s="10"/>
      <c r="F3733" s="10"/>
      <c r="G3733" s="10"/>
      <c r="H3733" s="10"/>
      <c r="I3733" s="25" t="n">
        <v>4</v>
      </c>
      <c r="J3733" s="25"/>
      <c r="K3733" s="26"/>
      <c r="L3733" s="26"/>
      <c r="M3733" s="25"/>
      <c r="N3733" s="25"/>
      <c r="O3733" s="25"/>
      <c r="P3733" s="26"/>
      <c r="Q3733" s="26"/>
      <c r="R3733" s="25"/>
      <c r="S3733" s="25"/>
      <c r="T3733" s="25"/>
      <c r="U3733" s="27"/>
      <c r="V3733" s="21"/>
      <c r="W3733" s="16"/>
      <c r="X3733" s="16"/>
      <c r="Y3733" s="16"/>
    </row>
    <row r="3734" customFormat="false" ht="15.75" hidden="false" customHeight="false" outlineLevel="0" collapsed="false">
      <c r="A3734" s="9"/>
      <c r="B3734" s="10"/>
      <c r="C3734" s="11"/>
      <c r="D3734" s="10"/>
      <c r="E3734" s="10"/>
      <c r="F3734" s="10"/>
      <c r="G3734" s="10"/>
      <c r="H3734" s="10"/>
      <c r="I3734" s="12" t="n">
        <v>1</v>
      </c>
      <c r="J3734" s="12"/>
      <c r="K3734" s="13"/>
      <c r="L3734" s="13"/>
      <c r="M3734" s="12"/>
      <c r="N3734" s="12"/>
      <c r="O3734" s="12"/>
      <c r="P3734" s="13"/>
      <c r="Q3734" s="13"/>
      <c r="R3734" s="12"/>
      <c r="S3734" s="12"/>
      <c r="T3734" s="12"/>
      <c r="U3734" s="14"/>
      <c r="V3734" s="15"/>
      <c r="W3734" s="16" t="n">
        <f aca="false">A3734</f>
        <v>0</v>
      </c>
      <c r="X3734" s="17" t="e">
        <f aca="false">ifs(C3734="","",X3734="",NOW(),TRUE(),X3734)</f>
        <v>#VALUE!</v>
      </c>
      <c r="Y3734" s="17" t="e">
        <f aca="false">ifs(COUNTA(K3734:U3737)&lt;44,"",Y3734="",NOW(),TRUE(),Y3734)</f>
        <v>#VALUE!</v>
      </c>
    </row>
    <row r="3735" customFormat="false" ht="15.75" hidden="false" customHeight="false" outlineLevel="0" collapsed="false">
      <c r="A3735" s="9"/>
      <c r="B3735" s="10"/>
      <c r="C3735" s="10"/>
      <c r="D3735" s="10"/>
      <c r="E3735" s="10"/>
      <c r="F3735" s="10"/>
      <c r="G3735" s="10"/>
      <c r="H3735" s="10"/>
      <c r="I3735" s="18" t="n">
        <v>2</v>
      </c>
      <c r="J3735" s="18"/>
      <c r="K3735" s="19"/>
      <c r="L3735" s="19"/>
      <c r="M3735" s="18"/>
      <c r="N3735" s="18"/>
      <c r="O3735" s="18"/>
      <c r="P3735" s="19"/>
      <c r="Q3735" s="19"/>
      <c r="R3735" s="18"/>
      <c r="S3735" s="18"/>
      <c r="T3735" s="18"/>
      <c r="U3735" s="20"/>
      <c r="V3735" s="21"/>
      <c r="W3735" s="16"/>
      <c r="X3735" s="16"/>
      <c r="Y3735" s="16"/>
    </row>
    <row r="3736" customFormat="false" ht="15.75" hidden="false" customHeight="false" outlineLevel="0" collapsed="false">
      <c r="A3736" s="9"/>
      <c r="B3736" s="10"/>
      <c r="C3736" s="10"/>
      <c r="D3736" s="10"/>
      <c r="E3736" s="10"/>
      <c r="F3736" s="10"/>
      <c r="G3736" s="10"/>
      <c r="H3736" s="10"/>
      <c r="I3736" s="22" t="n">
        <v>3</v>
      </c>
      <c r="J3736" s="22"/>
      <c r="K3736" s="23"/>
      <c r="L3736" s="23"/>
      <c r="M3736" s="22"/>
      <c r="N3736" s="22"/>
      <c r="O3736" s="22"/>
      <c r="P3736" s="23"/>
      <c r="Q3736" s="23"/>
      <c r="R3736" s="22"/>
      <c r="S3736" s="22"/>
      <c r="T3736" s="22"/>
      <c r="U3736" s="24"/>
      <c r="V3736" s="15"/>
      <c r="W3736" s="16"/>
      <c r="X3736" s="16"/>
      <c r="Y3736" s="16"/>
    </row>
    <row r="3737" customFormat="false" ht="15.75" hidden="false" customHeight="false" outlineLevel="0" collapsed="false">
      <c r="A3737" s="9"/>
      <c r="B3737" s="10"/>
      <c r="C3737" s="10"/>
      <c r="D3737" s="10"/>
      <c r="E3737" s="10"/>
      <c r="F3737" s="10"/>
      <c r="G3737" s="10"/>
      <c r="H3737" s="10"/>
      <c r="I3737" s="25" t="n">
        <v>4</v>
      </c>
      <c r="J3737" s="25"/>
      <c r="K3737" s="26"/>
      <c r="L3737" s="26"/>
      <c r="M3737" s="25"/>
      <c r="N3737" s="25"/>
      <c r="O3737" s="25"/>
      <c r="P3737" s="26"/>
      <c r="Q3737" s="26"/>
      <c r="R3737" s="25"/>
      <c r="S3737" s="25"/>
      <c r="T3737" s="25"/>
      <c r="U3737" s="27"/>
      <c r="V3737" s="21"/>
      <c r="W3737" s="16"/>
      <c r="X3737" s="16"/>
      <c r="Y3737" s="16"/>
    </row>
    <row r="3738" customFormat="false" ht="15.75" hidden="false" customHeight="false" outlineLevel="0" collapsed="false">
      <c r="A3738" s="9"/>
      <c r="B3738" s="10"/>
      <c r="C3738" s="11"/>
      <c r="D3738" s="10"/>
      <c r="E3738" s="10"/>
      <c r="F3738" s="10"/>
      <c r="G3738" s="10"/>
      <c r="H3738" s="10"/>
      <c r="I3738" s="12" t="n">
        <v>1</v>
      </c>
      <c r="J3738" s="12"/>
      <c r="K3738" s="13"/>
      <c r="L3738" s="13"/>
      <c r="M3738" s="12"/>
      <c r="N3738" s="12"/>
      <c r="O3738" s="12"/>
      <c r="P3738" s="13"/>
      <c r="Q3738" s="13"/>
      <c r="R3738" s="12"/>
      <c r="S3738" s="12"/>
      <c r="T3738" s="12"/>
      <c r="U3738" s="14"/>
      <c r="V3738" s="15"/>
      <c r="W3738" s="16" t="n">
        <f aca="false">A3738</f>
        <v>0</v>
      </c>
      <c r="X3738" s="17" t="e">
        <f aca="false">ifs(C3738="","",X3738="",NOW(),TRUE(),X3738)</f>
        <v>#VALUE!</v>
      </c>
      <c r="Y3738" s="17" t="e">
        <f aca="false">ifs(COUNTA(K3738:U3741)&lt;44,"",Y3738="",NOW(),TRUE(),Y3738)</f>
        <v>#VALUE!</v>
      </c>
    </row>
    <row r="3739" customFormat="false" ht="15.75" hidden="false" customHeight="false" outlineLevel="0" collapsed="false">
      <c r="A3739" s="9"/>
      <c r="B3739" s="10"/>
      <c r="C3739" s="10"/>
      <c r="D3739" s="10"/>
      <c r="E3739" s="10"/>
      <c r="F3739" s="10"/>
      <c r="G3739" s="10"/>
      <c r="H3739" s="10"/>
      <c r="I3739" s="18" t="n">
        <v>2</v>
      </c>
      <c r="J3739" s="18"/>
      <c r="K3739" s="19"/>
      <c r="L3739" s="19"/>
      <c r="M3739" s="18"/>
      <c r="N3739" s="18"/>
      <c r="O3739" s="18"/>
      <c r="P3739" s="19"/>
      <c r="Q3739" s="19"/>
      <c r="R3739" s="18"/>
      <c r="S3739" s="18"/>
      <c r="T3739" s="18"/>
      <c r="U3739" s="20"/>
      <c r="V3739" s="21"/>
      <c r="W3739" s="16"/>
      <c r="X3739" s="16"/>
      <c r="Y3739" s="16"/>
    </row>
    <row r="3740" customFormat="false" ht="15.75" hidden="false" customHeight="false" outlineLevel="0" collapsed="false">
      <c r="A3740" s="9"/>
      <c r="B3740" s="10"/>
      <c r="C3740" s="10"/>
      <c r="D3740" s="10"/>
      <c r="E3740" s="10"/>
      <c r="F3740" s="10"/>
      <c r="G3740" s="10"/>
      <c r="H3740" s="10"/>
      <c r="I3740" s="22" t="n">
        <v>3</v>
      </c>
      <c r="J3740" s="22"/>
      <c r="K3740" s="23"/>
      <c r="L3740" s="23"/>
      <c r="M3740" s="22"/>
      <c r="N3740" s="22"/>
      <c r="O3740" s="22"/>
      <c r="P3740" s="23"/>
      <c r="Q3740" s="23"/>
      <c r="R3740" s="22"/>
      <c r="S3740" s="22"/>
      <c r="T3740" s="22"/>
      <c r="U3740" s="24"/>
      <c r="V3740" s="15"/>
      <c r="W3740" s="16"/>
      <c r="X3740" s="16"/>
      <c r="Y3740" s="16"/>
    </row>
    <row r="3741" customFormat="false" ht="15.75" hidden="false" customHeight="false" outlineLevel="0" collapsed="false">
      <c r="A3741" s="9"/>
      <c r="B3741" s="10"/>
      <c r="C3741" s="10"/>
      <c r="D3741" s="10"/>
      <c r="E3741" s="10"/>
      <c r="F3741" s="10"/>
      <c r="G3741" s="10"/>
      <c r="H3741" s="10"/>
      <c r="I3741" s="25" t="n">
        <v>4</v>
      </c>
      <c r="J3741" s="25"/>
      <c r="K3741" s="26"/>
      <c r="L3741" s="26"/>
      <c r="M3741" s="25"/>
      <c r="N3741" s="25"/>
      <c r="O3741" s="25"/>
      <c r="P3741" s="26"/>
      <c r="Q3741" s="26"/>
      <c r="R3741" s="25"/>
      <c r="S3741" s="25"/>
      <c r="T3741" s="25"/>
      <c r="U3741" s="27"/>
      <c r="V3741" s="21"/>
      <c r="W3741" s="16"/>
      <c r="X3741" s="16"/>
      <c r="Y3741" s="16"/>
    </row>
    <row r="3742" customFormat="false" ht="15.75" hidden="false" customHeight="false" outlineLevel="0" collapsed="false">
      <c r="A3742" s="9"/>
      <c r="B3742" s="10"/>
      <c r="C3742" s="11"/>
      <c r="D3742" s="10"/>
      <c r="E3742" s="10"/>
      <c r="F3742" s="10"/>
      <c r="G3742" s="10"/>
      <c r="H3742" s="10"/>
      <c r="I3742" s="12" t="n">
        <v>1</v>
      </c>
      <c r="J3742" s="12"/>
      <c r="K3742" s="13"/>
      <c r="L3742" s="13"/>
      <c r="M3742" s="12"/>
      <c r="N3742" s="12"/>
      <c r="O3742" s="12"/>
      <c r="P3742" s="13"/>
      <c r="Q3742" s="13"/>
      <c r="R3742" s="12"/>
      <c r="S3742" s="12"/>
      <c r="T3742" s="12"/>
      <c r="U3742" s="14"/>
      <c r="V3742" s="15"/>
      <c r="W3742" s="16" t="n">
        <f aca="false">A3742</f>
        <v>0</v>
      </c>
      <c r="X3742" s="17" t="e">
        <f aca="false">ifs(C3742="","",X3742="",NOW(),TRUE(),X3742)</f>
        <v>#VALUE!</v>
      </c>
      <c r="Y3742" s="17" t="e">
        <f aca="false">ifs(COUNTA(K3742:U3745)&lt;44,"",Y3742="",NOW(),TRUE(),Y3742)</f>
        <v>#VALUE!</v>
      </c>
    </row>
    <row r="3743" customFormat="false" ht="15.75" hidden="false" customHeight="false" outlineLevel="0" collapsed="false">
      <c r="A3743" s="9"/>
      <c r="B3743" s="10"/>
      <c r="C3743" s="10"/>
      <c r="D3743" s="10"/>
      <c r="E3743" s="10"/>
      <c r="F3743" s="10"/>
      <c r="G3743" s="10"/>
      <c r="H3743" s="10"/>
      <c r="I3743" s="18" t="n">
        <v>2</v>
      </c>
      <c r="J3743" s="18"/>
      <c r="K3743" s="19"/>
      <c r="L3743" s="19"/>
      <c r="M3743" s="18"/>
      <c r="N3743" s="18"/>
      <c r="O3743" s="18"/>
      <c r="P3743" s="19"/>
      <c r="Q3743" s="19"/>
      <c r="R3743" s="18"/>
      <c r="S3743" s="18"/>
      <c r="T3743" s="18"/>
      <c r="U3743" s="20"/>
      <c r="V3743" s="21"/>
      <c r="W3743" s="16"/>
      <c r="X3743" s="16"/>
      <c r="Y3743" s="16"/>
    </row>
    <row r="3744" customFormat="false" ht="15.75" hidden="false" customHeight="false" outlineLevel="0" collapsed="false">
      <c r="A3744" s="9"/>
      <c r="B3744" s="10"/>
      <c r="C3744" s="10"/>
      <c r="D3744" s="10"/>
      <c r="E3744" s="10"/>
      <c r="F3744" s="10"/>
      <c r="G3744" s="10"/>
      <c r="H3744" s="10"/>
      <c r="I3744" s="22" t="n">
        <v>3</v>
      </c>
      <c r="J3744" s="22"/>
      <c r="K3744" s="23"/>
      <c r="L3744" s="23"/>
      <c r="M3744" s="22"/>
      <c r="N3744" s="22"/>
      <c r="O3744" s="22"/>
      <c r="P3744" s="23"/>
      <c r="Q3744" s="23"/>
      <c r="R3744" s="22"/>
      <c r="S3744" s="22"/>
      <c r="T3744" s="22"/>
      <c r="U3744" s="24"/>
      <c r="V3744" s="15"/>
      <c r="W3744" s="16"/>
      <c r="X3744" s="16"/>
      <c r="Y3744" s="16"/>
    </row>
    <row r="3745" customFormat="false" ht="15.75" hidden="false" customHeight="false" outlineLevel="0" collapsed="false">
      <c r="A3745" s="9"/>
      <c r="B3745" s="10"/>
      <c r="C3745" s="10"/>
      <c r="D3745" s="10"/>
      <c r="E3745" s="10"/>
      <c r="F3745" s="10"/>
      <c r="G3745" s="10"/>
      <c r="H3745" s="10"/>
      <c r="I3745" s="25" t="n">
        <v>4</v>
      </c>
      <c r="J3745" s="25"/>
      <c r="K3745" s="26"/>
      <c r="L3745" s="26"/>
      <c r="M3745" s="25"/>
      <c r="N3745" s="25"/>
      <c r="O3745" s="25"/>
      <c r="P3745" s="26"/>
      <c r="Q3745" s="26"/>
      <c r="R3745" s="25"/>
      <c r="S3745" s="25"/>
      <c r="T3745" s="25"/>
      <c r="U3745" s="27"/>
      <c r="V3745" s="21"/>
      <c r="W3745" s="16"/>
      <c r="X3745" s="16"/>
      <c r="Y3745" s="16"/>
    </row>
    <row r="3746" customFormat="false" ht="15.75" hidden="false" customHeight="false" outlineLevel="0" collapsed="false">
      <c r="A3746" s="9"/>
      <c r="B3746" s="10"/>
      <c r="C3746" s="11"/>
      <c r="D3746" s="10"/>
      <c r="E3746" s="10"/>
      <c r="F3746" s="10"/>
      <c r="G3746" s="10"/>
      <c r="H3746" s="10"/>
      <c r="I3746" s="12" t="n">
        <v>1</v>
      </c>
      <c r="J3746" s="12"/>
      <c r="K3746" s="13"/>
      <c r="L3746" s="13"/>
      <c r="M3746" s="12"/>
      <c r="N3746" s="12"/>
      <c r="O3746" s="12"/>
      <c r="P3746" s="13"/>
      <c r="Q3746" s="13"/>
      <c r="R3746" s="12"/>
      <c r="S3746" s="12"/>
      <c r="T3746" s="12"/>
      <c r="U3746" s="14"/>
      <c r="V3746" s="15"/>
      <c r="W3746" s="16" t="n">
        <f aca="false">A3746</f>
        <v>0</v>
      </c>
      <c r="X3746" s="17" t="e">
        <f aca="false">ifs(C3746="","",X3746="",NOW(),TRUE(),X3746)</f>
        <v>#VALUE!</v>
      </c>
      <c r="Y3746" s="17" t="e">
        <f aca="false">ifs(COUNTA(K3746:U3749)&lt;44,"",Y3746="",NOW(),TRUE(),Y3746)</f>
        <v>#VALUE!</v>
      </c>
    </row>
    <row r="3747" customFormat="false" ht="15.75" hidden="false" customHeight="false" outlineLevel="0" collapsed="false">
      <c r="A3747" s="9"/>
      <c r="B3747" s="10"/>
      <c r="C3747" s="10"/>
      <c r="D3747" s="10"/>
      <c r="E3747" s="10"/>
      <c r="F3747" s="10"/>
      <c r="G3747" s="10"/>
      <c r="H3747" s="10"/>
      <c r="I3747" s="18" t="n">
        <v>2</v>
      </c>
      <c r="J3747" s="18"/>
      <c r="K3747" s="19"/>
      <c r="L3747" s="19"/>
      <c r="M3747" s="18"/>
      <c r="N3747" s="18"/>
      <c r="O3747" s="18"/>
      <c r="P3747" s="19"/>
      <c r="Q3747" s="19"/>
      <c r="R3747" s="18"/>
      <c r="S3747" s="18"/>
      <c r="T3747" s="18"/>
      <c r="U3747" s="20"/>
      <c r="V3747" s="21"/>
      <c r="W3747" s="16"/>
      <c r="X3747" s="16"/>
      <c r="Y3747" s="16"/>
    </row>
    <row r="3748" customFormat="false" ht="15.75" hidden="false" customHeight="false" outlineLevel="0" collapsed="false">
      <c r="A3748" s="9"/>
      <c r="B3748" s="10"/>
      <c r="C3748" s="10"/>
      <c r="D3748" s="10"/>
      <c r="E3748" s="10"/>
      <c r="F3748" s="10"/>
      <c r="G3748" s="10"/>
      <c r="H3748" s="10"/>
      <c r="I3748" s="22" t="n">
        <v>3</v>
      </c>
      <c r="J3748" s="22"/>
      <c r="K3748" s="23"/>
      <c r="L3748" s="23"/>
      <c r="M3748" s="22"/>
      <c r="N3748" s="22"/>
      <c r="O3748" s="22"/>
      <c r="P3748" s="23"/>
      <c r="Q3748" s="23"/>
      <c r="R3748" s="22"/>
      <c r="S3748" s="22"/>
      <c r="T3748" s="22"/>
      <c r="U3748" s="24"/>
      <c r="V3748" s="15"/>
      <c r="W3748" s="16"/>
      <c r="X3748" s="16"/>
      <c r="Y3748" s="16"/>
    </row>
    <row r="3749" customFormat="false" ht="15.75" hidden="false" customHeight="false" outlineLevel="0" collapsed="false">
      <c r="A3749" s="9"/>
      <c r="B3749" s="10"/>
      <c r="C3749" s="10"/>
      <c r="D3749" s="10"/>
      <c r="E3749" s="10"/>
      <c r="F3749" s="10"/>
      <c r="G3749" s="10"/>
      <c r="H3749" s="10"/>
      <c r="I3749" s="25" t="n">
        <v>4</v>
      </c>
      <c r="J3749" s="25"/>
      <c r="K3749" s="26"/>
      <c r="L3749" s="26"/>
      <c r="M3749" s="25"/>
      <c r="N3749" s="25"/>
      <c r="O3749" s="25"/>
      <c r="P3749" s="26"/>
      <c r="Q3749" s="26"/>
      <c r="R3749" s="25"/>
      <c r="S3749" s="25"/>
      <c r="T3749" s="25"/>
      <c r="U3749" s="27"/>
      <c r="V3749" s="21"/>
      <c r="W3749" s="16"/>
      <c r="X3749" s="16"/>
      <c r="Y3749" s="16"/>
    </row>
    <row r="3750" customFormat="false" ht="15.75" hidden="false" customHeight="false" outlineLevel="0" collapsed="false">
      <c r="A3750" s="9"/>
      <c r="B3750" s="10"/>
      <c r="C3750" s="11"/>
      <c r="D3750" s="10"/>
      <c r="E3750" s="10"/>
      <c r="F3750" s="10"/>
      <c r="G3750" s="10"/>
      <c r="H3750" s="10"/>
      <c r="I3750" s="12" t="n">
        <v>1</v>
      </c>
      <c r="J3750" s="12"/>
      <c r="K3750" s="13"/>
      <c r="L3750" s="13"/>
      <c r="M3750" s="12"/>
      <c r="N3750" s="12"/>
      <c r="O3750" s="12"/>
      <c r="P3750" s="13"/>
      <c r="Q3750" s="13"/>
      <c r="R3750" s="12"/>
      <c r="S3750" s="12"/>
      <c r="T3750" s="12"/>
      <c r="U3750" s="14"/>
      <c r="V3750" s="15"/>
      <c r="W3750" s="16" t="n">
        <f aca="false">A3750</f>
        <v>0</v>
      </c>
      <c r="X3750" s="17" t="e">
        <f aca="false">ifs(C3750="","",X3750="",NOW(),TRUE(),X3750)</f>
        <v>#VALUE!</v>
      </c>
      <c r="Y3750" s="17" t="e">
        <f aca="false">ifs(COUNTA(K3750:U3753)&lt;44,"",Y3750="",NOW(),TRUE(),Y3750)</f>
        <v>#VALUE!</v>
      </c>
    </row>
    <row r="3751" customFormat="false" ht="15.75" hidden="false" customHeight="false" outlineLevel="0" collapsed="false">
      <c r="A3751" s="9"/>
      <c r="B3751" s="10"/>
      <c r="C3751" s="10"/>
      <c r="D3751" s="10"/>
      <c r="E3751" s="10"/>
      <c r="F3751" s="10"/>
      <c r="G3751" s="10"/>
      <c r="H3751" s="10"/>
      <c r="I3751" s="18" t="n">
        <v>2</v>
      </c>
      <c r="J3751" s="18"/>
      <c r="K3751" s="19"/>
      <c r="L3751" s="19"/>
      <c r="M3751" s="18"/>
      <c r="N3751" s="18"/>
      <c r="O3751" s="18"/>
      <c r="P3751" s="19"/>
      <c r="Q3751" s="19"/>
      <c r="R3751" s="18"/>
      <c r="S3751" s="18"/>
      <c r="T3751" s="18"/>
      <c r="U3751" s="20"/>
      <c r="V3751" s="21"/>
      <c r="W3751" s="16"/>
      <c r="X3751" s="16"/>
      <c r="Y3751" s="16"/>
    </row>
    <row r="3752" customFormat="false" ht="15.75" hidden="false" customHeight="false" outlineLevel="0" collapsed="false">
      <c r="A3752" s="9"/>
      <c r="B3752" s="10"/>
      <c r="C3752" s="10"/>
      <c r="D3752" s="10"/>
      <c r="E3752" s="10"/>
      <c r="F3752" s="10"/>
      <c r="G3752" s="10"/>
      <c r="H3752" s="10"/>
      <c r="I3752" s="22" t="n">
        <v>3</v>
      </c>
      <c r="J3752" s="22"/>
      <c r="K3752" s="23"/>
      <c r="L3752" s="23"/>
      <c r="M3752" s="22"/>
      <c r="N3752" s="22"/>
      <c r="O3752" s="22"/>
      <c r="P3752" s="23"/>
      <c r="Q3752" s="23"/>
      <c r="R3752" s="22"/>
      <c r="S3752" s="22"/>
      <c r="T3752" s="22"/>
      <c r="U3752" s="24"/>
      <c r="V3752" s="15"/>
      <c r="W3752" s="16"/>
      <c r="X3752" s="16"/>
      <c r="Y3752" s="16"/>
    </row>
    <row r="3753" customFormat="false" ht="15.75" hidden="false" customHeight="false" outlineLevel="0" collapsed="false">
      <c r="A3753" s="9"/>
      <c r="B3753" s="10"/>
      <c r="C3753" s="10"/>
      <c r="D3753" s="10"/>
      <c r="E3753" s="10"/>
      <c r="F3753" s="10"/>
      <c r="G3753" s="10"/>
      <c r="H3753" s="10"/>
      <c r="I3753" s="25" t="n">
        <v>4</v>
      </c>
      <c r="J3753" s="25"/>
      <c r="K3753" s="26"/>
      <c r="L3753" s="26"/>
      <c r="M3753" s="25"/>
      <c r="N3753" s="25"/>
      <c r="O3753" s="25"/>
      <c r="P3753" s="26"/>
      <c r="Q3753" s="26"/>
      <c r="R3753" s="25"/>
      <c r="S3753" s="25"/>
      <c r="T3753" s="25"/>
      <c r="U3753" s="27"/>
      <c r="V3753" s="21"/>
      <c r="W3753" s="16"/>
      <c r="X3753" s="16"/>
      <c r="Y3753" s="16"/>
    </row>
    <row r="3754" customFormat="false" ht="15.75" hidden="false" customHeight="false" outlineLevel="0" collapsed="false">
      <c r="A3754" s="9"/>
      <c r="B3754" s="10"/>
      <c r="C3754" s="11"/>
      <c r="D3754" s="10"/>
      <c r="E3754" s="10"/>
      <c r="F3754" s="10"/>
      <c r="G3754" s="10"/>
      <c r="H3754" s="10"/>
      <c r="I3754" s="12" t="n">
        <v>1</v>
      </c>
      <c r="J3754" s="12"/>
      <c r="K3754" s="13"/>
      <c r="L3754" s="13"/>
      <c r="M3754" s="12"/>
      <c r="N3754" s="12"/>
      <c r="O3754" s="12"/>
      <c r="P3754" s="13"/>
      <c r="Q3754" s="13"/>
      <c r="R3754" s="12"/>
      <c r="S3754" s="12"/>
      <c r="T3754" s="12"/>
      <c r="U3754" s="14"/>
      <c r="V3754" s="15"/>
      <c r="W3754" s="16" t="n">
        <f aca="false">A3754</f>
        <v>0</v>
      </c>
      <c r="X3754" s="17" t="e">
        <f aca="false">ifs(C3754="","",X3754="",NOW(),TRUE(),X3754)</f>
        <v>#VALUE!</v>
      </c>
      <c r="Y3754" s="17" t="e">
        <f aca="false">ifs(COUNTA(K3754:U3757)&lt;44,"",Y3754="",NOW(),TRUE(),Y3754)</f>
        <v>#VALUE!</v>
      </c>
    </row>
    <row r="3755" customFormat="false" ht="15.75" hidden="false" customHeight="false" outlineLevel="0" collapsed="false">
      <c r="A3755" s="9"/>
      <c r="B3755" s="10"/>
      <c r="C3755" s="10"/>
      <c r="D3755" s="10"/>
      <c r="E3755" s="10"/>
      <c r="F3755" s="10"/>
      <c r="G3755" s="10"/>
      <c r="H3755" s="10"/>
      <c r="I3755" s="18" t="n">
        <v>2</v>
      </c>
      <c r="J3755" s="18"/>
      <c r="K3755" s="19"/>
      <c r="L3755" s="19"/>
      <c r="M3755" s="18"/>
      <c r="N3755" s="18"/>
      <c r="O3755" s="18"/>
      <c r="P3755" s="19"/>
      <c r="Q3755" s="19"/>
      <c r="R3755" s="18"/>
      <c r="S3755" s="18"/>
      <c r="T3755" s="18"/>
      <c r="U3755" s="20"/>
      <c r="V3755" s="21"/>
      <c r="W3755" s="16"/>
      <c r="X3755" s="16"/>
      <c r="Y3755" s="16"/>
    </row>
    <row r="3756" customFormat="false" ht="15.75" hidden="false" customHeight="false" outlineLevel="0" collapsed="false">
      <c r="A3756" s="9"/>
      <c r="B3756" s="10"/>
      <c r="C3756" s="10"/>
      <c r="D3756" s="10"/>
      <c r="E3756" s="10"/>
      <c r="F3756" s="10"/>
      <c r="G3756" s="10"/>
      <c r="H3756" s="10"/>
      <c r="I3756" s="22" t="n">
        <v>3</v>
      </c>
      <c r="J3756" s="22"/>
      <c r="K3756" s="23"/>
      <c r="L3756" s="23"/>
      <c r="M3756" s="22"/>
      <c r="N3756" s="22"/>
      <c r="O3756" s="22"/>
      <c r="P3756" s="23"/>
      <c r="Q3756" s="23"/>
      <c r="R3756" s="22"/>
      <c r="S3756" s="22"/>
      <c r="T3756" s="22"/>
      <c r="U3756" s="24"/>
      <c r="V3756" s="15"/>
      <c r="W3756" s="16"/>
      <c r="X3756" s="16"/>
      <c r="Y3756" s="16"/>
    </row>
    <row r="3757" customFormat="false" ht="15.75" hidden="false" customHeight="false" outlineLevel="0" collapsed="false">
      <c r="A3757" s="9"/>
      <c r="B3757" s="10"/>
      <c r="C3757" s="10"/>
      <c r="D3757" s="10"/>
      <c r="E3757" s="10"/>
      <c r="F3757" s="10"/>
      <c r="G3757" s="10"/>
      <c r="H3757" s="10"/>
      <c r="I3757" s="25" t="n">
        <v>4</v>
      </c>
      <c r="J3757" s="25"/>
      <c r="K3757" s="26"/>
      <c r="L3757" s="26"/>
      <c r="M3757" s="25"/>
      <c r="N3757" s="25"/>
      <c r="O3757" s="25"/>
      <c r="P3757" s="26"/>
      <c r="Q3757" s="26"/>
      <c r="R3757" s="25"/>
      <c r="S3757" s="25"/>
      <c r="T3757" s="25"/>
      <c r="U3757" s="27"/>
      <c r="V3757" s="21"/>
      <c r="W3757" s="16"/>
      <c r="X3757" s="16"/>
      <c r="Y3757" s="16"/>
    </row>
    <row r="3758" customFormat="false" ht="15.75" hidden="false" customHeight="false" outlineLevel="0" collapsed="false">
      <c r="A3758" s="9"/>
      <c r="B3758" s="10"/>
      <c r="C3758" s="11"/>
      <c r="D3758" s="10"/>
      <c r="E3758" s="10"/>
      <c r="F3758" s="10"/>
      <c r="G3758" s="10"/>
      <c r="H3758" s="10"/>
      <c r="I3758" s="12" t="n">
        <v>1</v>
      </c>
      <c r="J3758" s="12"/>
      <c r="K3758" s="13"/>
      <c r="L3758" s="13"/>
      <c r="M3758" s="12"/>
      <c r="N3758" s="12"/>
      <c r="O3758" s="12"/>
      <c r="P3758" s="13"/>
      <c r="Q3758" s="13"/>
      <c r="R3758" s="12"/>
      <c r="S3758" s="12"/>
      <c r="T3758" s="12"/>
      <c r="U3758" s="14"/>
      <c r="V3758" s="15"/>
      <c r="W3758" s="16" t="n">
        <f aca="false">A3758</f>
        <v>0</v>
      </c>
      <c r="X3758" s="17" t="e">
        <f aca="false">ifs(C3758="","",X3758="",NOW(),TRUE(),X3758)</f>
        <v>#VALUE!</v>
      </c>
      <c r="Y3758" s="17" t="e">
        <f aca="false">ifs(COUNTA(K3758:U3761)&lt;44,"",Y3758="",NOW(),TRUE(),Y3758)</f>
        <v>#VALUE!</v>
      </c>
    </row>
    <row r="3759" customFormat="false" ht="15.75" hidden="false" customHeight="false" outlineLevel="0" collapsed="false">
      <c r="A3759" s="9"/>
      <c r="B3759" s="10"/>
      <c r="C3759" s="10"/>
      <c r="D3759" s="10"/>
      <c r="E3759" s="10"/>
      <c r="F3759" s="10"/>
      <c r="G3759" s="10"/>
      <c r="H3759" s="10"/>
      <c r="I3759" s="18" t="n">
        <v>2</v>
      </c>
      <c r="J3759" s="18"/>
      <c r="K3759" s="19"/>
      <c r="L3759" s="19"/>
      <c r="M3759" s="18"/>
      <c r="N3759" s="18"/>
      <c r="O3759" s="18"/>
      <c r="P3759" s="19"/>
      <c r="Q3759" s="19"/>
      <c r="R3759" s="18"/>
      <c r="S3759" s="18"/>
      <c r="T3759" s="18"/>
      <c r="U3759" s="20"/>
      <c r="V3759" s="21"/>
      <c r="W3759" s="16"/>
      <c r="X3759" s="16"/>
      <c r="Y3759" s="16"/>
    </row>
    <row r="3760" customFormat="false" ht="15.75" hidden="false" customHeight="false" outlineLevel="0" collapsed="false">
      <c r="A3760" s="9"/>
      <c r="B3760" s="10"/>
      <c r="C3760" s="10"/>
      <c r="D3760" s="10"/>
      <c r="E3760" s="10"/>
      <c r="F3760" s="10"/>
      <c r="G3760" s="10"/>
      <c r="H3760" s="10"/>
      <c r="I3760" s="22" t="n">
        <v>3</v>
      </c>
      <c r="J3760" s="22"/>
      <c r="K3760" s="23"/>
      <c r="L3760" s="23"/>
      <c r="M3760" s="22"/>
      <c r="N3760" s="22"/>
      <c r="O3760" s="22"/>
      <c r="P3760" s="23"/>
      <c r="Q3760" s="23"/>
      <c r="R3760" s="22"/>
      <c r="S3760" s="22"/>
      <c r="T3760" s="22"/>
      <c r="U3760" s="24"/>
      <c r="V3760" s="15"/>
      <c r="W3760" s="16"/>
      <c r="X3760" s="16"/>
      <c r="Y3760" s="16"/>
    </row>
    <row r="3761" customFormat="false" ht="15.75" hidden="false" customHeight="false" outlineLevel="0" collapsed="false">
      <c r="A3761" s="9"/>
      <c r="B3761" s="10"/>
      <c r="C3761" s="10"/>
      <c r="D3761" s="10"/>
      <c r="E3761" s="10"/>
      <c r="F3761" s="10"/>
      <c r="G3761" s="10"/>
      <c r="H3761" s="10"/>
      <c r="I3761" s="25" t="n">
        <v>4</v>
      </c>
      <c r="J3761" s="25"/>
      <c r="K3761" s="26"/>
      <c r="L3761" s="26"/>
      <c r="M3761" s="25"/>
      <c r="N3761" s="25"/>
      <c r="O3761" s="25"/>
      <c r="P3761" s="26"/>
      <c r="Q3761" s="26"/>
      <c r="R3761" s="25"/>
      <c r="S3761" s="25"/>
      <c r="T3761" s="25"/>
      <c r="U3761" s="27"/>
      <c r="V3761" s="21"/>
      <c r="W3761" s="16"/>
      <c r="X3761" s="16"/>
      <c r="Y3761" s="16"/>
    </row>
    <row r="3762" customFormat="false" ht="15.75" hidden="false" customHeight="false" outlineLevel="0" collapsed="false">
      <c r="A3762" s="9"/>
      <c r="B3762" s="10"/>
      <c r="C3762" s="11"/>
      <c r="D3762" s="10"/>
      <c r="E3762" s="10"/>
      <c r="F3762" s="10"/>
      <c r="G3762" s="10"/>
      <c r="H3762" s="10"/>
      <c r="I3762" s="12" t="n">
        <v>1</v>
      </c>
      <c r="J3762" s="12"/>
      <c r="K3762" s="13"/>
      <c r="L3762" s="13"/>
      <c r="M3762" s="12"/>
      <c r="N3762" s="12"/>
      <c r="O3762" s="12"/>
      <c r="P3762" s="13"/>
      <c r="Q3762" s="13"/>
      <c r="R3762" s="12"/>
      <c r="S3762" s="12"/>
      <c r="T3762" s="12"/>
      <c r="U3762" s="14"/>
      <c r="V3762" s="15"/>
      <c r="W3762" s="16" t="n">
        <f aca="false">A3762</f>
        <v>0</v>
      </c>
      <c r="X3762" s="17" t="e">
        <f aca="false">ifs(C3762="","",X3762="",NOW(),TRUE(),X3762)</f>
        <v>#VALUE!</v>
      </c>
      <c r="Y3762" s="17" t="e">
        <f aca="false">ifs(COUNTA(K3762:U3765)&lt;44,"",Y3762="",NOW(),TRUE(),Y3762)</f>
        <v>#VALUE!</v>
      </c>
    </row>
    <row r="3763" customFormat="false" ht="15.75" hidden="false" customHeight="false" outlineLevel="0" collapsed="false">
      <c r="A3763" s="9"/>
      <c r="B3763" s="10"/>
      <c r="C3763" s="10"/>
      <c r="D3763" s="10"/>
      <c r="E3763" s="10"/>
      <c r="F3763" s="10"/>
      <c r="G3763" s="10"/>
      <c r="H3763" s="10"/>
      <c r="I3763" s="18" t="n">
        <v>2</v>
      </c>
      <c r="J3763" s="18"/>
      <c r="K3763" s="19"/>
      <c r="L3763" s="19"/>
      <c r="M3763" s="18"/>
      <c r="N3763" s="18"/>
      <c r="O3763" s="18"/>
      <c r="P3763" s="19"/>
      <c r="Q3763" s="19"/>
      <c r="R3763" s="18"/>
      <c r="S3763" s="18"/>
      <c r="T3763" s="18"/>
      <c r="U3763" s="20"/>
      <c r="V3763" s="21"/>
      <c r="W3763" s="16"/>
      <c r="X3763" s="16"/>
      <c r="Y3763" s="16"/>
    </row>
    <row r="3764" customFormat="false" ht="15.75" hidden="false" customHeight="false" outlineLevel="0" collapsed="false">
      <c r="A3764" s="9"/>
      <c r="B3764" s="10"/>
      <c r="C3764" s="10"/>
      <c r="D3764" s="10"/>
      <c r="E3764" s="10"/>
      <c r="F3764" s="10"/>
      <c r="G3764" s="10"/>
      <c r="H3764" s="10"/>
      <c r="I3764" s="22" t="n">
        <v>3</v>
      </c>
      <c r="J3764" s="22"/>
      <c r="K3764" s="23"/>
      <c r="L3764" s="23"/>
      <c r="M3764" s="22"/>
      <c r="N3764" s="22"/>
      <c r="O3764" s="22"/>
      <c r="P3764" s="23"/>
      <c r="Q3764" s="23"/>
      <c r="R3764" s="22"/>
      <c r="S3764" s="22"/>
      <c r="T3764" s="22"/>
      <c r="U3764" s="24"/>
      <c r="V3764" s="15"/>
      <c r="W3764" s="16"/>
      <c r="X3764" s="16"/>
      <c r="Y3764" s="16"/>
    </row>
    <row r="3765" customFormat="false" ht="15.75" hidden="false" customHeight="false" outlineLevel="0" collapsed="false">
      <c r="A3765" s="9"/>
      <c r="B3765" s="10"/>
      <c r="C3765" s="10"/>
      <c r="D3765" s="10"/>
      <c r="E3765" s="10"/>
      <c r="F3765" s="10"/>
      <c r="G3765" s="10"/>
      <c r="H3765" s="10"/>
      <c r="I3765" s="25" t="n">
        <v>4</v>
      </c>
      <c r="J3765" s="25"/>
      <c r="K3765" s="26"/>
      <c r="L3765" s="26"/>
      <c r="M3765" s="25"/>
      <c r="N3765" s="25"/>
      <c r="O3765" s="25"/>
      <c r="P3765" s="26"/>
      <c r="Q3765" s="26"/>
      <c r="R3765" s="25"/>
      <c r="S3765" s="25"/>
      <c r="T3765" s="25"/>
      <c r="U3765" s="27"/>
      <c r="V3765" s="21"/>
      <c r="W3765" s="16"/>
      <c r="X3765" s="16"/>
      <c r="Y3765" s="16"/>
    </row>
    <row r="3766" customFormat="false" ht="15.75" hidden="false" customHeight="false" outlineLevel="0" collapsed="false">
      <c r="A3766" s="9"/>
      <c r="B3766" s="10"/>
      <c r="C3766" s="11"/>
      <c r="D3766" s="10"/>
      <c r="E3766" s="10"/>
      <c r="F3766" s="10"/>
      <c r="G3766" s="10"/>
      <c r="H3766" s="10"/>
      <c r="I3766" s="12" t="n">
        <v>1</v>
      </c>
      <c r="J3766" s="12"/>
      <c r="K3766" s="13"/>
      <c r="L3766" s="13"/>
      <c r="M3766" s="12"/>
      <c r="N3766" s="12"/>
      <c r="O3766" s="12"/>
      <c r="P3766" s="13"/>
      <c r="Q3766" s="13"/>
      <c r="R3766" s="12"/>
      <c r="S3766" s="12"/>
      <c r="T3766" s="12"/>
      <c r="U3766" s="14"/>
      <c r="V3766" s="15"/>
      <c r="W3766" s="16" t="n">
        <f aca="false">A3766</f>
        <v>0</v>
      </c>
      <c r="X3766" s="17" t="e">
        <f aca="false">ifs(C3766="","",X3766="",NOW(),TRUE(),X3766)</f>
        <v>#VALUE!</v>
      </c>
      <c r="Y3766" s="17" t="e">
        <f aca="false">ifs(COUNTA(K3766:U3769)&lt;44,"",Y3766="",NOW(),TRUE(),Y3766)</f>
        <v>#VALUE!</v>
      </c>
    </row>
    <row r="3767" customFormat="false" ht="15.75" hidden="false" customHeight="false" outlineLevel="0" collapsed="false">
      <c r="A3767" s="9"/>
      <c r="B3767" s="10"/>
      <c r="C3767" s="10"/>
      <c r="D3767" s="10"/>
      <c r="E3767" s="10"/>
      <c r="F3767" s="10"/>
      <c r="G3767" s="10"/>
      <c r="H3767" s="10"/>
      <c r="I3767" s="18" t="n">
        <v>2</v>
      </c>
      <c r="J3767" s="18"/>
      <c r="K3767" s="19"/>
      <c r="L3767" s="19"/>
      <c r="M3767" s="18"/>
      <c r="N3767" s="18"/>
      <c r="O3767" s="18"/>
      <c r="P3767" s="19"/>
      <c r="Q3767" s="19"/>
      <c r="R3767" s="18"/>
      <c r="S3767" s="18"/>
      <c r="T3767" s="18"/>
      <c r="U3767" s="20"/>
      <c r="V3767" s="21"/>
      <c r="W3767" s="16"/>
      <c r="X3767" s="16"/>
      <c r="Y3767" s="16"/>
    </row>
    <row r="3768" customFormat="false" ht="15.75" hidden="false" customHeight="false" outlineLevel="0" collapsed="false">
      <c r="A3768" s="9"/>
      <c r="B3768" s="10"/>
      <c r="C3768" s="10"/>
      <c r="D3768" s="10"/>
      <c r="E3768" s="10"/>
      <c r="F3768" s="10"/>
      <c r="G3768" s="10"/>
      <c r="H3768" s="10"/>
      <c r="I3768" s="22" t="n">
        <v>3</v>
      </c>
      <c r="J3768" s="22"/>
      <c r="K3768" s="23"/>
      <c r="L3768" s="23"/>
      <c r="M3768" s="22"/>
      <c r="N3768" s="22"/>
      <c r="O3768" s="22"/>
      <c r="P3768" s="23"/>
      <c r="Q3768" s="23"/>
      <c r="R3768" s="22"/>
      <c r="S3768" s="22"/>
      <c r="T3768" s="22"/>
      <c r="U3768" s="24"/>
      <c r="V3768" s="15"/>
      <c r="W3768" s="16"/>
      <c r="X3768" s="16"/>
      <c r="Y3768" s="16"/>
    </row>
    <row r="3769" customFormat="false" ht="15.75" hidden="false" customHeight="false" outlineLevel="0" collapsed="false">
      <c r="A3769" s="9"/>
      <c r="B3769" s="10"/>
      <c r="C3769" s="10"/>
      <c r="D3769" s="10"/>
      <c r="E3769" s="10"/>
      <c r="F3769" s="10"/>
      <c r="G3769" s="10"/>
      <c r="H3769" s="10"/>
      <c r="I3769" s="25" t="n">
        <v>4</v>
      </c>
      <c r="J3769" s="25"/>
      <c r="K3769" s="26"/>
      <c r="L3769" s="26"/>
      <c r="M3769" s="25"/>
      <c r="N3769" s="25"/>
      <c r="O3769" s="25"/>
      <c r="P3769" s="26"/>
      <c r="Q3769" s="26"/>
      <c r="R3769" s="25"/>
      <c r="S3769" s="25"/>
      <c r="T3769" s="25"/>
      <c r="U3769" s="27"/>
      <c r="V3769" s="21"/>
      <c r="W3769" s="16"/>
      <c r="X3769" s="16"/>
      <c r="Y3769" s="16"/>
    </row>
    <row r="3770" customFormat="false" ht="15.75" hidden="false" customHeight="false" outlineLevel="0" collapsed="false">
      <c r="A3770" s="9"/>
      <c r="B3770" s="10"/>
      <c r="C3770" s="11"/>
      <c r="D3770" s="10"/>
      <c r="E3770" s="10"/>
      <c r="F3770" s="10"/>
      <c r="G3770" s="10"/>
      <c r="H3770" s="10"/>
      <c r="I3770" s="12" t="n">
        <v>1</v>
      </c>
      <c r="J3770" s="12"/>
      <c r="K3770" s="13"/>
      <c r="L3770" s="13"/>
      <c r="M3770" s="12"/>
      <c r="N3770" s="12"/>
      <c r="O3770" s="12"/>
      <c r="P3770" s="13"/>
      <c r="Q3770" s="13"/>
      <c r="R3770" s="12"/>
      <c r="S3770" s="12"/>
      <c r="T3770" s="12"/>
      <c r="U3770" s="14"/>
      <c r="V3770" s="15"/>
      <c r="W3770" s="16" t="n">
        <f aca="false">A3770</f>
        <v>0</v>
      </c>
      <c r="X3770" s="17" t="e">
        <f aca="false">ifs(C3770="","",X3770="",NOW(),TRUE(),X3770)</f>
        <v>#VALUE!</v>
      </c>
      <c r="Y3770" s="17" t="e">
        <f aca="false">ifs(COUNTA(K3770:U3773)&lt;44,"",Y3770="",NOW(),TRUE(),Y3770)</f>
        <v>#VALUE!</v>
      </c>
    </row>
    <row r="3771" customFormat="false" ht="15.75" hidden="false" customHeight="false" outlineLevel="0" collapsed="false">
      <c r="A3771" s="9"/>
      <c r="B3771" s="10"/>
      <c r="C3771" s="10"/>
      <c r="D3771" s="10"/>
      <c r="E3771" s="10"/>
      <c r="F3771" s="10"/>
      <c r="G3771" s="10"/>
      <c r="H3771" s="10"/>
      <c r="I3771" s="18" t="n">
        <v>2</v>
      </c>
      <c r="J3771" s="18"/>
      <c r="K3771" s="19"/>
      <c r="L3771" s="19"/>
      <c r="M3771" s="18"/>
      <c r="N3771" s="18"/>
      <c r="O3771" s="18"/>
      <c r="P3771" s="19"/>
      <c r="Q3771" s="19"/>
      <c r="R3771" s="18"/>
      <c r="S3771" s="18"/>
      <c r="T3771" s="18"/>
      <c r="U3771" s="20"/>
      <c r="V3771" s="21"/>
      <c r="W3771" s="16"/>
      <c r="X3771" s="16"/>
      <c r="Y3771" s="16"/>
    </row>
    <row r="3772" customFormat="false" ht="15.75" hidden="false" customHeight="false" outlineLevel="0" collapsed="false">
      <c r="A3772" s="9"/>
      <c r="B3772" s="10"/>
      <c r="C3772" s="10"/>
      <c r="D3772" s="10"/>
      <c r="E3772" s="10"/>
      <c r="F3772" s="10"/>
      <c r="G3772" s="10"/>
      <c r="H3772" s="10"/>
      <c r="I3772" s="22" t="n">
        <v>3</v>
      </c>
      <c r="J3772" s="22"/>
      <c r="K3772" s="23"/>
      <c r="L3772" s="23"/>
      <c r="M3772" s="22"/>
      <c r="N3772" s="22"/>
      <c r="O3772" s="22"/>
      <c r="P3772" s="23"/>
      <c r="Q3772" s="23"/>
      <c r="R3772" s="22"/>
      <c r="S3772" s="22"/>
      <c r="T3772" s="22"/>
      <c r="U3772" s="24"/>
      <c r="V3772" s="15"/>
      <c r="W3772" s="16"/>
      <c r="X3772" s="16"/>
      <c r="Y3772" s="16"/>
    </row>
    <row r="3773" customFormat="false" ht="15.75" hidden="false" customHeight="false" outlineLevel="0" collapsed="false">
      <c r="A3773" s="9"/>
      <c r="B3773" s="10"/>
      <c r="C3773" s="10"/>
      <c r="D3773" s="10"/>
      <c r="E3773" s="10"/>
      <c r="F3773" s="10"/>
      <c r="G3773" s="10"/>
      <c r="H3773" s="10"/>
      <c r="I3773" s="25" t="n">
        <v>4</v>
      </c>
      <c r="J3773" s="25"/>
      <c r="K3773" s="26"/>
      <c r="L3773" s="26"/>
      <c r="M3773" s="25"/>
      <c r="N3773" s="25"/>
      <c r="O3773" s="25"/>
      <c r="P3773" s="26"/>
      <c r="Q3773" s="26"/>
      <c r="R3773" s="25"/>
      <c r="S3773" s="25"/>
      <c r="T3773" s="25"/>
      <c r="U3773" s="27"/>
      <c r="V3773" s="21"/>
      <c r="W3773" s="16"/>
      <c r="X3773" s="16"/>
      <c r="Y3773" s="16"/>
    </row>
    <row r="3774" customFormat="false" ht="15.75" hidden="false" customHeight="false" outlineLevel="0" collapsed="false">
      <c r="A3774" s="9"/>
      <c r="B3774" s="10"/>
      <c r="C3774" s="11"/>
      <c r="D3774" s="10"/>
      <c r="E3774" s="10"/>
      <c r="F3774" s="10"/>
      <c r="G3774" s="10"/>
      <c r="H3774" s="10"/>
      <c r="I3774" s="12" t="n">
        <v>1</v>
      </c>
      <c r="J3774" s="12"/>
      <c r="K3774" s="13"/>
      <c r="L3774" s="13"/>
      <c r="M3774" s="12"/>
      <c r="N3774" s="12"/>
      <c r="O3774" s="12"/>
      <c r="P3774" s="13"/>
      <c r="Q3774" s="13"/>
      <c r="R3774" s="12"/>
      <c r="S3774" s="12"/>
      <c r="T3774" s="12"/>
      <c r="U3774" s="14"/>
      <c r="V3774" s="15"/>
      <c r="W3774" s="16" t="n">
        <f aca="false">A3774</f>
        <v>0</v>
      </c>
      <c r="X3774" s="17" t="e">
        <f aca="false">ifs(C3774="","",X3774="",NOW(),TRUE(),X3774)</f>
        <v>#VALUE!</v>
      </c>
      <c r="Y3774" s="17" t="e">
        <f aca="false">ifs(COUNTA(K3774:U3777)&lt;44,"",Y3774="",NOW(),TRUE(),Y3774)</f>
        <v>#VALUE!</v>
      </c>
    </row>
    <row r="3775" customFormat="false" ht="15.75" hidden="false" customHeight="false" outlineLevel="0" collapsed="false">
      <c r="A3775" s="9"/>
      <c r="B3775" s="10"/>
      <c r="C3775" s="10"/>
      <c r="D3775" s="10"/>
      <c r="E3775" s="10"/>
      <c r="F3775" s="10"/>
      <c r="G3775" s="10"/>
      <c r="H3775" s="10"/>
      <c r="I3775" s="18" t="n">
        <v>2</v>
      </c>
      <c r="J3775" s="18"/>
      <c r="K3775" s="19"/>
      <c r="L3775" s="19"/>
      <c r="M3775" s="18"/>
      <c r="N3775" s="18"/>
      <c r="O3775" s="18"/>
      <c r="P3775" s="19"/>
      <c r="Q3775" s="19"/>
      <c r="R3775" s="18"/>
      <c r="S3775" s="18"/>
      <c r="T3775" s="18"/>
      <c r="U3775" s="20"/>
      <c r="V3775" s="21"/>
      <c r="W3775" s="16"/>
      <c r="X3775" s="16"/>
      <c r="Y3775" s="16"/>
    </row>
    <row r="3776" customFormat="false" ht="15.75" hidden="false" customHeight="false" outlineLevel="0" collapsed="false">
      <c r="A3776" s="9"/>
      <c r="B3776" s="10"/>
      <c r="C3776" s="10"/>
      <c r="D3776" s="10"/>
      <c r="E3776" s="10"/>
      <c r="F3776" s="10"/>
      <c r="G3776" s="10"/>
      <c r="H3776" s="10"/>
      <c r="I3776" s="22" t="n">
        <v>3</v>
      </c>
      <c r="J3776" s="22"/>
      <c r="K3776" s="23"/>
      <c r="L3776" s="23"/>
      <c r="M3776" s="22"/>
      <c r="N3776" s="22"/>
      <c r="O3776" s="22"/>
      <c r="P3776" s="23"/>
      <c r="Q3776" s="23"/>
      <c r="R3776" s="22"/>
      <c r="S3776" s="22"/>
      <c r="T3776" s="22"/>
      <c r="U3776" s="24"/>
      <c r="V3776" s="15"/>
      <c r="W3776" s="16"/>
      <c r="X3776" s="16"/>
      <c r="Y3776" s="16"/>
    </row>
    <row r="3777" customFormat="false" ht="15.75" hidden="false" customHeight="false" outlineLevel="0" collapsed="false">
      <c r="A3777" s="9"/>
      <c r="B3777" s="10"/>
      <c r="C3777" s="10"/>
      <c r="D3777" s="10"/>
      <c r="E3777" s="10"/>
      <c r="F3777" s="10"/>
      <c r="G3777" s="10"/>
      <c r="H3777" s="10"/>
      <c r="I3777" s="25" t="n">
        <v>4</v>
      </c>
      <c r="J3777" s="25"/>
      <c r="K3777" s="26"/>
      <c r="L3777" s="26"/>
      <c r="M3777" s="25"/>
      <c r="N3777" s="25"/>
      <c r="O3777" s="25"/>
      <c r="P3777" s="26"/>
      <c r="Q3777" s="26"/>
      <c r="R3777" s="25"/>
      <c r="S3777" s="25"/>
      <c r="T3777" s="25"/>
      <c r="U3777" s="27"/>
      <c r="V3777" s="21"/>
      <c r="W3777" s="16"/>
      <c r="X3777" s="16"/>
      <c r="Y3777" s="16"/>
    </row>
    <row r="3778" customFormat="false" ht="15.75" hidden="false" customHeight="false" outlineLevel="0" collapsed="false">
      <c r="A3778" s="9"/>
      <c r="B3778" s="10"/>
      <c r="C3778" s="11"/>
      <c r="D3778" s="10"/>
      <c r="E3778" s="10"/>
      <c r="F3778" s="10"/>
      <c r="G3778" s="10"/>
      <c r="H3778" s="10"/>
      <c r="I3778" s="12" t="n">
        <v>1</v>
      </c>
      <c r="J3778" s="12"/>
      <c r="K3778" s="13"/>
      <c r="L3778" s="13"/>
      <c r="M3778" s="12"/>
      <c r="N3778" s="12"/>
      <c r="O3778" s="12"/>
      <c r="P3778" s="13"/>
      <c r="Q3778" s="13"/>
      <c r="R3778" s="12"/>
      <c r="S3778" s="12"/>
      <c r="T3778" s="12"/>
      <c r="U3778" s="14"/>
      <c r="V3778" s="15"/>
      <c r="W3778" s="16" t="n">
        <f aca="false">A3778</f>
        <v>0</v>
      </c>
      <c r="X3778" s="17" t="e">
        <f aca="false">ifs(C3778="","",X3778="",NOW(),TRUE(),X3778)</f>
        <v>#VALUE!</v>
      </c>
      <c r="Y3778" s="17" t="e">
        <f aca="false">ifs(COUNTA(K3778:U3781)&lt;44,"",Y3778="",NOW(),TRUE(),Y3778)</f>
        <v>#VALUE!</v>
      </c>
    </row>
    <row r="3779" customFormat="false" ht="15.75" hidden="false" customHeight="false" outlineLevel="0" collapsed="false">
      <c r="A3779" s="9"/>
      <c r="B3779" s="10"/>
      <c r="C3779" s="10"/>
      <c r="D3779" s="10"/>
      <c r="E3779" s="10"/>
      <c r="F3779" s="10"/>
      <c r="G3779" s="10"/>
      <c r="H3779" s="10"/>
      <c r="I3779" s="18" t="n">
        <v>2</v>
      </c>
      <c r="J3779" s="18"/>
      <c r="K3779" s="19"/>
      <c r="L3779" s="19"/>
      <c r="M3779" s="18"/>
      <c r="N3779" s="18"/>
      <c r="O3779" s="18"/>
      <c r="P3779" s="19"/>
      <c r="Q3779" s="19"/>
      <c r="R3779" s="18"/>
      <c r="S3779" s="18"/>
      <c r="T3779" s="18"/>
      <c r="U3779" s="20"/>
      <c r="V3779" s="21"/>
      <c r="W3779" s="16"/>
      <c r="X3779" s="16"/>
      <c r="Y3779" s="16"/>
    </row>
    <row r="3780" customFormat="false" ht="15.75" hidden="false" customHeight="false" outlineLevel="0" collapsed="false">
      <c r="A3780" s="9"/>
      <c r="B3780" s="10"/>
      <c r="C3780" s="10"/>
      <c r="D3780" s="10"/>
      <c r="E3780" s="10"/>
      <c r="F3780" s="10"/>
      <c r="G3780" s="10"/>
      <c r="H3780" s="10"/>
      <c r="I3780" s="22" t="n">
        <v>3</v>
      </c>
      <c r="J3780" s="22"/>
      <c r="K3780" s="23"/>
      <c r="L3780" s="23"/>
      <c r="M3780" s="22"/>
      <c r="N3780" s="22"/>
      <c r="O3780" s="22"/>
      <c r="P3780" s="23"/>
      <c r="Q3780" s="23"/>
      <c r="R3780" s="22"/>
      <c r="S3780" s="22"/>
      <c r="T3780" s="22"/>
      <c r="U3780" s="24"/>
      <c r="V3780" s="15"/>
      <c r="W3780" s="16"/>
      <c r="X3780" s="16"/>
      <c r="Y3780" s="16"/>
    </row>
    <row r="3781" customFormat="false" ht="15.75" hidden="false" customHeight="false" outlineLevel="0" collapsed="false">
      <c r="A3781" s="9"/>
      <c r="B3781" s="10"/>
      <c r="C3781" s="10"/>
      <c r="D3781" s="10"/>
      <c r="E3781" s="10"/>
      <c r="F3781" s="10"/>
      <c r="G3781" s="10"/>
      <c r="H3781" s="10"/>
      <c r="I3781" s="25" t="n">
        <v>4</v>
      </c>
      <c r="J3781" s="25"/>
      <c r="K3781" s="26"/>
      <c r="L3781" s="26"/>
      <c r="M3781" s="25"/>
      <c r="N3781" s="25"/>
      <c r="O3781" s="25"/>
      <c r="P3781" s="26"/>
      <c r="Q3781" s="26"/>
      <c r="R3781" s="25"/>
      <c r="S3781" s="25"/>
      <c r="T3781" s="25"/>
      <c r="U3781" s="27"/>
      <c r="V3781" s="21"/>
      <c r="W3781" s="16"/>
      <c r="X3781" s="16"/>
      <c r="Y3781" s="16"/>
    </row>
    <row r="3782" customFormat="false" ht="15.75" hidden="false" customHeight="false" outlineLevel="0" collapsed="false">
      <c r="A3782" s="9"/>
      <c r="B3782" s="10"/>
      <c r="C3782" s="11"/>
      <c r="D3782" s="10"/>
      <c r="E3782" s="10"/>
      <c r="F3782" s="10"/>
      <c r="G3782" s="10"/>
      <c r="H3782" s="10"/>
      <c r="I3782" s="12" t="n">
        <v>1</v>
      </c>
      <c r="J3782" s="12"/>
      <c r="K3782" s="13"/>
      <c r="L3782" s="13"/>
      <c r="M3782" s="12"/>
      <c r="N3782" s="12"/>
      <c r="O3782" s="12"/>
      <c r="P3782" s="13"/>
      <c r="Q3782" s="13"/>
      <c r="R3782" s="12"/>
      <c r="S3782" s="12"/>
      <c r="T3782" s="12"/>
      <c r="U3782" s="14"/>
      <c r="V3782" s="15"/>
      <c r="W3782" s="16" t="n">
        <f aca="false">A3782</f>
        <v>0</v>
      </c>
      <c r="X3782" s="17" t="e">
        <f aca="false">ifs(C3782="","",X3782="",NOW(),TRUE(),X3782)</f>
        <v>#VALUE!</v>
      </c>
      <c r="Y3782" s="17" t="e">
        <f aca="false">ifs(COUNTA(K3782:U3785)&lt;44,"",Y3782="",NOW(),TRUE(),Y3782)</f>
        <v>#VALUE!</v>
      </c>
    </row>
    <row r="3783" customFormat="false" ht="15.75" hidden="false" customHeight="false" outlineLevel="0" collapsed="false">
      <c r="A3783" s="9"/>
      <c r="B3783" s="10"/>
      <c r="C3783" s="10"/>
      <c r="D3783" s="10"/>
      <c r="E3783" s="10"/>
      <c r="F3783" s="10"/>
      <c r="G3783" s="10"/>
      <c r="H3783" s="10"/>
      <c r="I3783" s="18" t="n">
        <v>2</v>
      </c>
      <c r="J3783" s="18"/>
      <c r="K3783" s="19"/>
      <c r="L3783" s="19"/>
      <c r="M3783" s="18"/>
      <c r="N3783" s="18"/>
      <c r="O3783" s="18"/>
      <c r="P3783" s="19"/>
      <c r="Q3783" s="19"/>
      <c r="R3783" s="18"/>
      <c r="S3783" s="18"/>
      <c r="T3783" s="18"/>
      <c r="U3783" s="20"/>
      <c r="V3783" s="21"/>
      <c r="W3783" s="16"/>
      <c r="X3783" s="16"/>
      <c r="Y3783" s="16"/>
    </row>
    <row r="3784" customFormat="false" ht="15.75" hidden="false" customHeight="false" outlineLevel="0" collapsed="false">
      <c r="A3784" s="9"/>
      <c r="B3784" s="10"/>
      <c r="C3784" s="10"/>
      <c r="D3784" s="10"/>
      <c r="E3784" s="10"/>
      <c r="F3784" s="10"/>
      <c r="G3784" s="10"/>
      <c r="H3784" s="10"/>
      <c r="I3784" s="22" t="n">
        <v>3</v>
      </c>
      <c r="J3784" s="22"/>
      <c r="K3784" s="23"/>
      <c r="L3784" s="23"/>
      <c r="M3784" s="22"/>
      <c r="N3784" s="22"/>
      <c r="O3784" s="22"/>
      <c r="P3784" s="23"/>
      <c r="Q3784" s="23"/>
      <c r="R3784" s="22"/>
      <c r="S3784" s="22"/>
      <c r="T3784" s="22"/>
      <c r="U3784" s="24"/>
      <c r="V3784" s="15"/>
      <c r="W3784" s="16"/>
      <c r="X3784" s="16"/>
      <c r="Y3784" s="16"/>
    </row>
    <row r="3785" customFormat="false" ht="15.75" hidden="false" customHeight="false" outlineLevel="0" collapsed="false">
      <c r="A3785" s="9"/>
      <c r="B3785" s="10"/>
      <c r="C3785" s="10"/>
      <c r="D3785" s="10"/>
      <c r="E3785" s="10"/>
      <c r="F3785" s="10"/>
      <c r="G3785" s="10"/>
      <c r="H3785" s="10"/>
      <c r="I3785" s="25" t="n">
        <v>4</v>
      </c>
      <c r="J3785" s="25"/>
      <c r="K3785" s="26"/>
      <c r="L3785" s="26"/>
      <c r="M3785" s="25"/>
      <c r="N3785" s="25"/>
      <c r="O3785" s="25"/>
      <c r="P3785" s="26"/>
      <c r="Q3785" s="26"/>
      <c r="R3785" s="25"/>
      <c r="S3785" s="25"/>
      <c r="T3785" s="25"/>
      <c r="U3785" s="27"/>
      <c r="V3785" s="21"/>
      <c r="W3785" s="16"/>
      <c r="X3785" s="16"/>
      <c r="Y3785" s="16"/>
    </row>
    <row r="3786" customFormat="false" ht="15.75" hidden="false" customHeight="false" outlineLevel="0" collapsed="false">
      <c r="A3786" s="9"/>
      <c r="B3786" s="10"/>
      <c r="C3786" s="11"/>
      <c r="D3786" s="10"/>
      <c r="E3786" s="10"/>
      <c r="F3786" s="10"/>
      <c r="G3786" s="10"/>
      <c r="H3786" s="10"/>
      <c r="I3786" s="12" t="n">
        <v>1</v>
      </c>
      <c r="J3786" s="12"/>
      <c r="K3786" s="13"/>
      <c r="L3786" s="13"/>
      <c r="M3786" s="12"/>
      <c r="N3786" s="12"/>
      <c r="O3786" s="12"/>
      <c r="P3786" s="13"/>
      <c r="Q3786" s="13"/>
      <c r="R3786" s="12"/>
      <c r="S3786" s="12"/>
      <c r="T3786" s="12"/>
      <c r="U3786" s="14"/>
      <c r="V3786" s="15"/>
      <c r="W3786" s="16" t="n">
        <f aca="false">A3786</f>
        <v>0</v>
      </c>
      <c r="X3786" s="17" t="e">
        <f aca="false">ifs(C3786="","",X3786="",NOW(),TRUE(),X3786)</f>
        <v>#VALUE!</v>
      </c>
      <c r="Y3786" s="17" t="e">
        <f aca="false">ifs(COUNTA(K3786:U3789)&lt;44,"",Y3786="",NOW(),TRUE(),Y3786)</f>
        <v>#VALUE!</v>
      </c>
    </row>
    <row r="3787" customFormat="false" ht="15.75" hidden="false" customHeight="false" outlineLevel="0" collapsed="false">
      <c r="A3787" s="9"/>
      <c r="B3787" s="10"/>
      <c r="C3787" s="10"/>
      <c r="D3787" s="10"/>
      <c r="E3787" s="10"/>
      <c r="F3787" s="10"/>
      <c r="G3787" s="10"/>
      <c r="H3787" s="10"/>
      <c r="I3787" s="18" t="n">
        <v>2</v>
      </c>
      <c r="J3787" s="18"/>
      <c r="K3787" s="19"/>
      <c r="L3787" s="19"/>
      <c r="M3787" s="18"/>
      <c r="N3787" s="18"/>
      <c r="O3787" s="18"/>
      <c r="P3787" s="19"/>
      <c r="Q3787" s="19"/>
      <c r="R3787" s="18"/>
      <c r="S3787" s="18"/>
      <c r="T3787" s="18"/>
      <c r="U3787" s="20"/>
      <c r="V3787" s="21"/>
      <c r="W3787" s="16"/>
      <c r="X3787" s="16"/>
      <c r="Y3787" s="16"/>
    </row>
    <row r="3788" customFormat="false" ht="15.75" hidden="false" customHeight="false" outlineLevel="0" collapsed="false">
      <c r="A3788" s="9"/>
      <c r="B3788" s="10"/>
      <c r="C3788" s="10"/>
      <c r="D3788" s="10"/>
      <c r="E3788" s="10"/>
      <c r="F3788" s="10"/>
      <c r="G3788" s="10"/>
      <c r="H3788" s="10"/>
      <c r="I3788" s="22" t="n">
        <v>3</v>
      </c>
      <c r="J3788" s="22"/>
      <c r="K3788" s="23"/>
      <c r="L3788" s="23"/>
      <c r="M3788" s="22"/>
      <c r="N3788" s="22"/>
      <c r="O3788" s="22"/>
      <c r="P3788" s="23"/>
      <c r="Q3788" s="23"/>
      <c r="R3788" s="22"/>
      <c r="S3788" s="22"/>
      <c r="T3788" s="22"/>
      <c r="U3788" s="24"/>
      <c r="V3788" s="15"/>
      <c r="W3788" s="16"/>
      <c r="X3788" s="16"/>
      <c r="Y3788" s="16"/>
    </row>
    <row r="3789" customFormat="false" ht="15.75" hidden="false" customHeight="false" outlineLevel="0" collapsed="false">
      <c r="A3789" s="9"/>
      <c r="B3789" s="10"/>
      <c r="C3789" s="10"/>
      <c r="D3789" s="10"/>
      <c r="E3789" s="10"/>
      <c r="F3789" s="10"/>
      <c r="G3789" s="10"/>
      <c r="H3789" s="10"/>
      <c r="I3789" s="25" t="n">
        <v>4</v>
      </c>
      <c r="J3789" s="25"/>
      <c r="K3789" s="26"/>
      <c r="L3789" s="26"/>
      <c r="M3789" s="25"/>
      <c r="N3789" s="25"/>
      <c r="O3789" s="25"/>
      <c r="P3789" s="26"/>
      <c r="Q3789" s="26"/>
      <c r="R3789" s="25"/>
      <c r="S3789" s="25"/>
      <c r="T3789" s="25"/>
      <c r="U3789" s="27"/>
      <c r="V3789" s="21"/>
      <c r="W3789" s="16"/>
      <c r="X3789" s="16"/>
      <c r="Y3789" s="16"/>
    </row>
    <row r="3790" customFormat="false" ht="15.75" hidden="false" customHeight="false" outlineLevel="0" collapsed="false">
      <c r="A3790" s="9"/>
      <c r="B3790" s="10"/>
      <c r="C3790" s="11"/>
      <c r="D3790" s="10"/>
      <c r="E3790" s="10"/>
      <c r="F3790" s="10"/>
      <c r="G3790" s="10"/>
      <c r="H3790" s="10"/>
      <c r="I3790" s="12" t="n">
        <v>1</v>
      </c>
      <c r="J3790" s="12"/>
      <c r="K3790" s="13"/>
      <c r="L3790" s="13"/>
      <c r="M3790" s="12"/>
      <c r="N3790" s="12"/>
      <c r="O3790" s="12"/>
      <c r="P3790" s="13"/>
      <c r="Q3790" s="13"/>
      <c r="R3790" s="12"/>
      <c r="S3790" s="12"/>
      <c r="T3790" s="12"/>
      <c r="U3790" s="14"/>
      <c r="V3790" s="15"/>
      <c r="W3790" s="16" t="n">
        <f aca="false">A3790</f>
        <v>0</v>
      </c>
      <c r="X3790" s="17" t="e">
        <f aca="false">ifs(C3790="","",X3790="",NOW(),TRUE(),X3790)</f>
        <v>#VALUE!</v>
      </c>
      <c r="Y3790" s="17" t="e">
        <f aca="false">ifs(COUNTA(K3790:U3793)&lt;44,"",Y3790="",NOW(),TRUE(),Y3790)</f>
        <v>#VALUE!</v>
      </c>
    </row>
    <row r="3791" customFormat="false" ht="15.75" hidden="false" customHeight="false" outlineLevel="0" collapsed="false">
      <c r="A3791" s="9"/>
      <c r="B3791" s="10"/>
      <c r="C3791" s="10"/>
      <c r="D3791" s="10"/>
      <c r="E3791" s="10"/>
      <c r="F3791" s="10"/>
      <c r="G3791" s="10"/>
      <c r="H3791" s="10"/>
      <c r="I3791" s="18" t="n">
        <v>2</v>
      </c>
      <c r="J3791" s="18"/>
      <c r="K3791" s="19"/>
      <c r="L3791" s="19"/>
      <c r="M3791" s="18"/>
      <c r="N3791" s="18"/>
      <c r="O3791" s="18"/>
      <c r="P3791" s="19"/>
      <c r="Q3791" s="19"/>
      <c r="R3791" s="18"/>
      <c r="S3791" s="18"/>
      <c r="T3791" s="18"/>
      <c r="U3791" s="20"/>
      <c r="V3791" s="21"/>
      <c r="W3791" s="16"/>
      <c r="X3791" s="16"/>
      <c r="Y3791" s="16"/>
    </row>
    <row r="3792" customFormat="false" ht="15.75" hidden="false" customHeight="false" outlineLevel="0" collapsed="false">
      <c r="A3792" s="9"/>
      <c r="B3792" s="10"/>
      <c r="C3792" s="10"/>
      <c r="D3792" s="10"/>
      <c r="E3792" s="10"/>
      <c r="F3792" s="10"/>
      <c r="G3792" s="10"/>
      <c r="H3792" s="10"/>
      <c r="I3792" s="22" t="n">
        <v>3</v>
      </c>
      <c r="J3792" s="22"/>
      <c r="K3792" s="23"/>
      <c r="L3792" s="23"/>
      <c r="M3792" s="22"/>
      <c r="N3792" s="22"/>
      <c r="O3792" s="22"/>
      <c r="P3792" s="23"/>
      <c r="Q3792" s="23"/>
      <c r="R3792" s="22"/>
      <c r="S3792" s="22"/>
      <c r="T3792" s="22"/>
      <c r="U3792" s="24"/>
      <c r="V3792" s="15"/>
      <c r="W3792" s="16"/>
      <c r="X3792" s="16"/>
      <c r="Y3792" s="16"/>
    </row>
    <row r="3793" customFormat="false" ht="15.75" hidden="false" customHeight="false" outlineLevel="0" collapsed="false">
      <c r="A3793" s="9"/>
      <c r="B3793" s="10"/>
      <c r="C3793" s="10"/>
      <c r="D3793" s="10"/>
      <c r="E3793" s="10"/>
      <c r="F3793" s="10"/>
      <c r="G3793" s="10"/>
      <c r="H3793" s="10"/>
      <c r="I3793" s="25" t="n">
        <v>4</v>
      </c>
      <c r="J3793" s="25"/>
      <c r="K3793" s="26"/>
      <c r="L3793" s="26"/>
      <c r="M3793" s="25"/>
      <c r="N3793" s="25"/>
      <c r="O3793" s="25"/>
      <c r="P3793" s="26"/>
      <c r="Q3793" s="26"/>
      <c r="R3793" s="25"/>
      <c r="S3793" s="25"/>
      <c r="T3793" s="25"/>
      <c r="U3793" s="27"/>
      <c r="V3793" s="21"/>
      <c r="W3793" s="16"/>
      <c r="X3793" s="16"/>
      <c r="Y3793" s="16"/>
    </row>
    <row r="3794" customFormat="false" ht="15.75" hidden="false" customHeight="false" outlineLevel="0" collapsed="false">
      <c r="A3794" s="9"/>
      <c r="B3794" s="10"/>
      <c r="C3794" s="11"/>
      <c r="D3794" s="10"/>
      <c r="E3794" s="10"/>
      <c r="F3794" s="10"/>
      <c r="G3794" s="10"/>
      <c r="H3794" s="10"/>
      <c r="I3794" s="12" t="n">
        <v>1</v>
      </c>
      <c r="J3794" s="12"/>
      <c r="K3794" s="13"/>
      <c r="L3794" s="13"/>
      <c r="M3794" s="12"/>
      <c r="N3794" s="12"/>
      <c r="O3794" s="12"/>
      <c r="P3794" s="13"/>
      <c r="Q3794" s="13"/>
      <c r="R3794" s="12"/>
      <c r="S3794" s="12"/>
      <c r="T3794" s="12"/>
      <c r="U3794" s="14"/>
      <c r="V3794" s="15"/>
      <c r="W3794" s="16" t="n">
        <f aca="false">A3794</f>
        <v>0</v>
      </c>
      <c r="X3794" s="17" t="e">
        <f aca="false">ifs(C3794="","",X3794="",NOW(),TRUE(),X3794)</f>
        <v>#VALUE!</v>
      </c>
      <c r="Y3794" s="17" t="e">
        <f aca="false">ifs(COUNTA(K3794:U3797)&lt;44,"",Y3794="",NOW(),TRUE(),Y3794)</f>
        <v>#VALUE!</v>
      </c>
    </row>
    <row r="3795" customFormat="false" ht="15.75" hidden="false" customHeight="false" outlineLevel="0" collapsed="false">
      <c r="A3795" s="9"/>
      <c r="B3795" s="10"/>
      <c r="C3795" s="10"/>
      <c r="D3795" s="10"/>
      <c r="E3795" s="10"/>
      <c r="F3795" s="10"/>
      <c r="G3795" s="10"/>
      <c r="H3795" s="10"/>
      <c r="I3795" s="18" t="n">
        <v>2</v>
      </c>
      <c r="J3795" s="18"/>
      <c r="K3795" s="19"/>
      <c r="L3795" s="19"/>
      <c r="M3795" s="18"/>
      <c r="N3795" s="18"/>
      <c r="O3795" s="18"/>
      <c r="P3795" s="19"/>
      <c r="Q3795" s="19"/>
      <c r="R3795" s="18"/>
      <c r="S3795" s="18"/>
      <c r="T3795" s="18"/>
      <c r="U3795" s="20"/>
      <c r="V3795" s="21"/>
      <c r="W3795" s="16"/>
      <c r="X3795" s="16"/>
      <c r="Y3795" s="16"/>
    </row>
    <row r="3796" customFormat="false" ht="15.75" hidden="false" customHeight="false" outlineLevel="0" collapsed="false">
      <c r="A3796" s="9"/>
      <c r="B3796" s="10"/>
      <c r="C3796" s="10"/>
      <c r="D3796" s="10"/>
      <c r="E3796" s="10"/>
      <c r="F3796" s="10"/>
      <c r="G3796" s="10"/>
      <c r="H3796" s="10"/>
      <c r="I3796" s="22" t="n">
        <v>3</v>
      </c>
      <c r="J3796" s="22"/>
      <c r="K3796" s="23"/>
      <c r="L3796" s="23"/>
      <c r="M3796" s="22"/>
      <c r="N3796" s="22"/>
      <c r="O3796" s="22"/>
      <c r="P3796" s="23"/>
      <c r="Q3796" s="23"/>
      <c r="R3796" s="22"/>
      <c r="S3796" s="22"/>
      <c r="T3796" s="22"/>
      <c r="U3796" s="24"/>
      <c r="V3796" s="15"/>
      <c r="W3796" s="16"/>
      <c r="X3796" s="16"/>
      <c r="Y3796" s="16"/>
    </row>
    <row r="3797" customFormat="false" ht="15.75" hidden="false" customHeight="false" outlineLevel="0" collapsed="false">
      <c r="A3797" s="9"/>
      <c r="B3797" s="10"/>
      <c r="C3797" s="10"/>
      <c r="D3797" s="10"/>
      <c r="E3797" s="10"/>
      <c r="F3797" s="10"/>
      <c r="G3797" s="10"/>
      <c r="H3797" s="10"/>
      <c r="I3797" s="25" t="n">
        <v>4</v>
      </c>
      <c r="J3797" s="25"/>
      <c r="K3797" s="26"/>
      <c r="L3797" s="26"/>
      <c r="M3797" s="25"/>
      <c r="N3797" s="25"/>
      <c r="O3797" s="25"/>
      <c r="P3797" s="26"/>
      <c r="Q3797" s="26"/>
      <c r="R3797" s="25"/>
      <c r="S3797" s="25"/>
      <c r="T3797" s="25"/>
      <c r="U3797" s="27"/>
      <c r="V3797" s="21"/>
      <c r="W3797" s="16"/>
      <c r="X3797" s="16"/>
      <c r="Y3797" s="16"/>
    </row>
    <row r="3798" customFormat="false" ht="15.75" hidden="false" customHeight="false" outlineLevel="0" collapsed="false">
      <c r="A3798" s="9"/>
      <c r="B3798" s="10"/>
      <c r="C3798" s="11"/>
      <c r="D3798" s="10"/>
      <c r="E3798" s="10"/>
      <c r="F3798" s="10"/>
      <c r="G3798" s="10"/>
      <c r="H3798" s="10"/>
      <c r="I3798" s="12" t="n">
        <v>1</v>
      </c>
      <c r="J3798" s="12"/>
      <c r="K3798" s="13"/>
      <c r="L3798" s="13"/>
      <c r="M3798" s="12"/>
      <c r="N3798" s="12"/>
      <c r="O3798" s="12"/>
      <c r="P3798" s="13"/>
      <c r="Q3798" s="13"/>
      <c r="R3798" s="12"/>
      <c r="S3798" s="12"/>
      <c r="T3798" s="12"/>
      <c r="U3798" s="14"/>
      <c r="V3798" s="15"/>
      <c r="W3798" s="16" t="n">
        <f aca="false">A3798</f>
        <v>0</v>
      </c>
      <c r="X3798" s="17" t="e">
        <f aca="false">ifs(C3798="","",X3798="",NOW(),TRUE(),X3798)</f>
        <v>#VALUE!</v>
      </c>
      <c r="Y3798" s="17" t="e">
        <f aca="false">ifs(COUNTA(K3798:U3801)&lt;44,"",Y3798="",NOW(),TRUE(),Y3798)</f>
        <v>#VALUE!</v>
      </c>
    </row>
    <row r="3799" customFormat="false" ht="15.75" hidden="false" customHeight="false" outlineLevel="0" collapsed="false">
      <c r="A3799" s="9"/>
      <c r="B3799" s="10"/>
      <c r="C3799" s="10"/>
      <c r="D3799" s="10"/>
      <c r="E3799" s="10"/>
      <c r="F3799" s="10"/>
      <c r="G3799" s="10"/>
      <c r="H3799" s="10"/>
      <c r="I3799" s="18" t="n">
        <v>2</v>
      </c>
      <c r="J3799" s="18"/>
      <c r="K3799" s="19"/>
      <c r="L3799" s="19"/>
      <c r="M3799" s="18"/>
      <c r="N3799" s="18"/>
      <c r="O3799" s="18"/>
      <c r="P3799" s="19"/>
      <c r="Q3799" s="19"/>
      <c r="R3799" s="18"/>
      <c r="S3799" s="18"/>
      <c r="T3799" s="18"/>
      <c r="U3799" s="20"/>
      <c r="V3799" s="21"/>
      <c r="W3799" s="16"/>
      <c r="X3799" s="16"/>
      <c r="Y3799" s="16"/>
    </row>
    <row r="3800" customFormat="false" ht="15.75" hidden="false" customHeight="false" outlineLevel="0" collapsed="false">
      <c r="A3800" s="9"/>
      <c r="B3800" s="10"/>
      <c r="C3800" s="10"/>
      <c r="D3800" s="10"/>
      <c r="E3800" s="10"/>
      <c r="F3800" s="10"/>
      <c r="G3800" s="10"/>
      <c r="H3800" s="10"/>
      <c r="I3800" s="22" t="n">
        <v>3</v>
      </c>
      <c r="J3800" s="22"/>
      <c r="K3800" s="23"/>
      <c r="L3800" s="23"/>
      <c r="M3800" s="22"/>
      <c r="N3800" s="22"/>
      <c r="O3800" s="22"/>
      <c r="P3800" s="23"/>
      <c r="Q3800" s="23"/>
      <c r="R3800" s="22"/>
      <c r="S3800" s="22"/>
      <c r="T3800" s="22"/>
      <c r="U3800" s="24"/>
      <c r="V3800" s="15"/>
      <c r="W3800" s="16"/>
      <c r="X3800" s="16"/>
      <c r="Y3800" s="16"/>
    </row>
    <row r="3801" customFormat="false" ht="15.75" hidden="false" customHeight="false" outlineLevel="0" collapsed="false">
      <c r="A3801" s="9"/>
      <c r="B3801" s="10"/>
      <c r="C3801" s="10"/>
      <c r="D3801" s="10"/>
      <c r="E3801" s="10"/>
      <c r="F3801" s="10"/>
      <c r="G3801" s="10"/>
      <c r="H3801" s="10"/>
      <c r="I3801" s="25" t="n">
        <v>4</v>
      </c>
      <c r="J3801" s="25"/>
      <c r="K3801" s="26"/>
      <c r="L3801" s="26"/>
      <c r="M3801" s="25"/>
      <c r="N3801" s="25"/>
      <c r="O3801" s="25"/>
      <c r="P3801" s="26"/>
      <c r="Q3801" s="26"/>
      <c r="R3801" s="25"/>
      <c r="S3801" s="25"/>
      <c r="T3801" s="25"/>
      <c r="U3801" s="27"/>
      <c r="V3801" s="21"/>
      <c r="W3801" s="16"/>
      <c r="X3801" s="16"/>
      <c r="Y3801" s="16"/>
    </row>
    <row r="3802" customFormat="false" ht="15.75" hidden="false" customHeight="false" outlineLevel="0" collapsed="false">
      <c r="A3802" s="9"/>
      <c r="B3802" s="10"/>
      <c r="C3802" s="11"/>
      <c r="D3802" s="10"/>
      <c r="E3802" s="10"/>
      <c r="F3802" s="10"/>
      <c r="G3802" s="10"/>
      <c r="H3802" s="10"/>
      <c r="I3802" s="12" t="n">
        <v>1</v>
      </c>
      <c r="J3802" s="12"/>
      <c r="K3802" s="13"/>
      <c r="L3802" s="13"/>
      <c r="M3802" s="12"/>
      <c r="N3802" s="12"/>
      <c r="O3802" s="12"/>
      <c r="P3802" s="13"/>
      <c r="Q3802" s="13"/>
      <c r="R3802" s="12"/>
      <c r="S3802" s="12"/>
      <c r="T3802" s="12"/>
      <c r="U3802" s="14"/>
      <c r="V3802" s="15"/>
      <c r="W3802" s="16" t="n">
        <f aca="false">A3802</f>
        <v>0</v>
      </c>
      <c r="X3802" s="17" t="e">
        <f aca="false">ifs(C3802="","",X3802="",NOW(),TRUE(),X3802)</f>
        <v>#VALUE!</v>
      </c>
      <c r="Y3802" s="17" t="e">
        <f aca="false">ifs(COUNTA(K3802:U3805)&lt;44,"",Y3802="",NOW(),TRUE(),Y3802)</f>
        <v>#VALUE!</v>
      </c>
    </row>
    <row r="3803" customFormat="false" ht="15.75" hidden="false" customHeight="false" outlineLevel="0" collapsed="false">
      <c r="A3803" s="9"/>
      <c r="B3803" s="10"/>
      <c r="C3803" s="10"/>
      <c r="D3803" s="10"/>
      <c r="E3803" s="10"/>
      <c r="F3803" s="10"/>
      <c r="G3803" s="10"/>
      <c r="H3803" s="10"/>
      <c r="I3803" s="18" t="n">
        <v>2</v>
      </c>
      <c r="J3803" s="18"/>
      <c r="K3803" s="19"/>
      <c r="L3803" s="19"/>
      <c r="M3803" s="18"/>
      <c r="N3803" s="18"/>
      <c r="O3803" s="18"/>
      <c r="P3803" s="19"/>
      <c r="Q3803" s="19"/>
      <c r="R3803" s="18"/>
      <c r="S3803" s="18"/>
      <c r="T3803" s="18"/>
      <c r="U3803" s="20"/>
      <c r="V3803" s="21"/>
      <c r="W3803" s="16"/>
      <c r="X3803" s="16"/>
      <c r="Y3803" s="16"/>
    </row>
    <row r="3804" customFormat="false" ht="15.75" hidden="false" customHeight="false" outlineLevel="0" collapsed="false">
      <c r="A3804" s="9"/>
      <c r="B3804" s="10"/>
      <c r="C3804" s="10"/>
      <c r="D3804" s="10"/>
      <c r="E3804" s="10"/>
      <c r="F3804" s="10"/>
      <c r="G3804" s="10"/>
      <c r="H3804" s="10"/>
      <c r="I3804" s="22" t="n">
        <v>3</v>
      </c>
      <c r="J3804" s="22"/>
      <c r="K3804" s="23"/>
      <c r="L3804" s="23"/>
      <c r="M3804" s="22"/>
      <c r="N3804" s="22"/>
      <c r="O3804" s="22"/>
      <c r="P3804" s="23"/>
      <c r="Q3804" s="23"/>
      <c r="R3804" s="22"/>
      <c r="S3804" s="22"/>
      <c r="T3804" s="22"/>
      <c r="U3804" s="24"/>
      <c r="V3804" s="15"/>
      <c r="W3804" s="16"/>
      <c r="X3804" s="16"/>
      <c r="Y3804" s="16"/>
    </row>
    <row r="3805" customFormat="false" ht="15.75" hidden="false" customHeight="false" outlineLevel="0" collapsed="false">
      <c r="A3805" s="9"/>
      <c r="B3805" s="10"/>
      <c r="C3805" s="10"/>
      <c r="D3805" s="10"/>
      <c r="E3805" s="10"/>
      <c r="F3805" s="10"/>
      <c r="G3805" s="10"/>
      <c r="H3805" s="10"/>
      <c r="I3805" s="25" t="n">
        <v>4</v>
      </c>
      <c r="J3805" s="25"/>
      <c r="K3805" s="26"/>
      <c r="L3805" s="26"/>
      <c r="M3805" s="25"/>
      <c r="N3805" s="25"/>
      <c r="O3805" s="25"/>
      <c r="P3805" s="26"/>
      <c r="Q3805" s="26"/>
      <c r="R3805" s="25"/>
      <c r="S3805" s="25"/>
      <c r="T3805" s="25"/>
      <c r="U3805" s="27"/>
      <c r="V3805" s="21"/>
      <c r="W3805" s="16"/>
      <c r="X3805" s="16"/>
      <c r="Y3805" s="16"/>
    </row>
    <row r="3806" customFormat="false" ht="15.75" hidden="false" customHeight="false" outlineLevel="0" collapsed="false">
      <c r="A3806" s="9"/>
      <c r="B3806" s="10"/>
      <c r="C3806" s="11"/>
      <c r="D3806" s="10"/>
      <c r="E3806" s="10"/>
      <c r="F3806" s="10"/>
      <c r="G3806" s="10"/>
      <c r="H3806" s="10"/>
      <c r="I3806" s="12" t="n">
        <v>1</v>
      </c>
      <c r="J3806" s="12"/>
      <c r="K3806" s="13"/>
      <c r="L3806" s="13"/>
      <c r="M3806" s="12"/>
      <c r="N3806" s="12"/>
      <c r="O3806" s="12"/>
      <c r="P3806" s="13"/>
      <c r="Q3806" s="13"/>
      <c r="R3806" s="12"/>
      <c r="S3806" s="12"/>
      <c r="T3806" s="12"/>
      <c r="U3806" s="14"/>
      <c r="V3806" s="15"/>
      <c r="W3806" s="16" t="n">
        <f aca="false">A3806</f>
        <v>0</v>
      </c>
      <c r="X3806" s="17" t="e">
        <f aca="false">ifs(C3806="","",X3806="",NOW(),TRUE(),X3806)</f>
        <v>#VALUE!</v>
      </c>
      <c r="Y3806" s="17" t="e">
        <f aca="false">ifs(COUNTA(K3806:U3809)&lt;44,"",Y3806="",NOW(),TRUE(),Y3806)</f>
        <v>#VALUE!</v>
      </c>
    </row>
    <row r="3807" customFormat="false" ht="15.75" hidden="false" customHeight="false" outlineLevel="0" collapsed="false">
      <c r="A3807" s="9"/>
      <c r="B3807" s="10"/>
      <c r="C3807" s="10"/>
      <c r="D3807" s="10"/>
      <c r="E3807" s="10"/>
      <c r="F3807" s="10"/>
      <c r="G3807" s="10"/>
      <c r="H3807" s="10"/>
      <c r="I3807" s="18" t="n">
        <v>2</v>
      </c>
      <c r="J3807" s="18"/>
      <c r="K3807" s="19"/>
      <c r="L3807" s="19"/>
      <c r="M3807" s="18"/>
      <c r="N3807" s="18"/>
      <c r="O3807" s="18"/>
      <c r="P3807" s="19"/>
      <c r="Q3807" s="19"/>
      <c r="R3807" s="18"/>
      <c r="S3807" s="18"/>
      <c r="T3807" s="18"/>
      <c r="U3807" s="20"/>
      <c r="V3807" s="21"/>
      <c r="W3807" s="16"/>
      <c r="X3807" s="16"/>
      <c r="Y3807" s="16"/>
    </row>
    <row r="3808" customFormat="false" ht="15.75" hidden="false" customHeight="false" outlineLevel="0" collapsed="false">
      <c r="A3808" s="9"/>
      <c r="B3808" s="10"/>
      <c r="C3808" s="10"/>
      <c r="D3808" s="10"/>
      <c r="E3808" s="10"/>
      <c r="F3808" s="10"/>
      <c r="G3808" s="10"/>
      <c r="H3808" s="10"/>
      <c r="I3808" s="22" t="n">
        <v>3</v>
      </c>
      <c r="J3808" s="22"/>
      <c r="K3808" s="23"/>
      <c r="L3808" s="23"/>
      <c r="M3808" s="22"/>
      <c r="N3808" s="22"/>
      <c r="O3808" s="22"/>
      <c r="P3808" s="23"/>
      <c r="Q3808" s="23"/>
      <c r="R3808" s="22"/>
      <c r="S3808" s="22"/>
      <c r="T3808" s="22"/>
      <c r="U3808" s="24"/>
      <c r="V3808" s="15"/>
      <c r="W3808" s="16"/>
      <c r="X3808" s="16"/>
      <c r="Y3808" s="16"/>
    </row>
    <row r="3809" customFormat="false" ht="15.75" hidden="false" customHeight="false" outlineLevel="0" collapsed="false">
      <c r="A3809" s="9"/>
      <c r="B3809" s="10"/>
      <c r="C3809" s="10"/>
      <c r="D3809" s="10"/>
      <c r="E3809" s="10"/>
      <c r="F3809" s="10"/>
      <c r="G3809" s="10"/>
      <c r="H3809" s="10"/>
      <c r="I3809" s="25" t="n">
        <v>4</v>
      </c>
      <c r="J3809" s="25"/>
      <c r="K3809" s="26"/>
      <c r="L3809" s="26"/>
      <c r="M3809" s="25"/>
      <c r="N3809" s="25"/>
      <c r="O3809" s="25"/>
      <c r="P3809" s="26"/>
      <c r="Q3809" s="26"/>
      <c r="R3809" s="25"/>
      <c r="S3809" s="25"/>
      <c r="T3809" s="25"/>
      <c r="U3809" s="27"/>
      <c r="V3809" s="21"/>
      <c r="W3809" s="16"/>
      <c r="X3809" s="16"/>
      <c r="Y3809" s="16"/>
    </row>
    <row r="3810" customFormat="false" ht="15.75" hidden="false" customHeight="false" outlineLevel="0" collapsed="false">
      <c r="A3810" s="9"/>
      <c r="B3810" s="10"/>
      <c r="C3810" s="11"/>
      <c r="D3810" s="10"/>
      <c r="E3810" s="10"/>
      <c r="F3810" s="10"/>
      <c r="G3810" s="10"/>
      <c r="H3810" s="10"/>
      <c r="I3810" s="12" t="n">
        <v>1</v>
      </c>
      <c r="J3810" s="12"/>
      <c r="K3810" s="13"/>
      <c r="L3810" s="13"/>
      <c r="M3810" s="12"/>
      <c r="N3810" s="12"/>
      <c r="O3810" s="12"/>
      <c r="P3810" s="13"/>
      <c r="Q3810" s="13"/>
      <c r="R3810" s="12"/>
      <c r="S3810" s="12"/>
      <c r="T3810" s="12"/>
      <c r="U3810" s="14"/>
      <c r="V3810" s="15"/>
      <c r="W3810" s="16" t="n">
        <f aca="false">A3810</f>
        <v>0</v>
      </c>
      <c r="X3810" s="17" t="e">
        <f aca="false">ifs(C3810="","",X3810="",NOW(),TRUE(),X3810)</f>
        <v>#VALUE!</v>
      </c>
      <c r="Y3810" s="17" t="e">
        <f aca="false">ifs(COUNTA(K3810:U3813)&lt;44,"",Y3810="",NOW(),TRUE(),Y3810)</f>
        <v>#VALUE!</v>
      </c>
    </row>
    <row r="3811" customFormat="false" ht="15.75" hidden="false" customHeight="false" outlineLevel="0" collapsed="false">
      <c r="A3811" s="9"/>
      <c r="B3811" s="10"/>
      <c r="C3811" s="10"/>
      <c r="D3811" s="10"/>
      <c r="E3811" s="10"/>
      <c r="F3811" s="10"/>
      <c r="G3811" s="10"/>
      <c r="H3811" s="10"/>
      <c r="I3811" s="18" t="n">
        <v>2</v>
      </c>
      <c r="J3811" s="18"/>
      <c r="K3811" s="19"/>
      <c r="L3811" s="19"/>
      <c r="M3811" s="18"/>
      <c r="N3811" s="18"/>
      <c r="O3811" s="18"/>
      <c r="P3811" s="19"/>
      <c r="Q3811" s="19"/>
      <c r="R3811" s="18"/>
      <c r="S3811" s="18"/>
      <c r="T3811" s="18"/>
      <c r="U3811" s="20"/>
      <c r="V3811" s="21"/>
      <c r="W3811" s="16"/>
      <c r="X3811" s="16"/>
      <c r="Y3811" s="16"/>
    </row>
    <row r="3812" customFormat="false" ht="15.75" hidden="false" customHeight="false" outlineLevel="0" collapsed="false">
      <c r="A3812" s="9"/>
      <c r="B3812" s="10"/>
      <c r="C3812" s="10"/>
      <c r="D3812" s="10"/>
      <c r="E3812" s="10"/>
      <c r="F3812" s="10"/>
      <c r="G3812" s="10"/>
      <c r="H3812" s="10"/>
      <c r="I3812" s="22" t="n">
        <v>3</v>
      </c>
      <c r="J3812" s="22"/>
      <c r="K3812" s="23"/>
      <c r="L3812" s="23"/>
      <c r="M3812" s="22"/>
      <c r="N3812" s="22"/>
      <c r="O3812" s="22"/>
      <c r="P3812" s="23"/>
      <c r="Q3812" s="23"/>
      <c r="R3812" s="22"/>
      <c r="S3812" s="22"/>
      <c r="T3812" s="22"/>
      <c r="U3812" s="24"/>
      <c r="V3812" s="15"/>
      <c r="W3812" s="16"/>
      <c r="X3812" s="16"/>
      <c r="Y3812" s="16"/>
    </row>
    <row r="3813" customFormat="false" ht="15.75" hidden="false" customHeight="false" outlineLevel="0" collapsed="false">
      <c r="A3813" s="9"/>
      <c r="B3813" s="10"/>
      <c r="C3813" s="10"/>
      <c r="D3813" s="10"/>
      <c r="E3813" s="10"/>
      <c r="F3813" s="10"/>
      <c r="G3813" s="10"/>
      <c r="H3813" s="10"/>
      <c r="I3813" s="25" t="n">
        <v>4</v>
      </c>
      <c r="J3813" s="25"/>
      <c r="K3813" s="26"/>
      <c r="L3813" s="26"/>
      <c r="M3813" s="25"/>
      <c r="N3813" s="25"/>
      <c r="O3813" s="25"/>
      <c r="P3813" s="26"/>
      <c r="Q3813" s="26"/>
      <c r="R3813" s="25"/>
      <c r="S3813" s="25"/>
      <c r="T3813" s="25"/>
      <c r="U3813" s="27"/>
      <c r="V3813" s="21"/>
      <c r="W3813" s="16"/>
      <c r="X3813" s="16"/>
      <c r="Y3813" s="16"/>
    </row>
    <row r="3814" customFormat="false" ht="15.75" hidden="false" customHeight="false" outlineLevel="0" collapsed="false">
      <c r="A3814" s="9"/>
      <c r="B3814" s="10"/>
      <c r="C3814" s="11"/>
      <c r="D3814" s="10"/>
      <c r="E3814" s="10"/>
      <c r="F3814" s="10"/>
      <c r="G3814" s="10"/>
      <c r="H3814" s="10"/>
      <c r="I3814" s="12" t="n">
        <v>1</v>
      </c>
      <c r="J3814" s="12"/>
      <c r="K3814" s="13"/>
      <c r="L3814" s="13"/>
      <c r="M3814" s="12"/>
      <c r="N3814" s="12"/>
      <c r="O3814" s="12"/>
      <c r="P3814" s="13"/>
      <c r="Q3814" s="13"/>
      <c r="R3814" s="12"/>
      <c r="S3814" s="12"/>
      <c r="T3814" s="12"/>
      <c r="U3814" s="14"/>
      <c r="V3814" s="15"/>
      <c r="W3814" s="16" t="n">
        <f aca="false">A3814</f>
        <v>0</v>
      </c>
      <c r="X3814" s="17" t="e">
        <f aca="false">ifs(C3814="","",X3814="",NOW(),TRUE(),X3814)</f>
        <v>#VALUE!</v>
      </c>
      <c r="Y3814" s="17" t="e">
        <f aca="false">ifs(COUNTA(K3814:U3817)&lt;44,"",Y3814="",NOW(),TRUE(),Y3814)</f>
        <v>#VALUE!</v>
      </c>
    </row>
    <row r="3815" customFormat="false" ht="15.75" hidden="false" customHeight="false" outlineLevel="0" collapsed="false">
      <c r="A3815" s="9"/>
      <c r="B3815" s="10"/>
      <c r="C3815" s="10"/>
      <c r="D3815" s="10"/>
      <c r="E3815" s="10"/>
      <c r="F3815" s="10"/>
      <c r="G3815" s="10"/>
      <c r="H3815" s="10"/>
      <c r="I3815" s="18" t="n">
        <v>2</v>
      </c>
      <c r="J3815" s="18"/>
      <c r="K3815" s="19"/>
      <c r="L3815" s="19"/>
      <c r="M3815" s="18"/>
      <c r="N3815" s="18"/>
      <c r="O3815" s="18"/>
      <c r="P3815" s="19"/>
      <c r="Q3815" s="19"/>
      <c r="R3815" s="18"/>
      <c r="S3815" s="18"/>
      <c r="T3815" s="18"/>
      <c r="U3815" s="20"/>
      <c r="V3815" s="21"/>
      <c r="W3815" s="16"/>
      <c r="X3815" s="16"/>
      <c r="Y3815" s="16"/>
    </row>
    <row r="3816" customFormat="false" ht="15.75" hidden="false" customHeight="false" outlineLevel="0" collapsed="false">
      <c r="A3816" s="9"/>
      <c r="B3816" s="10"/>
      <c r="C3816" s="10"/>
      <c r="D3816" s="10"/>
      <c r="E3816" s="10"/>
      <c r="F3816" s="10"/>
      <c r="G3816" s="10"/>
      <c r="H3816" s="10"/>
      <c r="I3816" s="22" t="n">
        <v>3</v>
      </c>
      <c r="J3816" s="22"/>
      <c r="K3816" s="23"/>
      <c r="L3816" s="23"/>
      <c r="M3816" s="22"/>
      <c r="N3816" s="22"/>
      <c r="O3816" s="22"/>
      <c r="P3816" s="23"/>
      <c r="Q3816" s="23"/>
      <c r="R3816" s="22"/>
      <c r="S3816" s="22"/>
      <c r="T3816" s="22"/>
      <c r="U3816" s="24"/>
      <c r="V3816" s="15"/>
      <c r="W3816" s="16"/>
      <c r="X3816" s="16"/>
      <c r="Y3816" s="16"/>
    </row>
    <row r="3817" customFormat="false" ht="15.75" hidden="false" customHeight="false" outlineLevel="0" collapsed="false">
      <c r="A3817" s="9"/>
      <c r="B3817" s="10"/>
      <c r="C3817" s="10"/>
      <c r="D3817" s="10"/>
      <c r="E3817" s="10"/>
      <c r="F3817" s="10"/>
      <c r="G3817" s="10"/>
      <c r="H3817" s="10"/>
      <c r="I3817" s="25" t="n">
        <v>4</v>
      </c>
      <c r="J3817" s="25"/>
      <c r="K3817" s="26"/>
      <c r="L3817" s="26"/>
      <c r="M3817" s="25"/>
      <c r="N3817" s="25"/>
      <c r="O3817" s="25"/>
      <c r="P3817" s="26"/>
      <c r="Q3817" s="26"/>
      <c r="R3817" s="25"/>
      <c r="S3817" s="25"/>
      <c r="T3817" s="25"/>
      <c r="U3817" s="27"/>
      <c r="V3817" s="21"/>
      <c r="W3817" s="16"/>
      <c r="X3817" s="16"/>
      <c r="Y3817" s="16"/>
    </row>
    <row r="3818" customFormat="false" ht="15.75" hidden="false" customHeight="false" outlineLevel="0" collapsed="false">
      <c r="A3818" s="9"/>
      <c r="B3818" s="10"/>
      <c r="C3818" s="11"/>
      <c r="D3818" s="10"/>
      <c r="E3818" s="10"/>
      <c r="F3818" s="10"/>
      <c r="G3818" s="10"/>
      <c r="H3818" s="10"/>
      <c r="I3818" s="12" t="n">
        <v>1</v>
      </c>
      <c r="J3818" s="12"/>
      <c r="K3818" s="13"/>
      <c r="L3818" s="13"/>
      <c r="M3818" s="12"/>
      <c r="N3818" s="12"/>
      <c r="O3818" s="12"/>
      <c r="P3818" s="13"/>
      <c r="Q3818" s="13"/>
      <c r="R3818" s="12"/>
      <c r="S3818" s="12"/>
      <c r="T3818" s="12"/>
      <c r="U3818" s="14"/>
      <c r="V3818" s="15"/>
      <c r="W3818" s="16" t="n">
        <f aca="false">A3818</f>
        <v>0</v>
      </c>
      <c r="X3818" s="17" t="e">
        <f aca="false">ifs(C3818="","",X3818="",NOW(),TRUE(),X3818)</f>
        <v>#VALUE!</v>
      </c>
      <c r="Y3818" s="17" t="e">
        <f aca="false">ifs(COUNTA(K3818:U3821)&lt;44,"",Y3818="",NOW(),TRUE(),Y3818)</f>
        <v>#VALUE!</v>
      </c>
    </row>
    <row r="3819" customFormat="false" ht="15.75" hidden="false" customHeight="false" outlineLevel="0" collapsed="false">
      <c r="A3819" s="9"/>
      <c r="B3819" s="10"/>
      <c r="C3819" s="10"/>
      <c r="D3819" s="10"/>
      <c r="E3819" s="10"/>
      <c r="F3819" s="10"/>
      <c r="G3819" s="10"/>
      <c r="H3819" s="10"/>
      <c r="I3819" s="18" t="n">
        <v>2</v>
      </c>
      <c r="J3819" s="18"/>
      <c r="K3819" s="19"/>
      <c r="L3819" s="19"/>
      <c r="M3819" s="18"/>
      <c r="N3819" s="18"/>
      <c r="O3819" s="18"/>
      <c r="P3819" s="19"/>
      <c r="Q3819" s="19"/>
      <c r="R3819" s="18"/>
      <c r="S3819" s="18"/>
      <c r="T3819" s="18"/>
      <c r="U3819" s="20"/>
      <c r="V3819" s="21"/>
      <c r="W3819" s="16"/>
      <c r="X3819" s="16"/>
      <c r="Y3819" s="16"/>
    </row>
    <row r="3820" customFormat="false" ht="15.75" hidden="false" customHeight="false" outlineLevel="0" collapsed="false">
      <c r="A3820" s="9"/>
      <c r="B3820" s="10"/>
      <c r="C3820" s="10"/>
      <c r="D3820" s="10"/>
      <c r="E3820" s="10"/>
      <c r="F3820" s="10"/>
      <c r="G3820" s="10"/>
      <c r="H3820" s="10"/>
      <c r="I3820" s="22" t="n">
        <v>3</v>
      </c>
      <c r="J3820" s="22"/>
      <c r="K3820" s="23"/>
      <c r="L3820" s="23"/>
      <c r="M3820" s="22"/>
      <c r="N3820" s="22"/>
      <c r="O3820" s="22"/>
      <c r="P3820" s="23"/>
      <c r="Q3820" s="23"/>
      <c r="R3820" s="22"/>
      <c r="S3820" s="22"/>
      <c r="T3820" s="22"/>
      <c r="U3820" s="24"/>
      <c r="V3820" s="15"/>
      <c r="W3820" s="16"/>
      <c r="X3820" s="16"/>
      <c r="Y3820" s="16"/>
    </row>
    <row r="3821" customFormat="false" ht="15.75" hidden="false" customHeight="false" outlineLevel="0" collapsed="false">
      <c r="A3821" s="9"/>
      <c r="B3821" s="10"/>
      <c r="C3821" s="10"/>
      <c r="D3821" s="10"/>
      <c r="E3821" s="10"/>
      <c r="F3821" s="10"/>
      <c r="G3821" s="10"/>
      <c r="H3821" s="10"/>
      <c r="I3821" s="25" t="n">
        <v>4</v>
      </c>
      <c r="J3821" s="25"/>
      <c r="K3821" s="26"/>
      <c r="L3821" s="26"/>
      <c r="M3821" s="25"/>
      <c r="N3821" s="25"/>
      <c r="O3821" s="25"/>
      <c r="P3821" s="26"/>
      <c r="Q3821" s="26"/>
      <c r="R3821" s="25"/>
      <c r="S3821" s="25"/>
      <c r="T3821" s="25"/>
      <c r="U3821" s="27"/>
      <c r="V3821" s="21"/>
      <c r="W3821" s="16"/>
      <c r="X3821" s="16"/>
      <c r="Y3821" s="16"/>
    </row>
    <row r="3822" customFormat="false" ht="15.75" hidden="false" customHeight="false" outlineLevel="0" collapsed="false">
      <c r="A3822" s="9"/>
      <c r="B3822" s="10"/>
      <c r="C3822" s="11"/>
      <c r="D3822" s="10"/>
      <c r="E3822" s="10"/>
      <c r="F3822" s="10"/>
      <c r="G3822" s="10"/>
      <c r="H3822" s="10"/>
      <c r="I3822" s="12" t="n">
        <v>1</v>
      </c>
      <c r="J3822" s="12"/>
      <c r="K3822" s="13"/>
      <c r="L3822" s="13"/>
      <c r="M3822" s="12"/>
      <c r="N3822" s="12"/>
      <c r="O3822" s="12"/>
      <c r="P3822" s="13"/>
      <c r="Q3822" s="13"/>
      <c r="R3822" s="12"/>
      <c r="S3822" s="12"/>
      <c r="T3822" s="12"/>
      <c r="U3822" s="14"/>
      <c r="V3822" s="15"/>
      <c r="W3822" s="16" t="n">
        <f aca="false">A3822</f>
        <v>0</v>
      </c>
      <c r="X3822" s="17" t="e">
        <f aca="false">ifs(C3822="","",X3822="",NOW(),TRUE(),X3822)</f>
        <v>#VALUE!</v>
      </c>
      <c r="Y3822" s="17" t="e">
        <f aca="false">ifs(COUNTA(K3822:U3825)&lt;44,"",Y3822="",NOW(),TRUE(),Y3822)</f>
        <v>#VALUE!</v>
      </c>
    </row>
    <row r="3823" customFormat="false" ht="15.75" hidden="false" customHeight="false" outlineLevel="0" collapsed="false">
      <c r="A3823" s="9"/>
      <c r="B3823" s="10"/>
      <c r="C3823" s="10"/>
      <c r="D3823" s="10"/>
      <c r="E3823" s="10"/>
      <c r="F3823" s="10"/>
      <c r="G3823" s="10"/>
      <c r="H3823" s="10"/>
      <c r="I3823" s="18" t="n">
        <v>2</v>
      </c>
      <c r="J3823" s="18"/>
      <c r="K3823" s="19"/>
      <c r="L3823" s="19"/>
      <c r="M3823" s="18"/>
      <c r="N3823" s="18"/>
      <c r="O3823" s="18"/>
      <c r="P3823" s="19"/>
      <c r="Q3823" s="19"/>
      <c r="R3823" s="18"/>
      <c r="S3823" s="18"/>
      <c r="T3823" s="18"/>
      <c r="U3823" s="20"/>
      <c r="V3823" s="21"/>
      <c r="W3823" s="16"/>
      <c r="X3823" s="16"/>
      <c r="Y3823" s="16"/>
    </row>
    <row r="3824" customFormat="false" ht="15.75" hidden="false" customHeight="false" outlineLevel="0" collapsed="false">
      <c r="A3824" s="9"/>
      <c r="B3824" s="10"/>
      <c r="C3824" s="10"/>
      <c r="D3824" s="10"/>
      <c r="E3824" s="10"/>
      <c r="F3824" s="10"/>
      <c r="G3824" s="10"/>
      <c r="H3824" s="10"/>
      <c r="I3824" s="22" t="n">
        <v>3</v>
      </c>
      <c r="J3824" s="22"/>
      <c r="K3824" s="23"/>
      <c r="L3824" s="23"/>
      <c r="M3824" s="22"/>
      <c r="N3824" s="22"/>
      <c r="O3824" s="22"/>
      <c r="P3824" s="23"/>
      <c r="Q3824" s="23"/>
      <c r="R3824" s="22"/>
      <c r="S3824" s="22"/>
      <c r="T3824" s="22"/>
      <c r="U3824" s="24"/>
      <c r="V3824" s="15"/>
      <c r="W3824" s="16"/>
      <c r="X3824" s="16"/>
      <c r="Y3824" s="16"/>
    </row>
    <row r="3825" customFormat="false" ht="15.75" hidden="false" customHeight="false" outlineLevel="0" collapsed="false">
      <c r="A3825" s="9"/>
      <c r="B3825" s="10"/>
      <c r="C3825" s="10"/>
      <c r="D3825" s="10"/>
      <c r="E3825" s="10"/>
      <c r="F3825" s="10"/>
      <c r="G3825" s="10"/>
      <c r="H3825" s="10"/>
      <c r="I3825" s="25" t="n">
        <v>4</v>
      </c>
      <c r="J3825" s="25"/>
      <c r="K3825" s="26"/>
      <c r="L3825" s="26"/>
      <c r="M3825" s="25"/>
      <c r="N3825" s="25"/>
      <c r="O3825" s="25"/>
      <c r="P3825" s="26"/>
      <c r="Q3825" s="26"/>
      <c r="R3825" s="25"/>
      <c r="S3825" s="25"/>
      <c r="T3825" s="25"/>
      <c r="U3825" s="27"/>
      <c r="V3825" s="21"/>
      <c r="W3825" s="16"/>
      <c r="X3825" s="16"/>
      <c r="Y3825" s="16"/>
    </row>
    <row r="3826" customFormat="false" ht="15.75" hidden="false" customHeight="false" outlineLevel="0" collapsed="false">
      <c r="A3826" s="9"/>
      <c r="B3826" s="10"/>
      <c r="C3826" s="11"/>
      <c r="D3826" s="10"/>
      <c r="E3826" s="10"/>
      <c r="F3826" s="10"/>
      <c r="G3826" s="10"/>
      <c r="H3826" s="10"/>
      <c r="I3826" s="12" t="n">
        <v>1</v>
      </c>
      <c r="J3826" s="12"/>
      <c r="K3826" s="13"/>
      <c r="L3826" s="13"/>
      <c r="M3826" s="12"/>
      <c r="N3826" s="12"/>
      <c r="O3826" s="12"/>
      <c r="P3826" s="13"/>
      <c r="Q3826" s="13"/>
      <c r="R3826" s="12"/>
      <c r="S3826" s="12"/>
      <c r="T3826" s="12"/>
      <c r="U3826" s="14"/>
      <c r="V3826" s="15"/>
      <c r="W3826" s="16" t="n">
        <f aca="false">A3826</f>
        <v>0</v>
      </c>
      <c r="X3826" s="17" t="e">
        <f aca="false">ifs(C3826="","",X3826="",NOW(),TRUE(),X3826)</f>
        <v>#VALUE!</v>
      </c>
      <c r="Y3826" s="17" t="e">
        <f aca="false">ifs(COUNTA(K3826:U3829)&lt;44,"",Y3826="",NOW(),TRUE(),Y3826)</f>
        <v>#VALUE!</v>
      </c>
    </row>
    <row r="3827" customFormat="false" ht="15.75" hidden="false" customHeight="false" outlineLevel="0" collapsed="false">
      <c r="A3827" s="9"/>
      <c r="B3827" s="10"/>
      <c r="C3827" s="10"/>
      <c r="D3827" s="10"/>
      <c r="E3827" s="10"/>
      <c r="F3827" s="10"/>
      <c r="G3827" s="10"/>
      <c r="H3827" s="10"/>
      <c r="I3827" s="18" t="n">
        <v>2</v>
      </c>
      <c r="J3827" s="18"/>
      <c r="K3827" s="19"/>
      <c r="L3827" s="19"/>
      <c r="M3827" s="18"/>
      <c r="N3827" s="18"/>
      <c r="O3827" s="18"/>
      <c r="P3827" s="19"/>
      <c r="Q3827" s="19"/>
      <c r="R3827" s="18"/>
      <c r="S3827" s="18"/>
      <c r="T3827" s="18"/>
      <c r="U3827" s="20"/>
      <c r="V3827" s="21"/>
      <c r="W3827" s="16"/>
      <c r="X3827" s="16"/>
      <c r="Y3827" s="16"/>
    </row>
    <row r="3828" customFormat="false" ht="15.75" hidden="false" customHeight="false" outlineLevel="0" collapsed="false">
      <c r="A3828" s="9"/>
      <c r="B3828" s="10"/>
      <c r="C3828" s="10"/>
      <c r="D3828" s="10"/>
      <c r="E3828" s="10"/>
      <c r="F3828" s="10"/>
      <c r="G3828" s="10"/>
      <c r="H3828" s="10"/>
      <c r="I3828" s="22" t="n">
        <v>3</v>
      </c>
      <c r="J3828" s="22"/>
      <c r="K3828" s="23"/>
      <c r="L3828" s="23"/>
      <c r="M3828" s="22"/>
      <c r="N3828" s="22"/>
      <c r="O3828" s="22"/>
      <c r="P3828" s="23"/>
      <c r="Q3828" s="23"/>
      <c r="R3828" s="22"/>
      <c r="S3828" s="22"/>
      <c r="T3828" s="22"/>
      <c r="U3828" s="24"/>
      <c r="V3828" s="15"/>
      <c r="W3828" s="16"/>
      <c r="X3828" s="16"/>
      <c r="Y3828" s="16"/>
    </row>
    <row r="3829" customFormat="false" ht="15.75" hidden="false" customHeight="false" outlineLevel="0" collapsed="false">
      <c r="A3829" s="9"/>
      <c r="B3829" s="10"/>
      <c r="C3829" s="10"/>
      <c r="D3829" s="10"/>
      <c r="E3829" s="10"/>
      <c r="F3829" s="10"/>
      <c r="G3829" s="10"/>
      <c r="H3829" s="10"/>
      <c r="I3829" s="25" t="n">
        <v>4</v>
      </c>
      <c r="J3829" s="25"/>
      <c r="K3829" s="26"/>
      <c r="L3829" s="26"/>
      <c r="M3829" s="25"/>
      <c r="N3829" s="25"/>
      <c r="O3829" s="25"/>
      <c r="P3829" s="26"/>
      <c r="Q3829" s="26"/>
      <c r="R3829" s="25"/>
      <c r="S3829" s="25"/>
      <c r="T3829" s="25"/>
      <c r="U3829" s="27"/>
      <c r="V3829" s="21"/>
      <c r="W3829" s="16"/>
      <c r="X3829" s="16"/>
      <c r="Y3829" s="16"/>
    </row>
    <row r="3830" customFormat="false" ht="15.75" hidden="false" customHeight="false" outlineLevel="0" collapsed="false">
      <c r="A3830" s="9"/>
      <c r="B3830" s="10"/>
      <c r="C3830" s="11"/>
      <c r="D3830" s="10"/>
      <c r="E3830" s="10"/>
      <c r="F3830" s="10"/>
      <c r="G3830" s="10"/>
      <c r="H3830" s="10"/>
      <c r="I3830" s="12" t="n">
        <v>1</v>
      </c>
      <c r="J3830" s="12"/>
      <c r="K3830" s="13"/>
      <c r="L3830" s="13"/>
      <c r="M3830" s="12"/>
      <c r="N3830" s="12"/>
      <c r="O3830" s="12"/>
      <c r="P3830" s="13"/>
      <c r="Q3830" s="13"/>
      <c r="R3830" s="12"/>
      <c r="S3830" s="12"/>
      <c r="T3830" s="12"/>
      <c r="U3830" s="14"/>
      <c r="V3830" s="15"/>
      <c r="W3830" s="16" t="n">
        <f aca="false">A3830</f>
        <v>0</v>
      </c>
      <c r="X3830" s="17" t="e">
        <f aca="false">ifs(C3830="","",X3830="",NOW(),TRUE(),X3830)</f>
        <v>#VALUE!</v>
      </c>
      <c r="Y3830" s="17" t="e">
        <f aca="false">ifs(COUNTA(K3830:U3833)&lt;44,"",Y3830="",NOW(),TRUE(),Y3830)</f>
        <v>#VALUE!</v>
      </c>
    </row>
    <row r="3831" customFormat="false" ht="15.75" hidden="false" customHeight="false" outlineLevel="0" collapsed="false">
      <c r="A3831" s="9"/>
      <c r="B3831" s="10"/>
      <c r="C3831" s="10"/>
      <c r="D3831" s="10"/>
      <c r="E3831" s="10"/>
      <c r="F3831" s="10"/>
      <c r="G3831" s="10"/>
      <c r="H3831" s="10"/>
      <c r="I3831" s="18" t="n">
        <v>2</v>
      </c>
      <c r="J3831" s="18"/>
      <c r="K3831" s="19"/>
      <c r="L3831" s="19"/>
      <c r="M3831" s="18"/>
      <c r="N3831" s="18"/>
      <c r="O3831" s="18"/>
      <c r="P3831" s="19"/>
      <c r="Q3831" s="19"/>
      <c r="R3831" s="18"/>
      <c r="S3831" s="18"/>
      <c r="T3831" s="18"/>
      <c r="U3831" s="20"/>
      <c r="V3831" s="21"/>
      <c r="W3831" s="16"/>
      <c r="X3831" s="16"/>
      <c r="Y3831" s="16"/>
    </row>
    <row r="3832" customFormat="false" ht="15.75" hidden="false" customHeight="false" outlineLevel="0" collapsed="false">
      <c r="A3832" s="9"/>
      <c r="B3832" s="10"/>
      <c r="C3832" s="10"/>
      <c r="D3832" s="10"/>
      <c r="E3832" s="10"/>
      <c r="F3832" s="10"/>
      <c r="G3832" s="10"/>
      <c r="H3832" s="10"/>
      <c r="I3832" s="22" t="n">
        <v>3</v>
      </c>
      <c r="J3832" s="22"/>
      <c r="K3832" s="23"/>
      <c r="L3832" s="23"/>
      <c r="M3832" s="22"/>
      <c r="N3832" s="22"/>
      <c r="O3832" s="22"/>
      <c r="P3832" s="23"/>
      <c r="Q3832" s="23"/>
      <c r="R3832" s="22"/>
      <c r="S3832" s="22"/>
      <c r="T3832" s="22"/>
      <c r="U3832" s="24"/>
      <c r="V3832" s="15"/>
      <c r="W3832" s="16"/>
      <c r="X3832" s="16"/>
      <c r="Y3832" s="16"/>
    </row>
    <row r="3833" customFormat="false" ht="15.75" hidden="false" customHeight="false" outlineLevel="0" collapsed="false">
      <c r="A3833" s="9"/>
      <c r="B3833" s="10"/>
      <c r="C3833" s="10"/>
      <c r="D3833" s="10"/>
      <c r="E3833" s="10"/>
      <c r="F3833" s="10"/>
      <c r="G3833" s="10"/>
      <c r="H3833" s="10"/>
      <c r="I3833" s="25" t="n">
        <v>4</v>
      </c>
      <c r="J3833" s="25"/>
      <c r="K3833" s="26"/>
      <c r="L3833" s="26"/>
      <c r="M3833" s="25"/>
      <c r="N3833" s="25"/>
      <c r="O3833" s="25"/>
      <c r="P3833" s="26"/>
      <c r="Q3833" s="26"/>
      <c r="R3833" s="25"/>
      <c r="S3833" s="25"/>
      <c r="T3833" s="25"/>
      <c r="U3833" s="27"/>
      <c r="V3833" s="21"/>
      <c r="W3833" s="16"/>
      <c r="X3833" s="16"/>
      <c r="Y3833" s="16"/>
    </row>
    <row r="3834" customFormat="false" ht="15.75" hidden="false" customHeight="false" outlineLevel="0" collapsed="false">
      <c r="A3834" s="9"/>
      <c r="B3834" s="10"/>
      <c r="C3834" s="11"/>
      <c r="D3834" s="10"/>
      <c r="E3834" s="10"/>
      <c r="F3834" s="10"/>
      <c r="G3834" s="10"/>
      <c r="H3834" s="10"/>
      <c r="I3834" s="12" t="n">
        <v>1</v>
      </c>
      <c r="J3834" s="12"/>
      <c r="K3834" s="13"/>
      <c r="L3834" s="13"/>
      <c r="M3834" s="12"/>
      <c r="N3834" s="12"/>
      <c r="O3834" s="12"/>
      <c r="P3834" s="13"/>
      <c r="Q3834" s="13"/>
      <c r="R3834" s="12"/>
      <c r="S3834" s="12"/>
      <c r="T3834" s="12"/>
      <c r="U3834" s="14"/>
      <c r="V3834" s="15"/>
      <c r="W3834" s="16" t="n">
        <f aca="false">A3834</f>
        <v>0</v>
      </c>
      <c r="X3834" s="17" t="e">
        <f aca="false">ifs(C3834="","",X3834="",NOW(),TRUE(),X3834)</f>
        <v>#VALUE!</v>
      </c>
      <c r="Y3834" s="17" t="e">
        <f aca="false">ifs(COUNTA(K3834:U3837)&lt;44,"",Y3834="",NOW(),TRUE(),Y3834)</f>
        <v>#VALUE!</v>
      </c>
    </row>
    <row r="3835" customFormat="false" ht="15.75" hidden="false" customHeight="false" outlineLevel="0" collapsed="false">
      <c r="A3835" s="9"/>
      <c r="B3835" s="10"/>
      <c r="C3835" s="10"/>
      <c r="D3835" s="10"/>
      <c r="E3835" s="10"/>
      <c r="F3835" s="10"/>
      <c r="G3835" s="10"/>
      <c r="H3835" s="10"/>
      <c r="I3835" s="18" t="n">
        <v>2</v>
      </c>
      <c r="J3835" s="18"/>
      <c r="K3835" s="19"/>
      <c r="L3835" s="19"/>
      <c r="M3835" s="18"/>
      <c r="N3835" s="18"/>
      <c r="O3835" s="18"/>
      <c r="P3835" s="19"/>
      <c r="Q3835" s="19"/>
      <c r="R3835" s="18"/>
      <c r="S3835" s="18"/>
      <c r="T3835" s="18"/>
      <c r="U3835" s="20"/>
      <c r="V3835" s="21"/>
      <c r="W3835" s="16"/>
      <c r="X3835" s="16"/>
      <c r="Y3835" s="16"/>
    </row>
    <row r="3836" customFormat="false" ht="15.75" hidden="false" customHeight="false" outlineLevel="0" collapsed="false">
      <c r="A3836" s="9"/>
      <c r="B3836" s="10"/>
      <c r="C3836" s="10"/>
      <c r="D3836" s="10"/>
      <c r="E3836" s="10"/>
      <c r="F3836" s="10"/>
      <c r="G3836" s="10"/>
      <c r="H3836" s="10"/>
      <c r="I3836" s="22" t="n">
        <v>3</v>
      </c>
      <c r="J3836" s="22"/>
      <c r="K3836" s="23"/>
      <c r="L3836" s="23"/>
      <c r="M3836" s="22"/>
      <c r="N3836" s="22"/>
      <c r="O3836" s="22"/>
      <c r="P3836" s="23"/>
      <c r="Q3836" s="23"/>
      <c r="R3836" s="22"/>
      <c r="S3836" s="22"/>
      <c r="T3836" s="22"/>
      <c r="U3836" s="24"/>
      <c r="V3836" s="15"/>
      <c r="W3836" s="16"/>
      <c r="X3836" s="16"/>
      <c r="Y3836" s="16"/>
    </row>
    <row r="3837" customFormat="false" ht="15.75" hidden="false" customHeight="false" outlineLevel="0" collapsed="false">
      <c r="A3837" s="9"/>
      <c r="B3837" s="10"/>
      <c r="C3837" s="10"/>
      <c r="D3837" s="10"/>
      <c r="E3837" s="10"/>
      <c r="F3837" s="10"/>
      <c r="G3837" s="10"/>
      <c r="H3837" s="10"/>
      <c r="I3837" s="25" t="n">
        <v>4</v>
      </c>
      <c r="J3837" s="25"/>
      <c r="K3837" s="26"/>
      <c r="L3837" s="26"/>
      <c r="M3837" s="25"/>
      <c r="N3837" s="25"/>
      <c r="O3837" s="25"/>
      <c r="P3837" s="26"/>
      <c r="Q3837" s="26"/>
      <c r="R3837" s="25"/>
      <c r="S3837" s="25"/>
      <c r="T3837" s="25"/>
      <c r="U3837" s="27"/>
      <c r="V3837" s="21"/>
      <c r="W3837" s="16"/>
      <c r="X3837" s="16"/>
      <c r="Y3837" s="16"/>
    </row>
    <row r="3838" customFormat="false" ht="15.75" hidden="false" customHeight="false" outlineLevel="0" collapsed="false">
      <c r="A3838" s="9"/>
      <c r="B3838" s="10"/>
      <c r="C3838" s="11"/>
      <c r="D3838" s="10"/>
      <c r="E3838" s="10"/>
      <c r="F3838" s="10"/>
      <c r="G3838" s="10"/>
      <c r="H3838" s="10"/>
      <c r="I3838" s="12" t="n">
        <v>1</v>
      </c>
      <c r="J3838" s="12"/>
      <c r="K3838" s="13"/>
      <c r="L3838" s="13"/>
      <c r="M3838" s="12"/>
      <c r="N3838" s="12"/>
      <c r="O3838" s="12"/>
      <c r="P3838" s="13"/>
      <c r="Q3838" s="13"/>
      <c r="R3838" s="12"/>
      <c r="S3838" s="12"/>
      <c r="T3838" s="12"/>
      <c r="U3838" s="14"/>
      <c r="V3838" s="15"/>
      <c r="W3838" s="16" t="n">
        <f aca="false">A3838</f>
        <v>0</v>
      </c>
      <c r="X3838" s="17" t="e">
        <f aca="false">ifs(C3838="","",X3838="",NOW(),TRUE(),X3838)</f>
        <v>#VALUE!</v>
      </c>
      <c r="Y3838" s="17" t="e">
        <f aca="false">ifs(COUNTA(K3838:U3841)&lt;44,"",Y3838="",NOW(),TRUE(),Y3838)</f>
        <v>#VALUE!</v>
      </c>
    </row>
    <row r="3839" customFormat="false" ht="15.75" hidden="false" customHeight="false" outlineLevel="0" collapsed="false">
      <c r="A3839" s="9"/>
      <c r="B3839" s="10"/>
      <c r="C3839" s="10"/>
      <c r="D3839" s="10"/>
      <c r="E3839" s="10"/>
      <c r="F3839" s="10"/>
      <c r="G3839" s="10"/>
      <c r="H3839" s="10"/>
      <c r="I3839" s="18" t="n">
        <v>2</v>
      </c>
      <c r="J3839" s="18"/>
      <c r="K3839" s="19"/>
      <c r="L3839" s="19"/>
      <c r="M3839" s="18"/>
      <c r="N3839" s="18"/>
      <c r="O3839" s="18"/>
      <c r="P3839" s="19"/>
      <c r="Q3839" s="19"/>
      <c r="R3839" s="18"/>
      <c r="S3839" s="18"/>
      <c r="T3839" s="18"/>
      <c r="U3839" s="20"/>
      <c r="V3839" s="21"/>
      <c r="W3839" s="16"/>
      <c r="X3839" s="16"/>
      <c r="Y3839" s="16"/>
    </row>
    <row r="3840" customFormat="false" ht="15.75" hidden="false" customHeight="false" outlineLevel="0" collapsed="false">
      <c r="A3840" s="9"/>
      <c r="B3840" s="10"/>
      <c r="C3840" s="10"/>
      <c r="D3840" s="10"/>
      <c r="E3840" s="10"/>
      <c r="F3840" s="10"/>
      <c r="G3840" s="10"/>
      <c r="H3840" s="10"/>
      <c r="I3840" s="22" t="n">
        <v>3</v>
      </c>
      <c r="J3840" s="22"/>
      <c r="K3840" s="23"/>
      <c r="L3840" s="23"/>
      <c r="M3840" s="22"/>
      <c r="N3840" s="22"/>
      <c r="O3840" s="22"/>
      <c r="P3840" s="23"/>
      <c r="Q3840" s="23"/>
      <c r="R3840" s="22"/>
      <c r="S3840" s="22"/>
      <c r="T3840" s="22"/>
      <c r="U3840" s="24"/>
      <c r="V3840" s="15"/>
      <c r="W3840" s="16"/>
      <c r="X3840" s="16"/>
      <c r="Y3840" s="16"/>
    </row>
    <row r="3841" customFormat="false" ht="15.75" hidden="false" customHeight="false" outlineLevel="0" collapsed="false">
      <c r="A3841" s="9"/>
      <c r="B3841" s="10"/>
      <c r="C3841" s="10"/>
      <c r="D3841" s="10"/>
      <c r="E3841" s="10"/>
      <c r="F3841" s="10"/>
      <c r="G3841" s="10"/>
      <c r="H3841" s="10"/>
      <c r="I3841" s="25" t="n">
        <v>4</v>
      </c>
      <c r="J3841" s="25"/>
      <c r="K3841" s="26"/>
      <c r="L3841" s="26"/>
      <c r="M3841" s="25"/>
      <c r="N3841" s="25"/>
      <c r="O3841" s="25"/>
      <c r="P3841" s="26"/>
      <c r="Q3841" s="26"/>
      <c r="R3841" s="25"/>
      <c r="S3841" s="25"/>
      <c r="T3841" s="25"/>
      <c r="U3841" s="27"/>
      <c r="V3841" s="21"/>
      <c r="W3841" s="16"/>
      <c r="X3841" s="16"/>
      <c r="Y3841" s="16"/>
    </row>
    <row r="3842" customFormat="false" ht="15.75" hidden="false" customHeight="false" outlineLevel="0" collapsed="false">
      <c r="A3842" s="9"/>
      <c r="B3842" s="10"/>
      <c r="C3842" s="11"/>
      <c r="D3842" s="10"/>
      <c r="E3842" s="10"/>
      <c r="F3842" s="10"/>
      <c r="G3842" s="10"/>
      <c r="H3842" s="10"/>
      <c r="I3842" s="12" t="n">
        <v>1</v>
      </c>
      <c r="J3842" s="12"/>
      <c r="K3842" s="13"/>
      <c r="L3842" s="13"/>
      <c r="M3842" s="12"/>
      <c r="N3842" s="12"/>
      <c r="O3842" s="12"/>
      <c r="P3842" s="13"/>
      <c r="Q3842" s="13"/>
      <c r="R3842" s="12"/>
      <c r="S3842" s="12"/>
      <c r="T3842" s="12"/>
      <c r="U3842" s="14"/>
      <c r="V3842" s="15"/>
      <c r="W3842" s="16" t="n">
        <f aca="false">A3842</f>
        <v>0</v>
      </c>
      <c r="X3842" s="17" t="e">
        <f aca="false">ifs(C3842="","",X3842="",NOW(),TRUE(),X3842)</f>
        <v>#VALUE!</v>
      </c>
      <c r="Y3842" s="17" t="e">
        <f aca="false">ifs(COUNTA(K3842:U3845)&lt;44,"",Y3842="",NOW(),TRUE(),Y3842)</f>
        <v>#VALUE!</v>
      </c>
    </row>
    <row r="3843" customFormat="false" ht="15.75" hidden="false" customHeight="false" outlineLevel="0" collapsed="false">
      <c r="A3843" s="9"/>
      <c r="B3843" s="10"/>
      <c r="C3843" s="10"/>
      <c r="D3843" s="10"/>
      <c r="E3843" s="10"/>
      <c r="F3843" s="10"/>
      <c r="G3843" s="10"/>
      <c r="H3843" s="10"/>
      <c r="I3843" s="18" t="n">
        <v>2</v>
      </c>
      <c r="J3843" s="18"/>
      <c r="K3843" s="19"/>
      <c r="L3843" s="19"/>
      <c r="M3843" s="18"/>
      <c r="N3843" s="18"/>
      <c r="O3843" s="18"/>
      <c r="P3843" s="19"/>
      <c r="Q3843" s="19"/>
      <c r="R3843" s="18"/>
      <c r="S3843" s="18"/>
      <c r="T3843" s="18"/>
      <c r="U3843" s="20"/>
      <c r="V3843" s="21"/>
      <c r="W3843" s="16"/>
      <c r="X3843" s="16"/>
      <c r="Y3843" s="16"/>
    </row>
    <row r="3844" customFormat="false" ht="15.75" hidden="false" customHeight="false" outlineLevel="0" collapsed="false">
      <c r="A3844" s="9"/>
      <c r="B3844" s="10"/>
      <c r="C3844" s="10"/>
      <c r="D3844" s="10"/>
      <c r="E3844" s="10"/>
      <c r="F3844" s="10"/>
      <c r="G3844" s="10"/>
      <c r="H3844" s="10"/>
      <c r="I3844" s="22" t="n">
        <v>3</v>
      </c>
      <c r="J3844" s="22"/>
      <c r="K3844" s="23"/>
      <c r="L3844" s="23"/>
      <c r="M3844" s="22"/>
      <c r="N3844" s="22"/>
      <c r="O3844" s="22"/>
      <c r="P3844" s="23"/>
      <c r="Q3844" s="23"/>
      <c r="R3844" s="22"/>
      <c r="S3844" s="22"/>
      <c r="T3844" s="22"/>
      <c r="U3844" s="24"/>
      <c r="V3844" s="15"/>
      <c r="W3844" s="16"/>
      <c r="X3844" s="16"/>
      <c r="Y3844" s="16"/>
    </row>
    <row r="3845" customFormat="false" ht="15.75" hidden="false" customHeight="false" outlineLevel="0" collapsed="false">
      <c r="A3845" s="9"/>
      <c r="B3845" s="10"/>
      <c r="C3845" s="10"/>
      <c r="D3845" s="10"/>
      <c r="E3845" s="10"/>
      <c r="F3845" s="10"/>
      <c r="G3845" s="10"/>
      <c r="H3845" s="10"/>
      <c r="I3845" s="25" t="n">
        <v>4</v>
      </c>
      <c r="J3845" s="25"/>
      <c r="K3845" s="26"/>
      <c r="L3845" s="26"/>
      <c r="M3845" s="25"/>
      <c r="N3845" s="25"/>
      <c r="O3845" s="25"/>
      <c r="P3845" s="26"/>
      <c r="Q3845" s="26"/>
      <c r="R3845" s="25"/>
      <c r="S3845" s="25"/>
      <c r="T3845" s="25"/>
      <c r="U3845" s="27"/>
      <c r="V3845" s="21"/>
      <c r="W3845" s="16"/>
      <c r="X3845" s="16"/>
      <c r="Y3845" s="16"/>
    </row>
    <row r="3846" customFormat="false" ht="15.75" hidden="false" customHeight="false" outlineLevel="0" collapsed="false">
      <c r="A3846" s="9"/>
      <c r="B3846" s="10"/>
      <c r="C3846" s="11"/>
      <c r="D3846" s="10"/>
      <c r="E3846" s="10"/>
      <c r="F3846" s="10"/>
      <c r="G3846" s="10"/>
      <c r="H3846" s="10"/>
      <c r="I3846" s="12" t="n">
        <v>1</v>
      </c>
      <c r="J3846" s="12"/>
      <c r="K3846" s="13"/>
      <c r="L3846" s="13"/>
      <c r="M3846" s="12"/>
      <c r="N3846" s="12"/>
      <c r="O3846" s="12"/>
      <c r="P3846" s="13"/>
      <c r="Q3846" s="13"/>
      <c r="R3846" s="12"/>
      <c r="S3846" s="12"/>
      <c r="T3846" s="12"/>
      <c r="U3846" s="14"/>
      <c r="V3846" s="15"/>
      <c r="W3846" s="16" t="n">
        <f aca="false">A3846</f>
        <v>0</v>
      </c>
      <c r="X3846" s="17" t="e">
        <f aca="false">ifs(C3846="","",X3846="",NOW(),TRUE(),X3846)</f>
        <v>#VALUE!</v>
      </c>
      <c r="Y3846" s="17" t="e">
        <f aca="false">ifs(COUNTA(K3846:U3849)&lt;44,"",Y3846="",NOW(),TRUE(),Y3846)</f>
        <v>#VALUE!</v>
      </c>
    </row>
    <row r="3847" customFormat="false" ht="15.75" hidden="false" customHeight="false" outlineLevel="0" collapsed="false">
      <c r="A3847" s="9"/>
      <c r="B3847" s="10"/>
      <c r="C3847" s="10"/>
      <c r="D3847" s="10"/>
      <c r="E3847" s="10"/>
      <c r="F3847" s="10"/>
      <c r="G3847" s="10"/>
      <c r="H3847" s="10"/>
      <c r="I3847" s="18" t="n">
        <v>2</v>
      </c>
      <c r="J3847" s="18"/>
      <c r="K3847" s="19"/>
      <c r="L3847" s="19"/>
      <c r="M3847" s="18"/>
      <c r="N3847" s="18"/>
      <c r="O3847" s="18"/>
      <c r="P3847" s="19"/>
      <c r="Q3847" s="19"/>
      <c r="R3847" s="18"/>
      <c r="S3847" s="18"/>
      <c r="T3847" s="18"/>
      <c r="U3847" s="20"/>
      <c r="V3847" s="21"/>
      <c r="W3847" s="16"/>
      <c r="X3847" s="16"/>
      <c r="Y3847" s="16"/>
    </row>
    <row r="3848" customFormat="false" ht="15.75" hidden="false" customHeight="false" outlineLevel="0" collapsed="false">
      <c r="A3848" s="9"/>
      <c r="B3848" s="10"/>
      <c r="C3848" s="10"/>
      <c r="D3848" s="10"/>
      <c r="E3848" s="10"/>
      <c r="F3848" s="10"/>
      <c r="G3848" s="10"/>
      <c r="H3848" s="10"/>
      <c r="I3848" s="22" t="n">
        <v>3</v>
      </c>
      <c r="J3848" s="22"/>
      <c r="K3848" s="23"/>
      <c r="L3848" s="23"/>
      <c r="M3848" s="22"/>
      <c r="N3848" s="22"/>
      <c r="O3848" s="22"/>
      <c r="P3848" s="23"/>
      <c r="Q3848" s="23"/>
      <c r="R3848" s="22"/>
      <c r="S3848" s="22"/>
      <c r="T3848" s="22"/>
      <c r="U3848" s="24"/>
      <c r="V3848" s="15"/>
      <c r="W3848" s="16"/>
      <c r="X3848" s="16"/>
      <c r="Y3848" s="16"/>
    </row>
    <row r="3849" customFormat="false" ht="15.75" hidden="false" customHeight="false" outlineLevel="0" collapsed="false">
      <c r="A3849" s="9"/>
      <c r="B3849" s="10"/>
      <c r="C3849" s="10"/>
      <c r="D3849" s="10"/>
      <c r="E3849" s="10"/>
      <c r="F3849" s="10"/>
      <c r="G3849" s="10"/>
      <c r="H3849" s="10"/>
      <c r="I3849" s="25" t="n">
        <v>4</v>
      </c>
      <c r="J3849" s="25"/>
      <c r="K3849" s="26"/>
      <c r="L3849" s="26"/>
      <c r="M3849" s="25"/>
      <c r="N3849" s="25"/>
      <c r="O3849" s="25"/>
      <c r="P3849" s="26"/>
      <c r="Q3849" s="26"/>
      <c r="R3849" s="25"/>
      <c r="S3849" s="25"/>
      <c r="T3849" s="25"/>
      <c r="U3849" s="27"/>
      <c r="V3849" s="21"/>
      <c r="W3849" s="16"/>
      <c r="X3849" s="16"/>
      <c r="Y3849" s="16"/>
    </row>
    <row r="3850" customFormat="false" ht="15.75" hidden="false" customHeight="false" outlineLevel="0" collapsed="false">
      <c r="A3850" s="9"/>
      <c r="B3850" s="10"/>
      <c r="C3850" s="11"/>
      <c r="D3850" s="10"/>
      <c r="E3850" s="10"/>
      <c r="F3850" s="10"/>
      <c r="G3850" s="10"/>
      <c r="H3850" s="10"/>
      <c r="I3850" s="12" t="n">
        <v>1</v>
      </c>
      <c r="J3850" s="12"/>
      <c r="K3850" s="13"/>
      <c r="L3850" s="13"/>
      <c r="M3850" s="12"/>
      <c r="N3850" s="12"/>
      <c r="O3850" s="12"/>
      <c r="P3850" s="13"/>
      <c r="Q3850" s="13"/>
      <c r="R3850" s="12"/>
      <c r="S3850" s="12"/>
      <c r="T3850" s="12"/>
      <c r="U3850" s="14"/>
      <c r="V3850" s="15"/>
      <c r="W3850" s="16" t="n">
        <f aca="false">A3850</f>
        <v>0</v>
      </c>
      <c r="X3850" s="17" t="e">
        <f aca="false">ifs(C3850="","",X3850="",NOW(),TRUE(),X3850)</f>
        <v>#VALUE!</v>
      </c>
      <c r="Y3850" s="17" t="e">
        <f aca="false">ifs(COUNTA(K3850:U3853)&lt;44,"",Y3850="",NOW(),TRUE(),Y3850)</f>
        <v>#VALUE!</v>
      </c>
    </row>
    <row r="3851" customFormat="false" ht="15.75" hidden="false" customHeight="false" outlineLevel="0" collapsed="false">
      <c r="A3851" s="9"/>
      <c r="B3851" s="10"/>
      <c r="C3851" s="10"/>
      <c r="D3851" s="10"/>
      <c r="E3851" s="10"/>
      <c r="F3851" s="10"/>
      <c r="G3851" s="10"/>
      <c r="H3851" s="10"/>
      <c r="I3851" s="18" t="n">
        <v>2</v>
      </c>
      <c r="J3851" s="18"/>
      <c r="K3851" s="19"/>
      <c r="L3851" s="19"/>
      <c r="M3851" s="18"/>
      <c r="N3851" s="18"/>
      <c r="O3851" s="18"/>
      <c r="P3851" s="19"/>
      <c r="Q3851" s="19"/>
      <c r="R3851" s="18"/>
      <c r="S3851" s="18"/>
      <c r="T3851" s="18"/>
      <c r="U3851" s="20"/>
      <c r="V3851" s="21"/>
      <c r="W3851" s="16"/>
      <c r="X3851" s="16"/>
      <c r="Y3851" s="16"/>
    </row>
    <row r="3852" customFormat="false" ht="15.75" hidden="false" customHeight="false" outlineLevel="0" collapsed="false">
      <c r="A3852" s="9"/>
      <c r="B3852" s="10"/>
      <c r="C3852" s="10"/>
      <c r="D3852" s="10"/>
      <c r="E3852" s="10"/>
      <c r="F3852" s="10"/>
      <c r="G3852" s="10"/>
      <c r="H3852" s="10"/>
      <c r="I3852" s="22" t="n">
        <v>3</v>
      </c>
      <c r="J3852" s="22"/>
      <c r="K3852" s="23"/>
      <c r="L3852" s="23"/>
      <c r="M3852" s="22"/>
      <c r="N3852" s="22"/>
      <c r="O3852" s="22"/>
      <c r="P3852" s="23"/>
      <c r="Q3852" s="23"/>
      <c r="R3852" s="22"/>
      <c r="S3852" s="22"/>
      <c r="T3852" s="22"/>
      <c r="U3852" s="24"/>
      <c r="V3852" s="15"/>
      <c r="W3852" s="16"/>
      <c r="X3852" s="16"/>
      <c r="Y3852" s="16"/>
    </row>
    <row r="3853" customFormat="false" ht="15.75" hidden="false" customHeight="false" outlineLevel="0" collapsed="false">
      <c r="A3853" s="9"/>
      <c r="B3853" s="10"/>
      <c r="C3853" s="10"/>
      <c r="D3853" s="10"/>
      <c r="E3853" s="10"/>
      <c r="F3853" s="10"/>
      <c r="G3853" s="10"/>
      <c r="H3853" s="10"/>
      <c r="I3853" s="25" t="n">
        <v>4</v>
      </c>
      <c r="J3853" s="25"/>
      <c r="K3853" s="26"/>
      <c r="L3853" s="26"/>
      <c r="M3853" s="25"/>
      <c r="N3853" s="25"/>
      <c r="O3853" s="25"/>
      <c r="P3853" s="26"/>
      <c r="Q3853" s="26"/>
      <c r="R3853" s="25"/>
      <c r="S3853" s="25"/>
      <c r="T3853" s="25"/>
      <c r="U3853" s="27"/>
      <c r="V3853" s="21"/>
      <c r="W3853" s="16"/>
      <c r="X3853" s="16"/>
      <c r="Y3853" s="16"/>
    </row>
    <row r="3854" customFormat="false" ht="15.75" hidden="false" customHeight="false" outlineLevel="0" collapsed="false">
      <c r="A3854" s="9"/>
      <c r="B3854" s="10"/>
      <c r="C3854" s="11"/>
      <c r="D3854" s="10"/>
      <c r="E3854" s="10"/>
      <c r="F3854" s="10"/>
      <c r="G3854" s="10"/>
      <c r="H3854" s="10"/>
      <c r="I3854" s="12" t="n">
        <v>1</v>
      </c>
      <c r="J3854" s="12"/>
      <c r="K3854" s="13"/>
      <c r="L3854" s="13"/>
      <c r="M3854" s="12"/>
      <c r="N3854" s="12"/>
      <c r="O3854" s="12"/>
      <c r="P3854" s="13"/>
      <c r="Q3854" s="13"/>
      <c r="R3854" s="12"/>
      <c r="S3854" s="12"/>
      <c r="T3854" s="12"/>
      <c r="U3854" s="14"/>
      <c r="V3854" s="15"/>
      <c r="W3854" s="16" t="n">
        <f aca="false">A3854</f>
        <v>0</v>
      </c>
      <c r="X3854" s="17" t="e">
        <f aca="false">ifs(C3854="","",X3854="",NOW(),TRUE(),X3854)</f>
        <v>#VALUE!</v>
      </c>
      <c r="Y3854" s="17" t="e">
        <f aca="false">ifs(COUNTA(K3854:U3857)&lt;44,"",Y3854="",NOW(),TRUE(),Y3854)</f>
        <v>#VALUE!</v>
      </c>
    </row>
    <row r="3855" customFormat="false" ht="15.75" hidden="false" customHeight="false" outlineLevel="0" collapsed="false">
      <c r="A3855" s="9"/>
      <c r="B3855" s="10"/>
      <c r="C3855" s="10"/>
      <c r="D3855" s="10"/>
      <c r="E3855" s="10"/>
      <c r="F3855" s="10"/>
      <c r="G3855" s="10"/>
      <c r="H3855" s="10"/>
      <c r="I3855" s="18" t="n">
        <v>2</v>
      </c>
      <c r="J3855" s="18"/>
      <c r="K3855" s="19"/>
      <c r="L3855" s="19"/>
      <c r="M3855" s="18"/>
      <c r="N3855" s="18"/>
      <c r="O3855" s="18"/>
      <c r="P3855" s="19"/>
      <c r="Q3855" s="19"/>
      <c r="R3855" s="18"/>
      <c r="S3855" s="18"/>
      <c r="T3855" s="18"/>
      <c r="U3855" s="20"/>
      <c r="V3855" s="21"/>
      <c r="W3855" s="16"/>
      <c r="X3855" s="16"/>
      <c r="Y3855" s="16"/>
    </row>
    <row r="3856" customFormat="false" ht="15.75" hidden="false" customHeight="false" outlineLevel="0" collapsed="false">
      <c r="A3856" s="9"/>
      <c r="B3856" s="10"/>
      <c r="C3856" s="10"/>
      <c r="D3856" s="10"/>
      <c r="E3856" s="10"/>
      <c r="F3856" s="10"/>
      <c r="G3856" s="10"/>
      <c r="H3856" s="10"/>
      <c r="I3856" s="22" t="n">
        <v>3</v>
      </c>
      <c r="J3856" s="22"/>
      <c r="K3856" s="23"/>
      <c r="L3856" s="23"/>
      <c r="M3856" s="22"/>
      <c r="N3856" s="22"/>
      <c r="O3856" s="22"/>
      <c r="P3856" s="23"/>
      <c r="Q3856" s="23"/>
      <c r="R3856" s="22"/>
      <c r="S3856" s="22"/>
      <c r="T3856" s="22"/>
      <c r="U3856" s="24"/>
      <c r="V3856" s="15"/>
      <c r="W3856" s="16"/>
      <c r="X3856" s="16"/>
      <c r="Y3856" s="16"/>
    </row>
    <row r="3857" customFormat="false" ht="15.75" hidden="false" customHeight="false" outlineLevel="0" collapsed="false">
      <c r="A3857" s="9"/>
      <c r="B3857" s="10"/>
      <c r="C3857" s="10"/>
      <c r="D3857" s="10"/>
      <c r="E3857" s="10"/>
      <c r="F3857" s="10"/>
      <c r="G3857" s="10"/>
      <c r="H3857" s="10"/>
      <c r="I3857" s="25" t="n">
        <v>4</v>
      </c>
      <c r="J3857" s="25"/>
      <c r="K3857" s="26"/>
      <c r="L3857" s="26"/>
      <c r="M3857" s="25"/>
      <c r="N3857" s="25"/>
      <c r="O3857" s="25"/>
      <c r="P3857" s="26"/>
      <c r="Q3857" s="26"/>
      <c r="R3857" s="25"/>
      <c r="S3857" s="25"/>
      <c r="T3857" s="25"/>
      <c r="U3857" s="27"/>
      <c r="V3857" s="21"/>
      <c r="W3857" s="16"/>
      <c r="X3857" s="16"/>
      <c r="Y3857" s="16"/>
    </row>
    <row r="3858" customFormat="false" ht="15.75" hidden="false" customHeight="false" outlineLevel="0" collapsed="false">
      <c r="A3858" s="9"/>
      <c r="B3858" s="10"/>
      <c r="C3858" s="11"/>
      <c r="D3858" s="10"/>
      <c r="E3858" s="10"/>
      <c r="F3858" s="10"/>
      <c r="G3858" s="10"/>
      <c r="H3858" s="10"/>
      <c r="I3858" s="12" t="n">
        <v>1</v>
      </c>
      <c r="J3858" s="12"/>
      <c r="K3858" s="13"/>
      <c r="L3858" s="13"/>
      <c r="M3858" s="12"/>
      <c r="N3858" s="12"/>
      <c r="O3858" s="12"/>
      <c r="P3858" s="13"/>
      <c r="Q3858" s="13"/>
      <c r="R3858" s="12"/>
      <c r="S3858" s="12"/>
      <c r="T3858" s="12"/>
      <c r="U3858" s="14"/>
      <c r="V3858" s="15"/>
      <c r="W3858" s="16" t="n">
        <f aca="false">A3858</f>
        <v>0</v>
      </c>
      <c r="X3858" s="17" t="e">
        <f aca="false">ifs(C3858="","",X3858="",NOW(),TRUE(),X3858)</f>
        <v>#VALUE!</v>
      </c>
      <c r="Y3858" s="17" t="e">
        <f aca="false">ifs(COUNTA(K3858:U3861)&lt;44,"",Y3858="",NOW(),TRUE(),Y3858)</f>
        <v>#VALUE!</v>
      </c>
    </row>
    <row r="3859" customFormat="false" ht="15.75" hidden="false" customHeight="false" outlineLevel="0" collapsed="false">
      <c r="A3859" s="9"/>
      <c r="B3859" s="10"/>
      <c r="C3859" s="10"/>
      <c r="D3859" s="10"/>
      <c r="E3859" s="10"/>
      <c r="F3859" s="10"/>
      <c r="G3859" s="10"/>
      <c r="H3859" s="10"/>
      <c r="I3859" s="18" t="n">
        <v>2</v>
      </c>
      <c r="J3859" s="18"/>
      <c r="K3859" s="19"/>
      <c r="L3859" s="19"/>
      <c r="M3859" s="18"/>
      <c r="N3859" s="18"/>
      <c r="O3859" s="18"/>
      <c r="P3859" s="19"/>
      <c r="Q3859" s="19"/>
      <c r="R3859" s="18"/>
      <c r="S3859" s="18"/>
      <c r="T3859" s="18"/>
      <c r="U3859" s="20"/>
      <c r="V3859" s="21"/>
      <c r="W3859" s="16"/>
      <c r="X3859" s="16"/>
      <c r="Y3859" s="16"/>
    </row>
    <row r="3860" customFormat="false" ht="15.75" hidden="false" customHeight="false" outlineLevel="0" collapsed="false">
      <c r="A3860" s="9"/>
      <c r="B3860" s="10"/>
      <c r="C3860" s="10"/>
      <c r="D3860" s="10"/>
      <c r="E3860" s="10"/>
      <c r="F3860" s="10"/>
      <c r="G3860" s="10"/>
      <c r="H3860" s="10"/>
      <c r="I3860" s="22" t="n">
        <v>3</v>
      </c>
      <c r="J3860" s="22"/>
      <c r="K3860" s="23"/>
      <c r="L3860" s="23"/>
      <c r="M3860" s="22"/>
      <c r="N3860" s="22"/>
      <c r="O3860" s="22"/>
      <c r="P3860" s="23"/>
      <c r="Q3860" s="23"/>
      <c r="R3860" s="22"/>
      <c r="S3860" s="22"/>
      <c r="T3860" s="22"/>
      <c r="U3860" s="24"/>
      <c r="V3860" s="15"/>
      <c r="W3860" s="16"/>
      <c r="X3860" s="16"/>
      <c r="Y3860" s="16"/>
    </row>
    <row r="3861" customFormat="false" ht="15.75" hidden="false" customHeight="false" outlineLevel="0" collapsed="false">
      <c r="A3861" s="9"/>
      <c r="B3861" s="10"/>
      <c r="C3861" s="10"/>
      <c r="D3861" s="10"/>
      <c r="E3861" s="10"/>
      <c r="F3861" s="10"/>
      <c r="G3861" s="10"/>
      <c r="H3861" s="10"/>
      <c r="I3861" s="25" t="n">
        <v>4</v>
      </c>
      <c r="J3861" s="25"/>
      <c r="K3861" s="26"/>
      <c r="L3861" s="26"/>
      <c r="M3861" s="25"/>
      <c r="N3861" s="25"/>
      <c r="O3861" s="25"/>
      <c r="P3861" s="26"/>
      <c r="Q3861" s="26"/>
      <c r="R3861" s="25"/>
      <c r="S3861" s="25"/>
      <c r="T3861" s="25"/>
      <c r="U3861" s="27"/>
      <c r="V3861" s="21"/>
      <c r="W3861" s="16"/>
      <c r="X3861" s="16"/>
      <c r="Y3861" s="16"/>
    </row>
    <row r="3862" customFormat="false" ht="15.75" hidden="false" customHeight="false" outlineLevel="0" collapsed="false">
      <c r="A3862" s="9"/>
      <c r="B3862" s="10"/>
      <c r="C3862" s="11"/>
      <c r="D3862" s="10"/>
      <c r="E3862" s="10"/>
      <c r="F3862" s="10"/>
      <c r="G3862" s="10"/>
      <c r="H3862" s="10"/>
      <c r="I3862" s="12" t="n">
        <v>1</v>
      </c>
      <c r="J3862" s="12"/>
      <c r="K3862" s="13"/>
      <c r="L3862" s="13"/>
      <c r="M3862" s="12"/>
      <c r="N3862" s="12"/>
      <c r="O3862" s="12"/>
      <c r="P3862" s="13"/>
      <c r="Q3862" s="13"/>
      <c r="R3862" s="12"/>
      <c r="S3862" s="12"/>
      <c r="T3862" s="12"/>
      <c r="U3862" s="14"/>
      <c r="V3862" s="15"/>
      <c r="W3862" s="16" t="n">
        <f aca="false">A3862</f>
        <v>0</v>
      </c>
      <c r="X3862" s="17" t="e">
        <f aca="false">ifs(C3862="","",X3862="",NOW(),TRUE(),X3862)</f>
        <v>#VALUE!</v>
      </c>
      <c r="Y3862" s="17" t="e">
        <f aca="false">ifs(COUNTA(K3862:U3865)&lt;44,"",Y3862="",NOW(),TRUE(),Y3862)</f>
        <v>#VALUE!</v>
      </c>
    </row>
    <row r="3863" customFormat="false" ht="15.75" hidden="false" customHeight="false" outlineLevel="0" collapsed="false">
      <c r="A3863" s="9"/>
      <c r="B3863" s="10"/>
      <c r="C3863" s="10"/>
      <c r="D3863" s="10"/>
      <c r="E3863" s="10"/>
      <c r="F3863" s="10"/>
      <c r="G3863" s="10"/>
      <c r="H3863" s="10"/>
      <c r="I3863" s="18" t="n">
        <v>2</v>
      </c>
      <c r="J3863" s="18"/>
      <c r="K3863" s="19"/>
      <c r="L3863" s="19"/>
      <c r="M3863" s="18"/>
      <c r="N3863" s="18"/>
      <c r="O3863" s="18"/>
      <c r="P3863" s="19"/>
      <c r="Q3863" s="19"/>
      <c r="R3863" s="18"/>
      <c r="S3863" s="18"/>
      <c r="T3863" s="18"/>
      <c r="U3863" s="20"/>
      <c r="V3863" s="21"/>
      <c r="W3863" s="16"/>
      <c r="X3863" s="16"/>
      <c r="Y3863" s="16"/>
    </row>
    <row r="3864" customFormat="false" ht="15.75" hidden="false" customHeight="false" outlineLevel="0" collapsed="false">
      <c r="A3864" s="9"/>
      <c r="B3864" s="10"/>
      <c r="C3864" s="10"/>
      <c r="D3864" s="10"/>
      <c r="E3864" s="10"/>
      <c r="F3864" s="10"/>
      <c r="G3864" s="10"/>
      <c r="H3864" s="10"/>
      <c r="I3864" s="22" t="n">
        <v>3</v>
      </c>
      <c r="J3864" s="22"/>
      <c r="K3864" s="23"/>
      <c r="L3864" s="23"/>
      <c r="M3864" s="22"/>
      <c r="N3864" s="22"/>
      <c r="O3864" s="22"/>
      <c r="P3864" s="23"/>
      <c r="Q3864" s="23"/>
      <c r="R3864" s="22"/>
      <c r="S3864" s="22"/>
      <c r="T3864" s="22"/>
      <c r="U3864" s="24"/>
      <c r="V3864" s="15"/>
      <c r="W3864" s="16"/>
      <c r="X3864" s="16"/>
      <c r="Y3864" s="16"/>
    </row>
    <row r="3865" customFormat="false" ht="15.75" hidden="false" customHeight="false" outlineLevel="0" collapsed="false">
      <c r="A3865" s="9"/>
      <c r="B3865" s="10"/>
      <c r="C3865" s="10"/>
      <c r="D3865" s="10"/>
      <c r="E3865" s="10"/>
      <c r="F3865" s="10"/>
      <c r="G3865" s="10"/>
      <c r="H3865" s="10"/>
      <c r="I3865" s="25" t="n">
        <v>4</v>
      </c>
      <c r="J3865" s="25"/>
      <c r="K3865" s="26"/>
      <c r="L3865" s="26"/>
      <c r="M3865" s="25"/>
      <c r="N3865" s="25"/>
      <c r="O3865" s="25"/>
      <c r="P3865" s="26"/>
      <c r="Q3865" s="26"/>
      <c r="R3865" s="25"/>
      <c r="S3865" s="25"/>
      <c r="T3865" s="25"/>
      <c r="U3865" s="27"/>
      <c r="V3865" s="21"/>
      <c r="W3865" s="16"/>
      <c r="X3865" s="16"/>
      <c r="Y3865" s="16"/>
    </row>
    <row r="3866" customFormat="false" ht="15.75" hidden="false" customHeight="false" outlineLevel="0" collapsed="false">
      <c r="A3866" s="9"/>
      <c r="B3866" s="10"/>
      <c r="C3866" s="11"/>
      <c r="D3866" s="10"/>
      <c r="E3866" s="10"/>
      <c r="F3866" s="10"/>
      <c r="G3866" s="10"/>
      <c r="H3866" s="10"/>
      <c r="I3866" s="12" t="n">
        <v>1</v>
      </c>
      <c r="J3866" s="12"/>
      <c r="K3866" s="13"/>
      <c r="L3866" s="13"/>
      <c r="M3866" s="12"/>
      <c r="N3866" s="12"/>
      <c r="O3866" s="12"/>
      <c r="P3866" s="13"/>
      <c r="Q3866" s="13"/>
      <c r="R3866" s="12"/>
      <c r="S3866" s="12"/>
      <c r="T3866" s="12"/>
      <c r="U3866" s="14"/>
      <c r="V3866" s="15"/>
      <c r="W3866" s="16" t="n">
        <f aca="false">A3866</f>
        <v>0</v>
      </c>
      <c r="X3866" s="17" t="e">
        <f aca="false">ifs(C3866="","",X3866="",NOW(),TRUE(),X3866)</f>
        <v>#VALUE!</v>
      </c>
      <c r="Y3866" s="17" t="e">
        <f aca="false">ifs(COUNTA(K3866:U3869)&lt;44,"",Y3866="",NOW(),TRUE(),Y3866)</f>
        <v>#VALUE!</v>
      </c>
    </row>
    <row r="3867" customFormat="false" ht="15.75" hidden="false" customHeight="false" outlineLevel="0" collapsed="false">
      <c r="A3867" s="9"/>
      <c r="B3867" s="10"/>
      <c r="C3867" s="10"/>
      <c r="D3867" s="10"/>
      <c r="E3867" s="10"/>
      <c r="F3867" s="10"/>
      <c r="G3867" s="10"/>
      <c r="H3867" s="10"/>
      <c r="I3867" s="18" t="n">
        <v>2</v>
      </c>
      <c r="J3867" s="18"/>
      <c r="K3867" s="19"/>
      <c r="L3867" s="19"/>
      <c r="M3867" s="18"/>
      <c r="N3867" s="18"/>
      <c r="O3867" s="18"/>
      <c r="P3867" s="19"/>
      <c r="Q3867" s="19"/>
      <c r="R3867" s="18"/>
      <c r="S3867" s="18"/>
      <c r="T3867" s="18"/>
      <c r="U3867" s="20"/>
      <c r="V3867" s="21"/>
      <c r="W3867" s="16"/>
      <c r="X3867" s="16"/>
      <c r="Y3867" s="16"/>
    </row>
    <row r="3868" customFormat="false" ht="15.75" hidden="false" customHeight="false" outlineLevel="0" collapsed="false">
      <c r="A3868" s="9"/>
      <c r="B3868" s="10"/>
      <c r="C3868" s="10"/>
      <c r="D3868" s="10"/>
      <c r="E3868" s="10"/>
      <c r="F3868" s="10"/>
      <c r="G3868" s="10"/>
      <c r="H3868" s="10"/>
      <c r="I3868" s="22" t="n">
        <v>3</v>
      </c>
      <c r="J3868" s="22"/>
      <c r="K3868" s="23"/>
      <c r="L3868" s="23"/>
      <c r="M3868" s="22"/>
      <c r="N3868" s="22"/>
      <c r="O3868" s="22"/>
      <c r="P3868" s="23"/>
      <c r="Q3868" s="23"/>
      <c r="R3868" s="22"/>
      <c r="S3868" s="22"/>
      <c r="T3868" s="22"/>
      <c r="U3868" s="24"/>
      <c r="V3868" s="15"/>
      <c r="W3868" s="16"/>
      <c r="X3868" s="16"/>
      <c r="Y3868" s="16"/>
    </row>
    <row r="3869" customFormat="false" ht="15.75" hidden="false" customHeight="false" outlineLevel="0" collapsed="false">
      <c r="A3869" s="9"/>
      <c r="B3869" s="10"/>
      <c r="C3869" s="10"/>
      <c r="D3869" s="10"/>
      <c r="E3869" s="10"/>
      <c r="F3869" s="10"/>
      <c r="G3869" s="10"/>
      <c r="H3869" s="10"/>
      <c r="I3869" s="25" t="n">
        <v>4</v>
      </c>
      <c r="J3869" s="25"/>
      <c r="K3869" s="26"/>
      <c r="L3869" s="26"/>
      <c r="M3869" s="25"/>
      <c r="N3869" s="25"/>
      <c r="O3869" s="25"/>
      <c r="P3869" s="26"/>
      <c r="Q3869" s="26"/>
      <c r="R3869" s="25"/>
      <c r="S3869" s="25"/>
      <c r="T3869" s="25"/>
      <c r="U3869" s="27"/>
      <c r="V3869" s="21"/>
      <c r="W3869" s="16"/>
      <c r="X3869" s="16"/>
      <c r="Y3869" s="16"/>
    </row>
    <row r="3870" customFormat="false" ht="15.75" hidden="false" customHeight="false" outlineLevel="0" collapsed="false">
      <c r="A3870" s="9"/>
      <c r="B3870" s="10"/>
      <c r="C3870" s="11"/>
      <c r="D3870" s="10"/>
      <c r="E3870" s="10"/>
      <c r="F3870" s="10"/>
      <c r="G3870" s="10"/>
      <c r="H3870" s="10"/>
      <c r="I3870" s="12" t="n">
        <v>1</v>
      </c>
      <c r="J3870" s="12"/>
      <c r="K3870" s="13"/>
      <c r="L3870" s="13"/>
      <c r="M3870" s="12"/>
      <c r="N3870" s="12"/>
      <c r="O3870" s="12"/>
      <c r="P3870" s="13"/>
      <c r="Q3870" s="13"/>
      <c r="R3870" s="12"/>
      <c r="S3870" s="12"/>
      <c r="T3870" s="12"/>
      <c r="U3870" s="14"/>
      <c r="V3870" s="15"/>
      <c r="W3870" s="16" t="n">
        <f aca="false">A3870</f>
        <v>0</v>
      </c>
      <c r="X3870" s="17" t="e">
        <f aca="false">ifs(C3870="","",X3870="",NOW(),TRUE(),X3870)</f>
        <v>#VALUE!</v>
      </c>
      <c r="Y3870" s="17" t="e">
        <f aca="false">ifs(COUNTA(K3870:U3873)&lt;44,"",Y3870="",NOW(),TRUE(),Y3870)</f>
        <v>#VALUE!</v>
      </c>
    </row>
    <row r="3871" customFormat="false" ht="15.75" hidden="false" customHeight="false" outlineLevel="0" collapsed="false">
      <c r="A3871" s="9"/>
      <c r="B3871" s="10"/>
      <c r="C3871" s="10"/>
      <c r="D3871" s="10"/>
      <c r="E3871" s="10"/>
      <c r="F3871" s="10"/>
      <c r="G3871" s="10"/>
      <c r="H3871" s="10"/>
      <c r="I3871" s="18" t="n">
        <v>2</v>
      </c>
      <c r="J3871" s="18"/>
      <c r="K3871" s="19"/>
      <c r="L3871" s="19"/>
      <c r="M3871" s="18"/>
      <c r="N3871" s="18"/>
      <c r="O3871" s="18"/>
      <c r="P3871" s="19"/>
      <c r="Q3871" s="19"/>
      <c r="R3871" s="18"/>
      <c r="S3871" s="18"/>
      <c r="T3871" s="18"/>
      <c r="U3871" s="20"/>
      <c r="V3871" s="21"/>
      <c r="W3871" s="16"/>
      <c r="X3871" s="16"/>
      <c r="Y3871" s="16"/>
    </row>
    <row r="3872" customFormat="false" ht="15.75" hidden="false" customHeight="false" outlineLevel="0" collapsed="false">
      <c r="A3872" s="9"/>
      <c r="B3872" s="10"/>
      <c r="C3872" s="10"/>
      <c r="D3872" s="10"/>
      <c r="E3872" s="10"/>
      <c r="F3872" s="10"/>
      <c r="G3872" s="10"/>
      <c r="H3872" s="10"/>
      <c r="I3872" s="22" t="n">
        <v>3</v>
      </c>
      <c r="J3872" s="22"/>
      <c r="K3872" s="23"/>
      <c r="L3872" s="23"/>
      <c r="M3872" s="22"/>
      <c r="N3872" s="22"/>
      <c r="O3872" s="22"/>
      <c r="P3872" s="23"/>
      <c r="Q3872" s="23"/>
      <c r="R3872" s="22"/>
      <c r="S3872" s="22"/>
      <c r="T3872" s="22"/>
      <c r="U3872" s="24"/>
      <c r="V3872" s="15"/>
      <c r="W3872" s="16"/>
      <c r="X3872" s="16"/>
      <c r="Y3872" s="16"/>
    </row>
    <row r="3873" customFormat="false" ht="15.75" hidden="false" customHeight="false" outlineLevel="0" collapsed="false">
      <c r="A3873" s="9"/>
      <c r="B3873" s="10"/>
      <c r="C3873" s="10"/>
      <c r="D3873" s="10"/>
      <c r="E3873" s="10"/>
      <c r="F3873" s="10"/>
      <c r="G3873" s="10"/>
      <c r="H3873" s="10"/>
      <c r="I3873" s="25" t="n">
        <v>4</v>
      </c>
      <c r="J3873" s="25"/>
      <c r="K3873" s="26"/>
      <c r="L3873" s="26"/>
      <c r="M3873" s="25"/>
      <c r="N3873" s="25"/>
      <c r="O3873" s="25"/>
      <c r="P3873" s="26"/>
      <c r="Q3873" s="26"/>
      <c r="R3873" s="25"/>
      <c r="S3873" s="25"/>
      <c r="T3873" s="25"/>
      <c r="U3873" s="27"/>
      <c r="V3873" s="21"/>
      <c r="W3873" s="16"/>
      <c r="X3873" s="16"/>
      <c r="Y3873" s="16"/>
    </row>
    <row r="3874" customFormat="false" ht="15.75" hidden="false" customHeight="false" outlineLevel="0" collapsed="false">
      <c r="A3874" s="9"/>
      <c r="B3874" s="10"/>
      <c r="C3874" s="11"/>
      <c r="D3874" s="10"/>
      <c r="E3874" s="10"/>
      <c r="F3874" s="10"/>
      <c r="G3874" s="10"/>
      <c r="H3874" s="10"/>
      <c r="I3874" s="12" t="n">
        <v>1</v>
      </c>
      <c r="J3874" s="12"/>
      <c r="K3874" s="13"/>
      <c r="L3874" s="13"/>
      <c r="M3874" s="12"/>
      <c r="N3874" s="12"/>
      <c r="O3874" s="12"/>
      <c r="P3874" s="13"/>
      <c r="Q3874" s="13"/>
      <c r="R3874" s="12"/>
      <c r="S3874" s="12"/>
      <c r="T3874" s="12"/>
      <c r="U3874" s="14"/>
      <c r="V3874" s="15"/>
      <c r="W3874" s="16" t="n">
        <f aca="false">A3874</f>
        <v>0</v>
      </c>
      <c r="X3874" s="17" t="e">
        <f aca="false">ifs(C3874="","",X3874="",NOW(),TRUE(),X3874)</f>
        <v>#VALUE!</v>
      </c>
      <c r="Y3874" s="17" t="e">
        <f aca="false">ifs(COUNTA(K3874:U3877)&lt;44,"",Y3874="",NOW(),TRUE(),Y3874)</f>
        <v>#VALUE!</v>
      </c>
    </row>
    <row r="3875" customFormat="false" ht="15.75" hidden="false" customHeight="false" outlineLevel="0" collapsed="false">
      <c r="A3875" s="9"/>
      <c r="B3875" s="10"/>
      <c r="C3875" s="10"/>
      <c r="D3875" s="10"/>
      <c r="E3875" s="10"/>
      <c r="F3875" s="10"/>
      <c r="G3875" s="10"/>
      <c r="H3875" s="10"/>
      <c r="I3875" s="18" t="n">
        <v>2</v>
      </c>
      <c r="J3875" s="18"/>
      <c r="K3875" s="19"/>
      <c r="L3875" s="19"/>
      <c r="M3875" s="18"/>
      <c r="N3875" s="18"/>
      <c r="O3875" s="18"/>
      <c r="P3875" s="19"/>
      <c r="Q3875" s="19"/>
      <c r="R3875" s="18"/>
      <c r="S3875" s="18"/>
      <c r="T3875" s="18"/>
      <c r="U3875" s="20"/>
      <c r="V3875" s="21"/>
      <c r="W3875" s="16"/>
      <c r="X3875" s="16"/>
      <c r="Y3875" s="16"/>
    </row>
    <row r="3876" customFormat="false" ht="15.75" hidden="false" customHeight="false" outlineLevel="0" collapsed="false">
      <c r="A3876" s="9"/>
      <c r="B3876" s="10"/>
      <c r="C3876" s="10"/>
      <c r="D3876" s="10"/>
      <c r="E3876" s="10"/>
      <c r="F3876" s="10"/>
      <c r="G3876" s="10"/>
      <c r="H3876" s="10"/>
      <c r="I3876" s="22" t="n">
        <v>3</v>
      </c>
      <c r="J3876" s="22"/>
      <c r="K3876" s="23"/>
      <c r="L3876" s="23"/>
      <c r="M3876" s="22"/>
      <c r="N3876" s="22"/>
      <c r="O3876" s="22"/>
      <c r="P3876" s="23"/>
      <c r="Q3876" s="23"/>
      <c r="R3876" s="22"/>
      <c r="S3876" s="22"/>
      <c r="T3876" s="22"/>
      <c r="U3876" s="24"/>
      <c r="V3876" s="15"/>
      <c r="W3876" s="16"/>
      <c r="X3876" s="16"/>
      <c r="Y3876" s="16"/>
    </row>
    <row r="3877" customFormat="false" ht="15.75" hidden="false" customHeight="false" outlineLevel="0" collapsed="false">
      <c r="A3877" s="9"/>
      <c r="B3877" s="10"/>
      <c r="C3877" s="10"/>
      <c r="D3877" s="10"/>
      <c r="E3877" s="10"/>
      <c r="F3877" s="10"/>
      <c r="G3877" s="10"/>
      <c r="H3877" s="10"/>
      <c r="I3877" s="25" t="n">
        <v>4</v>
      </c>
      <c r="J3877" s="25"/>
      <c r="K3877" s="26"/>
      <c r="L3877" s="26"/>
      <c r="M3877" s="25"/>
      <c r="N3877" s="25"/>
      <c r="O3877" s="25"/>
      <c r="P3877" s="26"/>
      <c r="Q3877" s="26"/>
      <c r="R3877" s="25"/>
      <c r="S3877" s="25"/>
      <c r="T3877" s="25"/>
      <c r="U3877" s="27"/>
      <c r="V3877" s="21"/>
      <c r="W3877" s="16"/>
      <c r="X3877" s="16"/>
      <c r="Y3877" s="16"/>
    </row>
    <row r="3878" customFormat="false" ht="15.75" hidden="false" customHeight="false" outlineLevel="0" collapsed="false">
      <c r="A3878" s="9"/>
      <c r="B3878" s="10"/>
      <c r="C3878" s="11"/>
      <c r="D3878" s="10"/>
      <c r="E3878" s="10"/>
      <c r="F3878" s="10"/>
      <c r="G3878" s="10"/>
      <c r="H3878" s="10"/>
      <c r="I3878" s="12" t="n">
        <v>1</v>
      </c>
      <c r="J3878" s="12"/>
      <c r="K3878" s="13"/>
      <c r="L3878" s="13"/>
      <c r="M3878" s="12"/>
      <c r="N3878" s="12"/>
      <c r="O3878" s="12"/>
      <c r="P3878" s="13"/>
      <c r="Q3878" s="13"/>
      <c r="R3878" s="12"/>
      <c r="S3878" s="12"/>
      <c r="T3878" s="12"/>
      <c r="U3878" s="14"/>
      <c r="V3878" s="15"/>
      <c r="W3878" s="16" t="n">
        <f aca="false">A3878</f>
        <v>0</v>
      </c>
      <c r="X3878" s="17" t="e">
        <f aca="false">ifs(C3878="","",X3878="",NOW(),TRUE(),X3878)</f>
        <v>#VALUE!</v>
      </c>
      <c r="Y3878" s="17" t="e">
        <f aca="false">ifs(COUNTA(K3878:U3881)&lt;44,"",Y3878="",NOW(),TRUE(),Y3878)</f>
        <v>#VALUE!</v>
      </c>
    </row>
    <row r="3879" customFormat="false" ht="15.75" hidden="false" customHeight="false" outlineLevel="0" collapsed="false">
      <c r="A3879" s="9"/>
      <c r="B3879" s="10"/>
      <c r="C3879" s="10"/>
      <c r="D3879" s="10"/>
      <c r="E3879" s="10"/>
      <c r="F3879" s="10"/>
      <c r="G3879" s="10"/>
      <c r="H3879" s="10"/>
      <c r="I3879" s="18" t="n">
        <v>2</v>
      </c>
      <c r="J3879" s="18"/>
      <c r="K3879" s="19"/>
      <c r="L3879" s="19"/>
      <c r="M3879" s="18"/>
      <c r="N3879" s="18"/>
      <c r="O3879" s="18"/>
      <c r="P3879" s="19"/>
      <c r="Q3879" s="19"/>
      <c r="R3879" s="18"/>
      <c r="S3879" s="18"/>
      <c r="T3879" s="18"/>
      <c r="U3879" s="20"/>
      <c r="V3879" s="21"/>
      <c r="W3879" s="16"/>
      <c r="X3879" s="16"/>
      <c r="Y3879" s="16"/>
    </row>
    <row r="3880" customFormat="false" ht="15.75" hidden="false" customHeight="false" outlineLevel="0" collapsed="false">
      <c r="A3880" s="9"/>
      <c r="B3880" s="10"/>
      <c r="C3880" s="10"/>
      <c r="D3880" s="10"/>
      <c r="E3880" s="10"/>
      <c r="F3880" s="10"/>
      <c r="G3880" s="10"/>
      <c r="H3880" s="10"/>
      <c r="I3880" s="22" t="n">
        <v>3</v>
      </c>
      <c r="J3880" s="22"/>
      <c r="K3880" s="23"/>
      <c r="L3880" s="23"/>
      <c r="M3880" s="22"/>
      <c r="N3880" s="22"/>
      <c r="O3880" s="22"/>
      <c r="P3880" s="23"/>
      <c r="Q3880" s="23"/>
      <c r="R3880" s="22"/>
      <c r="S3880" s="22"/>
      <c r="T3880" s="22"/>
      <c r="U3880" s="24"/>
      <c r="V3880" s="15"/>
      <c r="W3880" s="16"/>
      <c r="X3880" s="16"/>
      <c r="Y3880" s="16"/>
    </row>
    <row r="3881" customFormat="false" ht="15.75" hidden="false" customHeight="false" outlineLevel="0" collapsed="false">
      <c r="A3881" s="9"/>
      <c r="B3881" s="10"/>
      <c r="C3881" s="10"/>
      <c r="D3881" s="10"/>
      <c r="E3881" s="10"/>
      <c r="F3881" s="10"/>
      <c r="G3881" s="10"/>
      <c r="H3881" s="10"/>
      <c r="I3881" s="25" t="n">
        <v>4</v>
      </c>
      <c r="J3881" s="25"/>
      <c r="K3881" s="26"/>
      <c r="L3881" s="26"/>
      <c r="M3881" s="25"/>
      <c r="N3881" s="25"/>
      <c r="O3881" s="25"/>
      <c r="P3881" s="26"/>
      <c r="Q3881" s="26"/>
      <c r="R3881" s="25"/>
      <c r="S3881" s="25"/>
      <c r="T3881" s="25"/>
      <c r="U3881" s="27"/>
      <c r="V3881" s="21"/>
      <c r="W3881" s="16"/>
      <c r="X3881" s="16"/>
      <c r="Y3881" s="16"/>
    </row>
    <row r="3882" customFormat="false" ht="15.75" hidden="false" customHeight="false" outlineLevel="0" collapsed="false">
      <c r="A3882" s="9"/>
      <c r="B3882" s="10"/>
      <c r="C3882" s="11"/>
      <c r="D3882" s="10"/>
      <c r="E3882" s="10"/>
      <c r="F3882" s="10"/>
      <c r="G3882" s="10"/>
      <c r="H3882" s="10"/>
      <c r="I3882" s="12" t="n">
        <v>1</v>
      </c>
      <c r="J3882" s="12"/>
      <c r="K3882" s="13"/>
      <c r="L3882" s="13"/>
      <c r="M3882" s="12"/>
      <c r="N3882" s="12"/>
      <c r="O3882" s="12"/>
      <c r="P3882" s="13"/>
      <c r="Q3882" s="13"/>
      <c r="R3882" s="12"/>
      <c r="S3882" s="12"/>
      <c r="T3882" s="12"/>
      <c r="U3882" s="14"/>
      <c r="V3882" s="15"/>
      <c r="W3882" s="16" t="n">
        <f aca="false">A3882</f>
        <v>0</v>
      </c>
      <c r="X3882" s="17" t="e">
        <f aca="false">ifs(C3882="","",X3882="",NOW(),TRUE(),X3882)</f>
        <v>#VALUE!</v>
      </c>
      <c r="Y3882" s="17" t="e">
        <f aca="false">ifs(COUNTA(K3882:U3885)&lt;44,"",Y3882="",NOW(),TRUE(),Y3882)</f>
        <v>#VALUE!</v>
      </c>
    </row>
    <row r="3883" customFormat="false" ht="15.75" hidden="false" customHeight="false" outlineLevel="0" collapsed="false">
      <c r="A3883" s="9"/>
      <c r="B3883" s="10"/>
      <c r="C3883" s="10"/>
      <c r="D3883" s="10"/>
      <c r="E3883" s="10"/>
      <c r="F3883" s="10"/>
      <c r="G3883" s="10"/>
      <c r="H3883" s="10"/>
      <c r="I3883" s="18" t="n">
        <v>2</v>
      </c>
      <c r="J3883" s="18"/>
      <c r="K3883" s="19"/>
      <c r="L3883" s="19"/>
      <c r="M3883" s="18"/>
      <c r="N3883" s="18"/>
      <c r="O3883" s="18"/>
      <c r="P3883" s="19"/>
      <c r="Q3883" s="19"/>
      <c r="R3883" s="18"/>
      <c r="S3883" s="18"/>
      <c r="T3883" s="18"/>
      <c r="U3883" s="20"/>
      <c r="V3883" s="21"/>
      <c r="W3883" s="16"/>
      <c r="X3883" s="16"/>
      <c r="Y3883" s="16"/>
    </row>
    <row r="3884" customFormat="false" ht="15.75" hidden="false" customHeight="false" outlineLevel="0" collapsed="false">
      <c r="A3884" s="9"/>
      <c r="B3884" s="10"/>
      <c r="C3884" s="10"/>
      <c r="D3884" s="10"/>
      <c r="E3884" s="10"/>
      <c r="F3884" s="10"/>
      <c r="G3884" s="10"/>
      <c r="H3884" s="10"/>
      <c r="I3884" s="22" t="n">
        <v>3</v>
      </c>
      <c r="J3884" s="22"/>
      <c r="K3884" s="23"/>
      <c r="L3884" s="23"/>
      <c r="M3884" s="22"/>
      <c r="N3884" s="22"/>
      <c r="O3884" s="22"/>
      <c r="P3884" s="23"/>
      <c r="Q3884" s="23"/>
      <c r="R3884" s="22"/>
      <c r="S3884" s="22"/>
      <c r="T3884" s="22"/>
      <c r="U3884" s="24"/>
      <c r="V3884" s="15"/>
      <c r="W3884" s="16"/>
      <c r="X3884" s="16"/>
      <c r="Y3884" s="16"/>
    </row>
    <row r="3885" customFormat="false" ht="15.75" hidden="false" customHeight="false" outlineLevel="0" collapsed="false">
      <c r="A3885" s="9"/>
      <c r="B3885" s="10"/>
      <c r="C3885" s="10"/>
      <c r="D3885" s="10"/>
      <c r="E3885" s="10"/>
      <c r="F3885" s="10"/>
      <c r="G3885" s="10"/>
      <c r="H3885" s="10"/>
      <c r="I3885" s="25" t="n">
        <v>4</v>
      </c>
      <c r="J3885" s="25"/>
      <c r="K3885" s="26"/>
      <c r="L3885" s="26"/>
      <c r="M3885" s="25"/>
      <c r="N3885" s="25"/>
      <c r="O3885" s="25"/>
      <c r="P3885" s="26"/>
      <c r="Q3885" s="26"/>
      <c r="R3885" s="25"/>
      <c r="S3885" s="25"/>
      <c r="T3885" s="25"/>
      <c r="U3885" s="27"/>
      <c r="V3885" s="21"/>
      <c r="W3885" s="16"/>
      <c r="X3885" s="16"/>
      <c r="Y3885" s="16"/>
    </row>
    <row r="3886" customFormat="false" ht="15.75" hidden="false" customHeight="false" outlineLevel="0" collapsed="false">
      <c r="A3886" s="9"/>
      <c r="B3886" s="10"/>
      <c r="C3886" s="11"/>
      <c r="D3886" s="10"/>
      <c r="E3886" s="10"/>
      <c r="F3886" s="10"/>
      <c r="G3886" s="10"/>
      <c r="H3886" s="10"/>
      <c r="I3886" s="12" t="n">
        <v>1</v>
      </c>
      <c r="J3886" s="12"/>
      <c r="K3886" s="13"/>
      <c r="L3886" s="13"/>
      <c r="M3886" s="12"/>
      <c r="N3886" s="12"/>
      <c r="O3886" s="12"/>
      <c r="P3886" s="13"/>
      <c r="Q3886" s="13"/>
      <c r="R3886" s="12"/>
      <c r="S3886" s="12"/>
      <c r="T3886" s="12"/>
      <c r="U3886" s="14"/>
      <c r="V3886" s="15"/>
      <c r="W3886" s="16" t="n">
        <f aca="false">A3886</f>
        <v>0</v>
      </c>
      <c r="X3886" s="17" t="e">
        <f aca="false">ifs(C3886="","",X3886="",NOW(),TRUE(),X3886)</f>
        <v>#VALUE!</v>
      </c>
      <c r="Y3886" s="17" t="e">
        <f aca="false">ifs(COUNTA(K3886:U3889)&lt;44,"",Y3886="",NOW(),TRUE(),Y3886)</f>
        <v>#VALUE!</v>
      </c>
    </row>
    <row r="3887" customFormat="false" ht="15.75" hidden="false" customHeight="false" outlineLevel="0" collapsed="false">
      <c r="A3887" s="9"/>
      <c r="B3887" s="10"/>
      <c r="C3887" s="10"/>
      <c r="D3887" s="10"/>
      <c r="E3887" s="10"/>
      <c r="F3887" s="10"/>
      <c r="G3887" s="10"/>
      <c r="H3887" s="10"/>
      <c r="I3887" s="18" t="n">
        <v>2</v>
      </c>
      <c r="J3887" s="18"/>
      <c r="K3887" s="19"/>
      <c r="L3887" s="19"/>
      <c r="M3887" s="18"/>
      <c r="N3887" s="18"/>
      <c r="O3887" s="18"/>
      <c r="P3887" s="19"/>
      <c r="Q3887" s="19"/>
      <c r="R3887" s="18"/>
      <c r="S3887" s="18"/>
      <c r="T3887" s="18"/>
      <c r="U3887" s="20"/>
      <c r="V3887" s="21"/>
      <c r="W3887" s="16"/>
      <c r="X3887" s="16"/>
      <c r="Y3887" s="16"/>
    </row>
    <row r="3888" customFormat="false" ht="15.75" hidden="false" customHeight="false" outlineLevel="0" collapsed="false">
      <c r="A3888" s="9"/>
      <c r="B3888" s="10"/>
      <c r="C3888" s="10"/>
      <c r="D3888" s="10"/>
      <c r="E3888" s="10"/>
      <c r="F3888" s="10"/>
      <c r="G3888" s="10"/>
      <c r="H3888" s="10"/>
      <c r="I3888" s="22" t="n">
        <v>3</v>
      </c>
      <c r="J3888" s="22"/>
      <c r="K3888" s="23"/>
      <c r="L3888" s="23"/>
      <c r="M3888" s="22"/>
      <c r="N3888" s="22"/>
      <c r="O3888" s="22"/>
      <c r="P3888" s="23"/>
      <c r="Q3888" s="23"/>
      <c r="R3888" s="22"/>
      <c r="S3888" s="22"/>
      <c r="T3888" s="22"/>
      <c r="U3888" s="24"/>
      <c r="V3888" s="15"/>
      <c r="W3888" s="16"/>
      <c r="X3888" s="16"/>
      <c r="Y3888" s="16"/>
    </row>
    <row r="3889" customFormat="false" ht="15.75" hidden="false" customHeight="false" outlineLevel="0" collapsed="false">
      <c r="A3889" s="9"/>
      <c r="B3889" s="10"/>
      <c r="C3889" s="10"/>
      <c r="D3889" s="10"/>
      <c r="E3889" s="10"/>
      <c r="F3889" s="10"/>
      <c r="G3889" s="10"/>
      <c r="H3889" s="10"/>
      <c r="I3889" s="25" t="n">
        <v>4</v>
      </c>
      <c r="J3889" s="25"/>
      <c r="K3889" s="26"/>
      <c r="L3889" s="26"/>
      <c r="M3889" s="25"/>
      <c r="N3889" s="25"/>
      <c r="O3889" s="25"/>
      <c r="P3889" s="26"/>
      <c r="Q3889" s="26"/>
      <c r="R3889" s="25"/>
      <c r="S3889" s="25"/>
      <c r="T3889" s="25"/>
      <c r="U3889" s="27"/>
      <c r="V3889" s="21"/>
      <c r="W3889" s="16"/>
      <c r="X3889" s="16"/>
      <c r="Y3889" s="16"/>
    </row>
    <row r="3890" customFormat="false" ht="15.75" hidden="false" customHeight="false" outlineLevel="0" collapsed="false">
      <c r="A3890" s="9"/>
      <c r="B3890" s="10"/>
      <c r="C3890" s="11"/>
      <c r="D3890" s="10"/>
      <c r="E3890" s="10"/>
      <c r="F3890" s="10"/>
      <c r="G3890" s="10"/>
      <c r="H3890" s="10"/>
      <c r="I3890" s="12" t="n">
        <v>1</v>
      </c>
      <c r="J3890" s="12"/>
      <c r="K3890" s="13"/>
      <c r="L3890" s="13"/>
      <c r="M3890" s="12"/>
      <c r="N3890" s="12"/>
      <c r="O3890" s="12"/>
      <c r="P3890" s="13"/>
      <c r="Q3890" s="13"/>
      <c r="R3890" s="12"/>
      <c r="S3890" s="12"/>
      <c r="T3890" s="12"/>
      <c r="U3890" s="14"/>
      <c r="V3890" s="15"/>
      <c r="W3890" s="16" t="n">
        <f aca="false">A3890</f>
        <v>0</v>
      </c>
      <c r="X3890" s="17" t="e">
        <f aca="false">ifs(C3890="","",X3890="",NOW(),TRUE(),X3890)</f>
        <v>#VALUE!</v>
      </c>
      <c r="Y3890" s="17" t="e">
        <f aca="false">ifs(COUNTA(K3890:U3893)&lt;44,"",Y3890="",NOW(),TRUE(),Y3890)</f>
        <v>#VALUE!</v>
      </c>
    </row>
    <row r="3891" customFormat="false" ht="15.75" hidden="false" customHeight="false" outlineLevel="0" collapsed="false">
      <c r="A3891" s="9"/>
      <c r="B3891" s="10"/>
      <c r="C3891" s="10"/>
      <c r="D3891" s="10"/>
      <c r="E3891" s="10"/>
      <c r="F3891" s="10"/>
      <c r="G3891" s="10"/>
      <c r="H3891" s="10"/>
      <c r="I3891" s="18" t="n">
        <v>2</v>
      </c>
      <c r="J3891" s="18"/>
      <c r="K3891" s="19"/>
      <c r="L3891" s="19"/>
      <c r="M3891" s="18"/>
      <c r="N3891" s="18"/>
      <c r="O3891" s="18"/>
      <c r="P3891" s="19"/>
      <c r="Q3891" s="19"/>
      <c r="R3891" s="18"/>
      <c r="S3891" s="18"/>
      <c r="T3891" s="18"/>
      <c r="U3891" s="20"/>
      <c r="V3891" s="21"/>
      <c r="W3891" s="16"/>
      <c r="X3891" s="16"/>
      <c r="Y3891" s="16"/>
    </row>
    <row r="3892" customFormat="false" ht="15.75" hidden="false" customHeight="false" outlineLevel="0" collapsed="false">
      <c r="A3892" s="9"/>
      <c r="B3892" s="10"/>
      <c r="C3892" s="10"/>
      <c r="D3892" s="10"/>
      <c r="E3892" s="10"/>
      <c r="F3892" s="10"/>
      <c r="G3892" s="10"/>
      <c r="H3892" s="10"/>
      <c r="I3892" s="22" t="n">
        <v>3</v>
      </c>
      <c r="J3892" s="22"/>
      <c r="K3892" s="23"/>
      <c r="L3892" s="23"/>
      <c r="M3892" s="22"/>
      <c r="N3892" s="22"/>
      <c r="O3892" s="22"/>
      <c r="P3892" s="23"/>
      <c r="Q3892" s="23"/>
      <c r="R3892" s="22"/>
      <c r="S3892" s="22"/>
      <c r="T3892" s="22"/>
      <c r="U3892" s="24"/>
      <c r="V3892" s="15"/>
      <c r="W3892" s="16"/>
      <c r="X3892" s="16"/>
      <c r="Y3892" s="16"/>
    </row>
    <row r="3893" customFormat="false" ht="15.75" hidden="false" customHeight="false" outlineLevel="0" collapsed="false">
      <c r="A3893" s="9"/>
      <c r="B3893" s="10"/>
      <c r="C3893" s="10"/>
      <c r="D3893" s="10"/>
      <c r="E3893" s="10"/>
      <c r="F3893" s="10"/>
      <c r="G3893" s="10"/>
      <c r="H3893" s="10"/>
      <c r="I3893" s="25" t="n">
        <v>4</v>
      </c>
      <c r="J3893" s="25"/>
      <c r="K3893" s="26"/>
      <c r="L3893" s="26"/>
      <c r="M3893" s="25"/>
      <c r="N3893" s="25"/>
      <c r="O3893" s="25"/>
      <c r="P3893" s="26"/>
      <c r="Q3893" s="26"/>
      <c r="R3893" s="25"/>
      <c r="S3893" s="25"/>
      <c r="T3893" s="25"/>
      <c r="U3893" s="27"/>
      <c r="V3893" s="21"/>
      <c r="W3893" s="16"/>
      <c r="X3893" s="16"/>
      <c r="Y3893" s="16"/>
    </row>
    <row r="3894" customFormat="false" ht="15.75" hidden="false" customHeight="false" outlineLevel="0" collapsed="false">
      <c r="A3894" s="9"/>
      <c r="B3894" s="10"/>
      <c r="C3894" s="11"/>
      <c r="D3894" s="10"/>
      <c r="E3894" s="10"/>
      <c r="F3894" s="10"/>
      <c r="G3894" s="10"/>
      <c r="H3894" s="10"/>
      <c r="I3894" s="12" t="n">
        <v>1</v>
      </c>
      <c r="J3894" s="12"/>
      <c r="K3894" s="13"/>
      <c r="L3894" s="13"/>
      <c r="M3894" s="12"/>
      <c r="N3894" s="12"/>
      <c r="O3894" s="12"/>
      <c r="P3894" s="13"/>
      <c r="Q3894" s="13"/>
      <c r="R3894" s="12"/>
      <c r="S3894" s="12"/>
      <c r="T3894" s="12"/>
      <c r="U3894" s="14"/>
      <c r="V3894" s="15"/>
      <c r="W3894" s="16" t="n">
        <f aca="false">A3894</f>
        <v>0</v>
      </c>
      <c r="X3894" s="17" t="e">
        <f aca="false">ifs(C3894="","",X3894="",NOW(),TRUE(),X3894)</f>
        <v>#VALUE!</v>
      </c>
      <c r="Y3894" s="17" t="e">
        <f aca="false">ifs(COUNTA(K3894:U3897)&lt;44,"",Y3894="",NOW(),TRUE(),Y3894)</f>
        <v>#VALUE!</v>
      </c>
    </row>
    <row r="3895" customFormat="false" ht="15.75" hidden="false" customHeight="false" outlineLevel="0" collapsed="false">
      <c r="A3895" s="9"/>
      <c r="B3895" s="10"/>
      <c r="C3895" s="10"/>
      <c r="D3895" s="10"/>
      <c r="E3895" s="10"/>
      <c r="F3895" s="10"/>
      <c r="G3895" s="10"/>
      <c r="H3895" s="10"/>
      <c r="I3895" s="18" t="n">
        <v>2</v>
      </c>
      <c r="J3895" s="18"/>
      <c r="K3895" s="19"/>
      <c r="L3895" s="19"/>
      <c r="M3895" s="18"/>
      <c r="N3895" s="18"/>
      <c r="O3895" s="18"/>
      <c r="P3895" s="19"/>
      <c r="Q3895" s="19"/>
      <c r="R3895" s="18"/>
      <c r="S3895" s="18"/>
      <c r="T3895" s="18"/>
      <c r="U3895" s="20"/>
      <c r="V3895" s="21"/>
      <c r="W3895" s="16"/>
      <c r="X3895" s="16"/>
      <c r="Y3895" s="16"/>
    </row>
    <row r="3896" customFormat="false" ht="15.75" hidden="false" customHeight="false" outlineLevel="0" collapsed="false">
      <c r="A3896" s="9"/>
      <c r="B3896" s="10"/>
      <c r="C3896" s="10"/>
      <c r="D3896" s="10"/>
      <c r="E3896" s="10"/>
      <c r="F3896" s="10"/>
      <c r="G3896" s="10"/>
      <c r="H3896" s="10"/>
      <c r="I3896" s="22" t="n">
        <v>3</v>
      </c>
      <c r="J3896" s="22"/>
      <c r="K3896" s="23"/>
      <c r="L3896" s="23"/>
      <c r="M3896" s="22"/>
      <c r="N3896" s="22"/>
      <c r="O3896" s="22"/>
      <c r="P3896" s="23"/>
      <c r="Q3896" s="23"/>
      <c r="R3896" s="22"/>
      <c r="S3896" s="22"/>
      <c r="T3896" s="22"/>
      <c r="U3896" s="24"/>
      <c r="V3896" s="15"/>
      <c r="W3896" s="16"/>
      <c r="X3896" s="16"/>
      <c r="Y3896" s="16"/>
    </row>
    <row r="3897" customFormat="false" ht="15.75" hidden="false" customHeight="false" outlineLevel="0" collapsed="false">
      <c r="A3897" s="9"/>
      <c r="B3897" s="10"/>
      <c r="C3897" s="10"/>
      <c r="D3897" s="10"/>
      <c r="E3897" s="10"/>
      <c r="F3897" s="10"/>
      <c r="G3897" s="10"/>
      <c r="H3897" s="10"/>
      <c r="I3897" s="25" t="n">
        <v>4</v>
      </c>
      <c r="J3897" s="25"/>
      <c r="K3897" s="26"/>
      <c r="L3897" s="26"/>
      <c r="M3897" s="25"/>
      <c r="N3897" s="25"/>
      <c r="O3897" s="25"/>
      <c r="P3897" s="26"/>
      <c r="Q3897" s="26"/>
      <c r="R3897" s="25"/>
      <c r="S3897" s="25"/>
      <c r="T3897" s="25"/>
      <c r="U3897" s="27"/>
      <c r="V3897" s="21"/>
      <c r="W3897" s="16"/>
      <c r="X3897" s="16"/>
      <c r="Y3897" s="16"/>
    </row>
    <row r="3898" customFormat="false" ht="15.75" hidden="false" customHeight="false" outlineLevel="0" collapsed="false">
      <c r="A3898" s="9"/>
      <c r="B3898" s="10"/>
      <c r="C3898" s="11"/>
      <c r="D3898" s="10"/>
      <c r="E3898" s="10"/>
      <c r="F3898" s="10"/>
      <c r="G3898" s="10"/>
      <c r="H3898" s="10"/>
      <c r="I3898" s="12" t="n">
        <v>1</v>
      </c>
      <c r="J3898" s="12"/>
      <c r="K3898" s="13"/>
      <c r="L3898" s="13"/>
      <c r="M3898" s="12"/>
      <c r="N3898" s="12"/>
      <c r="O3898" s="12"/>
      <c r="P3898" s="13"/>
      <c r="Q3898" s="13"/>
      <c r="R3898" s="12"/>
      <c r="S3898" s="12"/>
      <c r="T3898" s="12"/>
      <c r="U3898" s="14"/>
      <c r="V3898" s="15"/>
      <c r="W3898" s="16" t="n">
        <f aca="false">A3898</f>
        <v>0</v>
      </c>
      <c r="X3898" s="17" t="e">
        <f aca="false">ifs(C3898="","",X3898="",NOW(),TRUE(),X3898)</f>
        <v>#VALUE!</v>
      </c>
      <c r="Y3898" s="17" t="e">
        <f aca="false">ifs(COUNTA(K3898:U3901)&lt;44,"",Y3898="",NOW(),TRUE(),Y3898)</f>
        <v>#VALUE!</v>
      </c>
    </row>
    <row r="3899" customFormat="false" ht="15.75" hidden="false" customHeight="false" outlineLevel="0" collapsed="false">
      <c r="A3899" s="9"/>
      <c r="B3899" s="10"/>
      <c r="C3899" s="10"/>
      <c r="D3899" s="10"/>
      <c r="E3899" s="10"/>
      <c r="F3899" s="10"/>
      <c r="G3899" s="10"/>
      <c r="H3899" s="10"/>
      <c r="I3899" s="18" t="n">
        <v>2</v>
      </c>
      <c r="J3899" s="18"/>
      <c r="K3899" s="19"/>
      <c r="L3899" s="19"/>
      <c r="M3899" s="18"/>
      <c r="N3899" s="18"/>
      <c r="O3899" s="18"/>
      <c r="P3899" s="19"/>
      <c r="Q3899" s="19"/>
      <c r="R3899" s="18"/>
      <c r="S3899" s="18"/>
      <c r="T3899" s="18"/>
      <c r="U3899" s="20"/>
      <c r="V3899" s="21"/>
      <c r="W3899" s="16"/>
      <c r="X3899" s="16"/>
      <c r="Y3899" s="16"/>
    </row>
    <row r="3900" customFormat="false" ht="15.75" hidden="false" customHeight="false" outlineLevel="0" collapsed="false">
      <c r="A3900" s="9"/>
      <c r="B3900" s="10"/>
      <c r="C3900" s="10"/>
      <c r="D3900" s="10"/>
      <c r="E3900" s="10"/>
      <c r="F3900" s="10"/>
      <c r="G3900" s="10"/>
      <c r="H3900" s="10"/>
      <c r="I3900" s="22" t="n">
        <v>3</v>
      </c>
      <c r="J3900" s="22"/>
      <c r="K3900" s="23"/>
      <c r="L3900" s="23"/>
      <c r="M3900" s="22"/>
      <c r="N3900" s="22"/>
      <c r="O3900" s="22"/>
      <c r="P3900" s="23"/>
      <c r="Q3900" s="23"/>
      <c r="R3900" s="22"/>
      <c r="S3900" s="22"/>
      <c r="T3900" s="22"/>
      <c r="U3900" s="24"/>
      <c r="V3900" s="15"/>
      <c r="W3900" s="16"/>
      <c r="X3900" s="16"/>
      <c r="Y3900" s="16"/>
    </row>
    <row r="3901" customFormat="false" ht="15.75" hidden="false" customHeight="false" outlineLevel="0" collapsed="false">
      <c r="A3901" s="9"/>
      <c r="B3901" s="10"/>
      <c r="C3901" s="10"/>
      <c r="D3901" s="10"/>
      <c r="E3901" s="10"/>
      <c r="F3901" s="10"/>
      <c r="G3901" s="10"/>
      <c r="H3901" s="10"/>
      <c r="I3901" s="25" t="n">
        <v>4</v>
      </c>
      <c r="J3901" s="25"/>
      <c r="K3901" s="26"/>
      <c r="L3901" s="26"/>
      <c r="M3901" s="25"/>
      <c r="N3901" s="25"/>
      <c r="O3901" s="25"/>
      <c r="P3901" s="26"/>
      <c r="Q3901" s="26"/>
      <c r="R3901" s="25"/>
      <c r="S3901" s="25"/>
      <c r="T3901" s="25"/>
      <c r="U3901" s="27"/>
      <c r="V3901" s="21"/>
      <c r="W3901" s="16"/>
      <c r="X3901" s="16"/>
      <c r="Y3901" s="16"/>
    </row>
    <row r="3902" customFormat="false" ht="15.75" hidden="false" customHeight="false" outlineLevel="0" collapsed="false">
      <c r="A3902" s="9"/>
      <c r="B3902" s="10"/>
      <c r="C3902" s="11"/>
      <c r="D3902" s="10"/>
      <c r="E3902" s="10"/>
      <c r="F3902" s="10"/>
      <c r="G3902" s="10"/>
      <c r="H3902" s="10"/>
      <c r="I3902" s="12" t="n">
        <v>1</v>
      </c>
      <c r="J3902" s="12"/>
      <c r="K3902" s="13"/>
      <c r="L3902" s="13"/>
      <c r="M3902" s="12"/>
      <c r="N3902" s="12"/>
      <c r="O3902" s="12"/>
      <c r="P3902" s="13"/>
      <c r="Q3902" s="13"/>
      <c r="R3902" s="12"/>
      <c r="S3902" s="12"/>
      <c r="T3902" s="12"/>
      <c r="U3902" s="14"/>
      <c r="V3902" s="15"/>
      <c r="W3902" s="16" t="n">
        <f aca="false">A3902</f>
        <v>0</v>
      </c>
      <c r="X3902" s="17" t="e">
        <f aca="false">ifs(C3902="","",X3902="",NOW(),TRUE(),X3902)</f>
        <v>#VALUE!</v>
      </c>
      <c r="Y3902" s="17" t="e">
        <f aca="false">ifs(COUNTA(K3902:U3905)&lt;44,"",Y3902="",NOW(),TRUE(),Y3902)</f>
        <v>#VALUE!</v>
      </c>
    </row>
    <row r="3903" customFormat="false" ht="15.75" hidden="false" customHeight="false" outlineLevel="0" collapsed="false">
      <c r="A3903" s="9"/>
      <c r="B3903" s="10"/>
      <c r="C3903" s="10"/>
      <c r="D3903" s="10"/>
      <c r="E3903" s="10"/>
      <c r="F3903" s="10"/>
      <c r="G3903" s="10"/>
      <c r="H3903" s="10"/>
      <c r="I3903" s="18" t="n">
        <v>2</v>
      </c>
      <c r="J3903" s="18"/>
      <c r="K3903" s="19"/>
      <c r="L3903" s="19"/>
      <c r="M3903" s="18"/>
      <c r="N3903" s="18"/>
      <c r="O3903" s="18"/>
      <c r="P3903" s="19"/>
      <c r="Q3903" s="19"/>
      <c r="R3903" s="18"/>
      <c r="S3903" s="18"/>
      <c r="T3903" s="18"/>
      <c r="U3903" s="20"/>
      <c r="V3903" s="21"/>
      <c r="W3903" s="16"/>
      <c r="X3903" s="16"/>
      <c r="Y3903" s="16"/>
    </row>
    <row r="3904" customFormat="false" ht="15.75" hidden="false" customHeight="false" outlineLevel="0" collapsed="false">
      <c r="A3904" s="9"/>
      <c r="B3904" s="10"/>
      <c r="C3904" s="10"/>
      <c r="D3904" s="10"/>
      <c r="E3904" s="10"/>
      <c r="F3904" s="10"/>
      <c r="G3904" s="10"/>
      <c r="H3904" s="10"/>
      <c r="I3904" s="22" t="n">
        <v>3</v>
      </c>
      <c r="J3904" s="22"/>
      <c r="K3904" s="23"/>
      <c r="L3904" s="23"/>
      <c r="M3904" s="22"/>
      <c r="N3904" s="22"/>
      <c r="O3904" s="22"/>
      <c r="P3904" s="23"/>
      <c r="Q3904" s="23"/>
      <c r="R3904" s="22"/>
      <c r="S3904" s="22"/>
      <c r="T3904" s="22"/>
      <c r="U3904" s="24"/>
      <c r="V3904" s="15"/>
      <c r="W3904" s="16"/>
      <c r="X3904" s="16"/>
      <c r="Y3904" s="16"/>
    </row>
    <row r="3905" customFormat="false" ht="15.75" hidden="false" customHeight="false" outlineLevel="0" collapsed="false">
      <c r="A3905" s="9"/>
      <c r="B3905" s="10"/>
      <c r="C3905" s="10"/>
      <c r="D3905" s="10"/>
      <c r="E3905" s="10"/>
      <c r="F3905" s="10"/>
      <c r="G3905" s="10"/>
      <c r="H3905" s="10"/>
      <c r="I3905" s="25" t="n">
        <v>4</v>
      </c>
      <c r="J3905" s="25"/>
      <c r="K3905" s="26"/>
      <c r="L3905" s="26"/>
      <c r="M3905" s="25"/>
      <c r="N3905" s="25"/>
      <c r="O3905" s="25"/>
      <c r="P3905" s="26"/>
      <c r="Q3905" s="26"/>
      <c r="R3905" s="25"/>
      <c r="S3905" s="25"/>
      <c r="T3905" s="25"/>
      <c r="U3905" s="27"/>
      <c r="V3905" s="21"/>
      <c r="W3905" s="16"/>
      <c r="X3905" s="16"/>
      <c r="Y3905" s="16"/>
    </row>
    <row r="3906" customFormat="false" ht="15.75" hidden="false" customHeight="false" outlineLevel="0" collapsed="false">
      <c r="A3906" s="9"/>
      <c r="B3906" s="10"/>
      <c r="C3906" s="11"/>
      <c r="D3906" s="10"/>
      <c r="E3906" s="10"/>
      <c r="F3906" s="10"/>
      <c r="G3906" s="10"/>
      <c r="H3906" s="10"/>
      <c r="I3906" s="12" t="n">
        <v>1</v>
      </c>
      <c r="J3906" s="12"/>
      <c r="K3906" s="13"/>
      <c r="L3906" s="13"/>
      <c r="M3906" s="12"/>
      <c r="N3906" s="12"/>
      <c r="O3906" s="12"/>
      <c r="P3906" s="13"/>
      <c r="Q3906" s="13"/>
      <c r="R3906" s="12"/>
      <c r="S3906" s="12"/>
      <c r="T3906" s="12"/>
      <c r="U3906" s="14"/>
      <c r="V3906" s="15"/>
      <c r="W3906" s="16" t="n">
        <f aca="false">A3906</f>
        <v>0</v>
      </c>
      <c r="X3906" s="17" t="e">
        <f aca="false">ifs(C3906="","",X3906="",NOW(),TRUE(),X3906)</f>
        <v>#VALUE!</v>
      </c>
      <c r="Y3906" s="17" t="e">
        <f aca="false">ifs(COUNTA(K3906:U3909)&lt;44,"",Y3906="",NOW(),TRUE(),Y3906)</f>
        <v>#VALUE!</v>
      </c>
    </row>
    <row r="3907" customFormat="false" ht="15.75" hidden="false" customHeight="false" outlineLevel="0" collapsed="false">
      <c r="A3907" s="9"/>
      <c r="B3907" s="10"/>
      <c r="C3907" s="10"/>
      <c r="D3907" s="10"/>
      <c r="E3907" s="10"/>
      <c r="F3907" s="10"/>
      <c r="G3907" s="10"/>
      <c r="H3907" s="10"/>
      <c r="I3907" s="18" t="n">
        <v>2</v>
      </c>
      <c r="J3907" s="18"/>
      <c r="K3907" s="19"/>
      <c r="L3907" s="19"/>
      <c r="M3907" s="18"/>
      <c r="N3907" s="18"/>
      <c r="O3907" s="18"/>
      <c r="P3907" s="19"/>
      <c r="Q3907" s="19"/>
      <c r="R3907" s="18"/>
      <c r="S3907" s="18"/>
      <c r="T3907" s="18"/>
      <c r="U3907" s="20"/>
      <c r="V3907" s="21"/>
      <c r="W3907" s="16"/>
      <c r="X3907" s="16"/>
      <c r="Y3907" s="16"/>
    </row>
    <row r="3908" customFormat="false" ht="15.75" hidden="false" customHeight="false" outlineLevel="0" collapsed="false">
      <c r="A3908" s="9"/>
      <c r="B3908" s="10"/>
      <c r="C3908" s="10"/>
      <c r="D3908" s="10"/>
      <c r="E3908" s="10"/>
      <c r="F3908" s="10"/>
      <c r="G3908" s="10"/>
      <c r="H3908" s="10"/>
      <c r="I3908" s="22" t="n">
        <v>3</v>
      </c>
      <c r="J3908" s="22"/>
      <c r="K3908" s="23"/>
      <c r="L3908" s="23"/>
      <c r="M3908" s="22"/>
      <c r="N3908" s="22"/>
      <c r="O3908" s="22"/>
      <c r="P3908" s="23"/>
      <c r="Q3908" s="23"/>
      <c r="R3908" s="22"/>
      <c r="S3908" s="22"/>
      <c r="T3908" s="22"/>
      <c r="U3908" s="24"/>
      <c r="V3908" s="15"/>
      <c r="W3908" s="16"/>
      <c r="X3908" s="16"/>
      <c r="Y3908" s="16"/>
    </row>
    <row r="3909" customFormat="false" ht="15.75" hidden="false" customHeight="false" outlineLevel="0" collapsed="false">
      <c r="A3909" s="9"/>
      <c r="B3909" s="10"/>
      <c r="C3909" s="10"/>
      <c r="D3909" s="10"/>
      <c r="E3909" s="10"/>
      <c r="F3909" s="10"/>
      <c r="G3909" s="10"/>
      <c r="H3909" s="10"/>
      <c r="I3909" s="25" t="n">
        <v>4</v>
      </c>
      <c r="J3909" s="25"/>
      <c r="K3909" s="26"/>
      <c r="L3909" s="26"/>
      <c r="M3909" s="25"/>
      <c r="N3909" s="25"/>
      <c r="O3909" s="25"/>
      <c r="P3909" s="26"/>
      <c r="Q3909" s="26"/>
      <c r="R3909" s="25"/>
      <c r="S3909" s="25"/>
      <c r="T3909" s="25"/>
      <c r="U3909" s="27"/>
      <c r="V3909" s="21"/>
      <c r="W3909" s="16"/>
      <c r="X3909" s="16"/>
      <c r="Y3909" s="16"/>
    </row>
    <row r="3910" customFormat="false" ht="15.75" hidden="false" customHeight="false" outlineLevel="0" collapsed="false">
      <c r="A3910" s="9"/>
      <c r="B3910" s="10"/>
      <c r="C3910" s="11"/>
      <c r="D3910" s="10"/>
      <c r="E3910" s="10"/>
      <c r="F3910" s="10"/>
      <c r="G3910" s="10"/>
      <c r="H3910" s="10"/>
      <c r="I3910" s="12" t="n">
        <v>1</v>
      </c>
      <c r="J3910" s="12"/>
      <c r="K3910" s="13"/>
      <c r="L3910" s="13"/>
      <c r="M3910" s="12"/>
      <c r="N3910" s="12"/>
      <c r="O3910" s="12"/>
      <c r="P3910" s="13"/>
      <c r="Q3910" s="13"/>
      <c r="R3910" s="12"/>
      <c r="S3910" s="12"/>
      <c r="T3910" s="12"/>
      <c r="U3910" s="14"/>
      <c r="V3910" s="15"/>
      <c r="W3910" s="16" t="n">
        <f aca="false">A3910</f>
        <v>0</v>
      </c>
      <c r="X3910" s="17" t="e">
        <f aca="false">ifs(C3910="","",X3910="",NOW(),TRUE(),X3910)</f>
        <v>#VALUE!</v>
      </c>
      <c r="Y3910" s="17" t="e">
        <f aca="false">ifs(COUNTA(K3910:U3913)&lt;44,"",Y3910="",NOW(),TRUE(),Y3910)</f>
        <v>#VALUE!</v>
      </c>
    </row>
    <row r="3911" customFormat="false" ht="15.75" hidden="false" customHeight="false" outlineLevel="0" collapsed="false">
      <c r="A3911" s="9"/>
      <c r="B3911" s="10"/>
      <c r="C3911" s="10"/>
      <c r="D3911" s="10"/>
      <c r="E3911" s="10"/>
      <c r="F3911" s="10"/>
      <c r="G3911" s="10"/>
      <c r="H3911" s="10"/>
      <c r="I3911" s="18" t="n">
        <v>2</v>
      </c>
      <c r="J3911" s="18"/>
      <c r="K3911" s="19"/>
      <c r="L3911" s="19"/>
      <c r="M3911" s="18"/>
      <c r="N3911" s="18"/>
      <c r="O3911" s="18"/>
      <c r="P3911" s="19"/>
      <c r="Q3911" s="19"/>
      <c r="R3911" s="18"/>
      <c r="S3911" s="18"/>
      <c r="T3911" s="18"/>
      <c r="U3911" s="20"/>
      <c r="V3911" s="21"/>
      <c r="W3911" s="16"/>
      <c r="X3911" s="16"/>
      <c r="Y3911" s="16"/>
    </row>
    <row r="3912" customFormat="false" ht="15.75" hidden="false" customHeight="false" outlineLevel="0" collapsed="false">
      <c r="A3912" s="9"/>
      <c r="B3912" s="10"/>
      <c r="C3912" s="10"/>
      <c r="D3912" s="10"/>
      <c r="E3912" s="10"/>
      <c r="F3912" s="10"/>
      <c r="G3912" s="10"/>
      <c r="H3912" s="10"/>
      <c r="I3912" s="22" t="n">
        <v>3</v>
      </c>
      <c r="J3912" s="22"/>
      <c r="K3912" s="23"/>
      <c r="L3912" s="23"/>
      <c r="M3912" s="22"/>
      <c r="N3912" s="22"/>
      <c r="O3912" s="22"/>
      <c r="P3912" s="23"/>
      <c r="Q3912" s="23"/>
      <c r="R3912" s="22"/>
      <c r="S3912" s="22"/>
      <c r="T3912" s="22"/>
      <c r="U3912" s="24"/>
      <c r="V3912" s="15"/>
      <c r="W3912" s="16"/>
      <c r="X3912" s="16"/>
      <c r="Y3912" s="16"/>
    </row>
    <row r="3913" customFormat="false" ht="15.75" hidden="false" customHeight="false" outlineLevel="0" collapsed="false">
      <c r="A3913" s="9"/>
      <c r="B3913" s="10"/>
      <c r="C3913" s="10"/>
      <c r="D3913" s="10"/>
      <c r="E3913" s="10"/>
      <c r="F3913" s="10"/>
      <c r="G3913" s="10"/>
      <c r="H3913" s="10"/>
      <c r="I3913" s="25" t="n">
        <v>4</v>
      </c>
      <c r="J3913" s="25"/>
      <c r="K3913" s="26"/>
      <c r="L3913" s="26"/>
      <c r="M3913" s="25"/>
      <c r="N3913" s="25"/>
      <c r="O3913" s="25"/>
      <c r="P3913" s="26"/>
      <c r="Q3913" s="26"/>
      <c r="R3913" s="25"/>
      <c r="S3913" s="25"/>
      <c r="T3913" s="25"/>
      <c r="U3913" s="27"/>
      <c r="V3913" s="21"/>
      <c r="W3913" s="16"/>
      <c r="X3913" s="16"/>
      <c r="Y3913" s="16"/>
    </row>
    <row r="3914" customFormat="false" ht="15.75" hidden="false" customHeight="false" outlineLevel="0" collapsed="false">
      <c r="A3914" s="9"/>
      <c r="B3914" s="10"/>
      <c r="C3914" s="11"/>
      <c r="D3914" s="10"/>
      <c r="E3914" s="10"/>
      <c r="F3914" s="10"/>
      <c r="G3914" s="10"/>
      <c r="H3914" s="10"/>
      <c r="I3914" s="12" t="n">
        <v>1</v>
      </c>
      <c r="J3914" s="12"/>
      <c r="K3914" s="13"/>
      <c r="L3914" s="13"/>
      <c r="M3914" s="12"/>
      <c r="N3914" s="12"/>
      <c r="O3914" s="12"/>
      <c r="P3914" s="13"/>
      <c r="Q3914" s="13"/>
      <c r="R3914" s="12"/>
      <c r="S3914" s="12"/>
      <c r="T3914" s="12"/>
      <c r="U3914" s="14"/>
      <c r="V3914" s="15"/>
      <c r="W3914" s="16" t="n">
        <f aca="false">A3914</f>
        <v>0</v>
      </c>
      <c r="X3914" s="17" t="e">
        <f aca="false">ifs(C3914="","",X3914="",NOW(),TRUE(),X3914)</f>
        <v>#VALUE!</v>
      </c>
      <c r="Y3914" s="17" t="e">
        <f aca="false">ifs(COUNTA(K3914:U3917)&lt;44,"",Y3914="",NOW(),TRUE(),Y3914)</f>
        <v>#VALUE!</v>
      </c>
    </row>
    <row r="3915" customFormat="false" ht="15.75" hidden="false" customHeight="false" outlineLevel="0" collapsed="false">
      <c r="A3915" s="9"/>
      <c r="B3915" s="10"/>
      <c r="C3915" s="10"/>
      <c r="D3915" s="10"/>
      <c r="E3915" s="10"/>
      <c r="F3915" s="10"/>
      <c r="G3915" s="10"/>
      <c r="H3915" s="10"/>
      <c r="I3915" s="18" t="n">
        <v>2</v>
      </c>
      <c r="J3915" s="18"/>
      <c r="K3915" s="19"/>
      <c r="L3915" s="19"/>
      <c r="M3915" s="18"/>
      <c r="N3915" s="18"/>
      <c r="O3915" s="18"/>
      <c r="P3915" s="19"/>
      <c r="Q3915" s="19"/>
      <c r="R3915" s="18"/>
      <c r="S3915" s="18"/>
      <c r="T3915" s="18"/>
      <c r="U3915" s="20"/>
      <c r="V3915" s="21"/>
      <c r="W3915" s="16"/>
      <c r="X3915" s="16"/>
      <c r="Y3915" s="16"/>
    </row>
    <row r="3916" customFormat="false" ht="15.75" hidden="false" customHeight="false" outlineLevel="0" collapsed="false">
      <c r="A3916" s="9"/>
      <c r="B3916" s="10"/>
      <c r="C3916" s="10"/>
      <c r="D3916" s="10"/>
      <c r="E3916" s="10"/>
      <c r="F3916" s="10"/>
      <c r="G3916" s="10"/>
      <c r="H3916" s="10"/>
      <c r="I3916" s="22" t="n">
        <v>3</v>
      </c>
      <c r="J3916" s="22"/>
      <c r="K3916" s="23"/>
      <c r="L3916" s="23"/>
      <c r="M3916" s="22"/>
      <c r="N3916" s="22"/>
      <c r="O3916" s="22"/>
      <c r="P3916" s="23"/>
      <c r="Q3916" s="23"/>
      <c r="R3916" s="22"/>
      <c r="S3916" s="22"/>
      <c r="T3916" s="22"/>
      <c r="U3916" s="24"/>
      <c r="V3916" s="15"/>
      <c r="W3916" s="16"/>
      <c r="X3916" s="16"/>
      <c r="Y3916" s="16"/>
    </row>
    <row r="3917" customFormat="false" ht="15.75" hidden="false" customHeight="false" outlineLevel="0" collapsed="false">
      <c r="A3917" s="9"/>
      <c r="B3917" s="10"/>
      <c r="C3917" s="10"/>
      <c r="D3917" s="10"/>
      <c r="E3917" s="10"/>
      <c r="F3917" s="10"/>
      <c r="G3917" s="10"/>
      <c r="H3917" s="10"/>
      <c r="I3917" s="25" t="n">
        <v>4</v>
      </c>
      <c r="J3917" s="25"/>
      <c r="K3917" s="26"/>
      <c r="L3917" s="26"/>
      <c r="M3917" s="25"/>
      <c r="N3917" s="25"/>
      <c r="O3917" s="25"/>
      <c r="P3917" s="26"/>
      <c r="Q3917" s="26"/>
      <c r="R3917" s="25"/>
      <c r="S3917" s="25"/>
      <c r="T3917" s="25"/>
      <c r="U3917" s="27"/>
      <c r="V3917" s="21"/>
      <c r="W3917" s="16"/>
      <c r="X3917" s="16"/>
      <c r="Y3917" s="16"/>
    </row>
    <row r="3918" customFormat="false" ht="15.75" hidden="false" customHeight="false" outlineLevel="0" collapsed="false">
      <c r="A3918" s="9"/>
      <c r="B3918" s="10"/>
      <c r="C3918" s="11"/>
      <c r="D3918" s="10"/>
      <c r="E3918" s="10"/>
      <c r="F3918" s="10"/>
      <c r="G3918" s="10"/>
      <c r="H3918" s="10"/>
      <c r="I3918" s="12" t="n">
        <v>1</v>
      </c>
      <c r="J3918" s="12"/>
      <c r="K3918" s="13"/>
      <c r="L3918" s="13"/>
      <c r="M3918" s="12"/>
      <c r="N3918" s="12"/>
      <c r="O3918" s="12"/>
      <c r="P3918" s="13"/>
      <c r="Q3918" s="13"/>
      <c r="R3918" s="12"/>
      <c r="S3918" s="12"/>
      <c r="T3918" s="12"/>
      <c r="U3918" s="14"/>
      <c r="V3918" s="15"/>
      <c r="W3918" s="16" t="n">
        <f aca="false">A3918</f>
        <v>0</v>
      </c>
      <c r="X3918" s="17" t="e">
        <f aca="false">ifs(C3918="","",X3918="",NOW(),TRUE(),X3918)</f>
        <v>#VALUE!</v>
      </c>
      <c r="Y3918" s="17" t="e">
        <f aca="false">ifs(COUNTA(K3918:U3921)&lt;44,"",Y3918="",NOW(),TRUE(),Y3918)</f>
        <v>#VALUE!</v>
      </c>
    </row>
    <row r="3919" customFormat="false" ht="15.75" hidden="false" customHeight="false" outlineLevel="0" collapsed="false">
      <c r="A3919" s="9"/>
      <c r="B3919" s="10"/>
      <c r="C3919" s="10"/>
      <c r="D3919" s="10"/>
      <c r="E3919" s="10"/>
      <c r="F3919" s="10"/>
      <c r="G3919" s="10"/>
      <c r="H3919" s="10"/>
      <c r="I3919" s="18" t="n">
        <v>2</v>
      </c>
      <c r="J3919" s="18"/>
      <c r="K3919" s="19"/>
      <c r="L3919" s="19"/>
      <c r="M3919" s="18"/>
      <c r="N3919" s="18"/>
      <c r="O3919" s="18"/>
      <c r="P3919" s="19"/>
      <c r="Q3919" s="19"/>
      <c r="R3919" s="18"/>
      <c r="S3919" s="18"/>
      <c r="T3919" s="18"/>
      <c r="U3919" s="20"/>
      <c r="V3919" s="21"/>
      <c r="W3919" s="16"/>
      <c r="X3919" s="16"/>
      <c r="Y3919" s="16"/>
    </row>
    <row r="3920" customFormat="false" ht="15.75" hidden="false" customHeight="false" outlineLevel="0" collapsed="false">
      <c r="A3920" s="9"/>
      <c r="B3920" s="10"/>
      <c r="C3920" s="10"/>
      <c r="D3920" s="10"/>
      <c r="E3920" s="10"/>
      <c r="F3920" s="10"/>
      <c r="G3920" s="10"/>
      <c r="H3920" s="10"/>
      <c r="I3920" s="22" t="n">
        <v>3</v>
      </c>
      <c r="J3920" s="22"/>
      <c r="K3920" s="23"/>
      <c r="L3920" s="23"/>
      <c r="M3920" s="22"/>
      <c r="N3920" s="22"/>
      <c r="O3920" s="22"/>
      <c r="P3920" s="23"/>
      <c r="Q3920" s="23"/>
      <c r="R3920" s="22"/>
      <c r="S3920" s="22"/>
      <c r="T3920" s="22"/>
      <c r="U3920" s="24"/>
      <c r="V3920" s="15"/>
      <c r="W3920" s="16"/>
      <c r="X3920" s="16"/>
      <c r="Y3920" s="16"/>
    </row>
    <row r="3921" customFormat="false" ht="15.75" hidden="false" customHeight="false" outlineLevel="0" collapsed="false">
      <c r="A3921" s="9"/>
      <c r="B3921" s="10"/>
      <c r="C3921" s="10"/>
      <c r="D3921" s="10"/>
      <c r="E3921" s="10"/>
      <c r="F3921" s="10"/>
      <c r="G3921" s="10"/>
      <c r="H3921" s="10"/>
      <c r="I3921" s="25" t="n">
        <v>4</v>
      </c>
      <c r="J3921" s="25"/>
      <c r="K3921" s="26"/>
      <c r="L3921" s="26"/>
      <c r="M3921" s="25"/>
      <c r="N3921" s="25"/>
      <c r="O3921" s="25"/>
      <c r="P3921" s="26"/>
      <c r="Q3921" s="26"/>
      <c r="R3921" s="25"/>
      <c r="S3921" s="25"/>
      <c r="T3921" s="25"/>
      <c r="U3921" s="27"/>
      <c r="V3921" s="21"/>
      <c r="W3921" s="16"/>
      <c r="X3921" s="16"/>
      <c r="Y3921" s="16"/>
    </row>
    <row r="3922" customFormat="false" ht="15.75" hidden="false" customHeight="false" outlineLevel="0" collapsed="false">
      <c r="A3922" s="9"/>
      <c r="B3922" s="10"/>
      <c r="C3922" s="11"/>
      <c r="D3922" s="10"/>
      <c r="E3922" s="10"/>
      <c r="F3922" s="10"/>
      <c r="G3922" s="10"/>
      <c r="H3922" s="10"/>
      <c r="I3922" s="12" t="n">
        <v>1</v>
      </c>
      <c r="J3922" s="12"/>
      <c r="K3922" s="13"/>
      <c r="L3922" s="13"/>
      <c r="M3922" s="12"/>
      <c r="N3922" s="12"/>
      <c r="O3922" s="12"/>
      <c r="P3922" s="13"/>
      <c r="Q3922" s="13"/>
      <c r="R3922" s="12"/>
      <c r="S3922" s="12"/>
      <c r="T3922" s="12"/>
      <c r="U3922" s="14"/>
      <c r="V3922" s="15"/>
      <c r="W3922" s="16" t="n">
        <f aca="false">A3922</f>
        <v>0</v>
      </c>
      <c r="X3922" s="17" t="e">
        <f aca="false">ifs(C3922="","",X3922="",NOW(),TRUE(),X3922)</f>
        <v>#VALUE!</v>
      </c>
      <c r="Y3922" s="17" t="e">
        <f aca="false">ifs(COUNTA(K3922:U3925)&lt;44,"",Y3922="",NOW(),TRUE(),Y3922)</f>
        <v>#VALUE!</v>
      </c>
    </row>
    <row r="3923" customFormat="false" ht="15.75" hidden="false" customHeight="false" outlineLevel="0" collapsed="false">
      <c r="A3923" s="9"/>
      <c r="B3923" s="10"/>
      <c r="C3923" s="10"/>
      <c r="D3923" s="10"/>
      <c r="E3923" s="10"/>
      <c r="F3923" s="10"/>
      <c r="G3923" s="10"/>
      <c r="H3923" s="10"/>
      <c r="I3923" s="18" t="n">
        <v>2</v>
      </c>
      <c r="J3923" s="18"/>
      <c r="K3923" s="19"/>
      <c r="L3923" s="19"/>
      <c r="M3923" s="18"/>
      <c r="N3923" s="18"/>
      <c r="O3923" s="18"/>
      <c r="P3923" s="19"/>
      <c r="Q3923" s="19"/>
      <c r="R3923" s="18"/>
      <c r="S3923" s="18"/>
      <c r="T3923" s="18"/>
      <c r="U3923" s="20"/>
      <c r="V3923" s="21"/>
      <c r="W3923" s="16"/>
      <c r="X3923" s="16"/>
      <c r="Y3923" s="16"/>
    </row>
    <row r="3924" customFormat="false" ht="15.75" hidden="false" customHeight="false" outlineLevel="0" collapsed="false">
      <c r="A3924" s="9"/>
      <c r="B3924" s="10"/>
      <c r="C3924" s="10"/>
      <c r="D3924" s="10"/>
      <c r="E3924" s="10"/>
      <c r="F3924" s="10"/>
      <c r="G3924" s="10"/>
      <c r="H3924" s="10"/>
      <c r="I3924" s="22" t="n">
        <v>3</v>
      </c>
      <c r="J3924" s="22"/>
      <c r="K3924" s="23"/>
      <c r="L3924" s="23"/>
      <c r="M3924" s="22"/>
      <c r="N3924" s="22"/>
      <c r="O3924" s="22"/>
      <c r="P3924" s="23"/>
      <c r="Q3924" s="23"/>
      <c r="R3924" s="22"/>
      <c r="S3924" s="22"/>
      <c r="T3924" s="22"/>
      <c r="U3924" s="24"/>
      <c r="V3924" s="15"/>
      <c r="W3924" s="16"/>
      <c r="X3924" s="16"/>
      <c r="Y3924" s="16"/>
    </row>
    <row r="3925" customFormat="false" ht="15.75" hidden="false" customHeight="false" outlineLevel="0" collapsed="false">
      <c r="A3925" s="9"/>
      <c r="B3925" s="10"/>
      <c r="C3925" s="10"/>
      <c r="D3925" s="10"/>
      <c r="E3925" s="10"/>
      <c r="F3925" s="10"/>
      <c r="G3925" s="10"/>
      <c r="H3925" s="10"/>
      <c r="I3925" s="25" t="n">
        <v>4</v>
      </c>
      <c r="J3925" s="25"/>
      <c r="K3925" s="26"/>
      <c r="L3925" s="26"/>
      <c r="M3925" s="25"/>
      <c r="N3925" s="25"/>
      <c r="O3925" s="25"/>
      <c r="P3925" s="26"/>
      <c r="Q3925" s="26"/>
      <c r="R3925" s="25"/>
      <c r="S3925" s="25"/>
      <c r="T3925" s="25"/>
      <c r="U3925" s="27"/>
      <c r="V3925" s="21"/>
      <c r="W3925" s="16"/>
      <c r="X3925" s="16"/>
      <c r="Y3925" s="16"/>
    </row>
    <row r="3926" customFormat="false" ht="15.75" hidden="false" customHeight="false" outlineLevel="0" collapsed="false">
      <c r="A3926" s="9"/>
      <c r="B3926" s="10"/>
      <c r="C3926" s="11"/>
      <c r="D3926" s="10"/>
      <c r="E3926" s="10"/>
      <c r="F3926" s="10"/>
      <c r="G3926" s="10"/>
      <c r="H3926" s="10"/>
      <c r="I3926" s="12" t="n">
        <v>1</v>
      </c>
      <c r="J3926" s="12"/>
      <c r="K3926" s="13"/>
      <c r="L3926" s="13"/>
      <c r="M3926" s="12"/>
      <c r="N3926" s="12"/>
      <c r="O3926" s="12"/>
      <c r="P3926" s="13"/>
      <c r="Q3926" s="13"/>
      <c r="R3926" s="12"/>
      <c r="S3926" s="12"/>
      <c r="T3926" s="12"/>
      <c r="U3926" s="14"/>
      <c r="V3926" s="15"/>
      <c r="W3926" s="16" t="n">
        <f aca="false">A3926</f>
        <v>0</v>
      </c>
      <c r="X3926" s="17" t="e">
        <f aca="false">ifs(C3926="","",X3926="",NOW(),TRUE(),X3926)</f>
        <v>#VALUE!</v>
      </c>
      <c r="Y3926" s="17" t="e">
        <f aca="false">ifs(COUNTA(K3926:U3929)&lt;44,"",Y3926="",NOW(),TRUE(),Y3926)</f>
        <v>#VALUE!</v>
      </c>
    </row>
    <row r="3927" customFormat="false" ht="15.75" hidden="false" customHeight="false" outlineLevel="0" collapsed="false">
      <c r="A3927" s="9"/>
      <c r="B3927" s="10"/>
      <c r="C3927" s="10"/>
      <c r="D3927" s="10"/>
      <c r="E3927" s="10"/>
      <c r="F3927" s="10"/>
      <c r="G3927" s="10"/>
      <c r="H3927" s="10"/>
      <c r="I3927" s="18" t="n">
        <v>2</v>
      </c>
      <c r="J3927" s="18"/>
      <c r="K3927" s="19"/>
      <c r="L3927" s="19"/>
      <c r="M3927" s="18"/>
      <c r="N3927" s="18"/>
      <c r="O3927" s="18"/>
      <c r="P3927" s="19"/>
      <c r="Q3927" s="19"/>
      <c r="R3927" s="18"/>
      <c r="S3927" s="18"/>
      <c r="T3927" s="18"/>
      <c r="U3927" s="20"/>
      <c r="V3927" s="21"/>
      <c r="W3927" s="16"/>
      <c r="X3927" s="16"/>
      <c r="Y3927" s="16"/>
    </row>
    <row r="3928" customFormat="false" ht="15.75" hidden="false" customHeight="false" outlineLevel="0" collapsed="false">
      <c r="A3928" s="9"/>
      <c r="B3928" s="10"/>
      <c r="C3928" s="10"/>
      <c r="D3928" s="10"/>
      <c r="E3928" s="10"/>
      <c r="F3928" s="10"/>
      <c r="G3928" s="10"/>
      <c r="H3928" s="10"/>
      <c r="I3928" s="22" t="n">
        <v>3</v>
      </c>
      <c r="J3928" s="22"/>
      <c r="K3928" s="23"/>
      <c r="L3928" s="23"/>
      <c r="M3928" s="22"/>
      <c r="N3928" s="22"/>
      <c r="O3928" s="22"/>
      <c r="P3928" s="23"/>
      <c r="Q3928" s="23"/>
      <c r="R3928" s="22"/>
      <c r="S3928" s="22"/>
      <c r="T3928" s="22"/>
      <c r="U3928" s="24"/>
      <c r="V3928" s="15"/>
      <c r="W3928" s="16"/>
      <c r="X3928" s="16"/>
      <c r="Y3928" s="16"/>
    </row>
    <row r="3929" customFormat="false" ht="15.75" hidden="false" customHeight="false" outlineLevel="0" collapsed="false">
      <c r="A3929" s="9"/>
      <c r="B3929" s="10"/>
      <c r="C3929" s="10"/>
      <c r="D3929" s="10"/>
      <c r="E3929" s="10"/>
      <c r="F3929" s="10"/>
      <c r="G3929" s="10"/>
      <c r="H3929" s="10"/>
      <c r="I3929" s="25" t="n">
        <v>4</v>
      </c>
      <c r="J3929" s="25"/>
      <c r="K3929" s="26"/>
      <c r="L3929" s="26"/>
      <c r="M3929" s="25"/>
      <c r="N3929" s="25"/>
      <c r="O3929" s="25"/>
      <c r="P3929" s="26"/>
      <c r="Q3929" s="26"/>
      <c r="R3929" s="25"/>
      <c r="S3929" s="25"/>
      <c r="T3929" s="25"/>
      <c r="U3929" s="27"/>
      <c r="V3929" s="21"/>
      <c r="W3929" s="16"/>
      <c r="X3929" s="16"/>
      <c r="Y3929" s="16"/>
    </row>
    <row r="3930" customFormat="false" ht="15.75" hidden="false" customHeight="false" outlineLevel="0" collapsed="false">
      <c r="A3930" s="9"/>
      <c r="B3930" s="10"/>
      <c r="C3930" s="11"/>
      <c r="D3930" s="10"/>
      <c r="E3930" s="10"/>
      <c r="F3930" s="10"/>
      <c r="G3930" s="10"/>
      <c r="H3930" s="10"/>
      <c r="I3930" s="12" t="n">
        <v>1</v>
      </c>
      <c r="J3930" s="12"/>
      <c r="K3930" s="13"/>
      <c r="L3930" s="13"/>
      <c r="M3930" s="12"/>
      <c r="N3930" s="12"/>
      <c r="O3930" s="12"/>
      <c r="P3930" s="13"/>
      <c r="Q3930" s="13"/>
      <c r="R3930" s="12"/>
      <c r="S3930" s="12"/>
      <c r="T3930" s="12"/>
      <c r="U3930" s="14"/>
      <c r="V3930" s="15"/>
      <c r="W3930" s="16" t="n">
        <f aca="false">A3930</f>
        <v>0</v>
      </c>
      <c r="X3930" s="17" t="e">
        <f aca="false">ifs(C3930="","",X3930="",NOW(),TRUE(),X3930)</f>
        <v>#VALUE!</v>
      </c>
      <c r="Y3930" s="17" t="e">
        <f aca="false">ifs(COUNTA(K3930:U3933)&lt;44,"",Y3930="",NOW(),TRUE(),Y3930)</f>
        <v>#VALUE!</v>
      </c>
    </row>
    <row r="3931" customFormat="false" ht="15.75" hidden="false" customHeight="false" outlineLevel="0" collapsed="false">
      <c r="A3931" s="9"/>
      <c r="B3931" s="10"/>
      <c r="C3931" s="10"/>
      <c r="D3931" s="10"/>
      <c r="E3931" s="10"/>
      <c r="F3931" s="10"/>
      <c r="G3931" s="10"/>
      <c r="H3931" s="10"/>
      <c r="I3931" s="18" t="n">
        <v>2</v>
      </c>
      <c r="J3931" s="18"/>
      <c r="K3931" s="19"/>
      <c r="L3931" s="19"/>
      <c r="M3931" s="18"/>
      <c r="N3931" s="18"/>
      <c r="O3931" s="18"/>
      <c r="P3931" s="19"/>
      <c r="Q3931" s="19"/>
      <c r="R3931" s="18"/>
      <c r="S3931" s="18"/>
      <c r="T3931" s="18"/>
      <c r="U3931" s="20"/>
      <c r="V3931" s="21"/>
      <c r="W3931" s="16"/>
      <c r="X3931" s="16"/>
      <c r="Y3931" s="16"/>
    </row>
    <row r="3932" customFormat="false" ht="15.75" hidden="false" customHeight="false" outlineLevel="0" collapsed="false">
      <c r="A3932" s="9"/>
      <c r="B3932" s="10"/>
      <c r="C3932" s="10"/>
      <c r="D3932" s="10"/>
      <c r="E3932" s="10"/>
      <c r="F3932" s="10"/>
      <c r="G3932" s="10"/>
      <c r="H3932" s="10"/>
      <c r="I3932" s="22" t="n">
        <v>3</v>
      </c>
      <c r="J3932" s="22"/>
      <c r="K3932" s="23"/>
      <c r="L3932" s="23"/>
      <c r="M3932" s="22"/>
      <c r="N3932" s="22"/>
      <c r="O3932" s="22"/>
      <c r="P3932" s="23"/>
      <c r="Q3932" s="23"/>
      <c r="R3932" s="22"/>
      <c r="S3932" s="22"/>
      <c r="T3932" s="22"/>
      <c r="U3932" s="24"/>
      <c r="V3932" s="15"/>
      <c r="W3932" s="16"/>
      <c r="X3932" s="16"/>
      <c r="Y3932" s="16"/>
    </row>
    <row r="3933" customFormat="false" ht="15.75" hidden="false" customHeight="false" outlineLevel="0" collapsed="false">
      <c r="A3933" s="9"/>
      <c r="B3933" s="10"/>
      <c r="C3933" s="10"/>
      <c r="D3933" s="10"/>
      <c r="E3933" s="10"/>
      <c r="F3933" s="10"/>
      <c r="G3933" s="10"/>
      <c r="H3933" s="10"/>
      <c r="I3933" s="25" t="n">
        <v>4</v>
      </c>
      <c r="J3933" s="25"/>
      <c r="K3933" s="26"/>
      <c r="L3933" s="26"/>
      <c r="M3933" s="25"/>
      <c r="N3933" s="25"/>
      <c r="O3933" s="25"/>
      <c r="P3933" s="26"/>
      <c r="Q3933" s="26"/>
      <c r="R3933" s="25"/>
      <c r="S3933" s="25"/>
      <c r="T3933" s="25"/>
      <c r="U3933" s="27"/>
      <c r="V3933" s="21"/>
      <c r="W3933" s="16"/>
      <c r="X3933" s="16"/>
      <c r="Y3933" s="16"/>
    </row>
    <row r="3934" customFormat="false" ht="15.75" hidden="false" customHeight="false" outlineLevel="0" collapsed="false">
      <c r="A3934" s="9"/>
      <c r="B3934" s="10"/>
      <c r="C3934" s="11"/>
      <c r="D3934" s="10"/>
      <c r="E3934" s="10"/>
      <c r="F3934" s="10"/>
      <c r="G3934" s="10"/>
      <c r="H3934" s="10"/>
      <c r="I3934" s="12" t="n">
        <v>1</v>
      </c>
      <c r="J3934" s="12"/>
      <c r="K3934" s="13"/>
      <c r="L3934" s="13"/>
      <c r="M3934" s="12"/>
      <c r="N3934" s="12"/>
      <c r="O3934" s="12"/>
      <c r="P3934" s="13"/>
      <c r="Q3934" s="13"/>
      <c r="R3934" s="12"/>
      <c r="S3934" s="12"/>
      <c r="T3934" s="12"/>
      <c r="U3934" s="14"/>
      <c r="V3934" s="15"/>
      <c r="W3934" s="16" t="n">
        <f aca="false">A3934</f>
        <v>0</v>
      </c>
      <c r="X3934" s="17" t="e">
        <f aca="false">ifs(C3934="","",X3934="",NOW(),TRUE(),X3934)</f>
        <v>#VALUE!</v>
      </c>
      <c r="Y3934" s="17" t="e">
        <f aca="false">ifs(COUNTA(K3934:U3937)&lt;44,"",Y3934="",NOW(),TRUE(),Y3934)</f>
        <v>#VALUE!</v>
      </c>
    </row>
    <row r="3935" customFormat="false" ht="15.75" hidden="false" customHeight="false" outlineLevel="0" collapsed="false">
      <c r="A3935" s="9"/>
      <c r="B3935" s="10"/>
      <c r="C3935" s="10"/>
      <c r="D3935" s="10"/>
      <c r="E3935" s="10"/>
      <c r="F3935" s="10"/>
      <c r="G3935" s="10"/>
      <c r="H3935" s="10"/>
      <c r="I3935" s="18" t="n">
        <v>2</v>
      </c>
      <c r="J3935" s="18"/>
      <c r="K3935" s="19"/>
      <c r="L3935" s="19"/>
      <c r="M3935" s="18"/>
      <c r="N3935" s="18"/>
      <c r="O3935" s="18"/>
      <c r="P3935" s="19"/>
      <c r="Q3935" s="19"/>
      <c r="R3935" s="18"/>
      <c r="S3935" s="18"/>
      <c r="T3935" s="18"/>
      <c r="U3935" s="20"/>
      <c r="V3935" s="21"/>
      <c r="W3935" s="16"/>
      <c r="X3935" s="16"/>
      <c r="Y3935" s="16"/>
    </row>
    <row r="3936" customFormat="false" ht="15.75" hidden="false" customHeight="false" outlineLevel="0" collapsed="false">
      <c r="A3936" s="9"/>
      <c r="B3936" s="10"/>
      <c r="C3936" s="10"/>
      <c r="D3936" s="10"/>
      <c r="E3936" s="10"/>
      <c r="F3936" s="10"/>
      <c r="G3936" s="10"/>
      <c r="H3936" s="10"/>
      <c r="I3936" s="22" t="n">
        <v>3</v>
      </c>
      <c r="J3936" s="22"/>
      <c r="K3936" s="23"/>
      <c r="L3936" s="23"/>
      <c r="M3936" s="22"/>
      <c r="N3936" s="22"/>
      <c r="O3936" s="22"/>
      <c r="P3936" s="23"/>
      <c r="Q3936" s="23"/>
      <c r="R3936" s="22"/>
      <c r="S3936" s="22"/>
      <c r="T3936" s="22"/>
      <c r="U3936" s="24"/>
      <c r="V3936" s="15"/>
      <c r="W3936" s="16"/>
      <c r="X3936" s="16"/>
      <c r="Y3936" s="16"/>
    </row>
    <row r="3937" customFormat="false" ht="15.75" hidden="false" customHeight="false" outlineLevel="0" collapsed="false">
      <c r="A3937" s="9"/>
      <c r="B3937" s="10"/>
      <c r="C3937" s="10"/>
      <c r="D3937" s="10"/>
      <c r="E3937" s="10"/>
      <c r="F3937" s="10"/>
      <c r="G3937" s="10"/>
      <c r="H3937" s="10"/>
      <c r="I3937" s="25" t="n">
        <v>4</v>
      </c>
      <c r="J3937" s="25"/>
      <c r="K3937" s="26"/>
      <c r="L3937" s="26"/>
      <c r="M3937" s="25"/>
      <c r="N3937" s="25"/>
      <c r="O3937" s="25"/>
      <c r="P3937" s="26"/>
      <c r="Q3937" s="26"/>
      <c r="R3937" s="25"/>
      <c r="S3937" s="25"/>
      <c r="T3937" s="25"/>
      <c r="U3937" s="27"/>
      <c r="V3937" s="21"/>
      <c r="W3937" s="16"/>
      <c r="X3937" s="16"/>
      <c r="Y3937" s="16"/>
    </row>
    <row r="3938" customFormat="false" ht="15.75" hidden="false" customHeight="false" outlineLevel="0" collapsed="false">
      <c r="A3938" s="9"/>
      <c r="B3938" s="10"/>
      <c r="C3938" s="11"/>
      <c r="D3938" s="10"/>
      <c r="E3938" s="10"/>
      <c r="F3938" s="10"/>
      <c r="G3938" s="10"/>
      <c r="H3938" s="10"/>
      <c r="I3938" s="12" t="n">
        <v>1</v>
      </c>
      <c r="J3938" s="12"/>
      <c r="K3938" s="13"/>
      <c r="L3938" s="13"/>
      <c r="M3938" s="12"/>
      <c r="N3938" s="12"/>
      <c r="O3938" s="12"/>
      <c r="P3938" s="13"/>
      <c r="Q3938" s="13"/>
      <c r="R3938" s="12"/>
      <c r="S3938" s="12"/>
      <c r="T3938" s="12"/>
      <c r="U3938" s="14"/>
      <c r="V3938" s="15"/>
      <c r="W3938" s="16" t="n">
        <f aca="false">A3938</f>
        <v>0</v>
      </c>
      <c r="X3938" s="17" t="e">
        <f aca="false">ifs(C3938="","",X3938="",NOW(),TRUE(),X3938)</f>
        <v>#VALUE!</v>
      </c>
      <c r="Y3938" s="17" t="e">
        <f aca="false">ifs(COUNTA(K3938:U3941)&lt;44,"",Y3938="",NOW(),TRUE(),Y3938)</f>
        <v>#VALUE!</v>
      </c>
    </row>
    <row r="3939" customFormat="false" ht="15.75" hidden="false" customHeight="false" outlineLevel="0" collapsed="false">
      <c r="A3939" s="9"/>
      <c r="B3939" s="10"/>
      <c r="C3939" s="10"/>
      <c r="D3939" s="10"/>
      <c r="E3939" s="10"/>
      <c r="F3939" s="10"/>
      <c r="G3939" s="10"/>
      <c r="H3939" s="10"/>
      <c r="I3939" s="18" t="n">
        <v>2</v>
      </c>
      <c r="J3939" s="18"/>
      <c r="K3939" s="19"/>
      <c r="L3939" s="19"/>
      <c r="M3939" s="18"/>
      <c r="N3939" s="18"/>
      <c r="O3939" s="18"/>
      <c r="P3939" s="19"/>
      <c r="Q3939" s="19"/>
      <c r="R3939" s="18"/>
      <c r="S3939" s="18"/>
      <c r="T3939" s="18"/>
      <c r="U3939" s="20"/>
      <c r="V3939" s="21"/>
      <c r="W3939" s="16"/>
      <c r="X3939" s="16"/>
      <c r="Y3939" s="16"/>
    </row>
    <row r="3940" customFormat="false" ht="15.75" hidden="false" customHeight="false" outlineLevel="0" collapsed="false">
      <c r="A3940" s="9"/>
      <c r="B3940" s="10"/>
      <c r="C3940" s="10"/>
      <c r="D3940" s="10"/>
      <c r="E3940" s="10"/>
      <c r="F3940" s="10"/>
      <c r="G3940" s="10"/>
      <c r="H3940" s="10"/>
      <c r="I3940" s="22" t="n">
        <v>3</v>
      </c>
      <c r="J3940" s="22"/>
      <c r="K3940" s="23"/>
      <c r="L3940" s="23"/>
      <c r="M3940" s="22"/>
      <c r="N3940" s="22"/>
      <c r="O3940" s="22"/>
      <c r="P3940" s="23"/>
      <c r="Q3940" s="23"/>
      <c r="R3940" s="22"/>
      <c r="S3940" s="22"/>
      <c r="T3940" s="22"/>
      <c r="U3940" s="24"/>
      <c r="V3940" s="15"/>
      <c r="W3940" s="16"/>
      <c r="X3940" s="16"/>
      <c r="Y3940" s="16"/>
    </row>
    <row r="3941" customFormat="false" ht="15.75" hidden="false" customHeight="false" outlineLevel="0" collapsed="false">
      <c r="A3941" s="9"/>
      <c r="B3941" s="10"/>
      <c r="C3941" s="10"/>
      <c r="D3941" s="10"/>
      <c r="E3941" s="10"/>
      <c r="F3941" s="10"/>
      <c r="G3941" s="10"/>
      <c r="H3941" s="10"/>
      <c r="I3941" s="25" t="n">
        <v>4</v>
      </c>
      <c r="J3941" s="25"/>
      <c r="K3941" s="26"/>
      <c r="L3941" s="26"/>
      <c r="M3941" s="25"/>
      <c r="N3941" s="25"/>
      <c r="O3941" s="25"/>
      <c r="P3941" s="26"/>
      <c r="Q3941" s="26"/>
      <c r="R3941" s="25"/>
      <c r="S3941" s="25"/>
      <c r="T3941" s="25"/>
      <c r="U3941" s="27"/>
      <c r="V3941" s="21"/>
      <c r="W3941" s="16"/>
      <c r="X3941" s="16"/>
      <c r="Y3941" s="16"/>
    </row>
    <row r="3942" customFormat="false" ht="15.75" hidden="false" customHeight="false" outlineLevel="0" collapsed="false">
      <c r="A3942" s="9"/>
      <c r="B3942" s="10"/>
      <c r="C3942" s="11"/>
      <c r="D3942" s="10"/>
      <c r="E3942" s="10"/>
      <c r="F3942" s="10"/>
      <c r="G3942" s="10"/>
      <c r="H3942" s="10"/>
      <c r="I3942" s="12" t="n">
        <v>1</v>
      </c>
      <c r="J3942" s="12"/>
      <c r="K3942" s="13"/>
      <c r="L3942" s="13"/>
      <c r="M3942" s="12"/>
      <c r="N3942" s="12"/>
      <c r="O3942" s="12"/>
      <c r="P3942" s="13"/>
      <c r="Q3942" s="13"/>
      <c r="R3942" s="12"/>
      <c r="S3942" s="12"/>
      <c r="T3942" s="12"/>
      <c r="U3942" s="14"/>
      <c r="V3942" s="15"/>
      <c r="W3942" s="16" t="n">
        <f aca="false">A3942</f>
        <v>0</v>
      </c>
      <c r="X3942" s="17" t="e">
        <f aca="false">ifs(C3942="","",X3942="",NOW(),TRUE(),X3942)</f>
        <v>#VALUE!</v>
      </c>
      <c r="Y3942" s="17" t="e">
        <f aca="false">ifs(COUNTA(K3942:U3945)&lt;44,"",Y3942="",NOW(),TRUE(),Y3942)</f>
        <v>#VALUE!</v>
      </c>
    </row>
    <row r="3943" customFormat="false" ht="15.75" hidden="false" customHeight="false" outlineLevel="0" collapsed="false">
      <c r="A3943" s="9"/>
      <c r="B3943" s="10"/>
      <c r="C3943" s="10"/>
      <c r="D3943" s="10"/>
      <c r="E3943" s="10"/>
      <c r="F3943" s="10"/>
      <c r="G3943" s="10"/>
      <c r="H3943" s="10"/>
      <c r="I3943" s="18" t="n">
        <v>2</v>
      </c>
      <c r="J3943" s="18"/>
      <c r="K3943" s="19"/>
      <c r="L3943" s="19"/>
      <c r="M3943" s="18"/>
      <c r="N3943" s="18"/>
      <c r="O3943" s="18"/>
      <c r="P3943" s="19"/>
      <c r="Q3943" s="19"/>
      <c r="R3943" s="18"/>
      <c r="S3943" s="18"/>
      <c r="T3943" s="18"/>
      <c r="U3943" s="20"/>
      <c r="V3943" s="21"/>
      <c r="W3943" s="16"/>
      <c r="X3943" s="16"/>
      <c r="Y3943" s="16"/>
    </row>
    <row r="3944" customFormat="false" ht="15.75" hidden="false" customHeight="false" outlineLevel="0" collapsed="false">
      <c r="A3944" s="9"/>
      <c r="B3944" s="10"/>
      <c r="C3944" s="10"/>
      <c r="D3944" s="10"/>
      <c r="E3944" s="10"/>
      <c r="F3944" s="10"/>
      <c r="G3944" s="10"/>
      <c r="H3944" s="10"/>
      <c r="I3944" s="22" t="n">
        <v>3</v>
      </c>
      <c r="J3944" s="22"/>
      <c r="K3944" s="23"/>
      <c r="L3944" s="23"/>
      <c r="M3944" s="22"/>
      <c r="N3944" s="22"/>
      <c r="O3944" s="22"/>
      <c r="P3944" s="23"/>
      <c r="Q3944" s="23"/>
      <c r="R3944" s="22"/>
      <c r="S3944" s="22"/>
      <c r="T3944" s="22"/>
      <c r="U3944" s="24"/>
      <c r="V3944" s="15"/>
      <c r="W3944" s="16"/>
      <c r="X3944" s="16"/>
      <c r="Y3944" s="16"/>
    </row>
    <row r="3945" customFormat="false" ht="15.75" hidden="false" customHeight="false" outlineLevel="0" collapsed="false">
      <c r="A3945" s="9"/>
      <c r="B3945" s="10"/>
      <c r="C3945" s="10"/>
      <c r="D3945" s="10"/>
      <c r="E3945" s="10"/>
      <c r="F3945" s="10"/>
      <c r="G3945" s="10"/>
      <c r="H3945" s="10"/>
      <c r="I3945" s="25" t="n">
        <v>4</v>
      </c>
      <c r="J3945" s="25"/>
      <c r="K3945" s="26"/>
      <c r="L3945" s="26"/>
      <c r="M3945" s="25"/>
      <c r="N3945" s="25"/>
      <c r="O3945" s="25"/>
      <c r="P3945" s="26"/>
      <c r="Q3945" s="26"/>
      <c r="R3945" s="25"/>
      <c r="S3945" s="25"/>
      <c r="T3945" s="25"/>
      <c r="U3945" s="27"/>
      <c r="V3945" s="21"/>
      <c r="W3945" s="16"/>
      <c r="X3945" s="16"/>
      <c r="Y3945" s="16"/>
    </row>
    <row r="3946" customFormat="false" ht="15.75" hidden="false" customHeight="false" outlineLevel="0" collapsed="false">
      <c r="A3946" s="9"/>
      <c r="B3946" s="10"/>
      <c r="C3946" s="11"/>
      <c r="D3946" s="10"/>
      <c r="E3946" s="10"/>
      <c r="F3946" s="10"/>
      <c r="G3946" s="10"/>
      <c r="H3946" s="10"/>
      <c r="I3946" s="12" t="n">
        <v>1</v>
      </c>
      <c r="J3946" s="12"/>
      <c r="K3946" s="13"/>
      <c r="L3946" s="13"/>
      <c r="M3946" s="12"/>
      <c r="N3946" s="12"/>
      <c r="O3946" s="12"/>
      <c r="P3946" s="13"/>
      <c r="Q3946" s="13"/>
      <c r="R3946" s="12"/>
      <c r="S3946" s="12"/>
      <c r="T3946" s="12"/>
      <c r="U3946" s="14"/>
      <c r="V3946" s="15"/>
      <c r="W3946" s="16" t="n">
        <f aca="false">A3946</f>
        <v>0</v>
      </c>
      <c r="X3946" s="17" t="e">
        <f aca="false">ifs(C3946="","",X3946="",NOW(),TRUE(),X3946)</f>
        <v>#VALUE!</v>
      </c>
      <c r="Y3946" s="17" t="e">
        <f aca="false">ifs(COUNTA(K3946:U3949)&lt;44,"",Y3946="",NOW(),TRUE(),Y3946)</f>
        <v>#VALUE!</v>
      </c>
    </row>
    <row r="3947" customFormat="false" ht="15.75" hidden="false" customHeight="false" outlineLevel="0" collapsed="false">
      <c r="A3947" s="9"/>
      <c r="B3947" s="10"/>
      <c r="C3947" s="10"/>
      <c r="D3947" s="10"/>
      <c r="E3947" s="10"/>
      <c r="F3947" s="10"/>
      <c r="G3947" s="10"/>
      <c r="H3947" s="10"/>
      <c r="I3947" s="18" t="n">
        <v>2</v>
      </c>
      <c r="J3947" s="18"/>
      <c r="K3947" s="19"/>
      <c r="L3947" s="19"/>
      <c r="M3947" s="18"/>
      <c r="N3947" s="18"/>
      <c r="O3947" s="18"/>
      <c r="P3947" s="19"/>
      <c r="Q3947" s="19"/>
      <c r="R3947" s="18"/>
      <c r="S3947" s="18"/>
      <c r="T3947" s="18"/>
      <c r="U3947" s="20"/>
      <c r="V3947" s="21"/>
      <c r="W3947" s="16"/>
      <c r="X3947" s="16"/>
      <c r="Y3947" s="16"/>
    </row>
    <row r="3948" customFormat="false" ht="15.75" hidden="false" customHeight="false" outlineLevel="0" collapsed="false">
      <c r="A3948" s="9"/>
      <c r="B3948" s="10"/>
      <c r="C3948" s="10"/>
      <c r="D3948" s="10"/>
      <c r="E3948" s="10"/>
      <c r="F3948" s="10"/>
      <c r="G3948" s="10"/>
      <c r="H3948" s="10"/>
      <c r="I3948" s="22" t="n">
        <v>3</v>
      </c>
      <c r="J3948" s="22"/>
      <c r="K3948" s="23"/>
      <c r="L3948" s="23"/>
      <c r="M3948" s="22"/>
      <c r="N3948" s="22"/>
      <c r="O3948" s="22"/>
      <c r="P3948" s="23"/>
      <c r="Q3948" s="23"/>
      <c r="R3948" s="22"/>
      <c r="S3948" s="22"/>
      <c r="T3948" s="22"/>
      <c r="U3948" s="24"/>
      <c r="V3948" s="15"/>
      <c r="W3948" s="16"/>
      <c r="X3948" s="16"/>
      <c r="Y3948" s="16"/>
    </row>
    <row r="3949" customFormat="false" ht="15.75" hidden="false" customHeight="false" outlineLevel="0" collapsed="false">
      <c r="A3949" s="9"/>
      <c r="B3949" s="10"/>
      <c r="C3949" s="10"/>
      <c r="D3949" s="10"/>
      <c r="E3949" s="10"/>
      <c r="F3949" s="10"/>
      <c r="G3949" s="10"/>
      <c r="H3949" s="10"/>
      <c r="I3949" s="25" t="n">
        <v>4</v>
      </c>
      <c r="J3949" s="25"/>
      <c r="K3949" s="26"/>
      <c r="L3949" s="26"/>
      <c r="M3949" s="25"/>
      <c r="N3949" s="25"/>
      <c r="O3949" s="25"/>
      <c r="P3949" s="26"/>
      <c r="Q3949" s="26"/>
      <c r="R3949" s="25"/>
      <c r="S3949" s="25"/>
      <c r="T3949" s="25"/>
      <c r="U3949" s="27"/>
      <c r="V3949" s="21"/>
      <c r="W3949" s="16"/>
      <c r="X3949" s="16"/>
      <c r="Y3949" s="16"/>
    </row>
    <row r="3950" customFormat="false" ht="15.75" hidden="false" customHeight="false" outlineLevel="0" collapsed="false">
      <c r="A3950" s="9"/>
      <c r="B3950" s="10"/>
      <c r="C3950" s="11"/>
      <c r="D3950" s="10"/>
      <c r="E3950" s="10"/>
      <c r="F3950" s="10"/>
      <c r="G3950" s="10"/>
      <c r="H3950" s="10"/>
      <c r="I3950" s="12" t="n">
        <v>1</v>
      </c>
      <c r="J3950" s="12"/>
      <c r="K3950" s="13"/>
      <c r="L3950" s="13"/>
      <c r="M3950" s="12"/>
      <c r="N3950" s="12"/>
      <c r="O3950" s="12"/>
      <c r="P3950" s="13"/>
      <c r="Q3950" s="13"/>
      <c r="R3950" s="12"/>
      <c r="S3950" s="12"/>
      <c r="T3950" s="12"/>
      <c r="U3950" s="14"/>
      <c r="V3950" s="15"/>
      <c r="W3950" s="16" t="n">
        <f aca="false">A3950</f>
        <v>0</v>
      </c>
      <c r="X3950" s="17" t="e">
        <f aca="false">ifs(C3950="","",X3950="",NOW(),TRUE(),X3950)</f>
        <v>#VALUE!</v>
      </c>
      <c r="Y3950" s="17" t="e">
        <f aca="false">ifs(COUNTA(K3950:U3953)&lt;44,"",Y3950="",NOW(),TRUE(),Y3950)</f>
        <v>#VALUE!</v>
      </c>
    </row>
    <row r="3951" customFormat="false" ht="15.75" hidden="false" customHeight="false" outlineLevel="0" collapsed="false">
      <c r="A3951" s="9"/>
      <c r="B3951" s="10"/>
      <c r="C3951" s="10"/>
      <c r="D3951" s="10"/>
      <c r="E3951" s="10"/>
      <c r="F3951" s="10"/>
      <c r="G3951" s="10"/>
      <c r="H3951" s="10"/>
      <c r="I3951" s="18" t="n">
        <v>2</v>
      </c>
      <c r="J3951" s="18"/>
      <c r="K3951" s="19"/>
      <c r="L3951" s="19"/>
      <c r="M3951" s="18"/>
      <c r="N3951" s="18"/>
      <c r="O3951" s="18"/>
      <c r="P3951" s="19"/>
      <c r="Q3951" s="19"/>
      <c r="R3951" s="18"/>
      <c r="S3951" s="18"/>
      <c r="T3951" s="18"/>
      <c r="U3951" s="20"/>
      <c r="V3951" s="21"/>
      <c r="W3951" s="16"/>
      <c r="X3951" s="16"/>
      <c r="Y3951" s="16"/>
    </row>
    <row r="3952" customFormat="false" ht="15.75" hidden="false" customHeight="false" outlineLevel="0" collapsed="false">
      <c r="A3952" s="9"/>
      <c r="B3952" s="10"/>
      <c r="C3952" s="10"/>
      <c r="D3952" s="10"/>
      <c r="E3952" s="10"/>
      <c r="F3952" s="10"/>
      <c r="G3952" s="10"/>
      <c r="H3952" s="10"/>
      <c r="I3952" s="22" t="n">
        <v>3</v>
      </c>
      <c r="J3952" s="22"/>
      <c r="K3952" s="23"/>
      <c r="L3952" s="23"/>
      <c r="M3952" s="22"/>
      <c r="N3952" s="22"/>
      <c r="O3952" s="22"/>
      <c r="P3952" s="23"/>
      <c r="Q3952" s="23"/>
      <c r="R3952" s="22"/>
      <c r="S3952" s="22"/>
      <c r="T3952" s="22"/>
      <c r="U3952" s="24"/>
      <c r="V3952" s="15"/>
      <c r="W3952" s="16"/>
      <c r="X3952" s="16"/>
      <c r="Y3952" s="16"/>
    </row>
    <row r="3953" customFormat="false" ht="15.75" hidden="false" customHeight="false" outlineLevel="0" collapsed="false">
      <c r="A3953" s="9"/>
      <c r="B3953" s="10"/>
      <c r="C3953" s="10"/>
      <c r="D3953" s="10"/>
      <c r="E3953" s="10"/>
      <c r="F3953" s="10"/>
      <c r="G3953" s="10"/>
      <c r="H3953" s="10"/>
      <c r="I3953" s="25" t="n">
        <v>4</v>
      </c>
      <c r="J3953" s="25"/>
      <c r="K3953" s="26"/>
      <c r="L3953" s="26"/>
      <c r="M3953" s="25"/>
      <c r="N3953" s="25"/>
      <c r="O3953" s="25"/>
      <c r="P3953" s="26"/>
      <c r="Q3953" s="26"/>
      <c r="R3953" s="25"/>
      <c r="S3953" s="25"/>
      <c r="T3953" s="25"/>
      <c r="U3953" s="27"/>
      <c r="V3953" s="21"/>
      <c r="W3953" s="16"/>
      <c r="X3953" s="16"/>
      <c r="Y3953" s="16"/>
    </row>
    <row r="3954" customFormat="false" ht="15.75" hidden="false" customHeight="false" outlineLevel="0" collapsed="false">
      <c r="A3954" s="9"/>
      <c r="B3954" s="10"/>
      <c r="C3954" s="11"/>
      <c r="D3954" s="10"/>
      <c r="E3954" s="10"/>
      <c r="F3954" s="10"/>
      <c r="G3954" s="10"/>
      <c r="H3954" s="10"/>
      <c r="I3954" s="12" t="n">
        <v>1</v>
      </c>
      <c r="J3954" s="12"/>
      <c r="K3954" s="13"/>
      <c r="L3954" s="13"/>
      <c r="M3954" s="12"/>
      <c r="N3954" s="12"/>
      <c r="O3954" s="12"/>
      <c r="P3954" s="13"/>
      <c r="Q3954" s="13"/>
      <c r="R3954" s="12"/>
      <c r="S3954" s="12"/>
      <c r="T3954" s="12"/>
      <c r="U3954" s="14"/>
      <c r="V3954" s="15"/>
      <c r="W3954" s="16" t="n">
        <f aca="false">A3954</f>
        <v>0</v>
      </c>
      <c r="X3954" s="17" t="e">
        <f aca="false">ifs(C3954="","",X3954="",NOW(),TRUE(),X3954)</f>
        <v>#VALUE!</v>
      </c>
      <c r="Y3954" s="17" t="e">
        <f aca="false">ifs(COUNTA(K3954:U3957)&lt;44,"",Y3954="",NOW(),TRUE(),Y3954)</f>
        <v>#VALUE!</v>
      </c>
    </row>
    <row r="3955" customFormat="false" ht="15.75" hidden="false" customHeight="false" outlineLevel="0" collapsed="false">
      <c r="A3955" s="9"/>
      <c r="B3955" s="10"/>
      <c r="C3955" s="10"/>
      <c r="D3955" s="10"/>
      <c r="E3955" s="10"/>
      <c r="F3955" s="10"/>
      <c r="G3955" s="10"/>
      <c r="H3955" s="10"/>
      <c r="I3955" s="18" t="n">
        <v>2</v>
      </c>
      <c r="J3955" s="18"/>
      <c r="K3955" s="19"/>
      <c r="L3955" s="19"/>
      <c r="M3955" s="18"/>
      <c r="N3955" s="18"/>
      <c r="O3955" s="18"/>
      <c r="P3955" s="19"/>
      <c r="Q3955" s="19"/>
      <c r="R3955" s="18"/>
      <c r="S3955" s="18"/>
      <c r="T3955" s="18"/>
      <c r="U3955" s="20"/>
      <c r="V3955" s="21"/>
      <c r="W3955" s="16"/>
      <c r="X3955" s="16"/>
      <c r="Y3955" s="16"/>
    </row>
    <row r="3956" customFormat="false" ht="15.75" hidden="false" customHeight="false" outlineLevel="0" collapsed="false">
      <c r="A3956" s="9"/>
      <c r="B3956" s="10"/>
      <c r="C3956" s="10"/>
      <c r="D3956" s="10"/>
      <c r="E3956" s="10"/>
      <c r="F3956" s="10"/>
      <c r="G3956" s="10"/>
      <c r="H3956" s="10"/>
      <c r="I3956" s="22" t="n">
        <v>3</v>
      </c>
      <c r="J3956" s="22"/>
      <c r="K3956" s="23"/>
      <c r="L3956" s="23"/>
      <c r="M3956" s="22"/>
      <c r="N3956" s="22"/>
      <c r="O3956" s="22"/>
      <c r="P3956" s="23"/>
      <c r="Q3956" s="23"/>
      <c r="R3956" s="22"/>
      <c r="S3956" s="22"/>
      <c r="T3956" s="22"/>
      <c r="U3956" s="24"/>
      <c r="V3956" s="15"/>
      <c r="W3956" s="16"/>
      <c r="X3956" s="16"/>
      <c r="Y3956" s="16"/>
    </row>
    <row r="3957" customFormat="false" ht="15.75" hidden="false" customHeight="false" outlineLevel="0" collapsed="false">
      <c r="A3957" s="9"/>
      <c r="B3957" s="10"/>
      <c r="C3957" s="10"/>
      <c r="D3957" s="10"/>
      <c r="E3957" s="10"/>
      <c r="F3957" s="10"/>
      <c r="G3957" s="10"/>
      <c r="H3957" s="10"/>
      <c r="I3957" s="25" t="n">
        <v>4</v>
      </c>
      <c r="J3957" s="25"/>
      <c r="K3957" s="26"/>
      <c r="L3957" s="26"/>
      <c r="M3957" s="25"/>
      <c r="N3957" s="25"/>
      <c r="O3957" s="25"/>
      <c r="P3957" s="26"/>
      <c r="Q3957" s="26"/>
      <c r="R3957" s="25"/>
      <c r="S3957" s="25"/>
      <c r="T3957" s="25"/>
      <c r="U3957" s="27"/>
      <c r="V3957" s="21"/>
      <c r="W3957" s="16"/>
      <c r="X3957" s="16"/>
      <c r="Y3957" s="16"/>
    </row>
    <row r="3958" customFormat="false" ht="15.75" hidden="false" customHeight="false" outlineLevel="0" collapsed="false">
      <c r="A3958" s="9"/>
      <c r="B3958" s="10"/>
      <c r="C3958" s="11"/>
      <c r="D3958" s="10"/>
      <c r="E3958" s="10"/>
      <c r="F3958" s="10"/>
      <c r="G3958" s="10"/>
      <c r="H3958" s="10"/>
      <c r="I3958" s="12" t="n">
        <v>1</v>
      </c>
      <c r="J3958" s="12"/>
      <c r="K3958" s="13"/>
      <c r="L3958" s="13"/>
      <c r="M3958" s="12"/>
      <c r="N3958" s="12"/>
      <c r="O3958" s="12"/>
      <c r="P3958" s="13"/>
      <c r="Q3958" s="13"/>
      <c r="R3958" s="12"/>
      <c r="S3958" s="12"/>
      <c r="T3958" s="12"/>
      <c r="U3958" s="14"/>
      <c r="V3958" s="15"/>
      <c r="W3958" s="16" t="n">
        <f aca="false">A3958</f>
        <v>0</v>
      </c>
      <c r="X3958" s="17" t="e">
        <f aca="false">ifs(C3958="","",X3958="",NOW(),TRUE(),X3958)</f>
        <v>#VALUE!</v>
      </c>
      <c r="Y3958" s="17" t="e">
        <f aca="false">ifs(COUNTA(K3958:U3961)&lt;44,"",Y3958="",NOW(),TRUE(),Y3958)</f>
        <v>#VALUE!</v>
      </c>
    </row>
    <row r="3959" customFormat="false" ht="15.75" hidden="false" customHeight="false" outlineLevel="0" collapsed="false">
      <c r="A3959" s="9"/>
      <c r="B3959" s="10"/>
      <c r="C3959" s="10"/>
      <c r="D3959" s="10"/>
      <c r="E3959" s="10"/>
      <c r="F3959" s="10"/>
      <c r="G3959" s="10"/>
      <c r="H3959" s="10"/>
      <c r="I3959" s="18" t="n">
        <v>2</v>
      </c>
      <c r="J3959" s="18"/>
      <c r="K3959" s="19"/>
      <c r="L3959" s="19"/>
      <c r="M3959" s="18"/>
      <c r="N3959" s="18"/>
      <c r="O3959" s="18"/>
      <c r="P3959" s="19"/>
      <c r="Q3959" s="19"/>
      <c r="R3959" s="18"/>
      <c r="S3959" s="18"/>
      <c r="T3959" s="18"/>
      <c r="U3959" s="20"/>
      <c r="V3959" s="21"/>
      <c r="W3959" s="16"/>
      <c r="X3959" s="16"/>
      <c r="Y3959" s="16"/>
    </row>
    <row r="3960" customFormat="false" ht="15.75" hidden="false" customHeight="false" outlineLevel="0" collapsed="false">
      <c r="A3960" s="9"/>
      <c r="B3960" s="10"/>
      <c r="C3960" s="10"/>
      <c r="D3960" s="10"/>
      <c r="E3960" s="10"/>
      <c r="F3960" s="10"/>
      <c r="G3960" s="10"/>
      <c r="H3960" s="10"/>
      <c r="I3960" s="22" t="n">
        <v>3</v>
      </c>
      <c r="J3960" s="22"/>
      <c r="K3960" s="23"/>
      <c r="L3960" s="23"/>
      <c r="M3960" s="22"/>
      <c r="N3960" s="22"/>
      <c r="O3960" s="22"/>
      <c r="P3960" s="23"/>
      <c r="Q3960" s="23"/>
      <c r="R3960" s="22"/>
      <c r="S3960" s="22"/>
      <c r="T3960" s="22"/>
      <c r="U3960" s="24"/>
      <c r="V3960" s="15"/>
      <c r="W3960" s="16"/>
      <c r="X3960" s="16"/>
      <c r="Y3960" s="16"/>
    </row>
    <row r="3961" customFormat="false" ht="15.75" hidden="false" customHeight="false" outlineLevel="0" collapsed="false">
      <c r="A3961" s="9"/>
      <c r="B3961" s="10"/>
      <c r="C3961" s="10"/>
      <c r="D3961" s="10"/>
      <c r="E3961" s="10"/>
      <c r="F3961" s="10"/>
      <c r="G3961" s="10"/>
      <c r="H3961" s="10"/>
      <c r="I3961" s="25" t="n">
        <v>4</v>
      </c>
      <c r="J3961" s="25"/>
      <c r="K3961" s="26"/>
      <c r="L3961" s="26"/>
      <c r="M3961" s="25"/>
      <c r="N3961" s="25"/>
      <c r="O3961" s="25"/>
      <c r="P3961" s="26"/>
      <c r="Q3961" s="26"/>
      <c r="R3961" s="25"/>
      <c r="S3961" s="25"/>
      <c r="T3961" s="25"/>
      <c r="U3961" s="27"/>
      <c r="V3961" s="21"/>
      <c r="W3961" s="16"/>
      <c r="X3961" s="16"/>
      <c r="Y3961" s="16"/>
    </row>
    <row r="3962" customFormat="false" ht="15.75" hidden="false" customHeight="false" outlineLevel="0" collapsed="false">
      <c r="A3962" s="9"/>
      <c r="B3962" s="10"/>
      <c r="C3962" s="11"/>
      <c r="D3962" s="10"/>
      <c r="E3962" s="10"/>
      <c r="F3962" s="10"/>
      <c r="G3962" s="10"/>
      <c r="H3962" s="10"/>
      <c r="I3962" s="12" t="n">
        <v>1</v>
      </c>
      <c r="J3962" s="12"/>
      <c r="K3962" s="13"/>
      <c r="L3962" s="13"/>
      <c r="M3962" s="12"/>
      <c r="N3962" s="12"/>
      <c r="O3962" s="12"/>
      <c r="P3962" s="13"/>
      <c r="Q3962" s="13"/>
      <c r="R3962" s="12"/>
      <c r="S3962" s="12"/>
      <c r="T3962" s="12"/>
      <c r="U3962" s="14"/>
      <c r="V3962" s="15"/>
      <c r="W3962" s="16" t="n">
        <f aca="false">A3962</f>
        <v>0</v>
      </c>
      <c r="X3962" s="17" t="e">
        <f aca="false">ifs(C3962="","",X3962="",NOW(),TRUE(),X3962)</f>
        <v>#VALUE!</v>
      </c>
      <c r="Y3962" s="17" t="e">
        <f aca="false">ifs(COUNTA(K3962:U3965)&lt;44,"",Y3962="",NOW(),TRUE(),Y3962)</f>
        <v>#VALUE!</v>
      </c>
    </row>
    <row r="3963" customFormat="false" ht="15.75" hidden="false" customHeight="false" outlineLevel="0" collapsed="false">
      <c r="A3963" s="9"/>
      <c r="B3963" s="10"/>
      <c r="C3963" s="10"/>
      <c r="D3963" s="10"/>
      <c r="E3963" s="10"/>
      <c r="F3963" s="10"/>
      <c r="G3963" s="10"/>
      <c r="H3963" s="10"/>
      <c r="I3963" s="18" t="n">
        <v>2</v>
      </c>
      <c r="J3963" s="18"/>
      <c r="K3963" s="19"/>
      <c r="L3963" s="19"/>
      <c r="M3963" s="18"/>
      <c r="N3963" s="18"/>
      <c r="O3963" s="18"/>
      <c r="P3963" s="19"/>
      <c r="Q3963" s="19"/>
      <c r="R3963" s="18"/>
      <c r="S3963" s="18"/>
      <c r="T3963" s="18"/>
      <c r="U3963" s="20"/>
      <c r="V3963" s="21"/>
      <c r="W3963" s="16"/>
      <c r="X3963" s="16"/>
      <c r="Y3963" s="16"/>
    </row>
    <row r="3964" customFormat="false" ht="15.75" hidden="false" customHeight="false" outlineLevel="0" collapsed="false">
      <c r="A3964" s="9"/>
      <c r="B3964" s="10"/>
      <c r="C3964" s="10"/>
      <c r="D3964" s="10"/>
      <c r="E3964" s="10"/>
      <c r="F3964" s="10"/>
      <c r="G3964" s="10"/>
      <c r="H3964" s="10"/>
      <c r="I3964" s="22" t="n">
        <v>3</v>
      </c>
      <c r="J3964" s="22"/>
      <c r="K3964" s="23"/>
      <c r="L3964" s="23"/>
      <c r="M3964" s="22"/>
      <c r="N3964" s="22"/>
      <c r="O3964" s="22"/>
      <c r="P3964" s="23"/>
      <c r="Q3964" s="23"/>
      <c r="R3964" s="22"/>
      <c r="S3964" s="22"/>
      <c r="T3964" s="22"/>
      <c r="U3964" s="24"/>
      <c r="V3964" s="15"/>
      <c r="W3964" s="16"/>
      <c r="X3964" s="16"/>
      <c r="Y3964" s="16"/>
    </row>
    <row r="3965" customFormat="false" ht="15.75" hidden="false" customHeight="false" outlineLevel="0" collapsed="false">
      <c r="A3965" s="9"/>
      <c r="B3965" s="10"/>
      <c r="C3965" s="10"/>
      <c r="D3965" s="10"/>
      <c r="E3965" s="10"/>
      <c r="F3965" s="10"/>
      <c r="G3965" s="10"/>
      <c r="H3965" s="10"/>
      <c r="I3965" s="25" t="n">
        <v>4</v>
      </c>
      <c r="J3965" s="25"/>
      <c r="K3965" s="26"/>
      <c r="L3965" s="26"/>
      <c r="M3965" s="25"/>
      <c r="N3965" s="25"/>
      <c r="O3965" s="25"/>
      <c r="P3965" s="26"/>
      <c r="Q3965" s="26"/>
      <c r="R3965" s="25"/>
      <c r="S3965" s="25"/>
      <c r="T3965" s="25"/>
      <c r="U3965" s="27"/>
      <c r="V3965" s="21"/>
      <c r="W3965" s="16"/>
      <c r="X3965" s="16"/>
      <c r="Y3965" s="16"/>
    </row>
    <row r="3966" customFormat="false" ht="15.75" hidden="false" customHeight="false" outlineLevel="0" collapsed="false">
      <c r="A3966" s="9"/>
      <c r="B3966" s="10"/>
      <c r="C3966" s="11"/>
      <c r="D3966" s="10"/>
      <c r="E3966" s="10"/>
      <c r="F3966" s="10"/>
      <c r="G3966" s="10"/>
      <c r="H3966" s="10"/>
      <c r="I3966" s="12" t="n">
        <v>1</v>
      </c>
      <c r="J3966" s="12"/>
      <c r="K3966" s="13"/>
      <c r="L3966" s="13"/>
      <c r="M3966" s="12"/>
      <c r="N3966" s="12"/>
      <c r="O3966" s="12"/>
      <c r="P3966" s="13"/>
      <c r="Q3966" s="13"/>
      <c r="R3966" s="12"/>
      <c r="S3966" s="12"/>
      <c r="T3966" s="12"/>
      <c r="U3966" s="14"/>
      <c r="V3966" s="15"/>
      <c r="W3966" s="16" t="n">
        <f aca="false">A3966</f>
        <v>0</v>
      </c>
      <c r="X3966" s="17" t="e">
        <f aca="false">ifs(C3966="","",X3966="",NOW(),TRUE(),X3966)</f>
        <v>#VALUE!</v>
      </c>
      <c r="Y3966" s="17" t="e">
        <f aca="false">ifs(COUNTA(K3966:U3969)&lt;44,"",Y3966="",NOW(),TRUE(),Y3966)</f>
        <v>#VALUE!</v>
      </c>
    </row>
    <row r="3967" customFormat="false" ht="15.75" hidden="false" customHeight="false" outlineLevel="0" collapsed="false">
      <c r="A3967" s="9"/>
      <c r="B3967" s="10"/>
      <c r="C3967" s="10"/>
      <c r="D3967" s="10"/>
      <c r="E3967" s="10"/>
      <c r="F3967" s="10"/>
      <c r="G3967" s="10"/>
      <c r="H3967" s="10"/>
      <c r="I3967" s="18" t="n">
        <v>2</v>
      </c>
      <c r="J3967" s="18"/>
      <c r="K3967" s="19"/>
      <c r="L3967" s="19"/>
      <c r="M3967" s="18"/>
      <c r="N3967" s="18"/>
      <c r="O3967" s="18"/>
      <c r="P3967" s="19"/>
      <c r="Q3967" s="19"/>
      <c r="R3967" s="18"/>
      <c r="S3967" s="18"/>
      <c r="T3967" s="18"/>
      <c r="U3967" s="20"/>
      <c r="V3967" s="21"/>
      <c r="W3967" s="16"/>
      <c r="X3967" s="16"/>
      <c r="Y3967" s="16"/>
    </row>
    <row r="3968" customFormat="false" ht="15.75" hidden="false" customHeight="false" outlineLevel="0" collapsed="false">
      <c r="A3968" s="9"/>
      <c r="B3968" s="10"/>
      <c r="C3968" s="10"/>
      <c r="D3968" s="10"/>
      <c r="E3968" s="10"/>
      <c r="F3968" s="10"/>
      <c r="G3968" s="10"/>
      <c r="H3968" s="10"/>
      <c r="I3968" s="22" t="n">
        <v>3</v>
      </c>
      <c r="J3968" s="22"/>
      <c r="K3968" s="23"/>
      <c r="L3968" s="23"/>
      <c r="M3968" s="22"/>
      <c r="N3968" s="22"/>
      <c r="O3968" s="22"/>
      <c r="P3968" s="23"/>
      <c r="Q3968" s="23"/>
      <c r="R3968" s="22"/>
      <c r="S3968" s="22"/>
      <c r="T3968" s="22"/>
      <c r="U3968" s="24"/>
      <c r="V3968" s="15"/>
      <c r="W3968" s="16"/>
      <c r="X3968" s="16"/>
      <c r="Y3968" s="16"/>
    </row>
    <row r="3969" customFormat="false" ht="15.75" hidden="false" customHeight="false" outlineLevel="0" collapsed="false">
      <c r="A3969" s="9"/>
      <c r="B3969" s="10"/>
      <c r="C3969" s="10"/>
      <c r="D3969" s="10"/>
      <c r="E3969" s="10"/>
      <c r="F3969" s="10"/>
      <c r="G3969" s="10"/>
      <c r="H3969" s="10"/>
      <c r="I3969" s="25" t="n">
        <v>4</v>
      </c>
      <c r="J3969" s="25"/>
      <c r="K3969" s="26"/>
      <c r="L3969" s="26"/>
      <c r="M3969" s="25"/>
      <c r="N3969" s="25"/>
      <c r="O3969" s="25"/>
      <c r="P3969" s="26"/>
      <c r="Q3969" s="26"/>
      <c r="R3969" s="25"/>
      <c r="S3969" s="25"/>
      <c r="T3969" s="25"/>
      <c r="U3969" s="27"/>
      <c r="V3969" s="21"/>
      <c r="W3969" s="16"/>
      <c r="X3969" s="16"/>
      <c r="Y3969" s="16"/>
    </row>
    <row r="3970" customFormat="false" ht="15.75" hidden="false" customHeight="false" outlineLevel="0" collapsed="false">
      <c r="A3970" s="9"/>
      <c r="B3970" s="10"/>
      <c r="C3970" s="11"/>
      <c r="D3970" s="10"/>
      <c r="E3970" s="10"/>
      <c r="F3970" s="10"/>
      <c r="G3970" s="10"/>
      <c r="H3970" s="10"/>
      <c r="I3970" s="12" t="n">
        <v>1</v>
      </c>
      <c r="J3970" s="12"/>
      <c r="K3970" s="13"/>
      <c r="L3970" s="13"/>
      <c r="M3970" s="12"/>
      <c r="N3970" s="12"/>
      <c r="O3970" s="12"/>
      <c r="P3970" s="13"/>
      <c r="Q3970" s="13"/>
      <c r="R3970" s="12"/>
      <c r="S3970" s="12"/>
      <c r="T3970" s="12"/>
      <c r="U3970" s="14"/>
      <c r="V3970" s="15"/>
      <c r="W3970" s="16" t="n">
        <f aca="false">A3970</f>
        <v>0</v>
      </c>
      <c r="X3970" s="17" t="e">
        <f aca="false">ifs(C3970="","",X3970="",NOW(),TRUE(),X3970)</f>
        <v>#VALUE!</v>
      </c>
      <c r="Y3970" s="17" t="e">
        <f aca="false">ifs(COUNTA(K3970:U3973)&lt;44,"",Y3970="",NOW(),TRUE(),Y3970)</f>
        <v>#VALUE!</v>
      </c>
    </row>
    <row r="3971" customFormat="false" ht="15.75" hidden="false" customHeight="false" outlineLevel="0" collapsed="false">
      <c r="A3971" s="9"/>
      <c r="B3971" s="10"/>
      <c r="C3971" s="10"/>
      <c r="D3971" s="10"/>
      <c r="E3971" s="10"/>
      <c r="F3971" s="10"/>
      <c r="G3971" s="10"/>
      <c r="H3971" s="10"/>
      <c r="I3971" s="18" t="n">
        <v>2</v>
      </c>
      <c r="J3971" s="18"/>
      <c r="K3971" s="19"/>
      <c r="L3971" s="19"/>
      <c r="M3971" s="18"/>
      <c r="N3971" s="18"/>
      <c r="O3971" s="18"/>
      <c r="P3971" s="19"/>
      <c r="Q3971" s="19"/>
      <c r="R3971" s="18"/>
      <c r="S3971" s="18"/>
      <c r="T3971" s="18"/>
      <c r="U3971" s="20"/>
      <c r="V3971" s="21"/>
      <c r="W3971" s="16"/>
      <c r="X3971" s="16"/>
      <c r="Y3971" s="16"/>
    </row>
    <row r="3972" customFormat="false" ht="15.75" hidden="false" customHeight="false" outlineLevel="0" collapsed="false">
      <c r="A3972" s="9"/>
      <c r="B3972" s="10"/>
      <c r="C3972" s="10"/>
      <c r="D3972" s="10"/>
      <c r="E3972" s="10"/>
      <c r="F3972" s="10"/>
      <c r="G3972" s="10"/>
      <c r="H3972" s="10"/>
      <c r="I3972" s="22" t="n">
        <v>3</v>
      </c>
      <c r="J3972" s="22"/>
      <c r="K3972" s="23"/>
      <c r="L3972" s="23"/>
      <c r="M3972" s="22"/>
      <c r="N3972" s="22"/>
      <c r="O3972" s="22"/>
      <c r="P3972" s="23"/>
      <c r="Q3972" s="23"/>
      <c r="R3972" s="22"/>
      <c r="S3972" s="22"/>
      <c r="T3972" s="22"/>
      <c r="U3972" s="24"/>
      <c r="V3972" s="15"/>
      <c r="W3972" s="16"/>
      <c r="X3972" s="16"/>
      <c r="Y3972" s="16"/>
    </row>
    <row r="3973" customFormat="false" ht="15.75" hidden="false" customHeight="false" outlineLevel="0" collapsed="false">
      <c r="A3973" s="9"/>
      <c r="B3973" s="10"/>
      <c r="C3973" s="10"/>
      <c r="D3973" s="10"/>
      <c r="E3973" s="10"/>
      <c r="F3973" s="10"/>
      <c r="G3973" s="10"/>
      <c r="H3973" s="10"/>
      <c r="I3973" s="25" t="n">
        <v>4</v>
      </c>
      <c r="J3973" s="25"/>
      <c r="K3973" s="26"/>
      <c r="L3973" s="26"/>
      <c r="M3973" s="25"/>
      <c r="N3973" s="25"/>
      <c r="O3973" s="25"/>
      <c r="P3973" s="26"/>
      <c r="Q3973" s="26"/>
      <c r="R3973" s="25"/>
      <c r="S3973" s="25"/>
      <c r="T3973" s="25"/>
      <c r="U3973" s="27"/>
      <c r="V3973" s="21"/>
      <c r="W3973" s="16"/>
      <c r="X3973" s="16"/>
      <c r="Y3973" s="16"/>
    </row>
    <row r="3974" customFormat="false" ht="15.75" hidden="false" customHeight="false" outlineLevel="0" collapsed="false">
      <c r="A3974" s="9"/>
      <c r="B3974" s="10"/>
      <c r="C3974" s="11"/>
      <c r="D3974" s="10"/>
      <c r="E3974" s="10"/>
      <c r="F3974" s="10"/>
      <c r="G3974" s="10"/>
      <c r="H3974" s="10"/>
      <c r="I3974" s="12" t="n">
        <v>1</v>
      </c>
      <c r="J3974" s="12"/>
      <c r="K3974" s="13"/>
      <c r="L3974" s="13"/>
      <c r="M3974" s="12"/>
      <c r="N3974" s="12"/>
      <c r="O3974" s="12"/>
      <c r="P3974" s="13"/>
      <c r="Q3974" s="13"/>
      <c r="R3974" s="12"/>
      <c r="S3974" s="12"/>
      <c r="T3974" s="12"/>
      <c r="U3974" s="14"/>
      <c r="V3974" s="15"/>
      <c r="W3974" s="16" t="n">
        <f aca="false">A3974</f>
        <v>0</v>
      </c>
      <c r="X3974" s="17" t="e">
        <f aca="false">ifs(C3974="","",X3974="",NOW(),TRUE(),X3974)</f>
        <v>#VALUE!</v>
      </c>
      <c r="Y3974" s="17" t="e">
        <f aca="false">ifs(COUNTA(K3974:U3977)&lt;44,"",Y3974="",NOW(),TRUE(),Y3974)</f>
        <v>#VALUE!</v>
      </c>
    </row>
    <row r="3975" customFormat="false" ht="15.75" hidden="false" customHeight="false" outlineLevel="0" collapsed="false">
      <c r="A3975" s="9"/>
      <c r="B3975" s="10"/>
      <c r="C3975" s="10"/>
      <c r="D3975" s="10"/>
      <c r="E3975" s="10"/>
      <c r="F3975" s="10"/>
      <c r="G3975" s="10"/>
      <c r="H3975" s="10"/>
      <c r="I3975" s="18" t="n">
        <v>2</v>
      </c>
      <c r="J3975" s="18"/>
      <c r="K3975" s="19"/>
      <c r="L3975" s="19"/>
      <c r="M3975" s="18"/>
      <c r="N3975" s="18"/>
      <c r="O3975" s="18"/>
      <c r="P3975" s="19"/>
      <c r="Q3975" s="19"/>
      <c r="R3975" s="18"/>
      <c r="S3975" s="18"/>
      <c r="T3975" s="18"/>
      <c r="U3975" s="20"/>
      <c r="V3975" s="21"/>
      <c r="W3975" s="16"/>
      <c r="X3975" s="16"/>
      <c r="Y3975" s="16"/>
    </row>
    <row r="3976" customFormat="false" ht="15.75" hidden="false" customHeight="false" outlineLevel="0" collapsed="false">
      <c r="A3976" s="9"/>
      <c r="B3976" s="10"/>
      <c r="C3976" s="10"/>
      <c r="D3976" s="10"/>
      <c r="E3976" s="10"/>
      <c r="F3976" s="10"/>
      <c r="G3976" s="10"/>
      <c r="H3976" s="10"/>
      <c r="I3976" s="22" t="n">
        <v>3</v>
      </c>
      <c r="J3976" s="22"/>
      <c r="K3976" s="23"/>
      <c r="L3976" s="23"/>
      <c r="M3976" s="22"/>
      <c r="N3976" s="22"/>
      <c r="O3976" s="22"/>
      <c r="P3976" s="23"/>
      <c r="Q3976" s="23"/>
      <c r="R3976" s="22"/>
      <c r="S3976" s="22"/>
      <c r="T3976" s="22"/>
      <c r="U3976" s="24"/>
      <c r="V3976" s="15"/>
      <c r="W3976" s="16"/>
      <c r="X3976" s="16"/>
      <c r="Y3976" s="16"/>
    </row>
    <row r="3977" customFormat="false" ht="15.75" hidden="false" customHeight="false" outlineLevel="0" collapsed="false">
      <c r="A3977" s="9"/>
      <c r="B3977" s="10"/>
      <c r="C3977" s="10"/>
      <c r="D3977" s="10"/>
      <c r="E3977" s="10"/>
      <c r="F3977" s="10"/>
      <c r="G3977" s="10"/>
      <c r="H3977" s="10"/>
      <c r="I3977" s="25" t="n">
        <v>4</v>
      </c>
      <c r="J3977" s="25"/>
      <c r="K3977" s="26"/>
      <c r="L3977" s="26"/>
      <c r="M3977" s="25"/>
      <c r="N3977" s="25"/>
      <c r="O3977" s="25"/>
      <c r="P3977" s="26"/>
      <c r="Q3977" s="26"/>
      <c r="R3977" s="25"/>
      <c r="S3977" s="25"/>
      <c r="T3977" s="25"/>
      <c r="U3977" s="27"/>
      <c r="V3977" s="21"/>
      <c r="W3977" s="16"/>
      <c r="X3977" s="16"/>
      <c r="Y3977" s="16"/>
    </row>
    <row r="3978" customFormat="false" ht="15.75" hidden="false" customHeight="false" outlineLevel="0" collapsed="false">
      <c r="A3978" s="9"/>
      <c r="B3978" s="10"/>
      <c r="C3978" s="11"/>
      <c r="D3978" s="10"/>
      <c r="E3978" s="10"/>
      <c r="F3978" s="10"/>
      <c r="G3978" s="10"/>
      <c r="H3978" s="10"/>
      <c r="I3978" s="12" t="n">
        <v>1</v>
      </c>
      <c r="J3978" s="12"/>
      <c r="K3978" s="13"/>
      <c r="L3978" s="13"/>
      <c r="M3978" s="12"/>
      <c r="N3978" s="12"/>
      <c r="O3978" s="12"/>
      <c r="P3978" s="13"/>
      <c r="Q3978" s="13"/>
      <c r="R3978" s="12"/>
      <c r="S3978" s="12"/>
      <c r="T3978" s="12"/>
      <c r="U3978" s="14"/>
      <c r="V3978" s="15"/>
      <c r="W3978" s="16" t="n">
        <f aca="false">A3978</f>
        <v>0</v>
      </c>
      <c r="X3978" s="17" t="e">
        <f aca="false">ifs(C3978="","",X3978="",NOW(),TRUE(),X3978)</f>
        <v>#VALUE!</v>
      </c>
      <c r="Y3978" s="17" t="e">
        <f aca="false">ifs(COUNTA(K3978:U3981)&lt;44,"",Y3978="",NOW(),TRUE(),Y3978)</f>
        <v>#VALUE!</v>
      </c>
    </row>
    <row r="3979" customFormat="false" ht="15.75" hidden="false" customHeight="false" outlineLevel="0" collapsed="false">
      <c r="A3979" s="9"/>
      <c r="B3979" s="10"/>
      <c r="C3979" s="10"/>
      <c r="D3979" s="10"/>
      <c r="E3979" s="10"/>
      <c r="F3979" s="10"/>
      <c r="G3979" s="10"/>
      <c r="H3979" s="10"/>
      <c r="I3979" s="18" t="n">
        <v>2</v>
      </c>
      <c r="J3979" s="18"/>
      <c r="K3979" s="19"/>
      <c r="L3979" s="19"/>
      <c r="M3979" s="18"/>
      <c r="N3979" s="18"/>
      <c r="O3979" s="18"/>
      <c r="P3979" s="19"/>
      <c r="Q3979" s="19"/>
      <c r="R3979" s="18"/>
      <c r="S3979" s="18"/>
      <c r="T3979" s="18"/>
      <c r="U3979" s="20"/>
      <c r="V3979" s="21"/>
      <c r="W3979" s="16"/>
      <c r="X3979" s="16"/>
      <c r="Y3979" s="16"/>
    </row>
    <row r="3980" customFormat="false" ht="15.75" hidden="false" customHeight="false" outlineLevel="0" collapsed="false">
      <c r="A3980" s="9"/>
      <c r="B3980" s="10"/>
      <c r="C3980" s="10"/>
      <c r="D3980" s="10"/>
      <c r="E3980" s="10"/>
      <c r="F3980" s="10"/>
      <c r="G3980" s="10"/>
      <c r="H3980" s="10"/>
      <c r="I3980" s="22" t="n">
        <v>3</v>
      </c>
      <c r="J3980" s="22"/>
      <c r="K3980" s="23"/>
      <c r="L3980" s="23"/>
      <c r="M3980" s="22"/>
      <c r="N3980" s="22"/>
      <c r="O3980" s="22"/>
      <c r="P3980" s="23"/>
      <c r="Q3980" s="23"/>
      <c r="R3980" s="22"/>
      <c r="S3980" s="22"/>
      <c r="T3980" s="22"/>
      <c r="U3980" s="24"/>
      <c r="V3980" s="15"/>
      <c r="W3980" s="16"/>
      <c r="X3980" s="16"/>
      <c r="Y3980" s="16"/>
    </row>
    <row r="3981" customFormat="false" ht="15.75" hidden="false" customHeight="false" outlineLevel="0" collapsed="false">
      <c r="A3981" s="9"/>
      <c r="B3981" s="10"/>
      <c r="C3981" s="10"/>
      <c r="D3981" s="10"/>
      <c r="E3981" s="10"/>
      <c r="F3981" s="10"/>
      <c r="G3981" s="10"/>
      <c r="H3981" s="10"/>
      <c r="I3981" s="25" t="n">
        <v>4</v>
      </c>
      <c r="J3981" s="25"/>
      <c r="K3981" s="26"/>
      <c r="L3981" s="26"/>
      <c r="M3981" s="25"/>
      <c r="N3981" s="25"/>
      <c r="O3981" s="25"/>
      <c r="P3981" s="26"/>
      <c r="Q3981" s="26"/>
      <c r="R3981" s="25"/>
      <c r="S3981" s="25"/>
      <c r="T3981" s="25"/>
      <c r="U3981" s="27"/>
      <c r="V3981" s="21"/>
      <c r="W3981" s="16"/>
      <c r="X3981" s="16"/>
      <c r="Y3981" s="16"/>
    </row>
    <row r="3982" customFormat="false" ht="15.75" hidden="false" customHeight="false" outlineLevel="0" collapsed="false">
      <c r="A3982" s="9"/>
      <c r="B3982" s="10"/>
      <c r="C3982" s="11"/>
      <c r="D3982" s="10"/>
      <c r="E3982" s="10"/>
      <c r="F3982" s="10"/>
      <c r="G3982" s="10"/>
      <c r="H3982" s="10"/>
      <c r="I3982" s="12" t="n">
        <v>1</v>
      </c>
      <c r="J3982" s="12"/>
      <c r="K3982" s="13"/>
      <c r="L3982" s="13"/>
      <c r="M3982" s="12"/>
      <c r="N3982" s="12"/>
      <c r="O3982" s="12"/>
      <c r="P3982" s="13"/>
      <c r="Q3982" s="13"/>
      <c r="R3982" s="12"/>
      <c r="S3982" s="12"/>
      <c r="T3982" s="12"/>
      <c r="U3982" s="14"/>
      <c r="V3982" s="15"/>
      <c r="W3982" s="16" t="n">
        <f aca="false">A3982</f>
        <v>0</v>
      </c>
      <c r="X3982" s="17" t="e">
        <f aca="false">ifs(C3982="","",X3982="",NOW(),TRUE(),X3982)</f>
        <v>#VALUE!</v>
      </c>
      <c r="Y3982" s="17" t="e">
        <f aca="false">ifs(COUNTA(K3982:U3985)&lt;44,"",Y3982="",NOW(),TRUE(),Y3982)</f>
        <v>#VALUE!</v>
      </c>
    </row>
    <row r="3983" customFormat="false" ht="15.75" hidden="false" customHeight="false" outlineLevel="0" collapsed="false">
      <c r="A3983" s="9"/>
      <c r="B3983" s="10"/>
      <c r="C3983" s="10"/>
      <c r="D3983" s="10"/>
      <c r="E3983" s="10"/>
      <c r="F3983" s="10"/>
      <c r="G3983" s="10"/>
      <c r="H3983" s="10"/>
      <c r="I3983" s="18" t="n">
        <v>2</v>
      </c>
      <c r="J3983" s="18"/>
      <c r="K3983" s="19"/>
      <c r="L3983" s="19"/>
      <c r="M3983" s="18"/>
      <c r="N3983" s="18"/>
      <c r="O3983" s="18"/>
      <c r="P3983" s="19"/>
      <c r="Q3983" s="19"/>
      <c r="R3983" s="18"/>
      <c r="S3983" s="18"/>
      <c r="T3983" s="18"/>
      <c r="U3983" s="20"/>
      <c r="V3983" s="21"/>
      <c r="W3983" s="16"/>
      <c r="X3983" s="16"/>
      <c r="Y3983" s="16"/>
    </row>
    <row r="3984" customFormat="false" ht="15.75" hidden="false" customHeight="false" outlineLevel="0" collapsed="false">
      <c r="A3984" s="9"/>
      <c r="B3984" s="10"/>
      <c r="C3984" s="10"/>
      <c r="D3984" s="10"/>
      <c r="E3984" s="10"/>
      <c r="F3984" s="10"/>
      <c r="G3984" s="10"/>
      <c r="H3984" s="10"/>
      <c r="I3984" s="22" t="n">
        <v>3</v>
      </c>
      <c r="J3984" s="22"/>
      <c r="K3984" s="23"/>
      <c r="L3984" s="23"/>
      <c r="M3984" s="22"/>
      <c r="N3984" s="22"/>
      <c r="O3984" s="22"/>
      <c r="P3984" s="23"/>
      <c r="Q3984" s="23"/>
      <c r="R3984" s="22"/>
      <c r="S3984" s="22"/>
      <c r="T3984" s="22"/>
      <c r="U3984" s="24"/>
      <c r="V3984" s="15"/>
      <c r="W3984" s="16"/>
      <c r="X3984" s="16"/>
      <c r="Y3984" s="16"/>
    </row>
    <row r="3985" customFormat="false" ht="15.75" hidden="false" customHeight="false" outlineLevel="0" collapsed="false">
      <c r="A3985" s="9"/>
      <c r="B3985" s="10"/>
      <c r="C3985" s="10"/>
      <c r="D3985" s="10"/>
      <c r="E3985" s="10"/>
      <c r="F3985" s="10"/>
      <c r="G3985" s="10"/>
      <c r="H3985" s="10"/>
      <c r="I3985" s="25" t="n">
        <v>4</v>
      </c>
      <c r="J3985" s="25"/>
      <c r="K3985" s="26"/>
      <c r="L3985" s="26"/>
      <c r="M3985" s="25"/>
      <c r="N3985" s="25"/>
      <c r="O3985" s="25"/>
      <c r="P3985" s="26"/>
      <c r="Q3985" s="26"/>
      <c r="R3985" s="25"/>
      <c r="S3985" s="25"/>
      <c r="T3985" s="25"/>
      <c r="U3985" s="27"/>
      <c r="V3985" s="21"/>
      <c r="W3985" s="16"/>
      <c r="X3985" s="16"/>
      <c r="Y3985" s="16"/>
    </row>
    <row r="3986" customFormat="false" ht="15.75" hidden="false" customHeight="false" outlineLevel="0" collapsed="false">
      <c r="A3986" s="9"/>
      <c r="B3986" s="10"/>
      <c r="C3986" s="11"/>
      <c r="D3986" s="10"/>
      <c r="E3986" s="10"/>
      <c r="F3986" s="10"/>
      <c r="G3986" s="10"/>
      <c r="H3986" s="10"/>
      <c r="I3986" s="12" t="n">
        <v>1</v>
      </c>
      <c r="J3986" s="12"/>
      <c r="K3986" s="13"/>
      <c r="L3986" s="13"/>
      <c r="M3986" s="12"/>
      <c r="N3986" s="12"/>
      <c r="O3986" s="12"/>
      <c r="P3986" s="13"/>
      <c r="Q3986" s="13"/>
      <c r="R3986" s="12"/>
      <c r="S3986" s="12"/>
      <c r="T3986" s="12"/>
      <c r="U3986" s="14"/>
      <c r="V3986" s="15"/>
      <c r="W3986" s="16" t="n">
        <f aca="false">A3986</f>
        <v>0</v>
      </c>
      <c r="X3986" s="17" t="e">
        <f aca="false">ifs(C3986="","",X3986="",NOW(),TRUE(),X3986)</f>
        <v>#VALUE!</v>
      </c>
      <c r="Y3986" s="17" t="e">
        <f aca="false">ifs(COUNTA(K3986:U3989)&lt;44,"",Y3986="",NOW(),TRUE(),Y3986)</f>
        <v>#VALUE!</v>
      </c>
    </row>
    <row r="3987" customFormat="false" ht="15.75" hidden="false" customHeight="false" outlineLevel="0" collapsed="false">
      <c r="A3987" s="9"/>
      <c r="B3987" s="10"/>
      <c r="C3987" s="10"/>
      <c r="D3987" s="10"/>
      <c r="E3987" s="10"/>
      <c r="F3987" s="10"/>
      <c r="G3987" s="10"/>
      <c r="H3987" s="10"/>
      <c r="I3987" s="18" t="n">
        <v>2</v>
      </c>
      <c r="J3987" s="18"/>
      <c r="K3987" s="19"/>
      <c r="L3987" s="19"/>
      <c r="M3987" s="18"/>
      <c r="N3987" s="18"/>
      <c r="O3987" s="18"/>
      <c r="P3987" s="19"/>
      <c r="Q3987" s="19"/>
      <c r="R3987" s="18"/>
      <c r="S3987" s="18"/>
      <c r="T3987" s="18"/>
      <c r="U3987" s="20"/>
      <c r="V3987" s="21"/>
      <c r="W3987" s="16"/>
      <c r="X3987" s="16"/>
      <c r="Y3987" s="16"/>
    </row>
    <row r="3988" customFormat="false" ht="15.75" hidden="false" customHeight="false" outlineLevel="0" collapsed="false">
      <c r="A3988" s="9"/>
      <c r="B3988" s="10"/>
      <c r="C3988" s="10"/>
      <c r="D3988" s="10"/>
      <c r="E3988" s="10"/>
      <c r="F3988" s="10"/>
      <c r="G3988" s="10"/>
      <c r="H3988" s="10"/>
      <c r="I3988" s="22" t="n">
        <v>3</v>
      </c>
      <c r="J3988" s="22"/>
      <c r="K3988" s="23"/>
      <c r="L3988" s="23"/>
      <c r="M3988" s="22"/>
      <c r="N3988" s="22"/>
      <c r="O3988" s="22"/>
      <c r="P3988" s="23"/>
      <c r="Q3988" s="23"/>
      <c r="R3988" s="22"/>
      <c r="S3988" s="22"/>
      <c r="T3988" s="22"/>
      <c r="U3988" s="24"/>
      <c r="V3988" s="15"/>
      <c r="W3988" s="16"/>
      <c r="X3988" s="16"/>
      <c r="Y3988" s="16"/>
    </row>
    <row r="3989" customFormat="false" ht="15.75" hidden="false" customHeight="false" outlineLevel="0" collapsed="false">
      <c r="A3989" s="9"/>
      <c r="B3989" s="10"/>
      <c r="C3989" s="10"/>
      <c r="D3989" s="10"/>
      <c r="E3989" s="10"/>
      <c r="F3989" s="10"/>
      <c r="G3989" s="10"/>
      <c r="H3989" s="10"/>
      <c r="I3989" s="25" t="n">
        <v>4</v>
      </c>
      <c r="J3989" s="25"/>
      <c r="K3989" s="26"/>
      <c r="L3989" s="26"/>
      <c r="M3989" s="25"/>
      <c r="N3989" s="25"/>
      <c r="O3989" s="25"/>
      <c r="P3989" s="26"/>
      <c r="Q3989" s="26"/>
      <c r="R3989" s="25"/>
      <c r="S3989" s="25"/>
      <c r="T3989" s="25"/>
      <c r="U3989" s="27"/>
      <c r="V3989" s="21"/>
      <c r="W3989" s="16"/>
      <c r="X3989" s="16"/>
      <c r="Y3989" s="16"/>
    </row>
    <row r="3990" customFormat="false" ht="15.75" hidden="false" customHeight="false" outlineLevel="0" collapsed="false">
      <c r="A3990" s="9"/>
      <c r="B3990" s="10"/>
      <c r="C3990" s="11"/>
      <c r="D3990" s="10"/>
      <c r="E3990" s="10"/>
      <c r="F3990" s="10"/>
      <c r="G3990" s="10"/>
      <c r="H3990" s="10"/>
      <c r="I3990" s="12" t="n">
        <v>1</v>
      </c>
      <c r="J3990" s="12"/>
      <c r="K3990" s="13"/>
      <c r="L3990" s="13"/>
      <c r="M3990" s="12"/>
      <c r="N3990" s="12"/>
      <c r="O3990" s="12"/>
      <c r="P3990" s="13"/>
      <c r="Q3990" s="13"/>
      <c r="R3990" s="12"/>
      <c r="S3990" s="12"/>
      <c r="T3990" s="12"/>
      <c r="U3990" s="14"/>
      <c r="V3990" s="15"/>
      <c r="W3990" s="16" t="n">
        <f aca="false">A3990</f>
        <v>0</v>
      </c>
      <c r="X3990" s="17" t="e">
        <f aca="false">ifs(C3990="","",X3990="",NOW(),TRUE(),X3990)</f>
        <v>#VALUE!</v>
      </c>
      <c r="Y3990" s="17" t="e">
        <f aca="false">ifs(COUNTA(K3990:U3993)&lt;44,"",Y3990="",NOW(),TRUE(),Y3990)</f>
        <v>#VALUE!</v>
      </c>
    </row>
    <row r="3991" customFormat="false" ht="15.75" hidden="false" customHeight="false" outlineLevel="0" collapsed="false">
      <c r="A3991" s="9"/>
      <c r="B3991" s="10"/>
      <c r="C3991" s="10"/>
      <c r="D3991" s="10"/>
      <c r="E3991" s="10"/>
      <c r="F3991" s="10"/>
      <c r="G3991" s="10"/>
      <c r="H3991" s="10"/>
      <c r="I3991" s="18" t="n">
        <v>2</v>
      </c>
      <c r="J3991" s="18"/>
      <c r="K3991" s="19"/>
      <c r="L3991" s="19"/>
      <c r="M3991" s="18"/>
      <c r="N3991" s="18"/>
      <c r="O3991" s="18"/>
      <c r="P3991" s="19"/>
      <c r="Q3991" s="19"/>
      <c r="R3991" s="18"/>
      <c r="S3991" s="18"/>
      <c r="T3991" s="18"/>
      <c r="U3991" s="20"/>
      <c r="V3991" s="21"/>
      <c r="W3991" s="16"/>
      <c r="X3991" s="16"/>
      <c r="Y3991" s="16"/>
    </row>
    <row r="3992" customFormat="false" ht="15.75" hidden="false" customHeight="false" outlineLevel="0" collapsed="false">
      <c r="A3992" s="9"/>
      <c r="B3992" s="10"/>
      <c r="C3992" s="10"/>
      <c r="D3992" s="10"/>
      <c r="E3992" s="10"/>
      <c r="F3992" s="10"/>
      <c r="G3992" s="10"/>
      <c r="H3992" s="10"/>
      <c r="I3992" s="22" t="n">
        <v>3</v>
      </c>
      <c r="J3992" s="22"/>
      <c r="K3992" s="23"/>
      <c r="L3992" s="23"/>
      <c r="M3992" s="22"/>
      <c r="N3992" s="22"/>
      <c r="O3992" s="22"/>
      <c r="P3992" s="23"/>
      <c r="Q3992" s="23"/>
      <c r="R3992" s="22"/>
      <c r="S3992" s="22"/>
      <c r="T3992" s="22"/>
      <c r="U3992" s="24"/>
      <c r="V3992" s="15"/>
      <c r="W3992" s="16"/>
      <c r="X3992" s="16"/>
      <c r="Y3992" s="16"/>
    </row>
    <row r="3993" customFormat="false" ht="15.75" hidden="false" customHeight="false" outlineLevel="0" collapsed="false">
      <c r="A3993" s="9"/>
      <c r="B3993" s="10"/>
      <c r="C3993" s="10"/>
      <c r="D3993" s="10"/>
      <c r="E3993" s="10"/>
      <c r="F3993" s="10"/>
      <c r="G3993" s="10"/>
      <c r="H3993" s="10"/>
      <c r="I3993" s="25" t="n">
        <v>4</v>
      </c>
      <c r="J3993" s="25"/>
      <c r="K3993" s="26"/>
      <c r="L3993" s="26"/>
      <c r="M3993" s="25"/>
      <c r="N3993" s="25"/>
      <c r="O3993" s="25"/>
      <c r="P3993" s="26"/>
      <c r="Q3993" s="26"/>
      <c r="R3993" s="25"/>
      <c r="S3993" s="25"/>
      <c r="T3993" s="25"/>
      <c r="U3993" s="27"/>
      <c r="V3993" s="21"/>
      <c r="W3993" s="16"/>
      <c r="X3993" s="16"/>
      <c r="Y3993" s="16"/>
    </row>
    <row r="3994" customFormat="false" ht="15.75" hidden="false" customHeight="false" outlineLevel="0" collapsed="false">
      <c r="A3994" s="9"/>
      <c r="B3994" s="10"/>
      <c r="C3994" s="11"/>
      <c r="D3994" s="10"/>
      <c r="E3994" s="10"/>
      <c r="F3994" s="10"/>
      <c r="G3994" s="10"/>
      <c r="H3994" s="10"/>
      <c r="I3994" s="12" t="n">
        <v>1</v>
      </c>
      <c r="J3994" s="12"/>
      <c r="K3994" s="13"/>
      <c r="L3994" s="13"/>
      <c r="M3994" s="12"/>
      <c r="N3994" s="12"/>
      <c r="O3994" s="12"/>
      <c r="P3994" s="13"/>
      <c r="Q3994" s="13"/>
      <c r="R3994" s="12"/>
      <c r="S3994" s="12"/>
      <c r="T3994" s="12"/>
      <c r="U3994" s="14"/>
      <c r="V3994" s="15"/>
      <c r="W3994" s="16" t="n">
        <f aca="false">A3994</f>
        <v>0</v>
      </c>
      <c r="X3994" s="17" t="e">
        <f aca="false">ifs(C3994="","",X3994="",NOW(),TRUE(),X3994)</f>
        <v>#VALUE!</v>
      </c>
      <c r="Y3994" s="17" t="e">
        <f aca="false">ifs(COUNTA(K3994:U3997)&lt;44,"",Y3994="",NOW(),TRUE(),Y3994)</f>
        <v>#VALUE!</v>
      </c>
    </row>
    <row r="3995" customFormat="false" ht="15.75" hidden="false" customHeight="false" outlineLevel="0" collapsed="false">
      <c r="A3995" s="9"/>
      <c r="B3995" s="10"/>
      <c r="C3995" s="10"/>
      <c r="D3995" s="10"/>
      <c r="E3995" s="10"/>
      <c r="F3995" s="10"/>
      <c r="G3995" s="10"/>
      <c r="H3995" s="10"/>
      <c r="I3995" s="18" t="n">
        <v>2</v>
      </c>
      <c r="J3995" s="18"/>
      <c r="K3995" s="19"/>
      <c r="L3995" s="19"/>
      <c r="M3995" s="18"/>
      <c r="N3995" s="18"/>
      <c r="O3995" s="18"/>
      <c r="P3995" s="19"/>
      <c r="Q3995" s="19"/>
      <c r="R3995" s="18"/>
      <c r="S3995" s="18"/>
      <c r="T3995" s="18"/>
      <c r="U3995" s="20"/>
      <c r="V3995" s="21"/>
      <c r="W3995" s="16"/>
      <c r="X3995" s="16"/>
      <c r="Y3995" s="16"/>
    </row>
    <row r="3996" customFormat="false" ht="15.75" hidden="false" customHeight="false" outlineLevel="0" collapsed="false">
      <c r="A3996" s="9"/>
      <c r="B3996" s="10"/>
      <c r="C3996" s="10"/>
      <c r="D3996" s="10"/>
      <c r="E3996" s="10"/>
      <c r="F3996" s="10"/>
      <c r="G3996" s="10"/>
      <c r="H3996" s="10"/>
      <c r="I3996" s="22" t="n">
        <v>3</v>
      </c>
      <c r="J3996" s="22"/>
      <c r="K3996" s="23"/>
      <c r="L3996" s="23"/>
      <c r="M3996" s="22"/>
      <c r="N3996" s="22"/>
      <c r="O3996" s="22"/>
      <c r="P3996" s="23"/>
      <c r="Q3996" s="23"/>
      <c r="R3996" s="22"/>
      <c r="S3996" s="22"/>
      <c r="T3996" s="22"/>
      <c r="U3996" s="24"/>
      <c r="V3996" s="15"/>
      <c r="W3996" s="16"/>
      <c r="X3996" s="16"/>
      <c r="Y3996" s="16"/>
    </row>
    <row r="3997" customFormat="false" ht="15.75" hidden="false" customHeight="false" outlineLevel="0" collapsed="false">
      <c r="A3997" s="9"/>
      <c r="B3997" s="10"/>
      <c r="C3997" s="10"/>
      <c r="D3997" s="10"/>
      <c r="E3997" s="10"/>
      <c r="F3997" s="10"/>
      <c r="G3997" s="10"/>
      <c r="H3997" s="10"/>
      <c r="I3997" s="25" t="n">
        <v>4</v>
      </c>
      <c r="J3997" s="25"/>
      <c r="K3997" s="26"/>
      <c r="L3997" s="26"/>
      <c r="M3997" s="25"/>
      <c r="N3997" s="25"/>
      <c r="O3997" s="25"/>
      <c r="P3997" s="26"/>
      <c r="Q3997" s="26"/>
      <c r="R3997" s="25"/>
      <c r="S3997" s="25"/>
      <c r="T3997" s="25"/>
      <c r="U3997" s="27"/>
      <c r="V3997" s="21"/>
      <c r="W3997" s="16"/>
      <c r="X3997" s="16"/>
      <c r="Y3997" s="16"/>
    </row>
    <row r="3998" customFormat="false" ht="15.75" hidden="false" customHeight="false" outlineLevel="0" collapsed="false">
      <c r="A3998" s="9"/>
      <c r="B3998" s="10"/>
      <c r="C3998" s="11"/>
      <c r="D3998" s="10"/>
      <c r="E3998" s="10"/>
      <c r="F3998" s="10"/>
      <c r="G3998" s="10"/>
      <c r="H3998" s="10"/>
      <c r="I3998" s="12" t="n">
        <v>1</v>
      </c>
      <c r="J3998" s="12"/>
      <c r="K3998" s="13"/>
      <c r="L3998" s="13"/>
      <c r="M3998" s="12"/>
      <c r="N3998" s="12"/>
      <c r="O3998" s="12"/>
      <c r="P3998" s="13"/>
      <c r="Q3998" s="13"/>
      <c r="R3998" s="12"/>
      <c r="S3998" s="12"/>
      <c r="T3998" s="12"/>
      <c r="U3998" s="14"/>
      <c r="V3998" s="15"/>
      <c r="W3998" s="16" t="n">
        <f aca="false">A3998</f>
        <v>0</v>
      </c>
      <c r="X3998" s="17" t="e">
        <f aca="false">ifs(C3998="","",X3998="",NOW(),TRUE(),X3998)</f>
        <v>#VALUE!</v>
      </c>
      <c r="Y3998" s="17" t="e">
        <f aca="false">ifs(COUNTA(K3998:U4001)&lt;44,"",Y3998="",NOW(),TRUE(),Y3998)</f>
        <v>#VALUE!</v>
      </c>
    </row>
    <row r="3999" customFormat="false" ht="15.75" hidden="false" customHeight="false" outlineLevel="0" collapsed="false">
      <c r="A3999" s="9"/>
      <c r="B3999" s="10"/>
      <c r="C3999" s="10"/>
      <c r="D3999" s="10"/>
      <c r="E3999" s="10"/>
      <c r="F3999" s="10"/>
      <c r="G3999" s="10"/>
      <c r="H3999" s="10"/>
      <c r="I3999" s="18" t="n">
        <v>2</v>
      </c>
      <c r="J3999" s="18"/>
      <c r="K3999" s="19"/>
      <c r="L3999" s="19"/>
      <c r="M3999" s="18"/>
      <c r="N3999" s="18"/>
      <c r="O3999" s="18"/>
      <c r="P3999" s="19"/>
      <c r="Q3999" s="19"/>
      <c r="R3999" s="18"/>
      <c r="S3999" s="18"/>
      <c r="T3999" s="18"/>
      <c r="U3999" s="20"/>
      <c r="V3999" s="21"/>
      <c r="W3999" s="16"/>
      <c r="X3999" s="16"/>
      <c r="Y3999" s="16"/>
    </row>
    <row r="4000" customFormat="false" ht="15.75" hidden="false" customHeight="false" outlineLevel="0" collapsed="false">
      <c r="A4000" s="9"/>
      <c r="B4000" s="10"/>
      <c r="C4000" s="10"/>
      <c r="D4000" s="10"/>
      <c r="E4000" s="10"/>
      <c r="F4000" s="10"/>
      <c r="G4000" s="10"/>
      <c r="H4000" s="10"/>
      <c r="I4000" s="22" t="n">
        <v>3</v>
      </c>
      <c r="J4000" s="22"/>
      <c r="K4000" s="23"/>
      <c r="L4000" s="23"/>
      <c r="M4000" s="22"/>
      <c r="N4000" s="22"/>
      <c r="O4000" s="22"/>
      <c r="P4000" s="23"/>
      <c r="Q4000" s="23"/>
      <c r="R4000" s="22"/>
      <c r="S4000" s="22"/>
      <c r="T4000" s="22"/>
      <c r="U4000" s="24"/>
      <c r="V4000" s="15"/>
      <c r="W4000" s="16"/>
      <c r="X4000" s="16"/>
      <c r="Y4000" s="16"/>
    </row>
    <row r="4001" customFormat="false" ht="15.75" hidden="false" customHeight="false" outlineLevel="0" collapsed="false">
      <c r="A4001" s="9"/>
      <c r="B4001" s="10"/>
      <c r="C4001" s="10"/>
      <c r="D4001" s="10"/>
      <c r="E4001" s="10"/>
      <c r="F4001" s="10"/>
      <c r="G4001" s="10"/>
      <c r="H4001" s="10"/>
      <c r="I4001" s="25" t="n">
        <v>4</v>
      </c>
      <c r="J4001" s="25"/>
      <c r="K4001" s="26"/>
      <c r="L4001" s="26"/>
      <c r="M4001" s="25"/>
      <c r="N4001" s="25"/>
      <c r="O4001" s="25"/>
      <c r="P4001" s="26"/>
      <c r="Q4001" s="26"/>
      <c r="R4001" s="25"/>
      <c r="S4001" s="25"/>
      <c r="T4001" s="25"/>
      <c r="U4001" s="27"/>
      <c r="V4001" s="21"/>
      <c r="W4001" s="16"/>
      <c r="X4001" s="16"/>
      <c r="Y4001" s="16"/>
    </row>
    <row r="4002" customFormat="false" ht="15.75" hidden="false" customHeight="false" outlineLevel="0" collapsed="false">
      <c r="A4002" s="9"/>
      <c r="B4002" s="10"/>
      <c r="C4002" s="11"/>
      <c r="D4002" s="10"/>
      <c r="E4002" s="10"/>
      <c r="F4002" s="10"/>
      <c r="G4002" s="10"/>
      <c r="H4002" s="10"/>
      <c r="I4002" s="12" t="n">
        <v>1</v>
      </c>
      <c r="J4002" s="12"/>
      <c r="K4002" s="13"/>
      <c r="L4002" s="13"/>
      <c r="M4002" s="12"/>
      <c r="N4002" s="12"/>
      <c r="O4002" s="12"/>
      <c r="P4002" s="13"/>
      <c r="Q4002" s="13"/>
      <c r="R4002" s="12"/>
      <c r="S4002" s="12"/>
      <c r="T4002" s="12"/>
      <c r="U4002" s="14"/>
      <c r="V4002" s="15"/>
      <c r="W4002" s="16" t="n">
        <f aca="false">A4002</f>
        <v>0</v>
      </c>
      <c r="X4002" s="17" t="e">
        <f aca="false">ifs(C4002="","",X4002="",NOW(),TRUE(),X4002)</f>
        <v>#VALUE!</v>
      </c>
      <c r="Y4002" s="17" t="e">
        <f aca="false">ifs(COUNTA(K4002:U4005)&lt;44,"",Y4002="",NOW(),TRUE(),Y4002)</f>
        <v>#VALUE!</v>
      </c>
    </row>
    <row r="4003" customFormat="false" ht="15.75" hidden="false" customHeight="false" outlineLevel="0" collapsed="false">
      <c r="A4003" s="9"/>
      <c r="B4003" s="10"/>
      <c r="C4003" s="10"/>
      <c r="D4003" s="10"/>
      <c r="E4003" s="10"/>
      <c r="F4003" s="10"/>
      <c r="G4003" s="10"/>
      <c r="H4003" s="10"/>
      <c r="I4003" s="18" t="n">
        <v>2</v>
      </c>
      <c r="J4003" s="18"/>
      <c r="K4003" s="19"/>
      <c r="L4003" s="19"/>
      <c r="M4003" s="18"/>
      <c r="N4003" s="18"/>
      <c r="O4003" s="18"/>
      <c r="P4003" s="19"/>
      <c r="Q4003" s="19"/>
      <c r="R4003" s="18"/>
      <c r="S4003" s="18"/>
      <c r="T4003" s="18"/>
      <c r="U4003" s="20"/>
      <c r="V4003" s="21"/>
      <c r="W4003" s="16"/>
      <c r="X4003" s="16"/>
      <c r="Y4003" s="16"/>
    </row>
    <row r="4004" customFormat="false" ht="15.75" hidden="false" customHeight="false" outlineLevel="0" collapsed="false">
      <c r="A4004" s="9"/>
      <c r="B4004" s="10"/>
      <c r="C4004" s="10"/>
      <c r="D4004" s="10"/>
      <c r="E4004" s="10"/>
      <c r="F4004" s="10"/>
      <c r="G4004" s="10"/>
      <c r="H4004" s="10"/>
      <c r="I4004" s="22" t="n">
        <v>3</v>
      </c>
      <c r="J4004" s="22"/>
      <c r="K4004" s="23"/>
      <c r="L4004" s="23"/>
      <c r="M4004" s="22"/>
      <c r="N4004" s="22"/>
      <c r="O4004" s="22"/>
      <c r="P4004" s="23"/>
      <c r="Q4004" s="23"/>
      <c r="R4004" s="22"/>
      <c r="S4004" s="22"/>
      <c r="T4004" s="22"/>
      <c r="U4004" s="24"/>
      <c r="V4004" s="15"/>
      <c r="W4004" s="16"/>
      <c r="X4004" s="16"/>
      <c r="Y4004" s="16"/>
    </row>
    <row r="4005" customFormat="false" ht="15.75" hidden="false" customHeight="false" outlineLevel="0" collapsed="false">
      <c r="A4005" s="9"/>
      <c r="B4005" s="10"/>
      <c r="C4005" s="10"/>
      <c r="D4005" s="10"/>
      <c r="E4005" s="10"/>
      <c r="F4005" s="10"/>
      <c r="G4005" s="10"/>
      <c r="H4005" s="10"/>
      <c r="I4005" s="25" t="n">
        <v>4</v>
      </c>
      <c r="J4005" s="25"/>
      <c r="K4005" s="26"/>
      <c r="L4005" s="26"/>
      <c r="M4005" s="25"/>
      <c r="N4005" s="25"/>
      <c r="O4005" s="25"/>
      <c r="P4005" s="26"/>
      <c r="Q4005" s="26"/>
      <c r="R4005" s="25"/>
      <c r="S4005" s="25"/>
      <c r="T4005" s="25"/>
      <c r="U4005" s="27"/>
      <c r="V4005" s="21"/>
      <c r="W4005" s="16"/>
      <c r="X4005" s="16"/>
      <c r="Y4005" s="16"/>
    </row>
    <row r="4006" customFormat="false" ht="15.75" hidden="false" customHeight="false" outlineLevel="0" collapsed="false">
      <c r="A4006" s="9"/>
      <c r="B4006" s="10"/>
      <c r="C4006" s="11"/>
      <c r="D4006" s="10"/>
      <c r="E4006" s="10"/>
      <c r="F4006" s="10"/>
      <c r="G4006" s="10"/>
      <c r="H4006" s="10"/>
      <c r="I4006" s="12" t="n">
        <v>1</v>
      </c>
      <c r="J4006" s="12"/>
      <c r="K4006" s="13"/>
      <c r="L4006" s="13"/>
      <c r="M4006" s="12"/>
      <c r="N4006" s="12"/>
      <c r="O4006" s="12"/>
      <c r="P4006" s="13"/>
      <c r="Q4006" s="13"/>
      <c r="R4006" s="12"/>
      <c r="S4006" s="12"/>
      <c r="T4006" s="12"/>
      <c r="U4006" s="14"/>
      <c r="V4006" s="15"/>
      <c r="W4006" s="16" t="n">
        <f aca="false">A4006</f>
        <v>0</v>
      </c>
      <c r="X4006" s="17" t="e">
        <f aca="false">ifs(C4006="","",X4006="",NOW(),TRUE(),X4006)</f>
        <v>#VALUE!</v>
      </c>
      <c r="Y4006" s="17" t="e">
        <f aca="false">ifs(COUNTA(K4006:U4009)&lt;44,"",Y4006="",NOW(),TRUE(),Y4006)</f>
        <v>#VALUE!</v>
      </c>
    </row>
    <row r="4007" customFormat="false" ht="15.75" hidden="false" customHeight="false" outlineLevel="0" collapsed="false">
      <c r="A4007" s="9"/>
      <c r="B4007" s="10"/>
      <c r="C4007" s="10"/>
      <c r="D4007" s="10"/>
      <c r="E4007" s="10"/>
      <c r="F4007" s="10"/>
      <c r="G4007" s="10"/>
      <c r="H4007" s="10"/>
      <c r="I4007" s="18" t="n">
        <v>2</v>
      </c>
      <c r="J4007" s="18"/>
      <c r="K4007" s="19"/>
      <c r="L4007" s="19"/>
      <c r="M4007" s="18"/>
      <c r="N4007" s="18"/>
      <c r="O4007" s="18"/>
      <c r="P4007" s="19"/>
      <c r="Q4007" s="19"/>
      <c r="R4007" s="18"/>
      <c r="S4007" s="18"/>
      <c r="T4007" s="18"/>
      <c r="U4007" s="20"/>
      <c r="V4007" s="21"/>
      <c r="W4007" s="16"/>
      <c r="X4007" s="16"/>
      <c r="Y4007" s="16"/>
    </row>
    <row r="4008" customFormat="false" ht="15.75" hidden="false" customHeight="false" outlineLevel="0" collapsed="false">
      <c r="A4008" s="9"/>
      <c r="B4008" s="10"/>
      <c r="C4008" s="10"/>
      <c r="D4008" s="10"/>
      <c r="E4008" s="10"/>
      <c r="F4008" s="10"/>
      <c r="G4008" s="10"/>
      <c r="H4008" s="10"/>
      <c r="I4008" s="22" t="n">
        <v>3</v>
      </c>
      <c r="J4008" s="22"/>
      <c r="K4008" s="23"/>
      <c r="L4008" s="23"/>
      <c r="M4008" s="22"/>
      <c r="N4008" s="22"/>
      <c r="O4008" s="22"/>
      <c r="P4008" s="23"/>
      <c r="Q4008" s="23"/>
      <c r="R4008" s="22"/>
      <c r="S4008" s="22"/>
      <c r="T4008" s="22"/>
      <c r="U4008" s="24"/>
      <c r="V4008" s="15"/>
      <c r="W4008" s="16"/>
      <c r="X4008" s="16"/>
      <c r="Y4008" s="16"/>
    </row>
    <row r="4009" customFormat="false" ht="15.75" hidden="false" customHeight="false" outlineLevel="0" collapsed="false">
      <c r="A4009" s="9"/>
      <c r="B4009" s="10"/>
      <c r="C4009" s="10"/>
      <c r="D4009" s="10"/>
      <c r="E4009" s="10"/>
      <c r="F4009" s="10"/>
      <c r="G4009" s="10"/>
      <c r="H4009" s="10"/>
      <c r="I4009" s="25" t="n">
        <v>4</v>
      </c>
      <c r="J4009" s="25"/>
      <c r="K4009" s="26"/>
      <c r="L4009" s="26"/>
      <c r="M4009" s="25"/>
      <c r="N4009" s="25"/>
      <c r="O4009" s="25"/>
      <c r="P4009" s="26"/>
      <c r="Q4009" s="26"/>
      <c r="R4009" s="25"/>
      <c r="S4009" s="25"/>
      <c r="T4009" s="25"/>
      <c r="U4009" s="27"/>
      <c r="V4009" s="21"/>
      <c r="W4009" s="16"/>
      <c r="X4009" s="16"/>
      <c r="Y4009" s="16"/>
    </row>
    <row r="4010" customFormat="false" ht="15.75" hidden="false" customHeight="false" outlineLevel="0" collapsed="false">
      <c r="A4010" s="9"/>
      <c r="B4010" s="10"/>
      <c r="C4010" s="11"/>
      <c r="D4010" s="10"/>
      <c r="E4010" s="10"/>
      <c r="F4010" s="10"/>
      <c r="G4010" s="10"/>
      <c r="H4010" s="10"/>
      <c r="I4010" s="12" t="n">
        <v>1</v>
      </c>
      <c r="J4010" s="12"/>
      <c r="K4010" s="13"/>
      <c r="L4010" s="13"/>
      <c r="M4010" s="12"/>
      <c r="N4010" s="12"/>
      <c r="O4010" s="12"/>
      <c r="P4010" s="13"/>
      <c r="Q4010" s="13"/>
      <c r="R4010" s="12"/>
      <c r="S4010" s="12"/>
      <c r="T4010" s="12"/>
      <c r="U4010" s="14"/>
      <c r="V4010" s="15"/>
      <c r="W4010" s="16" t="n">
        <f aca="false">A4010</f>
        <v>0</v>
      </c>
      <c r="X4010" s="17" t="e">
        <f aca="false">ifs(C4010="","",X4010="",NOW(),TRUE(),X4010)</f>
        <v>#VALUE!</v>
      </c>
      <c r="Y4010" s="17" t="e">
        <f aca="false">ifs(COUNTA(K4010:U4013)&lt;44,"",Y4010="",NOW(),TRUE(),Y4010)</f>
        <v>#VALUE!</v>
      </c>
    </row>
    <row r="4011" customFormat="false" ht="15.75" hidden="false" customHeight="false" outlineLevel="0" collapsed="false">
      <c r="A4011" s="9"/>
      <c r="B4011" s="10"/>
      <c r="C4011" s="10"/>
      <c r="D4011" s="10"/>
      <c r="E4011" s="10"/>
      <c r="F4011" s="10"/>
      <c r="G4011" s="10"/>
      <c r="H4011" s="10"/>
      <c r="I4011" s="18" t="n">
        <v>2</v>
      </c>
      <c r="J4011" s="18"/>
      <c r="K4011" s="19"/>
      <c r="L4011" s="19"/>
      <c r="M4011" s="18"/>
      <c r="N4011" s="18"/>
      <c r="O4011" s="18"/>
      <c r="P4011" s="19"/>
      <c r="Q4011" s="19"/>
      <c r="R4011" s="18"/>
      <c r="S4011" s="18"/>
      <c r="T4011" s="18"/>
      <c r="U4011" s="20"/>
      <c r="V4011" s="21"/>
      <c r="W4011" s="16"/>
      <c r="X4011" s="16"/>
      <c r="Y4011" s="16"/>
    </row>
    <row r="4012" customFormat="false" ht="15.75" hidden="false" customHeight="false" outlineLevel="0" collapsed="false">
      <c r="A4012" s="9"/>
      <c r="B4012" s="10"/>
      <c r="C4012" s="10"/>
      <c r="D4012" s="10"/>
      <c r="E4012" s="10"/>
      <c r="F4012" s="10"/>
      <c r="G4012" s="10"/>
      <c r="H4012" s="10"/>
      <c r="I4012" s="22" t="n">
        <v>3</v>
      </c>
      <c r="J4012" s="22"/>
      <c r="K4012" s="23"/>
      <c r="L4012" s="23"/>
      <c r="M4012" s="22"/>
      <c r="N4012" s="22"/>
      <c r="O4012" s="22"/>
      <c r="P4012" s="23"/>
      <c r="Q4012" s="23"/>
      <c r="R4012" s="22"/>
      <c r="S4012" s="22"/>
      <c r="T4012" s="22"/>
      <c r="U4012" s="24"/>
      <c r="V4012" s="15"/>
      <c r="W4012" s="16"/>
      <c r="X4012" s="16"/>
      <c r="Y4012" s="16"/>
    </row>
    <row r="4013" customFormat="false" ht="15.75" hidden="false" customHeight="false" outlineLevel="0" collapsed="false">
      <c r="A4013" s="9"/>
      <c r="B4013" s="10"/>
      <c r="C4013" s="10"/>
      <c r="D4013" s="10"/>
      <c r="E4013" s="10"/>
      <c r="F4013" s="10"/>
      <c r="G4013" s="10"/>
      <c r="H4013" s="10"/>
      <c r="I4013" s="25" t="n">
        <v>4</v>
      </c>
      <c r="J4013" s="25"/>
      <c r="K4013" s="26"/>
      <c r="L4013" s="26"/>
      <c r="M4013" s="25"/>
      <c r="N4013" s="25"/>
      <c r="O4013" s="25"/>
      <c r="P4013" s="26"/>
      <c r="Q4013" s="26"/>
      <c r="R4013" s="25"/>
      <c r="S4013" s="25"/>
      <c r="T4013" s="25"/>
      <c r="U4013" s="27"/>
      <c r="V4013" s="21"/>
      <c r="W4013" s="16"/>
      <c r="X4013" s="16"/>
      <c r="Y4013" s="16"/>
    </row>
    <row r="4014" customFormat="false" ht="15.75" hidden="false" customHeight="false" outlineLevel="0" collapsed="false">
      <c r="A4014" s="9"/>
      <c r="B4014" s="10"/>
      <c r="C4014" s="11"/>
      <c r="D4014" s="10"/>
      <c r="E4014" s="10"/>
      <c r="F4014" s="10"/>
      <c r="G4014" s="10"/>
      <c r="H4014" s="10"/>
      <c r="I4014" s="12" t="n">
        <v>1</v>
      </c>
      <c r="J4014" s="12"/>
      <c r="K4014" s="13"/>
      <c r="L4014" s="13"/>
      <c r="M4014" s="12"/>
      <c r="N4014" s="12"/>
      <c r="O4014" s="12"/>
      <c r="P4014" s="13"/>
      <c r="Q4014" s="13"/>
      <c r="R4014" s="12"/>
      <c r="S4014" s="12"/>
      <c r="T4014" s="12"/>
      <c r="U4014" s="14"/>
      <c r="V4014" s="15"/>
      <c r="W4014" s="16" t="n">
        <f aca="false">A4014</f>
        <v>0</v>
      </c>
      <c r="X4014" s="17" t="e">
        <f aca="false">ifs(C4014="","",X4014="",NOW(),TRUE(),X4014)</f>
        <v>#VALUE!</v>
      </c>
      <c r="Y4014" s="17" t="e">
        <f aca="false">ifs(COUNTA(K4014:U4017)&lt;44,"",Y4014="",NOW(),TRUE(),Y4014)</f>
        <v>#VALUE!</v>
      </c>
    </row>
    <row r="4015" customFormat="false" ht="15.75" hidden="false" customHeight="false" outlineLevel="0" collapsed="false">
      <c r="A4015" s="9"/>
      <c r="B4015" s="10"/>
      <c r="C4015" s="10"/>
      <c r="D4015" s="10"/>
      <c r="E4015" s="10"/>
      <c r="F4015" s="10"/>
      <c r="G4015" s="10"/>
      <c r="H4015" s="10"/>
      <c r="I4015" s="18" t="n">
        <v>2</v>
      </c>
      <c r="J4015" s="18"/>
      <c r="K4015" s="19"/>
      <c r="L4015" s="19"/>
      <c r="M4015" s="18"/>
      <c r="N4015" s="18"/>
      <c r="O4015" s="18"/>
      <c r="P4015" s="19"/>
      <c r="Q4015" s="19"/>
      <c r="R4015" s="18"/>
      <c r="S4015" s="18"/>
      <c r="T4015" s="18"/>
      <c r="U4015" s="20"/>
      <c r="V4015" s="21"/>
      <c r="W4015" s="16"/>
      <c r="X4015" s="16"/>
      <c r="Y4015" s="16"/>
    </row>
    <row r="4016" customFormat="false" ht="15.75" hidden="false" customHeight="false" outlineLevel="0" collapsed="false">
      <c r="A4016" s="9"/>
      <c r="B4016" s="10"/>
      <c r="C4016" s="10"/>
      <c r="D4016" s="10"/>
      <c r="E4016" s="10"/>
      <c r="F4016" s="10"/>
      <c r="G4016" s="10"/>
      <c r="H4016" s="10"/>
      <c r="I4016" s="22" t="n">
        <v>3</v>
      </c>
      <c r="J4016" s="22"/>
      <c r="K4016" s="23"/>
      <c r="L4016" s="23"/>
      <c r="M4016" s="22"/>
      <c r="N4016" s="22"/>
      <c r="O4016" s="22"/>
      <c r="P4016" s="23"/>
      <c r="Q4016" s="23"/>
      <c r="R4016" s="22"/>
      <c r="S4016" s="22"/>
      <c r="T4016" s="22"/>
      <c r="U4016" s="24"/>
      <c r="V4016" s="15"/>
      <c r="W4016" s="16"/>
      <c r="X4016" s="16"/>
      <c r="Y4016" s="16"/>
    </row>
    <row r="4017" customFormat="false" ht="15.75" hidden="false" customHeight="false" outlineLevel="0" collapsed="false">
      <c r="A4017" s="9"/>
      <c r="B4017" s="10"/>
      <c r="C4017" s="10"/>
      <c r="D4017" s="10"/>
      <c r="E4017" s="10"/>
      <c r="F4017" s="10"/>
      <c r="G4017" s="10"/>
      <c r="H4017" s="10"/>
      <c r="I4017" s="25" t="n">
        <v>4</v>
      </c>
      <c r="J4017" s="25"/>
      <c r="K4017" s="26"/>
      <c r="L4017" s="26"/>
      <c r="M4017" s="25"/>
      <c r="N4017" s="25"/>
      <c r="O4017" s="25"/>
      <c r="P4017" s="26"/>
      <c r="Q4017" s="26"/>
      <c r="R4017" s="25"/>
      <c r="S4017" s="25"/>
      <c r="T4017" s="25"/>
      <c r="U4017" s="27"/>
      <c r="V4017" s="21"/>
      <c r="W4017" s="16"/>
      <c r="X4017" s="16"/>
      <c r="Y4017" s="16"/>
    </row>
    <row r="4018" customFormat="false" ht="15.75" hidden="false" customHeight="false" outlineLevel="0" collapsed="false">
      <c r="A4018" s="9"/>
      <c r="B4018" s="10"/>
      <c r="C4018" s="11"/>
      <c r="D4018" s="10"/>
      <c r="E4018" s="10"/>
      <c r="F4018" s="10"/>
      <c r="G4018" s="10"/>
      <c r="H4018" s="10"/>
      <c r="I4018" s="12" t="n">
        <v>1</v>
      </c>
      <c r="J4018" s="12"/>
      <c r="K4018" s="13"/>
      <c r="L4018" s="13"/>
      <c r="M4018" s="12"/>
      <c r="N4018" s="12"/>
      <c r="O4018" s="12"/>
      <c r="P4018" s="13"/>
      <c r="Q4018" s="13"/>
      <c r="R4018" s="12"/>
      <c r="S4018" s="12"/>
      <c r="T4018" s="12"/>
      <c r="U4018" s="14"/>
      <c r="V4018" s="15"/>
      <c r="W4018" s="16" t="n">
        <f aca="false">A4018</f>
        <v>0</v>
      </c>
      <c r="X4018" s="17" t="e">
        <f aca="false">ifs(C4018="","",X4018="",NOW(),TRUE(),X4018)</f>
        <v>#VALUE!</v>
      </c>
      <c r="Y4018" s="17" t="e">
        <f aca="false">ifs(COUNTA(K4018:U4021)&lt;44,"",Y4018="",NOW(),TRUE(),Y4018)</f>
        <v>#VALUE!</v>
      </c>
    </row>
    <row r="4019" customFormat="false" ht="15.75" hidden="false" customHeight="false" outlineLevel="0" collapsed="false">
      <c r="A4019" s="9"/>
      <c r="B4019" s="10"/>
      <c r="C4019" s="10"/>
      <c r="D4019" s="10"/>
      <c r="E4019" s="10"/>
      <c r="F4019" s="10"/>
      <c r="G4019" s="10"/>
      <c r="H4019" s="10"/>
      <c r="I4019" s="18" t="n">
        <v>2</v>
      </c>
      <c r="J4019" s="18"/>
      <c r="K4019" s="19"/>
      <c r="L4019" s="19"/>
      <c r="M4019" s="18"/>
      <c r="N4019" s="18"/>
      <c r="O4019" s="18"/>
      <c r="P4019" s="19"/>
      <c r="Q4019" s="19"/>
      <c r="R4019" s="18"/>
      <c r="S4019" s="18"/>
      <c r="T4019" s="18"/>
      <c r="U4019" s="20"/>
      <c r="V4019" s="21"/>
      <c r="W4019" s="16"/>
      <c r="X4019" s="16"/>
      <c r="Y4019" s="16"/>
    </row>
    <row r="4020" customFormat="false" ht="15.75" hidden="false" customHeight="false" outlineLevel="0" collapsed="false">
      <c r="A4020" s="9"/>
      <c r="B4020" s="10"/>
      <c r="C4020" s="10"/>
      <c r="D4020" s="10"/>
      <c r="E4020" s="10"/>
      <c r="F4020" s="10"/>
      <c r="G4020" s="10"/>
      <c r="H4020" s="10"/>
      <c r="I4020" s="22" t="n">
        <v>3</v>
      </c>
      <c r="J4020" s="22"/>
      <c r="K4020" s="23"/>
      <c r="L4020" s="23"/>
      <c r="M4020" s="22"/>
      <c r="N4020" s="22"/>
      <c r="O4020" s="22"/>
      <c r="P4020" s="23"/>
      <c r="Q4020" s="23"/>
      <c r="R4020" s="22"/>
      <c r="S4020" s="22"/>
      <c r="T4020" s="22"/>
      <c r="U4020" s="24"/>
      <c r="V4020" s="15"/>
      <c r="W4020" s="16"/>
      <c r="X4020" s="16"/>
      <c r="Y4020" s="16"/>
    </row>
    <row r="4021" customFormat="false" ht="15.75" hidden="false" customHeight="false" outlineLevel="0" collapsed="false">
      <c r="A4021" s="9"/>
      <c r="B4021" s="10"/>
      <c r="C4021" s="10"/>
      <c r="D4021" s="10"/>
      <c r="E4021" s="10"/>
      <c r="F4021" s="10"/>
      <c r="G4021" s="10"/>
      <c r="H4021" s="10"/>
      <c r="I4021" s="25" t="n">
        <v>4</v>
      </c>
      <c r="J4021" s="25"/>
      <c r="K4021" s="26"/>
      <c r="L4021" s="26"/>
      <c r="M4021" s="25"/>
      <c r="N4021" s="25"/>
      <c r="O4021" s="25"/>
      <c r="P4021" s="26"/>
      <c r="Q4021" s="26"/>
      <c r="R4021" s="25"/>
      <c r="S4021" s="25"/>
      <c r="T4021" s="25"/>
      <c r="U4021" s="27"/>
      <c r="V4021" s="21"/>
      <c r="W4021" s="16"/>
      <c r="X4021" s="16"/>
      <c r="Y4021" s="16"/>
    </row>
    <row r="4022" customFormat="false" ht="15.75" hidden="false" customHeight="false" outlineLevel="0" collapsed="false">
      <c r="A4022" s="9"/>
      <c r="B4022" s="10"/>
      <c r="C4022" s="11"/>
      <c r="D4022" s="10"/>
      <c r="E4022" s="10"/>
      <c r="F4022" s="10"/>
      <c r="G4022" s="10"/>
      <c r="H4022" s="10"/>
      <c r="I4022" s="12" t="n">
        <v>1</v>
      </c>
      <c r="J4022" s="12"/>
      <c r="K4022" s="13"/>
      <c r="L4022" s="13"/>
      <c r="M4022" s="12"/>
      <c r="N4022" s="12"/>
      <c r="O4022" s="12"/>
      <c r="P4022" s="13"/>
      <c r="Q4022" s="13"/>
      <c r="R4022" s="12"/>
      <c r="S4022" s="12"/>
      <c r="T4022" s="12"/>
      <c r="U4022" s="14"/>
      <c r="V4022" s="15"/>
      <c r="W4022" s="16" t="n">
        <f aca="false">A4022</f>
        <v>0</v>
      </c>
      <c r="X4022" s="17" t="e">
        <f aca="false">ifs(C4022="","",X4022="",NOW(),TRUE(),X4022)</f>
        <v>#VALUE!</v>
      </c>
      <c r="Y4022" s="17" t="e">
        <f aca="false">ifs(COUNTA(K4022:U4025)&lt;44,"",Y4022="",NOW(),TRUE(),Y4022)</f>
        <v>#VALUE!</v>
      </c>
    </row>
    <row r="4023" customFormat="false" ht="15.75" hidden="false" customHeight="false" outlineLevel="0" collapsed="false">
      <c r="A4023" s="9"/>
      <c r="B4023" s="10"/>
      <c r="C4023" s="10"/>
      <c r="D4023" s="10"/>
      <c r="E4023" s="10"/>
      <c r="F4023" s="10"/>
      <c r="G4023" s="10"/>
      <c r="H4023" s="10"/>
      <c r="I4023" s="18" t="n">
        <v>2</v>
      </c>
      <c r="J4023" s="18"/>
      <c r="K4023" s="19"/>
      <c r="L4023" s="19"/>
      <c r="M4023" s="18"/>
      <c r="N4023" s="18"/>
      <c r="O4023" s="18"/>
      <c r="P4023" s="19"/>
      <c r="Q4023" s="19"/>
      <c r="R4023" s="18"/>
      <c r="S4023" s="18"/>
      <c r="T4023" s="18"/>
      <c r="U4023" s="20"/>
      <c r="V4023" s="21"/>
      <c r="W4023" s="16"/>
      <c r="X4023" s="16"/>
      <c r="Y4023" s="16"/>
    </row>
    <row r="4024" customFormat="false" ht="15.75" hidden="false" customHeight="false" outlineLevel="0" collapsed="false">
      <c r="A4024" s="9"/>
      <c r="B4024" s="10"/>
      <c r="C4024" s="10"/>
      <c r="D4024" s="10"/>
      <c r="E4024" s="10"/>
      <c r="F4024" s="10"/>
      <c r="G4024" s="10"/>
      <c r="H4024" s="10"/>
      <c r="I4024" s="22" t="n">
        <v>3</v>
      </c>
      <c r="J4024" s="22"/>
      <c r="K4024" s="23"/>
      <c r="L4024" s="23"/>
      <c r="M4024" s="22"/>
      <c r="N4024" s="22"/>
      <c r="O4024" s="22"/>
      <c r="P4024" s="23"/>
      <c r="Q4024" s="23"/>
      <c r="R4024" s="22"/>
      <c r="S4024" s="22"/>
      <c r="T4024" s="22"/>
      <c r="U4024" s="24"/>
      <c r="V4024" s="15"/>
      <c r="W4024" s="16"/>
      <c r="X4024" s="16"/>
      <c r="Y4024" s="16"/>
    </row>
    <row r="4025" customFormat="false" ht="15.75" hidden="false" customHeight="false" outlineLevel="0" collapsed="false">
      <c r="A4025" s="9"/>
      <c r="B4025" s="10"/>
      <c r="C4025" s="10"/>
      <c r="D4025" s="10"/>
      <c r="E4025" s="10"/>
      <c r="F4025" s="10"/>
      <c r="G4025" s="10"/>
      <c r="H4025" s="10"/>
      <c r="I4025" s="25" t="n">
        <v>4</v>
      </c>
      <c r="J4025" s="25"/>
      <c r="K4025" s="26"/>
      <c r="L4025" s="26"/>
      <c r="M4025" s="25"/>
      <c r="N4025" s="25"/>
      <c r="O4025" s="25"/>
      <c r="P4025" s="26"/>
      <c r="Q4025" s="26"/>
      <c r="R4025" s="25"/>
      <c r="S4025" s="25"/>
      <c r="T4025" s="25"/>
      <c r="U4025" s="27"/>
      <c r="V4025" s="21"/>
      <c r="W4025" s="16"/>
      <c r="X4025" s="16"/>
      <c r="Y4025" s="16"/>
    </row>
    <row r="4026" customFormat="false" ht="15.75" hidden="false" customHeight="false" outlineLevel="0" collapsed="false">
      <c r="A4026" s="9"/>
      <c r="B4026" s="10"/>
      <c r="C4026" s="11"/>
      <c r="D4026" s="10"/>
      <c r="E4026" s="10"/>
      <c r="F4026" s="10"/>
      <c r="G4026" s="10"/>
      <c r="H4026" s="10"/>
      <c r="I4026" s="12" t="n">
        <v>1</v>
      </c>
      <c r="J4026" s="12"/>
      <c r="K4026" s="13"/>
      <c r="L4026" s="13"/>
      <c r="M4026" s="12"/>
      <c r="N4026" s="12"/>
      <c r="O4026" s="12"/>
      <c r="P4026" s="13"/>
      <c r="Q4026" s="13"/>
      <c r="R4026" s="12"/>
      <c r="S4026" s="12"/>
      <c r="T4026" s="12"/>
      <c r="U4026" s="14"/>
      <c r="V4026" s="15"/>
      <c r="W4026" s="16" t="n">
        <f aca="false">A4026</f>
        <v>0</v>
      </c>
      <c r="X4026" s="17" t="e">
        <f aca="false">ifs(C4026="","",X4026="",NOW(),TRUE(),X4026)</f>
        <v>#VALUE!</v>
      </c>
      <c r="Y4026" s="17" t="e">
        <f aca="false">ifs(COUNTA(K4026:U4029)&lt;44,"",Y4026="",NOW(),TRUE(),Y4026)</f>
        <v>#VALUE!</v>
      </c>
    </row>
    <row r="4027" customFormat="false" ht="15.75" hidden="false" customHeight="false" outlineLevel="0" collapsed="false">
      <c r="A4027" s="9"/>
      <c r="B4027" s="10"/>
      <c r="C4027" s="10"/>
      <c r="D4027" s="10"/>
      <c r="E4027" s="10"/>
      <c r="F4027" s="10"/>
      <c r="G4027" s="10"/>
      <c r="H4027" s="10"/>
      <c r="I4027" s="18" t="n">
        <v>2</v>
      </c>
      <c r="J4027" s="18"/>
      <c r="K4027" s="19"/>
      <c r="L4027" s="19"/>
      <c r="M4027" s="18"/>
      <c r="N4027" s="18"/>
      <c r="O4027" s="18"/>
      <c r="P4027" s="19"/>
      <c r="Q4027" s="19"/>
      <c r="R4027" s="18"/>
      <c r="S4027" s="18"/>
      <c r="T4027" s="18"/>
      <c r="U4027" s="20"/>
      <c r="V4027" s="21"/>
      <c r="W4027" s="16"/>
      <c r="X4027" s="16"/>
      <c r="Y4027" s="16"/>
    </row>
    <row r="4028" customFormat="false" ht="15.75" hidden="false" customHeight="false" outlineLevel="0" collapsed="false">
      <c r="A4028" s="9"/>
      <c r="B4028" s="10"/>
      <c r="C4028" s="10"/>
      <c r="D4028" s="10"/>
      <c r="E4028" s="10"/>
      <c r="F4028" s="10"/>
      <c r="G4028" s="10"/>
      <c r="H4028" s="10"/>
      <c r="I4028" s="22" t="n">
        <v>3</v>
      </c>
      <c r="J4028" s="22"/>
      <c r="K4028" s="23"/>
      <c r="L4028" s="23"/>
      <c r="M4028" s="22"/>
      <c r="N4028" s="22"/>
      <c r="O4028" s="22"/>
      <c r="P4028" s="23"/>
      <c r="Q4028" s="23"/>
      <c r="R4028" s="22"/>
      <c r="S4028" s="22"/>
      <c r="T4028" s="22"/>
      <c r="U4028" s="24"/>
      <c r="V4028" s="15"/>
      <c r="W4028" s="16"/>
      <c r="X4028" s="16"/>
      <c r="Y4028" s="16"/>
    </row>
    <row r="4029" customFormat="false" ht="15.75" hidden="false" customHeight="false" outlineLevel="0" collapsed="false">
      <c r="A4029" s="9"/>
      <c r="B4029" s="10"/>
      <c r="C4029" s="10"/>
      <c r="D4029" s="10"/>
      <c r="E4029" s="10"/>
      <c r="F4029" s="10"/>
      <c r="G4029" s="10"/>
      <c r="H4029" s="10"/>
      <c r="I4029" s="25" t="n">
        <v>4</v>
      </c>
      <c r="J4029" s="25"/>
      <c r="K4029" s="26"/>
      <c r="L4029" s="26"/>
      <c r="M4029" s="25"/>
      <c r="N4029" s="25"/>
      <c r="O4029" s="25"/>
      <c r="P4029" s="26"/>
      <c r="Q4029" s="26"/>
      <c r="R4029" s="25"/>
      <c r="S4029" s="25"/>
      <c r="T4029" s="25"/>
      <c r="U4029" s="27"/>
      <c r="V4029" s="21"/>
      <c r="W4029" s="16"/>
      <c r="X4029" s="16"/>
      <c r="Y4029" s="16"/>
    </row>
    <row r="4030" customFormat="false" ht="15.75" hidden="false" customHeight="false" outlineLevel="0" collapsed="false">
      <c r="A4030" s="9"/>
      <c r="B4030" s="10"/>
      <c r="C4030" s="11"/>
      <c r="D4030" s="10"/>
      <c r="E4030" s="10"/>
      <c r="F4030" s="10"/>
      <c r="G4030" s="10"/>
      <c r="H4030" s="10"/>
      <c r="I4030" s="12" t="n">
        <v>1</v>
      </c>
      <c r="J4030" s="12"/>
      <c r="K4030" s="13"/>
      <c r="L4030" s="13"/>
      <c r="M4030" s="12"/>
      <c r="N4030" s="12"/>
      <c r="O4030" s="12"/>
      <c r="P4030" s="13"/>
      <c r="Q4030" s="13"/>
      <c r="R4030" s="12"/>
      <c r="S4030" s="12"/>
      <c r="T4030" s="12"/>
      <c r="U4030" s="14"/>
      <c r="V4030" s="15"/>
      <c r="W4030" s="16" t="n">
        <f aca="false">A4030</f>
        <v>0</v>
      </c>
      <c r="X4030" s="17" t="e">
        <f aca="false">ifs(C4030="","",X4030="",NOW(),TRUE(),X4030)</f>
        <v>#VALUE!</v>
      </c>
      <c r="Y4030" s="17" t="e">
        <f aca="false">ifs(COUNTA(K4030:U4033)&lt;44,"",Y4030="",NOW(),TRUE(),Y4030)</f>
        <v>#VALUE!</v>
      </c>
    </row>
    <row r="4031" customFormat="false" ht="15.75" hidden="false" customHeight="false" outlineLevel="0" collapsed="false">
      <c r="A4031" s="9"/>
      <c r="B4031" s="10"/>
      <c r="C4031" s="10"/>
      <c r="D4031" s="10"/>
      <c r="E4031" s="10"/>
      <c r="F4031" s="10"/>
      <c r="G4031" s="10"/>
      <c r="H4031" s="10"/>
      <c r="I4031" s="18" t="n">
        <v>2</v>
      </c>
      <c r="J4031" s="18"/>
      <c r="K4031" s="19"/>
      <c r="L4031" s="19"/>
      <c r="M4031" s="18"/>
      <c r="N4031" s="18"/>
      <c r="O4031" s="18"/>
      <c r="P4031" s="19"/>
      <c r="Q4031" s="19"/>
      <c r="R4031" s="18"/>
      <c r="S4031" s="18"/>
      <c r="T4031" s="18"/>
      <c r="U4031" s="20"/>
      <c r="V4031" s="21"/>
      <c r="W4031" s="16"/>
      <c r="X4031" s="16"/>
      <c r="Y4031" s="16"/>
    </row>
    <row r="4032" customFormat="false" ht="15.75" hidden="false" customHeight="false" outlineLevel="0" collapsed="false">
      <c r="A4032" s="9"/>
      <c r="B4032" s="10"/>
      <c r="C4032" s="10"/>
      <c r="D4032" s="10"/>
      <c r="E4032" s="10"/>
      <c r="F4032" s="10"/>
      <c r="G4032" s="10"/>
      <c r="H4032" s="10"/>
      <c r="I4032" s="22" t="n">
        <v>3</v>
      </c>
      <c r="J4032" s="22"/>
      <c r="K4032" s="23"/>
      <c r="L4032" s="23"/>
      <c r="M4032" s="22"/>
      <c r="N4032" s="22"/>
      <c r="O4032" s="22"/>
      <c r="P4032" s="23"/>
      <c r="Q4032" s="23"/>
      <c r="R4032" s="22"/>
      <c r="S4032" s="22"/>
      <c r="T4032" s="22"/>
      <c r="U4032" s="24"/>
      <c r="V4032" s="15"/>
      <c r="W4032" s="16"/>
      <c r="X4032" s="16"/>
      <c r="Y4032" s="16"/>
    </row>
    <row r="4033" customFormat="false" ht="15.75" hidden="false" customHeight="false" outlineLevel="0" collapsed="false">
      <c r="A4033" s="9"/>
      <c r="B4033" s="10"/>
      <c r="C4033" s="10"/>
      <c r="D4033" s="10"/>
      <c r="E4033" s="10"/>
      <c r="F4033" s="10"/>
      <c r="G4033" s="10"/>
      <c r="H4033" s="10"/>
      <c r="I4033" s="25" t="n">
        <v>4</v>
      </c>
      <c r="J4033" s="25"/>
      <c r="K4033" s="26"/>
      <c r="L4033" s="26"/>
      <c r="M4033" s="25"/>
      <c r="N4033" s="25"/>
      <c r="O4033" s="25"/>
      <c r="P4033" s="26"/>
      <c r="Q4033" s="26"/>
      <c r="R4033" s="25"/>
      <c r="S4033" s="25"/>
      <c r="T4033" s="25"/>
      <c r="U4033" s="27"/>
      <c r="V4033" s="21"/>
      <c r="W4033" s="16"/>
      <c r="X4033" s="16"/>
      <c r="Y4033" s="16"/>
    </row>
    <row r="4034" customFormat="false" ht="15.75" hidden="false" customHeight="false" outlineLevel="0" collapsed="false">
      <c r="A4034" s="9"/>
      <c r="B4034" s="10"/>
      <c r="C4034" s="11"/>
      <c r="D4034" s="10"/>
      <c r="E4034" s="10"/>
      <c r="F4034" s="10"/>
      <c r="G4034" s="10"/>
      <c r="H4034" s="10"/>
      <c r="I4034" s="12" t="n">
        <v>1</v>
      </c>
      <c r="J4034" s="12"/>
      <c r="K4034" s="13"/>
      <c r="L4034" s="13"/>
      <c r="M4034" s="12"/>
      <c r="N4034" s="12"/>
      <c r="O4034" s="12"/>
      <c r="P4034" s="13"/>
      <c r="Q4034" s="13"/>
      <c r="R4034" s="12"/>
      <c r="S4034" s="12"/>
      <c r="T4034" s="12"/>
      <c r="U4034" s="14"/>
      <c r="V4034" s="15"/>
      <c r="W4034" s="16" t="n">
        <f aca="false">A4034</f>
        <v>0</v>
      </c>
      <c r="X4034" s="17" t="e">
        <f aca="false">ifs(C4034="","",X4034="",NOW(),TRUE(),X4034)</f>
        <v>#VALUE!</v>
      </c>
      <c r="Y4034" s="17" t="e">
        <f aca="false">ifs(COUNTA(K4034:U4037)&lt;44,"",Y4034="",NOW(),TRUE(),Y4034)</f>
        <v>#VALUE!</v>
      </c>
    </row>
    <row r="4035" customFormat="false" ht="15.75" hidden="false" customHeight="false" outlineLevel="0" collapsed="false">
      <c r="A4035" s="9"/>
      <c r="B4035" s="10"/>
      <c r="C4035" s="10"/>
      <c r="D4035" s="10"/>
      <c r="E4035" s="10"/>
      <c r="F4035" s="10"/>
      <c r="G4035" s="10"/>
      <c r="H4035" s="10"/>
      <c r="I4035" s="18" t="n">
        <v>2</v>
      </c>
      <c r="J4035" s="18"/>
      <c r="K4035" s="19"/>
      <c r="L4035" s="19"/>
      <c r="M4035" s="18"/>
      <c r="N4035" s="18"/>
      <c r="O4035" s="18"/>
      <c r="P4035" s="19"/>
      <c r="Q4035" s="19"/>
      <c r="R4035" s="18"/>
      <c r="S4035" s="18"/>
      <c r="T4035" s="18"/>
      <c r="U4035" s="20"/>
      <c r="V4035" s="21"/>
      <c r="W4035" s="16"/>
      <c r="X4035" s="16"/>
      <c r="Y4035" s="16"/>
    </row>
    <row r="4036" customFormat="false" ht="15.75" hidden="false" customHeight="false" outlineLevel="0" collapsed="false">
      <c r="A4036" s="9"/>
      <c r="B4036" s="10"/>
      <c r="C4036" s="10"/>
      <c r="D4036" s="10"/>
      <c r="E4036" s="10"/>
      <c r="F4036" s="10"/>
      <c r="G4036" s="10"/>
      <c r="H4036" s="10"/>
      <c r="I4036" s="22" t="n">
        <v>3</v>
      </c>
      <c r="J4036" s="22"/>
      <c r="K4036" s="23"/>
      <c r="L4036" s="23"/>
      <c r="M4036" s="22"/>
      <c r="N4036" s="22"/>
      <c r="O4036" s="22"/>
      <c r="P4036" s="23"/>
      <c r="Q4036" s="23"/>
      <c r="R4036" s="22"/>
      <c r="S4036" s="22"/>
      <c r="T4036" s="22"/>
      <c r="U4036" s="24"/>
      <c r="V4036" s="15"/>
      <c r="W4036" s="16"/>
      <c r="X4036" s="16"/>
      <c r="Y4036" s="16"/>
    </row>
    <row r="4037" customFormat="false" ht="15.75" hidden="false" customHeight="false" outlineLevel="0" collapsed="false">
      <c r="A4037" s="9"/>
      <c r="B4037" s="10"/>
      <c r="C4037" s="10"/>
      <c r="D4037" s="10"/>
      <c r="E4037" s="10"/>
      <c r="F4037" s="10"/>
      <c r="G4037" s="10"/>
      <c r="H4037" s="10"/>
      <c r="I4037" s="25" t="n">
        <v>4</v>
      </c>
      <c r="J4037" s="25"/>
      <c r="K4037" s="26"/>
      <c r="L4037" s="26"/>
      <c r="M4037" s="25"/>
      <c r="N4037" s="25"/>
      <c r="O4037" s="25"/>
      <c r="P4037" s="26"/>
      <c r="Q4037" s="26"/>
      <c r="R4037" s="25"/>
      <c r="S4037" s="25"/>
      <c r="T4037" s="25"/>
      <c r="U4037" s="27"/>
      <c r="V4037" s="21"/>
      <c r="W4037" s="16"/>
      <c r="X4037" s="16"/>
      <c r="Y4037" s="16"/>
    </row>
    <row r="4038" customFormat="false" ht="15.75" hidden="false" customHeight="false" outlineLevel="0" collapsed="false">
      <c r="A4038" s="9"/>
      <c r="B4038" s="10"/>
      <c r="C4038" s="11"/>
      <c r="D4038" s="10"/>
      <c r="E4038" s="10"/>
      <c r="F4038" s="10"/>
      <c r="G4038" s="10"/>
      <c r="H4038" s="10"/>
      <c r="I4038" s="12" t="n">
        <v>1</v>
      </c>
      <c r="J4038" s="12"/>
      <c r="K4038" s="13"/>
      <c r="L4038" s="13"/>
      <c r="M4038" s="12"/>
      <c r="N4038" s="12"/>
      <c r="O4038" s="12"/>
      <c r="P4038" s="13"/>
      <c r="Q4038" s="13"/>
      <c r="R4038" s="12"/>
      <c r="S4038" s="12"/>
      <c r="T4038" s="12"/>
      <c r="U4038" s="14"/>
      <c r="V4038" s="15"/>
      <c r="W4038" s="16" t="n">
        <f aca="false">A4038</f>
        <v>0</v>
      </c>
      <c r="X4038" s="17" t="e">
        <f aca="false">ifs(C4038="","",X4038="",NOW(),TRUE(),X4038)</f>
        <v>#VALUE!</v>
      </c>
      <c r="Y4038" s="17" t="e">
        <f aca="false">ifs(COUNTA(K4038:U4041)&lt;44,"",Y4038="",NOW(),TRUE(),Y4038)</f>
        <v>#VALUE!</v>
      </c>
    </row>
    <row r="4039" customFormat="false" ht="15.75" hidden="false" customHeight="false" outlineLevel="0" collapsed="false">
      <c r="A4039" s="9"/>
      <c r="B4039" s="10"/>
      <c r="C4039" s="10"/>
      <c r="D4039" s="10"/>
      <c r="E4039" s="10"/>
      <c r="F4039" s="10"/>
      <c r="G4039" s="10"/>
      <c r="H4039" s="10"/>
      <c r="I4039" s="18" t="n">
        <v>2</v>
      </c>
      <c r="J4039" s="18"/>
      <c r="K4039" s="19"/>
      <c r="L4039" s="19"/>
      <c r="M4039" s="18"/>
      <c r="N4039" s="18"/>
      <c r="O4039" s="18"/>
      <c r="P4039" s="19"/>
      <c r="Q4039" s="19"/>
      <c r="R4039" s="18"/>
      <c r="S4039" s="18"/>
      <c r="T4039" s="18"/>
      <c r="U4039" s="20"/>
      <c r="V4039" s="21"/>
      <c r="W4039" s="16"/>
      <c r="X4039" s="16"/>
      <c r="Y4039" s="16"/>
    </row>
    <row r="4040" customFormat="false" ht="15.75" hidden="false" customHeight="false" outlineLevel="0" collapsed="false">
      <c r="A4040" s="9"/>
      <c r="B4040" s="10"/>
      <c r="C4040" s="10"/>
      <c r="D4040" s="10"/>
      <c r="E4040" s="10"/>
      <c r="F4040" s="10"/>
      <c r="G4040" s="10"/>
      <c r="H4040" s="10"/>
      <c r="I4040" s="22" t="n">
        <v>3</v>
      </c>
      <c r="J4040" s="22"/>
      <c r="K4040" s="23"/>
      <c r="L4040" s="23"/>
      <c r="M4040" s="22"/>
      <c r="N4040" s="22"/>
      <c r="O4040" s="22"/>
      <c r="P4040" s="23"/>
      <c r="Q4040" s="23"/>
      <c r="R4040" s="22"/>
      <c r="S4040" s="22"/>
      <c r="T4040" s="22"/>
      <c r="U4040" s="24"/>
      <c r="V4040" s="15"/>
      <c r="W4040" s="16"/>
      <c r="X4040" s="16"/>
      <c r="Y4040" s="16"/>
    </row>
    <row r="4041" customFormat="false" ht="15.75" hidden="false" customHeight="false" outlineLevel="0" collapsed="false">
      <c r="A4041" s="9"/>
      <c r="B4041" s="10"/>
      <c r="C4041" s="10"/>
      <c r="D4041" s="10"/>
      <c r="E4041" s="10"/>
      <c r="F4041" s="10"/>
      <c r="G4041" s="10"/>
      <c r="H4041" s="10"/>
      <c r="I4041" s="25" t="n">
        <v>4</v>
      </c>
      <c r="J4041" s="25"/>
      <c r="K4041" s="26"/>
      <c r="L4041" s="26"/>
      <c r="M4041" s="25"/>
      <c r="N4041" s="25"/>
      <c r="O4041" s="25"/>
      <c r="P4041" s="26"/>
      <c r="Q4041" s="26"/>
      <c r="R4041" s="25"/>
      <c r="S4041" s="25"/>
      <c r="T4041" s="25"/>
      <c r="U4041" s="27"/>
      <c r="V4041" s="21"/>
      <c r="W4041" s="16"/>
      <c r="X4041" s="16"/>
      <c r="Y4041" s="16"/>
    </row>
    <row r="4042" customFormat="false" ht="15.75" hidden="false" customHeight="false" outlineLevel="0" collapsed="false">
      <c r="A4042" s="9"/>
      <c r="B4042" s="10"/>
      <c r="C4042" s="11"/>
      <c r="D4042" s="10"/>
      <c r="E4042" s="10"/>
      <c r="F4042" s="10"/>
      <c r="G4042" s="10"/>
      <c r="H4042" s="10"/>
      <c r="I4042" s="12" t="n">
        <v>1</v>
      </c>
      <c r="J4042" s="12"/>
      <c r="K4042" s="13"/>
      <c r="L4042" s="13"/>
      <c r="M4042" s="12"/>
      <c r="N4042" s="12"/>
      <c r="O4042" s="12"/>
      <c r="P4042" s="13"/>
      <c r="Q4042" s="13"/>
      <c r="R4042" s="12"/>
      <c r="S4042" s="12"/>
      <c r="T4042" s="12"/>
      <c r="U4042" s="14"/>
      <c r="V4042" s="15"/>
      <c r="W4042" s="16" t="n">
        <f aca="false">A4042</f>
        <v>0</v>
      </c>
      <c r="X4042" s="17" t="e">
        <f aca="false">ifs(C4042="","",X4042="",NOW(),TRUE(),X4042)</f>
        <v>#VALUE!</v>
      </c>
      <c r="Y4042" s="17" t="e">
        <f aca="false">ifs(COUNTA(K4042:U4045)&lt;44,"",Y4042="",NOW(),TRUE(),Y4042)</f>
        <v>#VALUE!</v>
      </c>
    </row>
    <row r="4043" customFormat="false" ht="15.75" hidden="false" customHeight="false" outlineLevel="0" collapsed="false">
      <c r="A4043" s="9"/>
      <c r="B4043" s="10"/>
      <c r="C4043" s="10"/>
      <c r="D4043" s="10"/>
      <c r="E4043" s="10"/>
      <c r="F4043" s="10"/>
      <c r="G4043" s="10"/>
      <c r="H4043" s="10"/>
      <c r="I4043" s="18" t="n">
        <v>2</v>
      </c>
      <c r="J4043" s="18"/>
      <c r="K4043" s="19"/>
      <c r="L4043" s="19"/>
      <c r="M4043" s="18"/>
      <c r="N4043" s="18"/>
      <c r="O4043" s="18"/>
      <c r="P4043" s="19"/>
      <c r="Q4043" s="19"/>
      <c r="R4043" s="18"/>
      <c r="S4043" s="18"/>
      <c r="T4043" s="18"/>
      <c r="U4043" s="20"/>
      <c r="V4043" s="21"/>
      <c r="W4043" s="16"/>
      <c r="X4043" s="16"/>
      <c r="Y4043" s="16"/>
    </row>
    <row r="4044" customFormat="false" ht="15.75" hidden="false" customHeight="false" outlineLevel="0" collapsed="false">
      <c r="A4044" s="9"/>
      <c r="B4044" s="10"/>
      <c r="C4044" s="10"/>
      <c r="D4044" s="10"/>
      <c r="E4044" s="10"/>
      <c r="F4044" s="10"/>
      <c r="G4044" s="10"/>
      <c r="H4044" s="10"/>
      <c r="I4044" s="22" t="n">
        <v>3</v>
      </c>
      <c r="J4044" s="22"/>
      <c r="K4044" s="23"/>
      <c r="L4044" s="23"/>
      <c r="M4044" s="22"/>
      <c r="N4044" s="22"/>
      <c r="O4044" s="22"/>
      <c r="P4044" s="23"/>
      <c r="Q4044" s="23"/>
      <c r="R4044" s="22"/>
      <c r="S4044" s="22"/>
      <c r="T4044" s="22"/>
      <c r="U4044" s="24"/>
      <c r="V4044" s="15"/>
      <c r="W4044" s="16"/>
      <c r="X4044" s="16"/>
      <c r="Y4044" s="16"/>
    </row>
    <row r="4045" customFormat="false" ht="15.75" hidden="false" customHeight="false" outlineLevel="0" collapsed="false">
      <c r="A4045" s="9"/>
      <c r="B4045" s="10"/>
      <c r="C4045" s="10"/>
      <c r="D4045" s="10"/>
      <c r="E4045" s="10"/>
      <c r="F4045" s="10"/>
      <c r="G4045" s="10"/>
      <c r="H4045" s="10"/>
      <c r="I4045" s="25" t="n">
        <v>4</v>
      </c>
      <c r="J4045" s="25"/>
      <c r="K4045" s="26"/>
      <c r="L4045" s="26"/>
      <c r="M4045" s="25"/>
      <c r="N4045" s="25"/>
      <c r="O4045" s="25"/>
      <c r="P4045" s="26"/>
      <c r="Q4045" s="26"/>
      <c r="R4045" s="25"/>
      <c r="S4045" s="25"/>
      <c r="T4045" s="25"/>
      <c r="U4045" s="27"/>
      <c r="V4045" s="21"/>
      <c r="W4045" s="16"/>
      <c r="X4045" s="16"/>
      <c r="Y4045" s="16"/>
    </row>
    <row r="4046" customFormat="false" ht="15.75" hidden="false" customHeight="false" outlineLevel="0" collapsed="false">
      <c r="A4046" s="9"/>
      <c r="B4046" s="10"/>
      <c r="C4046" s="11"/>
      <c r="D4046" s="10"/>
      <c r="E4046" s="10"/>
      <c r="F4046" s="10"/>
      <c r="G4046" s="10"/>
      <c r="H4046" s="10"/>
      <c r="I4046" s="12" t="n">
        <v>1</v>
      </c>
      <c r="J4046" s="12"/>
      <c r="K4046" s="13"/>
      <c r="L4046" s="13"/>
      <c r="M4046" s="12"/>
      <c r="N4046" s="12"/>
      <c r="O4046" s="12"/>
      <c r="P4046" s="13"/>
      <c r="Q4046" s="13"/>
      <c r="R4046" s="12"/>
      <c r="S4046" s="12"/>
      <c r="T4046" s="12"/>
      <c r="U4046" s="14"/>
      <c r="V4046" s="15"/>
      <c r="W4046" s="16" t="n">
        <f aca="false">A4046</f>
        <v>0</v>
      </c>
      <c r="X4046" s="17" t="e">
        <f aca="false">ifs(C4046="","",X4046="",NOW(),TRUE(),X4046)</f>
        <v>#VALUE!</v>
      </c>
      <c r="Y4046" s="17" t="e">
        <f aca="false">ifs(COUNTA(K4046:U4049)&lt;44,"",Y4046="",NOW(),TRUE(),Y4046)</f>
        <v>#VALUE!</v>
      </c>
    </row>
    <row r="4047" customFormat="false" ht="15.75" hidden="false" customHeight="false" outlineLevel="0" collapsed="false">
      <c r="A4047" s="9"/>
      <c r="B4047" s="10"/>
      <c r="C4047" s="10"/>
      <c r="D4047" s="10"/>
      <c r="E4047" s="10"/>
      <c r="F4047" s="10"/>
      <c r="G4047" s="10"/>
      <c r="H4047" s="10"/>
      <c r="I4047" s="18" t="n">
        <v>2</v>
      </c>
      <c r="J4047" s="18"/>
      <c r="K4047" s="19"/>
      <c r="L4047" s="19"/>
      <c r="M4047" s="18"/>
      <c r="N4047" s="18"/>
      <c r="O4047" s="18"/>
      <c r="P4047" s="19"/>
      <c r="Q4047" s="19"/>
      <c r="R4047" s="18"/>
      <c r="S4047" s="18"/>
      <c r="T4047" s="18"/>
      <c r="U4047" s="20"/>
      <c r="V4047" s="21"/>
      <c r="W4047" s="16"/>
      <c r="X4047" s="16"/>
      <c r="Y4047" s="16"/>
    </row>
    <row r="4048" customFormat="false" ht="15.75" hidden="false" customHeight="false" outlineLevel="0" collapsed="false">
      <c r="A4048" s="9"/>
      <c r="B4048" s="10"/>
      <c r="C4048" s="10"/>
      <c r="D4048" s="10"/>
      <c r="E4048" s="10"/>
      <c r="F4048" s="10"/>
      <c r="G4048" s="10"/>
      <c r="H4048" s="10"/>
      <c r="I4048" s="22" t="n">
        <v>3</v>
      </c>
      <c r="J4048" s="22"/>
      <c r="K4048" s="23"/>
      <c r="L4048" s="23"/>
      <c r="M4048" s="22"/>
      <c r="N4048" s="22"/>
      <c r="O4048" s="22"/>
      <c r="P4048" s="23"/>
      <c r="Q4048" s="23"/>
      <c r="R4048" s="22"/>
      <c r="S4048" s="22"/>
      <c r="T4048" s="22"/>
      <c r="U4048" s="24"/>
      <c r="V4048" s="15"/>
      <c r="W4048" s="16"/>
      <c r="X4048" s="16"/>
      <c r="Y4048" s="16"/>
    </row>
    <row r="4049" customFormat="false" ht="15.75" hidden="false" customHeight="false" outlineLevel="0" collapsed="false">
      <c r="A4049" s="9"/>
      <c r="B4049" s="10"/>
      <c r="C4049" s="10"/>
      <c r="D4049" s="10"/>
      <c r="E4049" s="10"/>
      <c r="F4049" s="10"/>
      <c r="G4049" s="10"/>
      <c r="H4049" s="10"/>
      <c r="I4049" s="25" t="n">
        <v>4</v>
      </c>
      <c r="J4049" s="25"/>
      <c r="K4049" s="26"/>
      <c r="L4049" s="26"/>
      <c r="M4049" s="25"/>
      <c r="N4049" s="25"/>
      <c r="O4049" s="25"/>
      <c r="P4049" s="26"/>
      <c r="Q4049" s="26"/>
      <c r="R4049" s="25"/>
      <c r="S4049" s="25"/>
      <c r="T4049" s="25"/>
      <c r="U4049" s="27"/>
      <c r="V4049" s="21"/>
      <c r="W4049" s="16"/>
      <c r="X4049" s="16"/>
      <c r="Y4049" s="16"/>
    </row>
    <row r="4050" customFormat="false" ht="15.75" hidden="false" customHeight="false" outlineLevel="0" collapsed="false">
      <c r="A4050" s="9"/>
      <c r="B4050" s="10"/>
      <c r="C4050" s="11"/>
      <c r="D4050" s="10"/>
      <c r="E4050" s="10"/>
      <c r="F4050" s="10"/>
      <c r="G4050" s="10"/>
      <c r="H4050" s="10"/>
      <c r="I4050" s="12" t="n">
        <v>1</v>
      </c>
      <c r="J4050" s="12"/>
      <c r="K4050" s="13"/>
      <c r="L4050" s="13"/>
      <c r="M4050" s="12"/>
      <c r="N4050" s="12"/>
      <c r="O4050" s="12"/>
      <c r="P4050" s="13"/>
      <c r="Q4050" s="13"/>
      <c r="R4050" s="12"/>
      <c r="S4050" s="12"/>
      <c r="T4050" s="12"/>
      <c r="U4050" s="14"/>
      <c r="V4050" s="15"/>
      <c r="W4050" s="16" t="n">
        <f aca="false">A4050</f>
        <v>0</v>
      </c>
      <c r="X4050" s="17" t="e">
        <f aca="false">ifs(C4050="","",X4050="",NOW(),TRUE(),X4050)</f>
        <v>#VALUE!</v>
      </c>
      <c r="Y4050" s="17" t="e">
        <f aca="false">ifs(COUNTA(K4050:U4053)&lt;44,"",Y4050="",NOW(),TRUE(),Y4050)</f>
        <v>#VALUE!</v>
      </c>
    </row>
    <row r="4051" customFormat="false" ht="15.75" hidden="false" customHeight="false" outlineLevel="0" collapsed="false">
      <c r="A4051" s="9"/>
      <c r="B4051" s="10"/>
      <c r="C4051" s="10"/>
      <c r="D4051" s="10"/>
      <c r="E4051" s="10"/>
      <c r="F4051" s="10"/>
      <c r="G4051" s="10"/>
      <c r="H4051" s="10"/>
      <c r="I4051" s="18" t="n">
        <v>2</v>
      </c>
      <c r="J4051" s="18"/>
      <c r="K4051" s="19"/>
      <c r="L4051" s="19"/>
      <c r="M4051" s="18"/>
      <c r="N4051" s="18"/>
      <c r="O4051" s="18"/>
      <c r="P4051" s="19"/>
      <c r="Q4051" s="19"/>
      <c r="R4051" s="18"/>
      <c r="S4051" s="18"/>
      <c r="T4051" s="18"/>
      <c r="U4051" s="20"/>
      <c r="V4051" s="21"/>
      <c r="W4051" s="16"/>
      <c r="X4051" s="16"/>
      <c r="Y4051" s="16"/>
    </row>
    <row r="4052" customFormat="false" ht="15.75" hidden="false" customHeight="false" outlineLevel="0" collapsed="false">
      <c r="A4052" s="9"/>
      <c r="B4052" s="10"/>
      <c r="C4052" s="10"/>
      <c r="D4052" s="10"/>
      <c r="E4052" s="10"/>
      <c r="F4052" s="10"/>
      <c r="G4052" s="10"/>
      <c r="H4052" s="10"/>
      <c r="I4052" s="22" t="n">
        <v>3</v>
      </c>
      <c r="J4052" s="22"/>
      <c r="K4052" s="23"/>
      <c r="L4052" s="23"/>
      <c r="M4052" s="22"/>
      <c r="N4052" s="22"/>
      <c r="O4052" s="22"/>
      <c r="P4052" s="23"/>
      <c r="Q4052" s="23"/>
      <c r="R4052" s="22"/>
      <c r="S4052" s="22"/>
      <c r="T4052" s="22"/>
      <c r="U4052" s="24"/>
      <c r="V4052" s="15"/>
      <c r="W4052" s="16"/>
      <c r="X4052" s="16"/>
      <c r="Y4052" s="16"/>
    </row>
    <row r="4053" customFormat="false" ht="15.75" hidden="false" customHeight="false" outlineLevel="0" collapsed="false">
      <c r="A4053" s="9"/>
      <c r="B4053" s="10"/>
      <c r="C4053" s="10"/>
      <c r="D4053" s="10"/>
      <c r="E4053" s="10"/>
      <c r="F4053" s="10"/>
      <c r="G4053" s="10"/>
      <c r="H4053" s="10"/>
      <c r="I4053" s="25" t="n">
        <v>4</v>
      </c>
      <c r="J4053" s="25"/>
      <c r="K4053" s="26"/>
      <c r="L4053" s="26"/>
      <c r="M4053" s="25"/>
      <c r="N4053" s="25"/>
      <c r="O4053" s="25"/>
      <c r="P4053" s="26"/>
      <c r="Q4053" s="26"/>
      <c r="R4053" s="25"/>
      <c r="S4053" s="25"/>
      <c r="T4053" s="25"/>
      <c r="U4053" s="27"/>
      <c r="V4053" s="21"/>
      <c r="W4053" s="16"/>
      <c r="X4053" s="16"/>
      <c r="Y4053" s="16"/>
    </row>
    <row r="4054" customFormat="false" ht="15.75" hidden="false" customHeight="false" outlineLevel="0" collapsed="false">
      <c r="A4054" s="9"/>
      <c r="B4054" s="10"/>
      <c r="C4054" s="11"/>
      <c r="D4054" s="10"/>
      <c r="E4054" s="10"/>
      <c r="F4054" s="10"/>
      <c r="G4054" s="10"/>
      <c r="H4054" s="10"/>
      <c r="I4054" s="12" t="n">
        <v>1</v>
      </c>
      <c r="J4054" s="12"/>
      <c r="K4054" s="13"/>
      <c r="L4054" s="13"/>
      <c r="M4054" s="12"/>
      <c r="N4054" s="12"/>
      <c r="O4054" s="12"/>
      <c r="P4054" s="13"/>
      <c r="Q4054" s="13"/>
      <c r="R4054" s="12"/>
      <c r="S4054" s="12"/>
      <c r="T4054" s="12"/>
      <c r="U4054" s="14"/>
      <c r="V4054" s="15"/>
      <c r="W4054" s="16" t="n">
        <f aca="false">A4054</f>
        <v>0</v>
      </c>
      <c r="X4054" s="17" t="e">
        <f aca="false">ifs(C4054="","",X4054="",NOW(),TRUE(),X4054)</f>
        <v>#VALUE!</v>
      </c>
      <c r="Y4054" s="17" t="e">
        <f aca="false">ifs(COUNTA(K4054:U4057)&lt;44,"",Y4054="",NOW(),TRUE(),Y4054)</f>
        <v>#VALUE!</v>
      </c>
    </row>
    <row r="4055" customFormat="false" ht="15.75" hidden="false" customHeight="false" outlineLevel="0" collapsed="false">
      <c r="A4055" s="9"/>
      <c r="B4055" s="10"/>
      <c r="C4055" s="10"/>
      <c r="D4055" s="10"/>
      <c r="E4055" s="10"/>
      <c r="F4055" s="10"/>
      <c r="G4055" s="10"/>
      <c r="H4055" s="10"/>
      <c r="I4055" s="18" t="n">
        <v>2</v>
      </c>
      <c r="J4055" s="18"/>
      <c r="K4055" s="19"/>
      <c r="L4055" s="19"/>
      <c r="M4055" s="18"/>
      <c r="N4055" s="18"/>
      <c r="O4055" s="18"/>
      <c r="P4055" s="19"/>
      <c r="Q4055" s="19"/>
      <c r="R4055" s="18"/>
      <c r="S4055" s="18"/>
      <c r="T4055" s="18"/>
      <c r="U4055" s="20"/>
      <c r="V4055" s="21"/>
      <c r="W4055" s="16"/>
      <c r="X4055" s="16"/>
      <c r="Y4055" s="16"/>
    </row>
    <row r="4056" customFormat="false" ht="15.75" hidden="false" customHeight="false" outlineLevel="0" collapsed="false">
      <c r="A4056" s="9"/>
      <c r="B4056" s="10"/>
      <c r="C4056" s="10"/>
      <c r="D4056" s="10"/>
      <c r="E4056" s="10"/>
      <c r="F4056" s="10"/>
      <c r="G4056" s="10"/>
      <c r="H4056" s="10"/>
      <c r="I4056" s="22" t="n">
        <v>3</v>
      </c>
      <c r="J4056" s="22"/>
      <c r="K4056" s="23"/>
      <c r="L4056" s="23"/>
      <c r="M4056" s="22"/>
      <c r="N4056" s="22"/>
      <c r="O4056" s="22"/>
      <c r="P4056" s="23"/>
      <c r="Q4056" s="23"/>
      <c r="R4056" s="22"/>
      <c r="S4056" s="22"/>
      <c r="T4056" s="22"/>
      <c r="U4056" s="24"/>
      <c r="V4056" s="15"/>
      <c r="W4056" s="16"/>
      <c r="X4056" s="16"/>
      <c r="Y4056" s="16"/>
    </row>
    <row r="4057" customFormat="false" ht="15.75" hidden="false" customHeight="false" outlineLevel="0" collapsed="false">
      <c r="A4057" s="9"/>
      <c r="B4057" s="10"/>
      <c r="C4057" s="10"/>
      <c r="D4057" s="10"/>
      <c r="E4057" s="10"/>
      <c r="F4057" s="10"/>
      <c r="G4057" s="10"/>
      <c r="H4057" s="10"/>
      <c r="I4057" s="25" t="n">
        <v>4</v>
      </c>
      <c r="J4057" s="25"/>
      <c r="K4057" s="26"/>
      <c r="L4057" s="26"/>
      <c r="M4057" s="25"/>
      <c r="N4057" s="25"/>
      <c r="O4057" s="25"/>
      <c r="P4057" s="26"/>
      <c r="Q4057" s="26"/>
      <c r="R4057" s="25"/>
      <c r="S4057" s="25"/>
      <c r="T4057" s="25"/>
      <c r="U4057" s="27"/>
      <c r="V4057" s="21"/>
      <c r="W4057" s="16"/>
      <c r="X4057" s="16"/>
      <c r="Y4057" s="16"/>
    </row>
    <row r="4058" customFormat="false" ht="15.75" hidden="false" customHeight="false" outlineLevel="0" collapsed="false">
      <c r="A4058" s="9"/>
      <c r="B4058" s="10"/>
      <c r="C4058" s="11"/>
      <c r="D4058" s="10"/>
      <c r="E4058" s="10"/>
      <c r="F4058" s="10"/>
      <c r="G4058" s="10"/>
      <c r="H4058" s="10"/>
      <c r="I4058" s="12" t="n">
        <v>1</v>
      </c>
      <c r="J4058" s="12"/>
      <c r="K4058" s="13"/>
      <c r="L4058" s="13"/>
      <c r="M4058" s="12"/>
      <c r="N4058" s="12"/>
      <c r="O4058" s="12"/>
      <c r="P4058" s="13"/>
      <c r="Q4058" s="13"/>
      <c r="R4058" s="12"/>
      <c r="S4058" s="12"/>
      <c r="T4058" s="12"/>
      <c r="U4058" s="14"/>
      <c r="V4058" s="15"/>
      <c r="W4058" s="16" t="n">
        <f aca="false">A4058</f>
        <v>0</v>
      </c>
      <c r="X4058" s="17" t="e">
        <f aca="false">ifs(C4058="","",X4058="",NOW(),TRUE(),X4058)</f>
        <v>#VALUE!</v>
      </c>
      <c r="Y4058" s="17" t="e">
        <f aca="false">ifs(COUNTA(K4058:U4061)&lt;44,"",Y4058="",NOW(),TRUE(),Y4058)</f>
        <v>#VALUE!</v>
      </c>
    </row>
    <row r="4059" customFormat="false" ht="15.75" hidden="false" customHeight="false" outlineLevel="0" collapsed="false">
      <c r="A4059" s="9"/>
      <c r="B4059" s="10"/>
      <c r="C4059" s="10"/>
      <c r="D4059" s="10"/>
      <c r="E4059" s="10"/>
      <c r="F4059" s="10"/>
      <c r="G4059" s="10"/>
      <c r="H4059" s="10"/>
      <c r="I4059" s="18" t="n">
        <v>2</v>
      </c>
      <c r="J4059" s="18"/>
      <c r="K4059" s="19"/>
      <c r="L4059" s="19"/>
      <c r="M4059" s="18"/>
      <c r="N4059" s="18"/>
      <c r="O4059" s="18"/>
      <c r="P4059" s="19"/>
      <c r="Q4059" s="19"/>
      <c r="R4059" s="18"/>
      <c r="S4059" s="18"/>
      <c r="T4059" s="18"/>
      <c r="U4059" s="20"/>
      <c r="V4059" s="21"/>
      <c r="W4059" s="16"/>
      <c r="X4059" s="16"/>
      <c r="Y4059" s="16"/>
    </row>
    <row r="4060" customFormat="false" ht="15.75" hidden="false" customHeight="false" outlineLevel="0" collapsed="false">
      <c r="A4060" s="9"/>
      <c r="B4060" s="10"/>
      <c r="C4060" s="10"/>
      <c r="D4060" s="10"/>
      <c r="E4060" s="10"/>
      <c r="F4060" s="10"/>
      <c r="G4060" s="10"/>
      <c r="H4060" s="10"/>
      <c r="I4060" s="22" t="n">
        <v>3</v>
      </c>
      <c r="J4060" s="22"/>
      <c r="K4060" s="23"/>
      <c r="L4060" s="23"/>
      <c r="M4060" s="22"/>
      <c r="N4060" s="22"/>
      <c r="O4060" s="22"/>
      <c r="P4060" s="23"/>
      <c r="Q4060" s="23"/>
      <c r="R4060" s="22"/>
      <c r="S4060" s="22"/>
      <c r="T4060" s="22"/>
      <c r="U4060" s="24"/>
      <c r="V4060" s="15"/>
      <c r="W4060" s="16"/>
      <c r="X4060" s="16"/>
      <c r="Y4060" s="16"/>
    </row>
    <row r="4061" customFormat="false" ht="15.75" hidden="false" customHeight="false" outlineLevel="0" collapsed="false">
      <c r="A4061" s="9"/>
      <c r="B4061" s="10"/>
      <c r="C4061" s="10"/>
      <c r="D4061" s="10"/>
      <c r="E4061" s="10"/>
      <c r="F4061" s="10"/>
      <c r="G4061" s="10"/>
      <c r="H4061" s="10"/>
      <c r="I4061" s="25" t="n">
        <v>4</v>
      </c>
      <c r="J4061" s="25"/>
      <c r="K4061" s="26"/>
      <c r="L4061" s="26"/>
      <c r="M4061" s="25"/>
      <c r="N4061" s="25"/>
      <c r="O4061" s="25"/>
      <c r="P4061" s="26"/>
      <c r="Q4061" s="26"/>
      <c r="R4061" s="25"/>
      <c r="S4061" s="25"/>
      <c r="T4061" s="25"/>
      <c r="U4061" s="27"/>
      <c r="V4061" s="21"/>
      <c r="W4061" s="16"/>
      <c r="X4061" s="16"/>
      <c r="Y4061" s="16"/>
    </row>
    <row r="4062" customFormat="false" ht="15.75" hidden="false" customHeight="false" outlineLevel="0" collapsed="false">
      <c r="A4062" s="9"/>
      <c r="B4062" s="10"/>
      <c r="C4062" s="11"/>
      <c r="D4062" s="10"/>
      <c r="E4062" s="10"/>
      <c r="F4062" s="10"/>
      <c r="G4062" s="10"/>
      <c r="H4062" s="10"/>
      <c r="I4062" s="12" t="n">
        <v>1</v>
      </c>
      <c r="J4062" s="12"/>
      <c r="K4062" s="13"/>
      <c r="L4062" s="13"/>
      <c r="M4062" s="12"/>
      <c r="N4062" s="12"/>
      <c r="O4062" s="12"/>
      <c r="P4062" s="13"/>
      <c r="Q4062" s="13"/>
      <c r="R4062" s="12"/>
      <c r="S4062" s="12"/>
      <c r="T4062" s="12"/>
      <c r="U4062" s="14"/>
      <c r="V4062" s="15"/>
      <c r="W4062" s="16" t="n">
        <f aca="false">A4062</f>
        <v>0</v>
      </c>
      <c r="X4062" s="17" t="e">
        <f aca="false">ifs(C4062="","",X4062="",NOW(),TRUE(),X4062)</f>
        <v>#VALUE!</v>
      </c>
      <c r="Y4062" s="17" t="e">
        <f aca="false">ifs(COUNTA(K4062:U4065)&lt;44,"",Y4062="",NOW(),TRUE(),Y4062)</f>
        <v>#VALUE!</v>
      </c>
    </row>
    <row r="4063" customFormat="false" ht="15.75" hidden="false" customHeight="false" outlineLevel="0" collapsed="false">
      <c r="A4063" s="9"/>
      <c r="B4063" s="10"/>
      <c r="C4063" s="10"/>
      <c r="D4063" s="10"/>
      <c r="E4063" s="10"/>
      <c r="F4063" s="10"/>
      <c r="G4063" s="10"/>
      <c r="H4063" s="10"/>
      <c r="I4063" s="18" t="n">
        <v>2</v>
      </c>
      <c r="J4063" s="18"/>
      <c r="K4063" s="19"/>
      <c r="L4063" s="19"/>
      <c r="M4063" s="18"/>
      <c r="N4063" s="18"/>
      <c r="O4063" s="18"/>
      <c r="P4063" s="19"/>
      <c r="Q4063" s="19"/>
      <c r="R4063" s="18"/>
      <c r="S4063" s="18"/>
      <c r="T4063" s="18"/>
      <c r="U4063" s="20"/>
      <c r="V4063" s="21"/>
      <c r="W4063" s="16"/>
      <c r="X4063" s="16"/>
      <c r="Y4063" s="16"/>
    </row>
    <row r="4064" customFormat="false" ht="15.75" hidden="false" customHeight="false" outlineLevel="0" collapsed="false">
      <c r="A4064" s="9"/>
      <c r="B4064" s="10"/>
      <c r="C4064" s="10"/>
      <c r="D4064" s="10"/>
      <c r="E4064" s="10"/>
      <c r="F4064" s="10"/>
      <c r="G4064" s="10"/>
      <c r="H4064" s="10"/>
      <c r="I4064" s="22" t="n">
        <v>3</v>
      </c>
      <c r="J4064" s="22"/>
      <c r="K4064" s="23"/>
      <c r="L4064" s="23"/>
      <c r="M4064" s="22"/>
      <c r="N4064" s="22"/>
      <c r="O4064" s="22"/>
      <c r="P4064" s="23"/>
      <c r="Q4064" s="23"/>
      <c r="R4064" s="22"/>
      <c r="S4064" s="22"/>
      <c r="T4064" s="22"/>
      <c r="U4064" s="24"/>
      <c r="V4064" s="15"/>
      <c r="W4064" s="16"/>
      <c r="X4064" s="16"/>
      <c r="Y4064" s="16"/>
    </row>
    <row r="4065" customFormat="false" ht="15.75" hidden="false" customHeight="false" outlineLevel="0" collapsed="false">
      <c r="A4065" s="9"/>
      <c r="B4065" s="10"/>
      <c r="C4065" s="10"/>
      <c r="D4065" s="10"/>
      <c r="E4065" s="10"/>
      <c r="F4065" s="10"/>
      <c r="G4065" s="10"/>
      <c r="H4065" s="10"/>
      <c r="I4065" s="25" t="n">
        <v>4</v>
      </c>
      <c r="J4065" s="25"/>
      <c r="K4065" s="26"/>
      <c r="L4065" s="26"/>
      <c r="M4065" s="25"/>
      <c r="N4065" s="25"/>
      <c r="O4065" s="25"/>
      <c r="P4065" s="26"/>
      <c r="Q4065" s="26"/>
      <c r="R4065" s="25"/>
      <c r="S4065" s="25"/>
      <c r="T4065" s="25"/>
      <c r="U4065" s="27"/>
      <c r="V4065" s="21"/>
      <c r="W4065" s="16"/>
      <c r="X4065" s="16"/>
      <c r="Y4065" s="16"/>
    </row>
    <row r="4066" customFormat="false" ht="15.75" hidden="false" customHeight="false" outlineLevel="0" collapsed="false">
      <c r="A4066" s="9"/>
      <c r="B4066" s="10"/>
      <c r="C4066" s="11"/>
      <c r="D4066" s="10"/>
      <c r="E4066" s="10"/>
      <c r="F4066" s="10"/>
      <c r="G4066" s="10"/>
      <c r="H4066" s="10"/>
      <c r="I4066" s="12" t="n">
        <v>1</v>
      </c>
      <c r="J4066" s="12"/>
      <c r="K4066" s="13"/>
      <c r="L4066" s="13"/>
      <c r="M4066" s="12"/>
      <c r="N4066" s="12"/>
      <c r="O4066" s="12"/>
      <c r="P4066" s="13"/>
      <c r="Q4066" s="13"/>
      <c r="R4066" s="12"/>
      <c r="S4066" s="12"/>
      <c r="T4066" s="12"/>
      <c r="U4066" s="14"/>
      <c r="V4066" s="15"/>
      <c r="W4066" s="16" t="n">
        <f aca="false">A4066</f>
        <v>0</v>
      </c>
      <c r="X4066" s="17" t="e">
        <f aca="false">ifs(C4066="","",X4066="",NOW(),TRUE(),X4066)</f>
        <v>#VALUE!</v>
      </c>
      <c r="Y4066" s="17" t="e">
        <f aca="false">ifs(COUNTA(K4066:U4069)&lt;44,"",Y4066="",NOW(),TRUE(),Y4066)</f>
        <v>#VALUE!</v>
      </c>
    </row>
    <row r="4067" customFormat="false" ht="15.75" hidden="false" customHeight="false" outlineLevel="0" collapsed="false">
      <c r="A4067" s="9"/>
      <c r="B4067" s="10"/>
      <c r="C4067" s="10"/>
      <c r="D4067" s="10"/>
      <c r="E4067" s="10"/>
      <c r="F4067" s="10"/>
      <c r="G4067" s="10"/>
      <c r="H4067" s="10"/>
      <c r="I4067" s="18" t="n">
        <v>2</v>
      </c>
      <c r="J4067" s="18"/>
      <c r="K4067" s="19"/>
      <c r="L4067" s="19"/>
      <c r="M4067" s="18"/>
      <c r="N4067" s="18"/>
      <c r="O4067" s="18"/>
      <c r="P4067" s="19"/>
      <c r="Q4067" s="19"/>
      <c r="R4067" s="18"/>
      <c r="S4067" s="18"/>
      <c r="T4067" s="18"/>
      <c r="U4067" s="20"/>
      <c r="V4067" s="21"/>
      <c r="W4067" s="16"/>
      <c r="X4067" s="16"/>
      <c r="Y4067" s="16"/>
    </row>
    <row r="4068" customFormat="false" ht="15.75" hidden="false" customHeight="false" outlineLevel="0" collapsed="false">
      <c r="A4068" s="9"/>
      <c r="B4068" s="10"/>
      <c r="C4068" s="10"/>
      <c r="D4068" s="10"/>
      <c r="E4068" s="10"/>
      <c r="F4068" s="10"/>
      <c r="G4068" s="10"/>
      <c r="H4068" s="10"/>
      <c r="I4068" s="22" t="n">
        <v>3</v>
      </c>
      <c r="J4068" s="22"/>
      <c r="K4068" s="23"/>
      <c r="L4068" s="23"/>
      <c r="M4068" s="22"/>
      <c r="N4068" s="22"/>
      <c r="O4068" s="22"/>
      <c r="P4068" s="23"/>
      <c r="Q4068" s="23"/>
      <c r="R4068" s="22"/>
      <c r="S4068" s="22"/>
      <c r="T4068" s="22"/>
      <c r="U4068" s="24"/>
      <c r="V4068" s="15"/>
      <c r="W4068" s="16"/>
      <c r="X4068" s="16"/>
      <c r="Y4068" s="16"/>
    </row>
    <row r="4069" customFormat="false" ht="15.75" hidden="false" customHeight="false" outlineLevel="0" collapsed="false">
      <c r="A4069" s="9"/>
      <c r="B4069" s="10"/>
      <c r="C4069" s="10"/>
      <c r="D4069" s="10"/>
      <c r="E4069" s="10"/>
      <c r="F4069" s="10"/>
      <c r="G4069" s="10"/>
      <c r="H4069" s="10"/>
      <c r="I4069" s="25" t="n">
        <v>4</v>
      </c>
      <c r="J4069" s="25"/>
      <c r="K4069" s="26"/>
      <c r="L4069" s="26"/>
      <c r="M4069" s="25"/>
      <c r="N4069" s="25"/>
      <c r="O4069" s="25"/>
      <c r="P4069" s="26"/>
      <c r="Q4069" s="26"/>
      <c r="R4069" s="25"/>
      <c r="S4069" s="25"/>
      <c r="T4069" s="25"/>
      <c r="U4069" s="27"/>
      <c r="V4069" s="21"/>
      <c r="W4069" s="16"/>
      <c r="X4069" s="16"/>
      <c r="Y4069" s="16"/>
    </row>
    <row r="4070" customFormat="false" ht="15.75" hidden="false" customHeight="false" outlineLevel="0" collapsed="false">
      <c r="A4070" s="9"/>
      <c r="B4070" s="10"/>
      <c r="C4070" s="11"/>
      <c r="D4070" s="10"/>
      <c r="E4070" s="10"/>
      <c r="F4070" s="10"/>
      <c r="G4070" s="10"/>
      <c r="H4070" s="10"/>
      <c r="I4070" s="12" t="n">
        <v>1</v>
      </c>
      <c r="J4070" s="12"/>
      <c r="K4070" s="13"/>
      <c r="L4070" s="13"/>
      <c r="M4070" s="12"/>
      <c r="N4070" s="12"/>
      <c r="O4070" s="12"/>
      <c r="P4070" s="13"/>
      <c r="Q4070" s="13"/>
      <c r="R4070" s="12"/>
      <c r="S4070" s="12"/>
      <c r="T4070" s="12"/>
      <c r="U4070" s="14"/>
      <c r="V4070" s="15"/>
      <c r="W4070" s="16" t="n">
        <f aca="false">A4070</f>
        <v>0</v>
      </c>
      <c r="X4070" s="17" t="e">
        <f aca="false">ifs(C4070="","",X4070="",NOW(),TRUE(),X4070)</f>
        <v>#VALUE!</v>
      </c>
      <c r="Y4070" s="17" t="e">
        <f aca="false">ifs(COUNTA(K4070:U4073)&lt;44,"",Y4070="",NOW(),TRUE(),Y4070)</f>
        <v>#VALUE!</v>
      </c>
    </row>
    <row r="4071" customFormat="false" ht="15.75" hidden="false" customHeight="false" outlineLevel="0" collapsed="false">
      <c r="A4071" s="9"/>
      <c r="B4071" s="10"/>
      <c r="C4071" s="10"/>
      <c r="D4071" s="10"/>
      <c r="E4071" s="10"/>
      <c r="F4071" s="10"/>
      <c r="G4071" s="10"/>
      <c r="H4071" s="10"/>
      <c r="I4071" s="18" t="n">
        <v>2</v>
      </c>
      <c r="J4071" s="18"/>
      <c r="K4071" s="19"/>
      <c r="L4071" s="19"/>
      <c r="M4071" s="18"/>
      <c r="N4071" s="18"/>
      <c r="O4071" s="18"/>
      <c r="P4071" s="19"/>
      <c r="Q4071" s="19"/>
      <c r="R4071" s="18"/>
      <c r="S4071" s="18"/>
      <c r="T4071" s="18"/>
      <c r="U4071" s="20"/>
      <c r="V4071" s="21"/>
      <c r="W4071" s="16"/>
      <c r="X4071" s="16"/>
      <c r="Y4071" s="16"/>
    </row>
    <row r="4072" customFormat="false" ht="15.75" hidden="false" customHeight="false" outlineLevel="0" collapsed="false">
      <c r="A4072" s="9"/>
      <c r="B4072" s="10"/>
      <c r="C4072" s="10"/>
      <c r="D4072" s="10"/>
      <c r="E4072" s="10"/>
      <c r="F4072" s="10"/>
      <c r="G4072" s="10"/>
      <c r="H4072" s="10"/>
      <c r="I4072" s="22" t="n">
        <v>3</v>
      </c>
      <c r="J4072" s="22"/>
      <c r="K4072" s="23"/>
      <c r="L4072" s="23"/>
      <c r="M4072" s="22"/>
      <c r="N4072" s="22"/>
      <c r="O4072" s="22"/>
      <c r="P4072" s="23"/>
      <c r="Q4072" s="23"/>
      <c r="R4072" s="22"/>
      <c r="S4072" s="22"/>
      <c r="T4072" s="22"/>
      <c r="U4072" s="24"/>
      <c r="V4072" s="15"/>
      <c r="W4072" s="16"/>
      <c r="X4072" s="16"/>
      <c r="Y4072" s="16"/>
    </row>
    <row r="4073" customFormat="false" ht="15.75" hidden="false" customHeight="false" outlineLevel="0" collapsed="false">
      <c r="A4073" s="9"/>
      <c r="B4073" s="10"/>
      <c r="C4073" s="10"/>
      <c r="D4073" s="10"/>
      <c r="E4073" s="10"/>
      <c r="F4073" s="10"/>
      <c r="G4073" s="10"/>
      <c r="H4073" s="10"/>
      <c r="I4073" s="25" t="n">
        <v>4</v>
      </c>
      <c r="J4073" s="25"/>
      <c r="K4073" s="26"/>
      <c r="L4073" s="26"/>
      <c r="M4073" s="25"/>
      <c r="N4073" s="25"/>
      <c r="O4073" s="25"/>
      <c r="P4073" s="26"/>
      <c r="Q4073" s="26"/>
      <c r="R4073" s="25"/>
      <c r="S4073" s="25"/>
      <c r="T4073" s="25"/>
      <c r="U4073" s="27"/>
      <c r="V4073" s="21"/>
      <c r="W4073" s="16"/>
      <c r="X4073" s="16"/>
      <c r="Y4073" s="16"/>
    </row>
    <row r="4074" customFormat="false" ht="15.75" hidden="false" customHeight="false" outlineLevel="0" collapsed="false">
      <c r="A4074" s="9"/>
      <c r="B4074" s="10"/>
      <c r="C4074" s="11"/>
      <c r="D4074" s="10"/>
      <c r="E4074" s="10"/>
      <c r="F4074" s="10"/>
      <c r="G4074" s="10"/>
      <c r="H4074" s="10"/>
      <c r="I4074" s="12" t="n">
        <v>1</v>
      </c>
      <c r="J4074" s="12"/>
      <c r="K4074" s="13"/>
      <c r="L4074" s="13"/>
      <c r="M4074" s="12"/>
      <c r="N4074" s="12"/>
      <c r="O4074" s="12"/>
      <c r="P4074" s="13"/>
      <c r="Q4074" s="13"/>
      <c r="R4074" s="12"/>
      <c r="S4074" s="12"/>
      <c r="T4074" s="12"/>
      <c r="U4074" s="14"/>
      <c r="V4074" s="15"/>
      <c r="W4074" s="16" t="n">
        <f aca="false">A4074</f>
        <v>0</v>
      </c>
      <c r="X4074" s="17" t="e">
        <f aca="false">ifs(C4074="","",X4074="",NOW(),TRUE(),X4074)</f>
        <v>#VALUE!</v>
      </c>
      <c r="Y4074" s="17" t="e">
        <f aca="false">ifs(COUNTA(K4074:U4077)&lt;44,"",Y4074="",NOW(),TRUE(),Y4074)</f>
        <v>#VALUE!</v>
      </c>
    </row>
    <row r="4075" customFormat="false" ht="15.75" hidden="false" customHeight="false" outlineLevel="0" collapsed="false">
      <c r="A4075" s="9"/>
      <c r="B4075" s="10"/>
      <c r="C4075" s="10"/>
      <c r="D4075" s="10"/>
      <c r="E4075" s="10"/>
      <c r="F4075" s="10"/>
      <c r="G4075" s="10"/>
      <c r="H4075" s="10"/>
      <c r="I4075" s="18" t="n">
        <v>2</v>
      </c>
      <c r="J4075" s="18"/>
      <c r="K4075" s="19"/>
      <c r="L4075" s="19"/>
      <c r="M4075" s="18"/>
      <c r="N4075" s="18"/>
      <c r="O4075" s="18"/>
      <c r="P4075" s="19"/>
      <c r="Q4075" s="19"/>
      <c r="R4075" s="18"/>
      <c r="S4075" s="18"/>
      <c r="T4075" s="18"/>
      <c r="U4075" s="20"/>
      <c r="V4075" s="21"/>
      <c r="W4075" s="16"/>
      <c r="X4075" s="16"/>
      <c r="Y4075" s="16"/>
    </row>
    <row r="4076" customFormat="false" ht="15.75" hidden="false" customHeight="false" outlineLevel="0" collapsed="false">
      <c r="A4076" s="9"/>
      <c r="B4076" s="10"/>
      <c r="C4076" s="10"/>
      <c r="D4076" s="10"/>
      <c r="E4076" s="10"/>
      <c r="F4076" s="10"/>
      <c r="G4076" s="10"/>
      <c r="H4076" s="10"/>
      <c r="I4076" s="22" t="n">
        <v>3</v>
      </c>
      <c r="J4076" s="22"/>
      <c r="K4076" s="23"/>
      <c r="L4076" s="23"/>
      <c r="M4076" s="22"/>
      <c r="N4076" s="22"/>
      <c r="O4076" s="22"/>
      <c r="P4076" s="23"/>
      <c r="Q4076" s="23"/>
      <c r="R4076" s="22"/>
      <c r="S4076" s="22"/>
      <c r="T4076" s="22"/>
      <c r="U4076" s="24"/>
      <c r="V4076" s="15"/>
      <c r="W4076" s="16"/>
      <c r="X4076" s="16"/>
      <c r="Y4076" s="16"/>
    </row>
    <row r="4077" customFormat="false" ht="15.75" hidden="false" customHeight="false" outlineLevel="0" collapsed="false">
      <c r="A4077" s="9"/>
      <c r="B4077" s="10"/>
      <c r="C4077" s="10"/>
      <c r="D4077" s="10"/>
      <c r="E4077" s="10"/>
      <c r="F4077" s="10"/>
      <c r="G4077" s="10"/>
      <c r="H4077" s="10"/>
      <c r="I4077" s="25" t="n">
        <v>4</v>
      </c>
      <c r="J4077" s="25"/>
      <c r="K4077" s="26"/>
      <c r="L4077" s="26"/>
      <c r="M4077" s="25"/>
      <c r="N4077" s="25"/>
      <c r="O4077" s="25"/>
      <c r="P4077" s="26"/>
      <c r="Q4077" s="26"/>
      <c r="R4077" s="25"/>
      <c r="S4077" s="25"/>
      <c r="T4077" s="25"/>
      <c r="U4077" s="27"/>
      <c r="V4077" s="21"/>
      <c r="W4077" s="16"/>
      <c r="X4077" s="16"/>
      <c r="Y4077" s="16"/>
    </row>
    <row r="4078" customFormat="false" ht="15.75" hidden="false" customHeight="false" outlineLevel="0" collapsed="false">
      <c r="A4078" s="9"/>
      <c r="B4078" s="10"/>
      <c r="C4078" s="11"/>
      <c r="D4078" s="10"/>
      <c r="E4078" s="10"/>
      <c r="F4078" s="10"/>
      <c r="G4078" s="10"/>
      <c r="H4078" s="10"/>
      <c r="I4078" s="12" t="n">
        <v>1</v>
      </c>
      <c r="J4078" s="12"/>
      <c r="K4078" s="13"/>
      <c r="L4078" s="13"/>
      <c r="M4078" s="12"/>
      <c r="N4078" s="12"/>
      <c r="O4078" s="12"/>
      <c r="P4078" s="13"/>
      <c r="Q4078" s="13"/>
      <c r="R4078" s="12"/>
      <c r="S4078" s="12"/>
      <c r="T4078" s="12"/>
      <c r="U4078" s="14"/>
      <c r="V4078" s="15"/>
      <c r="W4078" s="16" t="n">
        <f aca="false">A4078</f>
        <v>0</v>
      </c>
      <c r="X4078" s="17" t="e">
        <f aca="false">ifs(C4078="","",X4078="",NOW(),TRUE(),X4078)</f>
        <v>#VALUE!</v>
      </c>
      <c r="Y4078" s="17" t="e">
        <f aca="false">ifs(COUNTA(K4078:U4081)&lt;44,"",Y4078="",NOW(),TRUE(),Y4078)</f>
        <v>#VALUE!</v>
      </c>
    </row>
    <row r="4079" customFormat="false" ht="15.75" hidden="false" customHeight="false" outlineLevel="0" collapsed="false">
      <c r="A4079" s="9"/>
      <c r="B4079" s="10"/>
      <c r="C4079" s="10"/>
      <c r="D4079" s="10"/>
      <c r="E4079" s="10"/>
      <c r="F4079" s="10"/>
      <c r="G4079" s="10"/>
      <c r="H4079" s="10"/>
      <c r="I4079" s="18" t="n">
        <v>2</v>
      </c>
      <c r="J4079" s="18"/>
      <c r="K4079" s="19"/>
      <c r="L4079" s="19"/>
      <c r="M4079" s="18"/>
      <c r="N4079" s="18"/>
      <c r="O4079" s="18"/>
      <c r="P4079" s="19"/>
      <c r="Q4079" s="19"/>
      <c r="R4079" s="18"/>
      <c r="S4079" s="18"/>
      <c r="T4079" s="18"/>
      <c r="U4079" s="20"/>
      <c r="V4079" s="21"/>
      <c r="W4079" s="16"/>
      <c r="X4079" s="16"/>
      <c r="Y4079" s="16"/>
    </row>
    <row r="4080" customFormat="false" ht="15.75" hidden="false" customHeight="false" outlineLevel="0" collapsed="false">
      <c r="A4080" s="9"/>
      <c r="B4080" s="10"/>
      <c r="C4080" s="10"/>
      <c r="D4080" s="10"/>
      <c r="E4080" s="10"/>
      <c r="F4080" s="10"/>
      <c r="G4080" s="10"/>
      <c r="H4080" s="10"/>
      <c r="I4080" s="22" t="n">
        <v>3</v>
      </c>
      <c r="J4080" s="22"/>
      <c r="K4080" s="23"/>
      <c r="L4080" s="23"/>
      <c r="M4080" s="22"/>
      <c r="N4080" s="22"/>
      <c r="O4080" s="22"/>
      <c r="P4080" s="23"/>
      <c r="Q4080" s="23"/>
      <c r="R4080" s="22"/>
      <c r="S4080" s="22"/>
      <c r="T4080" s="22"/>
      <c r="U4080" s="24"/>
      <c r="V4080" s="15"/>
      <c r="W4080" s="16"/>
      <c r="X4080" s="16"/>
      <c r="Y4080" s="16"/>
    </row>
    <row r="4081" customFormat="false" ht="15.75" hidden="false" customHeight="false" outlineLevel="0" collapsed="false">
      <c r="A4081" s="9"/>
      <c r="B4081" s="10"/>
      <c r="C4081" s="10"/>
      <c r="D4081" s="10"/>
      <c r="E4081" s="10"/>
      <c r="F4081" s="10"/>
      <c r="G4081" s="10"/>
      <c r="H4081" s="10"/>
      <c r="I4081" s="25" t="n">
        <v>4</v>
      </c>
      <c r="J4081" s="25"/>
      <c r="K4081" s="26"/>
      <c r="L4081" s="26"/>
      <c r="M4081" s="25"/>
      <c r="N4081" s="25"/>
      <c r="O4081" s="25"/>
      <c r="P4081" s="26"/>
      <c r="Q4081" s="26"/>
      <c r="R4081" s="25"/>
      <c r="S4081" s="25"/>
      <c r="T4081" s="25"/>
      <c r="U4081" s="27"/>
      <c r="V4081" s="21"/>
      <c r="W4081" s="16"/>
      <c r="X4081" s="16"/>
      <c r="Y4081" s="16"/>
    </row>
    <row r="4082" customFormat="false" ht="15.75" hidden="false" customHeight="false" outlineLevel="0" collapsed="false">
      <c r="A4082" s="9"/>
      <c r="B4082" s="10"/>
      <c r="C4082" s="11"/>
      <c r="D4082" s="10"/>
      <c r="E4082" s="10"/>
      <c r="F4082" s="10"/>
      <c r="G4082" s="10"/>
      <c r="H4082" s="10"/>
      <c r="I4082" s="12" t="n">
        <v>1</v>
      </c>
      <c r="J4082" s="12"/>
      <c r="K4082" s="13"/>
      <c r="L4082" s="13"/>
      <c r="M4082" s="12"/>
      <c r="N4082" s="12"/>
      <c r="O4082" s="12"/>
      <c r="P4082" s="13"/>
      <c r="Q4082" s="13"/>
      <c r="R4082" s="12"/>
      <c r="S4082" s="12"/>
      <c r="T4082" s="12"/>
      <c r="U4082" s="14"/>
      <c r="V4082" s="15"/>
      <c r="W4082" s="16" t="n">
        <f aca="false">A4082</f>
        <v>0</v>
      </c>
      <c r="X4082" s="17" t="e">
        <f aca="false">ifs(C4082="","",X4082="",NOW(),TRUE(),X4082)</f>
        <v>#VALUE!</v>
      </c>
      <c r="Y4082" s="17" t="e">
        <f aca="false">ifs(COUNTA(K4082:U4085)&lt;44,"",Y4082="",NOW(),TRUE(),Y4082)</f>
        <v>#VALUE!</v>
      </c>
    </row>
    <row r="4083" customFormat="false" ht="15.75" hidden="false" customHeight="false" outlineLevel="0" collapsed="false">
      <c r="A4083" s="9"/>
      <c r="B4083" s="10"/>
      <c r="C4083" s="10"/>
      <c r="D4083" s="10"/>
      <c r="E4083" s="10"/>
      <c r="F4083" s="10"/>
      <c r="G4083" s="10"/>
      <c r="H4083" s="10"/>
      <c r="I4083" s="18" t="n">
        <v>2</v>
      </c>
      <c r="J4083" s="18"/>
      <c r="K4083" s="19"/>
      <c r="L4083" s="19"/>
      <c r="M4083" s="18"/>
      <c r="N4083" s="18"/>
      <c r="O4083" s="18"/>
      <c r="P4083" s="19"/>
      <c r="Q4083" s="19"/>
      <c r="R4083" s="18"/>
      <c r="S4083" s="18"/>
      <c r="T4083" s="18"/>
      <c r="U4083" s="20"/>
      <c r="V4083" s="21"/>
      <c r="W4083" s="16"/>
      <c r="X4083" s="16"/>
      <c r="Y4083" s="16"/>
    </row>
    <row r="4084" customFormat="false" ht="15.75" hidden="false" customHeight="false" outlineLevel="0" collapsed="false">
      <c r="A4084" s="9"/>
      <c r="B4084" s="10"/>
      <c r="C4084" s="10"/>
      <c r="D4084" s="10"/>
      <c r="E4084" s="10"/>
      <c r="F4084" s="10"/>
      <c r="G4084" s="10"/>
      <c r="H4084" s="10"/>
      <c r="I4084" s="22" t="n">
        <v>3</v>
      </c>
      <c r="J4084" s="22"/>
      <c r="K4084" s="23"/>
      <c r="L4084" s="23"/>
      <c r="M4084" s="22"/>
      <c r="N4084" s="22"/>
      <c r="O4084" s="22"/>
      <c r="P4084" s="23"/>
      <c r="Q4084" s="23"/>
      <c r="R4084" s="22"/>
      <c r="S4084" s="22"/>
      <c r="T4084" s="22"/>
      <c r="U4084" s="24"/>
      <c r="V4084" s="15"/>
      <c r="W4084" s="16"/>
      <c r="X4084" s="16"/>
      <c r="Y4084" s="16"/>
    </row>
    <row r="4085" customFormat="false" ht="15.75" hidden="false" customHeight="false" outlineLevel="0" collapsed="false">
      <c r="A4085" s="9"/>
      <c r="B4085" s="10"/>
      <c r="C4085" s="10"/>
      <c r="D4085" s="10"/>
      <c r="E4085" s="10"/>
      <c r="F4085" s="10"/>
      <c r="G4085" s="10"/>
      <c r="H4085" s="10"/>
      <c r="I4085" s="25" t="n">
        <v>4</v>
      </c>
      <c r="J4085" s="25"/>
      <c r="K4085" s="26"/>
      <c r="L4085" s="26"/>
      <c r="M4085" s="25"/>
      <c r="N4085" s="25"/>
      <c r="O4085" s="25"/>
      <c r="P4085" s="26"/>
      <c r="Q4085" s="26"/>
      <c r="R4085" s="25"/>
      <c r="S4085" s="25"/>
      <c r="T4085" s="25"/>
      <c r="U4085" s="27"/>
      <c r="V4085" s="21"/>
      <c r="W4085" s="16"/>
      <c r="X4085" s="16"/>
      <c r="Y4085" s="16"/>
    </row>
    <row r="4086" customFormat="false" ht="15.75" hidden="false" customHeight="false" outlineLevel="0" collapsed="false">
      <c r="A4086" s="9"/>
      <c r="B4086" s="10"/>
      <c r="C4086" s="11"/>
      <c r="D4086" s="10"/>
      <c r="E4086" s="10"/>
      <c r="F4086" s="10"/>
      <c r="G4086" s="10"/>
      <c r="H4086" s="10"/>
      <c r="I4086" s="12" t="n">
        <v>1</v>
      </c>
      <c r="J4086" s="12"/>
      <c r="K4086" s="13"/>
      <c r="L4086" s="13"/>
      <c r="M4086" s="12"/>
      <c r="N4086" s="12"/>
      <c r="O4086" s="12"/>
      <c r="P4086" s="13"/>
      <c r="Q4086" s="13"/>
      <c r="R4086" s="12"/>
      <c r="S4086" s="12"/>
      <c r="T4086" s="12"/>
      <c r="U4086" s="14"/>
      <c r="V4086" s="15"/>
      <c r="W4086" s="16" t="n">
        <f aca="false">A4086</f>
        <v>0</v>
      </c>
      <c r="X4086" s="17" t="e">
        <f aca="false">ifs(C4086="","",X4086="",NOW(),TRUE(),X4086)</f>
        <v>#VALUE!</v>
      </c>
      <c r="Y4086" s="17" t="e">
        <f aca="false">ifs(COUNTA(K4086:U4089)&lt;44,"",Y4086="",NOW(),TRUE(),Y4086)</f>
        <v>#VALUE!</v>
      </c>
    </row>
    <row r="4087" customFormat="false" ht="15.75" hidden="false" customHeight="false" outlineLevel="0" collapsed="false">
      <c r="A4087" s="9"/>
      <c r="B4087" s="10"/>
      <c r="C4087" s="10"/>
      <c r="D4087" s="10"/>
      <c r="E4087" s="10"/>
      <c r="F4087" s="10"/>
      <c r="G4087" s="10"/>
      <c r="H4087" s="10"/>
      <c r="I4087" s="18" t="n">
        <v>2</v>
      </c>
      <c r="J4087" s="18"/>
      <c r="K4087" s="19"/>
      <c r="L4087" s="19"/>
      <c r="M4087" s="18"/>
      <c r="N4087" s="18"/>
      <c r="O4087" s="18"/>
      <c r="P4087" s="19"/>
      <c r="Q4087" s="19"/>
      <c r="R4087" s="18"/>
      <c r="S4087" s="18"/>
      <c r="T4087" s="18"/>
      <c r="U4087" s="20"/>
      <c r="V4087" s="21"/>
      <c r="W4087" s="16"/>
      <c r="X4087" s="16"/>
      <c r="Y4087" s="16"/>
    </row>
    <row r="4088" customFormat="false" ht="15.75" hidden="false" customHeight="false" outlineLevel="0" collapsed="false">
      <c r="A4088" s="9"/>
      <c r="B4088" s="10"/>
      <c r="C4088" s="10"/>
      <c r="D4088" s="10"/>
      <c r="E4088" s="10"/>
      <c r="F4088" s="10"/>
      <c r="G4088" s="10"/>
      <c r="H4088" s="10"/>
      <c r="I4088" s="22" t="n">
        <v>3</v>
      </c>
      <c r="J4088" s="22"/>
      <c r="K4088" s="23"/>
      <c r="L4088" s="23"/>
      <c r="M4088" s="22"/>
      <c r="N4088" s="22"/>
      <c r="O4088" s="22"/>
      <c r="P4088" s="23"/>
      <c r="Q4088" s="23"/>
      <c r="R4088" s="22"/>
      <c r="S4088" s="22"/>
      <c r="T4088" s="22"/>
      <c r="U4088" s="24"/>
      <c r="V4088" s="15"/>
      <c r="W4088" s="16"/>
      <c r="X4088" s="16"/>
      <c r="Y4088" s="16"/>
    </row>
    <row r="4089" customFormat="false" ht="15.75" hidden="false" customHeight="false" outlineLevel="0" collapsed="false">
      <c r="A4089" s="9"/>
      <c r="B4089" s="10"/>
      <c r="C4089" s="10"/>
      <c r="D4089" s="10"/>
      <c r="E4089" s="10"/>
      <c r="F4089" s="10"/>
      <c r="G4089" s="10"/>
      <c r="H4089" s="10"/>
      <c r="I4089" s="25" t="n">
        <v>4</v>
      </c>
      <c r="J4089" s="25"/>
      <c r="K4089" s="26"/>
      <c r="L4089" s="26"/>
      <c r="M4089" s="25"/>
      <c r="N4089" s="25"/>
      <c r="O4089" s="25"/>
      <c r="P4089" s="26"/>
      <c r="Q4089" s="26"/>
      <c r="R4089" s="25"/>
      <c r="S4089" s="25"/>
      <c r="T4089" s="25"/>
      <c r="U4089" s="27"/>
      <c r="V4089" s="21"/>
      <c r="W4089" s="16"/>
      <c r="X4089" s="16"/>
      <c r="Y4089" s="16"/>
    </row>
    <row r="4090" customFormat="false" ht="15.75" hidden="false" customHeight="false" outlineLevel="0" collapsed="false">
      <c r="A4090" s="9"/>
      <c r="B4090" s="10"/>
      <c r="C4090" s="11"/>
      <c r="D4090" s="10"/>
      <c r="E4090" s="10"/>
      <c r="F4090" s="10"/>
      <c r="G4090" s="10"/>
      <c r="H4090" s="10"/>
      <c r="I4090" s="12" t="n">
        <v>1</v>
      </c>
      <c r="J4090" s="12"/>
      <c r="K4090" s="13"/>
      <c r="L4090" s="13"/>
      <c r="M4090" s="12"/>
      <c r="N4090" s="12"/>
      <c r="O4090" s="12"/>
      <c r="P4090" s="13"/>
      <c r="Q4090" s="13"/>
      <c r="R4090" s="12"/>
      <c r="S4090" s="12"/>
      <c r="T4090" s="12"/>
      <c r="U4090" s="14"/>
      <c r="V4090" s="15"/>
      <c r="W4090" s="16" t="n">
        <f aca="false">A4090</f>
        <v>0</v>
      </c>
      <c r="X4090" s="17" t="e">
        <f aca="false">ifs(C4090="","",X4090="",NOW(),TRUE(),X4090)</f>
        <v>#VALUE!</v>
      </c>
      <c r="Y4090" s="17" t="e">
        <f aca="false">ifs(COUNTA(K4090:U4093)&lt;44,"",Y4090="",NOW(),TRUE(),Y4090)</f>
        <v>#VALUE!</v>
      </c>
    </row>
    <row r="4091" customFormat="false" ht="15.75" hidden="false" customHeight="false" outlineLevel="0" collapsed="false">
      <c r="A4091" s="9"/>
      <c r="B4091" s="10"/>
      <c r="C4091" s="10"/>
      <c r="D4091" s="10"/>
      <c r="E4091" s="10"/>
      <c r="F4091" s="10"/>
      <c r="G4091" s="10"/>
      <c r="H4091" s="10"/>
      <c r="I4091" s="18" t="n">
        <v>2</v>
      </c>
      <c r="J4091" s="18"/>
      <c r="K4091" s="19"/>
      <c r="L4091" s="19"/>
      <c r="M4091" s="18"/>
      <c r="N4091" s="18"/>
      <c r="O4091" s="18"/>
      <c r="P4091" s="19"/>
      <c r="Q4091" s="19"/>
      <c r="R4091" s="18"/>
      <c r="S4091" s="18"/>
      <c r="T4091" s="18"/>
      <c r="U4091" s="20"/>
      <c r="V4091" s="21"/>
      <c r="W4091" s="16"/>
      <c r="X4091" s="16"/>
      <c r="Y4091" s="16"/>
    </row>
    <row r="4092" customFormat="false" ht="15.75" hidden="false" customHeight="false" outlineLevel="0" collapsed="false">
      <c r="A4092" s="9"/>
      <c r="B4092" s="10"/>
      <c r="C4092" s="10"/>
      <c r="D4092" s="10"/>
      <c r="E4092" s="10"/>
      <c r="F4092" s="10"/>
      <c r="G4092" s="10"/>
      <c r="H4092" s="10"/>
      <c r="I4092" s="22" t="n">
        <v>3</v>
      </c>
      <c r="J4092" s="22"/>
      <c r="K4092" s="23"/>
      <c r="L4092" s="23"/>
      <c r="M4092" s="22"/>
      <c r="N4092" s="22"/>
      <c r="O4092" s="22"/>
      <c r="P4092" s="23"/>
      <c r="Q4092" s="23"/>
      <c r="R4092" s="22"/>
      <c r="S4092" s="22"/>
      <c r="T4092" s="22"/>
      <c r="U4092" s="24"/>
      <c r="V4092" s="15"/>
      <c r="W4092" s="16"/>
      <c r="X4092" s="16"/>
      <c r="Y4092" s="16"/>
    </row>
    <row r="4093" customFormat="false" ht="15.75" hidden="false" customHeight="false" outlineLevel="0" collapsed="false">
      <c r="A4093" s="9"/>
      <c r="B4093" s="10"/>
      <c r="C4093" s="10"/>
      <c r="D4093" s="10"/>
      <c r="E4093" s="10"/>
      <c r="F4093" s="10"/>
      <c r="G4093" s="10"/>
      <c r="H4093" s="10"/>
      <c r="I4093" s="25" t="n">
        <v>4</v>
      </c>
      <c r="J4093" s="25"/>
      <c r="K4093" s="26"/>
      <c r="L4093" s="26"/>
      <c r="M4093" s="25"/>
      <c r="N4093" s="25"/>
      <c r="O4093" s="25"/>
      <c r="P4093" s="26"/>
      <c r="Q4093" s="26"/>
      <c r="R4093" s="25"/>
      <c r="S4093" s="25"/>
      <c r="T4093" s="25"/>
      <c r="U4093" s="27"/>
      <c r="V4093" s="21"/>
      <c r="W4093" s="16"/>
      <c r="X4093" s="16"/>
      <c r="Y4093" s="16"/>
    </row>
    <row r="4094" customFormat="false" ht="15.75" hidden="false" customHeight="false" outlineLevel="0" collapsed="false">
      <c r="A4094" s="9"/>
      <c r="B4094" s="10"/>
      <c r="C4094" s="11"/>
      <c r="D4094" s="10"/>
      <c r="E4094" s="10"/>
      <c r="F4094" s="10"/>
      <c r="G4094" s="10"/>
      <c r="H4094" s="10"/>
      <c r="I4094" s="12" t="n">
        <v>1</v>
      </c>
      <c r="J4094" s="12"/>
      <c r="K4094" s="13"/>
      <c r="L4094" s="13"/>
      <c r="M4094" s="12"/>
      <c r="N4094" s="12"/>
      <c r="O4094" s="12"/>
      <c r="P4094" s="13"/>
      <c r="Q4094" s="13"/>
      <c r="R4094" s="12"/>
      <c r="S4094" s="12"/>
      <c r="T4094" s="12"/>
      <c r="U4094" s="14"/>
      <c r="V4094" s="15"/>
      <c r="W4094" s="16" t="n">
        <f aca="false">A4094</f>
        <v>0</v>
      </c>
      <c r="X4094" s="17" t="e">
        <f aca="false">ifs(C4094="","",X4094="",NOW(),TRUE(),X4094)</f>
        <v>#VALUE!</v>
      </c>
      <c r="Y4094" s="17" t="e">
        <f aca="false">ifs(COUNTA(K4094:U4097)&lt;44,"",Y4094="",NOW(),TRUE(),Y4094)</f>
        <v>#VALUE!</v>
      </c>
    </row>
    <row r="4095" customFormat="false" ht="15.75" hidden="false" customHeight="false" outlineLevel="0" collapsed="false">
      <c r="A4095" s="9"/>
      <c r="B4095" s="10"/>
      <c r="C4095" s="10"/>
      <c r="D4095" s="10"/>
      <c r="E4095" s="10"/>
      <c r="F4095" s="10"/>
      <c r="G4095" s="10"/>
      <c r="H4095" s="10"/>
      <c r="I4095" s="18" t="n">
        <v>2</v>
      </c>
      <c r="J4095" s="18"/>
      <c r="K4095" s="19"/>
      <c r="L4095" s="19"/>
      <c r="M4095" s="18"/>
      <c r="N4095" s="18"/>
      <c r="O4095" s="18"/>
      <c r="P4095" s="19"/>
      <c r="Q4095" s="19"/>
      <c r="R4095" s="18"/>
      <c r="S4095" s="18"/>
      <c r="T4095" s="18"/>
      <c r="U4095" s="20"/>
      <c r="V4095" s="21"/>
      <c r="W4095" s="16"/>
      <c r="X4095" s="16"/>
      <c r="Y4095" s="16"/>
    </row>
    <row r="4096" customFormat="false" ht="15.75" hidden="false" customHeight="false" outlineLevel="0" collapsed="false">
      <c r="A4096" s="9"/>
      <c r="B4096" s="10"/>
      <c r="C4096" s="10"/>
      <c r="D4096" s="10"/>
      <c r="E4096" s="10"/>
      <c r="F4096" s="10"/>
      <c r="G4096" s="10"/>
      <c r="H4096" s="10"/>
      <c r="I4096" s="22" t="n">
        <v>3</v>
      </c>
      <c r="J4096" s="22"/>
      <c r="K4096" s="23"/>
      <c r="L4096" s="23"/>
      <c r="M4096" s="22"/>
      <c r="N4096" s="22"/>
      <c r="O4096" s="22"/>
      <c r="P4096" s="23"/>
      <c r="Q4096" s="23"/>
      <c r="R4096" s="22"/>
      <c r="S4096" s="22"/>
      <c r="T4096" s="22"/>
      <c r="U4096" s="24"/>
      <c r="V4096" s="15"/>
      <c r="W4096" s="16"/>
      <c r="X4096" s="16"/>
      <c r="Y4096" s="16"/>
    </row>
    <row r="4097" customFormat="false" ht="15.75" hidden="false" customHeight="false" outlineLevel="0" collapsed="false">
      <c r="A4097" s="9"/>
      <c r="B4097" s="10"/>
      <c r="C4097" s="10"/>
      <c r="D4097" s="10"/>
      <c r="E4097" s="10"/>
      <c r="F4097" s="10"/>
      <c r="G4097" s="10"/>
      <c r="H4097" s="10"/>
      <c r="I4097" s="25" t="n">
        <v>4</v>
      </c>
      <c r="J4097" s="25"/>
      <c r="K4097" s="26"/>
      <c r="L4097" s="26"/>
      <c r="M4097" s="25"/>
      <c r="N4097" s="25"/>
      <c r="O4097" s="25"/>
      <c r="P4097" s="26"/>
      <c r="Q4097" s="26"/>
      <c r="R4097" s="25"/>
      <c r="S4097" s="25"/>
      <c r="T4097" s="25"/>
      <c r="U4097" s="27"/>
      <c r="V4097" s="21"/>
      <c r="W4097" s="16"/>
      <c r="X4097" s="16"/>
      <c r="Y4097" s="16"/>
    </row>
    <row r="4098" customFormat="false" ht="15.75" hidden="false" customHeight="false" outlineLevel="0" collapsed="false">
      <c r="A4098" s="9"/>
      <c r="B4098" s="10"/>
      <c r="C4098" s="11"/>
      <c r="D4098" s="10"/>
      <c r="E4098" s="10"/>
      <c r="F4098" s="10"/>
      <c r="G4098" s="10"/>
      <c r="H4098" s="10"/>
      <c r="I4098" s="12" t="n">
        <v>1</v>
      </c>
      <c r="J4098" s="12"/>
      <c r="K4098" s="13"/>
      <c r="L4098" s="13"/>
      <c r="M4098" s="12"/>
      <c r="N4098" s="12"/>
      <c r="O4098" s="12"/>
      <c r="P4098" s="13"/>
      <c r="Q4098" s="13"/>
      <c r="R4098" s="12"/>
      <c r="S4098" s="12"/>
      <c r="T4098" s="12"/>
      <c r="U4098" s="14"/>
      <c r="V4098" s="15"/>
      <c r="W4098" s="16" t="n">
        <f aca="false">A4098</f>
        <v>0</v>
      </c>
      <c r="X4098" s="17" t="e">
        <f aca="false">ifs(C4098="","",X4098="",NOW(),TRUE(),X4098)</f>
        <v>#VALUE!</v>
      </c>
      <c r="Y4098" s="17" t="e">
        <f aca="false">ifs(COUNTA(K4098:U4101)&lt;44,"",Y4098="",NOW(),TRUE(),Y4098)</f>
        <v>#VALUE!</v>
      </c>
    </row>
    <row r="4099" customFormat="false" ht="15.75" hidden="false" customHeight="false" outlineLevel="0" collapsed="false">
      <c r="A4099" s="9"/>
      <c r="B4099" s="10"/>
      <c r="C4099" s="10"/>
      <c r="D4099" s="10"/>
      <c r="E4099" s="10"/>
      <c r="F4099" s="10"/>
      <c r="G4099" s="10"/>
      <c r="H4099" s="10"/>
      <c r="I4099" s="18" t="n">
        <v>2</v>
      </c>
      <c r="J4099" s="18"/>
      <c r="K4099" s="19"/>
      <c r="L4099" s="19"/>
      <c r="M4099" s="18"/>
      <c r="N4099" s="18"/>
      <c r="O4099" s="18"/>
      <c r="P4099" s="19"/>
      <c r="Q4099" s="19"/>
      <c r="R4099" s="18"/>
      <c r="S4099" s="18"/>
      <c r="T4099" s="18"/>
      <c r="U4099" s="20"/>
      <c r="V4099" s="21"/>
      <c r="W4099" s="16"/>
      <c r="X4099" s="16"/>
      <c r="Y4099" s="16"/>
    </row>
    <row r="4100" customFormat="false" ht="15.75" hidden="false" customHeight="false" outlineLevel="0" collapsed="false">
      <c r="A4100" s="9"/>
      <c r="B4100" s="10"/>
      <c r="C4100" s="10"/>
      <c r="D4100" s="10"/>
      <c r="E4100" s="10"/>
      <c r="F4100" s="10"/>
      <c r="G4100" s="10"/>
      <c r="H4100" s="10"/>
      <c r="I4100" s="22" t="n">
        <v>3</v>
      </c>
      <c r="J4100" s="22"/>
      <c r="K4100" s="23"/>
      <c r="L4100" s="23"/>
      <c r="M4100" s="22"/>
      <c r="N4100" s="22"/>
      <c r="O4100" s="22"/>
      <c r="P4100" s="23"/>
      <c r="Q4100" s="23"/>
      <c r="R4100" s="22"/>
      <c r="S4100" s="22"/>
      <c r="T4100" s="22"/>
      <c r="U4100" s="24"/>
      <c r="V4100" s="15"/>
      <c r="W4100" s="16"/>
      <c r="X4100" s="16"/>
      <c r="Y4100" s="16"/>
    </row>
    <row r="4101" customFormat="false" ht="15.75" hidden="false" customHeight="false" outlineLevel="0" collapsed="false">
      <c r="A4101" s="9"/>
      <c r="B4101" s="10"/>
      <c r="C4101" s="10"/>
      <c r="D4101" s="10"/>
      <c r="E4101" s="10"/>
      <c r="F4101" s="10"/>
      <c r="G4101" s="10"/>
      <c r="H4101" s="10"/>
      <c r="I4101" s="25" t="n">
        <v>4</v>
      </c>
      <c r="J4101" s="25"/>
      <c r="K4101" s="26"/>
      <c r="L4101" s="26"/>
      <c r="M4101" s="25"/>
      <c r="N4101" s="25"/>
      <c r="O4101" s="25"/>
      <c r="P4101" s="26"/>
      <c r="Q4101" s="26"/>
      <c r="R4101" s="25"/>
      <c r="S4101" s="25"/>
      <c r="T4101" s="25"/>
      <c r="U4101" s="27"/>
      <c r="V4101" s="21"/>
      <c r="W4101" s="16"/>
      <c r="X4101" s="16"/>
      <c r="Y4101" s="16"/>
    </row>
    <row r="4102" customFormat="false" ht="15.75" hidden="false" customHeight="false" outlineLevel="0" collapsed="false">
      <c r="A4102" s="9"/>
      <c r="B4102" s="10"/>
      <c r="C4102" s="11"/>
      <c r="D4102" s="10"/>
      <c r="E4102" s="10"/>
      <c r="F4102" s="10"/>
      <c r="G4102" s="10"/>
      <c r="H4102" s="10"/>
      <c r="I4102" s="12" t="n">
        <v>1</v>
      </c>
      <c r="J4102" s="12"/>
      <c r="K4102" s="13"/>
      <c r="L4102" s="13"/>
      <c r="M4102" s="12"/>
      <c r="N4102" s="12"/>
      <c r="O4102" s="12"/>
      <c r="P4102" s="13"/>
      <c r="Q4102" s="13"/>
      <c r="R4102" s="12"/>
      <c r="S4102" s="12"/>
      <c r="T4102" s="12"/>
      <c r="U4102" s="14"/>
      <c r="V4102" s="15"/>
      <c r="W4102" s="16" t="n">
        <f aca="false">A4102</f>
        <v>0</v>
      </c>
      <c r="X4102" s="17" t="e">
        <f aca="false">ifs(C4102="","",X4102="",NOW(),TRUE(),X4102)</f>
        <v>#VALUE!</v>
      </c>
      <c r="Y4102" s="17" t="e">
        <f aca="false">ifs(COUNTA(K4102:U4105)&lt;44,"",Y4102="",NOW(),TRUE(),Y4102)</f>
        <v>#VALUE!</v>
      </c>
    </row>
    <row r="4103" customFormat="false" ht="15.75" hidden="false" customHeight="false" outlineLevel="0" collapsed="false">
      <c r="A4103" s="9"/>
      <c r="B4103" s="10"/>
      <c r="C4103" s="10"/>
      <c r="D4103" s="10"/>
      <c r="E4103" s="10"/>
      <c r="F4103" s="10"/>
      <c r="G4103" s="10"/>
      <c r="H4103" s="10"/>
      <c r="I4103" s="18" t="n">
        <v>2</v>
      </c>
      <c r="J4103" s="18"/>
      <c r="K4103" s="19"/>
      <c r="L4103" s="19"/>
      <c r="M4103" s="18"/>
      <c r="N4103" s="18"/>
      <c r="O4103" s="18"/>
      <c r="P4103" s="19"/>
      <c r="Q4103" s="19"/>
      <c r="R4103" s="18"/>
      <c r="S4103" s="18"/>
      <c r="T4103" s="18"/>
      <c r="U4103" s="20"/>
      <c r="V4103" s="21"/>
      <c r="W4103" s="16"/>
      <c r="X4103" s="16"/>
      <c r="Y4103" s="16"/>
    </row>
    <row r="4104" customFormat="false" ht="15.75" hidden="false" customHeight="false" outlineLevel="0" collapsed="false">
      <c r="A4104" s="9"/>
      <c r="B4104" s="10"/>
      <c r="C4104" s="10"/>
      <c r="D4104" s="10"/>
      <c r="E4104" s="10"/>
      <c r="F4104" s="10"/>
      <c r="G4104" s="10"/>
      <c r="H4104" s="10"/>
      <c r="I4104" s="22" t="n">
        <v>3</v>
      </c>
      <c r="J4104" s="22"/>
      <c r="K4104" s="23"/>
      <c r="L4104" s="23"/>
      <c r="M4104" s="22"/>
      <c r="N4104" s="22"/>
      <c r="O4104" s="22"/>
      <c r="P4104" s="23"/>
      <c r="Q4104" s="23"/>
      <c r="R4104" s="22"/>
      <c r="S4104" s="22"/>
      <c r="T4104" s="22"/>
      <c r="U4104" s="24"/>
      <c r="V4104" s="15"/>
      <c r="W4104" s="16"/>
      <c r="X4104" s="16"/>
      <c r="Y4104" s="16"/>
    </row>
    <row r="4105" customFormat="false" ht="15.75" hidden="false" customHeight="false" outlineLevel="0" collapsed="false">
      <c r="A4105" s="9"/>
      <c r="B4105" s="10"/>
      <c r="C4105" s="10"/>
      <c r="D4105" s="10"/>
      <c r="E4105" s="10"/>
      <c r="F4105" s="10"/>
      <c r="G4105" s="10"/>
      <c r="H4105" s="10"/>
      <c r="I4105" s="25" t="n">
        <v>4</v>
      </c>
      <c r="J4105" s="25"/>
      <c r="K4105" s="26"/>
      <c r="L4105" s="26"/>
      <c r="M4105" s="25"/>
      <c r="N4105" s="25"/>
      <c r="O4105" s="25"/>
      <c r="P4105" s="26"/>
      <c r="Q4105" s="26"/>
      <c r="R4105" s="25"/>
      <c r="S4105" s="25"/>
      <c r="T4105" s="25"/>
      <c r="U4105" s="27"/>
      <c r="V4105" s="21"/>
      <c r="W4105" s="16"/>
      <c r="X4105" s="16"/>
      <c r="Y4105" s="16"/>
    </row>
    <row r="4106" customFormat="false" ht="15.75" hidden="false" customHeight="false" outlineLevel="0" collapsed="false">
      <c r="A4106" s="9"/>
      <c r="B4106" s="10"/>
      <c r="C4106" s="11"/>
      <c r="D4106" s="10"/>
      <c r="E4106" s="10"/>
      <c r="F4106" s="10"/>
      <c r="G4106" s="10"/>
      <c r="H4106" s="10"/>
      <c r="I4106" s="12" t="n">
        <v>1</v>
      </c>
      <c r="J4106" s="12"/>
      <c r="K4106" s="13"/>
      <c r="L4106" s="13"/>
      <c r="M4106" s="12"/>
      <c r="N4106" s="12"/>
      <c r="O4106" s="12"/>
      <c r="P4106" s="13"/>
      <c r="Q4106" s="13"/>
      <c r="R4106" s="12"/>
      <c r="S4106" s="12"/>
      <c r="T4106" s="12"/>
      <c r="U4106" s="14"/>
      <c r="V4106" s="15"/>
      <c r="W4106" s="16" t="n">
        <f aca="false">A4106</f>
        <v>0</v>
      </c>
      <c r="X4106" s="17" t="e">
        <f aca="false">ifs(C4106="","",X4106="",NOW(),TRUE(),X4106)</f>
        <v>#VALUE!</v>
      </c>
      <c r="Y4106" s="17" t="e">
        <f aca="false">ifs(COUNTA(K4106:U4109)&lt;44,"",Y4106="",NOW(),TRUE(),Y4106)</f>
        <v>#VALUE!</v>
      </c>
    </row>
    <row r="4107" customFormat="false" ht="15.75" hidden="false" customHeight="false" outlineLevel="0" collapsed="false">
      <c r="A4107" s="9"/>
      <c r="B4107" s="10"/>
      <c r="C4107" s="10"/>
      <c r="D4107" s="10"/>
      <c r="E4107" s="10"/>
      <c r="F4107" s="10"/>
      <c r="G4107" s="10"/>
      <c r="H4107" s="10"/>
      <c r="I4107" s="18" t="n">
        <v>2</v>
      </c>
      <c r="J4107" s="18"/>
      <c r="K4107" s="19"/>
      <c r="L4107" s="19"/>
      <c r="M4107" s="18"/>
      <c r="N4107" s="18"/>
      <c r="O4107" s="18"/>
      <c r="P4107" s="19"/>
      <c r="Q4107" s="19"/>
      <c r="R4107" s="18"/>
      <c r="S4107" s="18"/>
      <c r="T4107" s="18"/>
      <c r="U4107" s="20"/>
      <c r="V4107" s="21"/>
      <c r="W4107" s="16"/>
      <c r="X4107" s="16"/>
      <c r="Y4107" s="16"/>
    </row>
    <row r="4108" customFormat="false" ht="15.75" hidden="false" customHeight="false" outlineLevel="0" collapsed="false">
      <c r="A4108" s="9"/>
      <c r="B4108" s="10"/>
      <c r="C4108" s="10"/>
      <c r="D4108" s="10"/>
      <c r="E4108" s="10"/>
      <c r="F4108" s="10"/>
      <c r="G4108" s="10"/>
      <c r="H4108" s="10"/>
      <c r="I4108" s="22" t="n">
        <v>3</v>
      </c>
      <c r="J4108" s="22"/>
      <c r="K4108" s="23"/>
      <c r="L4108" s="23"/>
      <c r="M4108" s="22"/>
      <c r="N4108" s="22"/>
      <c r="O4108" s="22"/>
      <c r="P4108" s="23"/>
      <c r="Q4108" s="23"/>
      <c r="R4108" s="22"/>
      <c r="S4108" s="22"/>
      <c r="T4108" s="22"/>
      <c r="U4108" s="24"/>
      <c r="V4108" s="15"/>
      <c r="W4108" s="16"/>
      <c r="X4108" s="16"/>
      <c r="Y4108" s="16"/>
    </row>
    <row r="4109" customFormat="false" ht="15.75" hidden="false" customHeight="false" outlineLevel="0" collapsed="false">
      <c r="A4109" s="9"/>
      <c r="B4109" s="10"/>
      <c r="C4109" s="10"/>
      <c r="D4109" s="10"/>
      <c r="E4109" s="10"/>
      <c r="F4109" s="10"/>
      <c r="G4109" s="10"/>
      <c r="H4109" s="10"/>
      <c r="I4109" s="25" t="n">
        <v>4</v>
      </c>
      <c r="J4109" s="25"/>
      <c r="K4109" s="26"/>
      <c r="L4109" s="26"/>
      <c r="M4109" s="25"/>
      <c r="N4109" s="25"/>
      <c r="O4109" s="25"/>
      <c r="P4109" s="26"/>
      <c r="Q4109" s="26"/>
      <c r="R4109" s="25"/>
      <c r="S4109" s="25"/>
      <c r="T4109" s="25"/>
      <c r="U4109" s="27"/>
      <c r="V4109" s="21"/>
      <c r="W4109" s="16"/>
      <c r="X4109" s="16"/>
      <c r="Y4109" s="16"/>
    </row>
    <row r="4110" customFormat="false" ht="15.75" hidden="false" customHeight="false" outlineLevel="0" collapsed="false">
      <c r="A4110" s="9"/>
      <c r="B4110" s="10"/>
      <c r="C4110" s="11"/>
      <c r="D4110" s="10"/>
      <c r="E4110" s="10"/>
      <c r="F4110" s="10"/>
      <c r="G4110" s="10"/>
      <c r="H4110" s="10"/>
      <c r="I4110" s="12" t="n">
        <v>1</v>
      </c>
      <c r="J4110" s="12"/>
      <c r="K4110" s="13"/>
      <c r="L4110" s="13"/>
      <c r="M4110" s="12"/>
      <c r="N4110" s="12"/>
      <c r="O4110" s="12"/>
      <c r="P4110" s="13"/>
      <c r="Q4110" s="13"/>
      <c r="R4110" s="12"/>
      <c r="S4110" s="12"/>
      <c r="T4110" s="12"/>
      <c r="U4110" s="14"/>
      <c r="V4110" s="15"/>
      <c r="W4110" s="16" t="n">
        <f aca="false">A4110</f>
        <v>0</v>
      </c>
      <c r="X4110" s="17" t="e">
        <f aca="false">ifs(C4110="","",X4110="",NOW(),TRUE(),X4110)</f>
        <v>#VALUE!</v>
      </c>
      <c r="Y4110" s="17" t="e">
        <f aca="false">ifs(COUNTA(K4110:U4113)&lt;44,"",Y4110="",NOW(),TRUE(),Y4110)</f>
        <v>#VALUE!</v>
      </c>
    </row>
    <row r="4111" customFormat="false" ht="15.75" hidden="false" customHeight="false" outlineLevel="0" collapsed="false">
      <c r="A4111" s="9"/>
      <c r="B4111" s="10"/>
      <c r="C4111" s="10"/>
      <c r="D4111" s="10"/>
      <c r="E4111" s="10"/>
      <c r="F4111" s="10"/>
      <c r="G4111" s="10"/>
      <c r="H4111" s="10"/>
      <c r="I4111" s="18" t="n">
        <v>2</v>
      </c>
      <c r="J4111" s="18"/>
      <c r="K4111" s="19"/>
      <c r="L4111" s="19"/>
      <c r="M4111" s="18"/>
      <c r="N4111" s="18"/>
      <c r="O4111" s="18"/>
      <c r="P4111" s="19"/>
      <c r="Q4111" s="19"/>
      <c r="R4111" s="18"/>
      <c r="S4111" s="18"/>
      <c r="T4111" s="18"/>
      <c r="U4111" s="20"/>
      <c r="V4111" s="21"/>
      <c r="W4111" s="16"/>
      <c r="X4111" s="16"/>
      <c r="Y4111" s="16"/>
    </row>
    <row r="4112" customFormat="false" ht="15.75" hidden="false" customHeight="false" outlineLevel="0" collapsed="false">
      <c r="A4112" s="9"/>
      <c r="B4112" s="10"/>
      <c r="C4112" s="10"/>
      <c r="D4112" s="10"/>
      <c r="E4112" s="10"/>
      <c r="F4112" s="10"/>
      <c r="G4112" s="10"/>
      <c r="H4112" s="10"/>
      <c r="I4112" s="22" t="n">
        <v>3</v>
      </c>
      <c r="J4112" s="22"/>
      <c r="K4112" s="23"/>
      <c r="L4112" s="23"/>
      <c r="M4112" s="22"/>
      <c r="N4112" s="22"/>
      <c r="O4112" s="22"/>
      <c r="P4112" s="23"/>
      <c r="Q4112" s="23"/>
      <c r="R4112" s="22"/>
      <c r="S4112" s="22"/>
      <c r="T4112" s="22"/>
      <c r="U4112" s="24"/>
      <c r="V4112" s="15"/>
      <c r="W4112" s="16"/>
      <c r="X4112" s="16"/>
      <c r="Y4112" s="16"/>
    </row>
    <row r="4113" customFormat="false" ht="15.75" hidden="false" customHeight="false" outlineLevel="0" collapsed="false">
      <c r="A4113" s="9"/>
      <c r="B4113" s="10"/>
      <c r="C4113" s="10"/>
      <c r="D4113" s="10"/>
      <c r="E4113" s="10"/>
      <c r="F4113" s="10"/>
      <c r="G4113" s="10"/>
      <c r="H4113" s="10"/>
      <c r="I4113" s="25" t="n">
        <v>4</v>
      </c>
      <c r="J4113" s="25"/>
      <c r="K4113" s="26"/>
      <c r="L4113" s="26"/>
      <c r="M4113" s="25"/>
      <c r="N4113" s="25"/>
      <c r="O4113" s="25"/>
      <c r="P4113" s="26"/>
      <c r="Q4113" s="26"/>
      <c r="R4113" s="25"/>
      <c r="S4113" s="25"/>
      <c r="T4113" s="25"/>
      <c r="U4113" s="27"/>
      <c r="V4113" s="21"/>
      <c r="W4113" s="16"/>
      <c r="X4113" s="16"/>
      <c r="Y4113" s="16"/>
    </row>
    <row r="4114" customFormat="false" ht="15.75" hidden="false" customHeight="false" outlineLevel="0" collapsed="false">
      <c r="A4114" s="9"/>
      <c r="B4114" s="10"/>
      <c r="C4114" s="11"/>
      <c r="D4114" s="10"/>
      <c r="E4114" s="10"/>
      <c r="F4114" s="10"/>
      <c r="G4114" s="10"/>
      <c r="H4114" s="10"/>
      <c r="I4114" s="12" t="n">
        <v>1</v>
      </c>
      <c r="J4114" s="12"/>
      <c r="K4114" s="13"/>
      <c r="L4114" s="13"/>
      <c r="M4114" s="12"/>
      <c r="N4114" s="12"/>
      <c r="O4114" s="12"/>
      <c r="P4114" s="13"/>
      <c r="Q4114" s="13"/>
      <c r="R4114" s="12"/>
      <c r="S4114" s="12"/>
      <c r="T4114" s="12"/>
      <c r="U4114" s="14"/>
      <c r="V4114" s="15"/>
      <c r="W4114" s="16" t="n">
        <f aca="false">A4114</f>
        <v>0</v>
      </c>
      <c r="X4114" s="17" t="e">
        <f aca="false">ifs(C4114="","",X4114="",NOW(),TRUE(),X4114)</f>
        <v>#VALUE!</v>
      </c>
      <c r="Y4114" s="17" t="e">
        <f aca="false">ifs(COUNTA(K4114:U4117)&lt;44,"",Y4114="",NOW(),TRUE(),Y4114)</f>
        <v>#VALUE!</v>
      </c>
    </row>
    <row r="4115" customFormat="false" ht="15.75" hidden="false" customHeight="false" outlineLevel="0" collapsed="false">
      <c r="A4115" s="9"/>
      <c r="B4115" s="10"/>
      <c r="C4115" s="10"/>
      <c r="D4115" s="10"/>
      <c r="E4115" s="10"/>
      <c r="F4115" s="10"/>
      <c r="G4115" s="10"/>
      <c r="H4115" s="10"/>
      <c r="I4115" s="18" t="n">
        <v>2</v>
      </c>
      <c r="J4115" s="18"/>
      <c r="K4115" s="19"/>
      <c r="L4115" s="19"/>
      <c r="M4115" s="18"/>
      <c r="N4115" s="18"/>
      <c r="O4115" s="18"/>
      <c r="P4115" s="19"/>
      <c r="Q4115" s="19"/>
      <c r="R4115" s="18"/>
      <c r="S4115" s="18"/>
      <c r="T4115" s="18"/>
      <c r="U4115" s="20"/>
      <c r="V4115" s="21"/>
      <c r="W4115" s="16"/>
      <c r="X4115" s="16"/>
      <c r="Y4115" s="16"/>
    </row>
    <row r="4116" customFormat="false" ht="15.75" hidden="false" customHeight="false" outlineLevel="0" collapsed="false">
      <c r="A4116" s="9"/>
      <c r="B4116" s="10"/>
      <c r="C4116" s="10"/>
      <c r="D4116" s="10"/>
      <c r="E4116" s="10"/>
      <c r="F4116" s="10"/>
      <c r="G4116" s="10"/>
      <c r="H4116" s="10"/>
      <c r="I4116" s="22" t="n">
        <v>3</v>
      </c>
      <c r="J4116" s="22"/>
      <c r="K4116" s="23"/>
      <c r="L4116" s="23"/>
      <c r="M4116" s="22"/>
      <c r="N4116" s="22"/>
      <c r="O4116" s="22"/>
      <c r="P4116" s="23"/>
      <c r="Q4116" s="23"/>
      <c r="R4116" s="22"/>
      <c r="S4116" s="22"/>
      <c r="T4116" s="22"/>
      <c r="U4116" s="24"/>
      <c r="V4116" s="15"/>
      <c r="W4116" s="16"/>
      <c r="X4116" s="16"/>
      <c r="Y4116" s="16"/>
    </row>
    <row r="4117" customFormat="false" ht="15.75" hidden="false" customHeight="false" outlineLevel="0" collapsed="false">
      <c r="A4117" s="9"/>
      <c r="B4117" s="10"/>
      <c r="C4117" s="10"/>
      <c r="D4117" s="10"/>
      <c r="E4117" s="10"/>
      <c r="F4117" s="10"/>
      <c r="G4117" s="10"/>
      <c r="H4117" s="10"/>
      <c r="I4117" s="25" t="n">
        <v>4</v>
      </c>
      <c r="J4117" s="25"/>
      <c r="K4117" s="26"/>
      <c r="L4117" s="26"/>
      <c r="M4117" s="25"/>
      <c r="N4117" s="25"/>
      <c r="O4117" s="25"/>
      <c r="P4117" s="26"/>
      <c r="Q4117" s="26"/>
      <c r="R4117" s="25"/>
      <c r="S4117" s="25"/>
      <c r="T4117" s="25"/>
      <c r="U4117" s="27"/>
      <c r="V4117" s="21"/>
      <c r="W4117" s="16"/>
      <c r="X4117" s="16"/>
      <c r="Y4117" s="16"/>
    </row>
    <row r="4118" customFormat="false" ht="15.75" hidden="false" customHeight="false" outlineLevel="0" collapsed="false">
      <c r="A4118" s="9"/>
      <c r="B4118" s="10"/>
      <c r="C4118" s="11"/>
      <c r="D4118" s="10"/>
      <c r="E4118" s="10"/>
      <c r="F4118" s="10"/>
      <c r="G4118" s="10"/>
      <c r="H4118" s="10"/>
      <c r="I4118" s="12" t="n">
        <v>1</v>
      </c>
      <c r="J4118" s="12"/>
      <c r="K4118" s="13"/>
      <c r="L4118" s="13"/>
      <c r="M4118" s="12"/>
      <c r="N4118" s="12"/>
      <c r="O4118" s="12"/>
      <c r="P4118" s="13"/>
      <c r="Q4118" s="13"/>
      <c r="R4118" s="12"/>
      <c r="S4118" s="12"/>
      <c r="T4118" s="12"/>
      <c r="U4118" s="14"/>
      <c r="V4118" s="15"/>
      <c r="W4118" s="16" t="n">
        <f aca="false">A4118</f>
        <v>0</v>
      </c>
      <c r="X4118" s="17" t="e">
        <f aca="false">ifs(C4118="","",X4118="",NOW(),TRUE(),X4118)</f>
        <v>#VALUE!</v>
      </c>
      <c r="Y4118" s="17" t="e">
        <f aca="false">ifs(COUNTA(K4118:U4121)&lt;44,"",Y4118="",NOW(),TRUE(),Y4118)</f>
        <v>#VALUE!</v>
      </c>
    </row>
    <row r="4119" customFormat="false" ht="15.75" hidden="false" customHeight="false" outlineLevel="0" collapsed="false">
      <c r="A4119" s="9"/>
      <c r="B4119" s="10"/>
      <c r="C4119" s="10"/>
      <c r="D4119" s="10"/>
      <c r="E4119" s="10"/>
      <c r="F4119" s="10"/>
      <c r="G4119" s="10"/>
      <c r="H4119" s="10"/>
      <c r="I4119" s="18" t="n">
        <v>2</v>
      </c>
      <c r="J4119" s="18"/>
      <c r="K4119" s="19"/>
      <c r="L4119" s="19"/>
      <c r="M4119" s="18"/>
      <c r="N4119" s="18"/>
      <c r="O4119" s="18"/>
      <c r="P4119" s="19"/>
      <c r="Q4119" s="19"/>
      <c r="R4119" s="18"/>
      <c r="S4119" s="18"/>
      <c r="T4119" s="18"/>
      <c r="U4119" s="20"/>
      <c r="V4119" s="21"/>
      <c r="W4119" s="16"/>
      <c r="X4119" s="16"/>
      <c r="Y4119" s="16"/>
    </row>
    <row r="4120" customFormat="false" ht="15.75" hidden="false" customHeight="false" outlineLevel="0" collapsed="false">
      <c r="A4120" s="9"/>
      <c r="B4120" s="10"/>
      <c r="C4120" s="10"/>
      <c r="D4120" s="10"/>
      <c r="E4120" s="10"/>
      <c r="F4120" s="10"/>
      <c r="G4120" s="10"/>
      <c r="H4120" s="10"/>
      <c r="I4120" s="22" t="n">
        <v>3</v>
      </c>
      <c r="J4120" s="22"/>
      <c r="K4120" s="23"/>
      <c r="L4120" s="23"/>
      <c r="M4120" s="22"/>
      <c r="N4120" s="22"/>
      <c r="O4120" s="22"/>
      <c r="P4120" s="23"/>
      <c r="Q4120" s="23"/>
      <c r="R4120" s="22"/>
      <c r="S4120" s="22"/>
      <c r="T4120" s="22"/>
      <c r="U4120" s="24"/>
      <c r="V4120" s="15"/>
      <c r="W4120" s="16"/>
      <c r="X4120" s="16"/>
      <c r="Y4120" s="16"/>
    </row>
    <row r="4121" customFormat="false" ht="15.75" hidden="false" customHeight="false" outlineLevel="0" collapsed="false">
      <c r="A4121" s="9"/>
      <c r="B4121" s="10"/>
      <c r="C4121" s="10"/>
      <c r="D4121" s="10"/>
      <c r="E4121" s="10"/>
      <c r="F4121" s="10"/>
      <c r="G4121" s="10"/>
      <c r="H4121" s="10"/>
      <c r="I4121" s="25" t="n">
        <v>4</v>
      </c>
      <c r="J4121" s="25"/>
      <c r="K4121" s="26"/>
      <c r="L4121" s="26"/>
      <c r="M4121" s="25"/>
      <c r="N4121" s="25"/>
      <c r="O4121" s="25"/>
      <c r="P4121" s="26"/>
      <c r="Q4121" s="26"/>
      <c r="R4121" s="25"/>
      <c r="S4121" s="25"/>
      <c r="T4121" s="25"/>
      <c r="U4121" s="27"/>
      <c r="V4121" s="21"/>
      <c r="W4121" s="16"/>
      <c r="X4121" s="16"/>
      <c r="Y4121" s="16"/>
    </row>
    <row r="4122" customFormat="false" ht="15.75" hidden="false" customHeight="false" outlineLevel="0" collapsed="false">
      <c r="A4122" s="9"/>
      <c r="B4122" s="10"/>
      <c r="C4122" s="11"/>
      <c r="D4122" s="10"/>
      <c r="E4122" s="10"/>
      <c r="F4122" s="10"/>
      <c r="G4122" s="10"/>
      <c r="H4122" s="10"/>
      <c r="I4122" s="12" t="n">
        <v>1</v>
      </c>
      <c r="J4122" s="12"/>
      <c r="K4122" s="13"/>
      <c r="L4122" s="13"/>
      <c r="M4122" s="12"/>
      <c r="N4122" s="12"/>
      <c r="O4122" s="12"/>
      <c r="P4122" s="13"/>
      <c r="Q4122" s="13"/>
      <c r="R4122" s="12"/>
      <c r="S4122" s="12"/>
      <c r="T4122" s="12"/>
      <c r="U4122" s="14"/>
      <c r="V4122" s="15"/>
      <c r="W4122" s="16" t="n">
        <f aca="false">A4122</f>
        <v>0</v>
      </c>
      <c r="X4122" s="17" t="e">
        <f aca="false">ifs(C4122="","",X4122="",NOW(),TRUE(),X4122)</f>
        <v>#VALUE!</v>
      </c>
      <c r="Y4122" s="17" t="e">
        <f aca="false">ifs(COUNTA(K4122:U4125)&lt;44,"",Y4122="",NOW(),TRUE(),Y4122)</f>
        <v>#VALUE!</v>
      </c>
    </row>
    <row r="4123" customFormat="false" ht="15.75" hidden="false" customHeight="false" outlineLevel="0" collapsed="false">
      <c r="A4123" s="9"/>
      <c r="B4123" s="10"/>
      <c r="C4123" s="10"/>
      <c r="D4123" s="10"/>
      <c r="E4123" s="10"/>
      <c r="F4123" s="10"/>
      <c r="G4123" s="10"/>
      <c r="H4123" s="10"/>
      <c r="I4123" s="18" t="n">
        <v>2</v>
      </c>
      <c r="J4123" s="18"/>
      <c r="K4123" s="19"/>
      <c r="L4123" s="19"/>
      <c r="M4123" s="18"/>
      <c r="N4123" s="18"/>
      <c r="O4123" s="18"/>
      <c r="P4123" s="19"/>
      <c r="Q4123" s="19"/>
      <c r="R4123" s="18"/>
      <c r="S4123" s="18"/>
      <c r="T4123" s="18"/>
      <c r="U4123" s="20"/>
      <c r="V4123" s="21"/>
      <c r="W4123" s="16"/>
      <c r="X4123" s="16"/>
      <c r="Y4123" s="16"/>
    </row>
    <row r="4124" customFormat="false" ht="15.75" hidden="false" customHeight="false" outlineLevel="0" collapsed="false">
      <c r="A4124" s="9"/>
      <c r="B4124" s="10"/>
      <c r="C4124" s="10"/>
      <c r="D4124" s="10"/>
      <c r="E4124" s="10"/>
      <c r="F4124" s="10"/>
      <c r="G4124" s="10"/>
      <c r="H4124" s="10"/>
      <c r="I4124" s="22" t="n">
        <v>3</v>
      </c>
      <c r="J4124" s="22"/>
      <c r="K4124" s="23"/>
      <c r="L4124" s="23"/>
      <c r="M4124" s="22"/>
      <c r="N4124" s="22"/>
      <c r="O4124" s="22"/>
      <c r="P4124" s="23"/>
      <c r="Q4124" s="23"/>
      <c r="R4124" s="22"/>
      <c r="S4124" s="22"/>
      <c r="T4124" s="22"/>
      <c r="U4124" s="24"/>
      <c r="V4124" s="15"/>
      <c r="W4124" s="16"/>
      <c r="X4124" s="16"/>
      <c r="Y4124" s="16"/>
    </row>
    <row r="4125" customFormat="false" ht="15.75" hidden="false" customHeight="false" outlineLevel="0" collapsed="false">
      <c r="A4125" s="9"/>
      <c r="B4125" s="10"/>
      <c r="C4125" s="10"/>
      <c r="D4125" s="10"/>
      <c r="E4125" s="10"/>
      <c r="F4125" s="10"/>
      <c r="G4125" s="10"/>
      <c r="H4125" s="10"/>
      <c r="I4125" s="25" t="n">
        <v>4</v>
      </c>
      <c r="J4125" s="25"/>
      <c r="K4125" s="26"/>
      <c r="L4125" s="26"/>
      <c r="M4125" s="25"/>
      <c r="N4125" s="25"/>
      <c r="O4125" s="25"/>
      <c r="P4125" s="26"/>
      <c r="Q4125" s="26"/>
      <c r="R4125" s="25"/>
      <c r="S4125" s="25"/>
      <c r="T4125" s="25"/>
      <c r="U4125" s="27"/>
      <c r="V4125" s="21"/>
      <c r="W4125" s="16"/>
      <c r="X4125" s="16"/>
      <c r="Y4125" s="16"/>
    </row>
    <row r="4126" customFormat="false" ht="15.75" hidden="false" customHeight="false" outlineLevel="0" collapsed="false">
      <c r="A4126" s="9"/>
      <c r="B4126" s="10"/>
      <c r="C4126" s="11"/>
      <c r="D4126" s="10"/>
      <c r="E4126" s="10"/>
      <c r="F4126" s="10"/>
      <c r="G4126" s="10"/>
      <c r="H4126" s="10"/>
      <c r="I4126" s="12" t="n">
        <v>1</v>
      </c>
      <c r="J4126" s="12"/>
      <c r="K4126" s="13"/>
      <c r="L4126" s="13"/>
      <c r="M4126" s="12"/>
      <c r="N4126" s="12"/>
      <c r="O4126" s="12"/>
      <c r="P4126" s="13"/>
      <c r="Q4126" s="13"/>
      <c r="R4126" s="12"/>
      <c r="S4126" s="12"/>
      <c r="T4126" s="12"/>
      <c r="U4126" s="14"/>
      <c r="V4126" s="15"/>
      <c r="W4126" s="16" t="n">
        <f aca="false">A4126</f>
        <v>0</v>
      </c>
      <c r="X4126" s="17" t="e">
        <f aca="false">ifs(C4126="","",X4126="",NOW(),TRUE(),X4126)</f>
        <v>#VALUE!</v>
      </c>
      <c r="Y4126" s="17" t="e">
        <f aca="false">ifs(COUNTA(K4126:U4129)&lt;44,"",Y4126="",NOW(),TRUE(),Y4126)</f>
        <v>#VALUE!</v>
      </c>
    </row>
    <row r="4127" customFormat="false" ht="15.75" hidden="false" customHeight="false" outlineLevel="0" collapsed="false">
      <c r="A4127" s="9"/>
      <c r="B4127" s="10"/>
      <c r="C4127" s="10"/>
      <c r="D4127" s="10"/>
      <c r="E4127" s="10"/>
      <c r="F4127" s="10"/>
      <c r="G4127" s="10"/>
      <c r="H4127" s="10"/>
      <c r="I4127" s="18" t="n">
        <v>2</v>
      </c>
      <c r="J4127" s="18"/>
      <c r="K4127" s="19"/>
      <c r="L4127" s="19"/>
      <c r="M4127" s="18"/>
      <c r="N4127" s="18"/>
      <c r="O4127" s="18"/>
      <c r="P4127" s="19"/>
      <c r="Q4127" s="19"/>
      <c r="R4127" s="18"/>
      <c r="S4127" s="18"/>
      <c r="T4127" s="18"/>
      <c r="U4127" s="20"/>
      <c r="V4127" s="21"/>
      <c r="W4127" s="16"/>
      <c r="X4127" s="16"/>
      <c r="Y4127" s="16"/>
    </row>
    <row r="4128" customFormat="false" ht="15.75" hidden="false" customHeight="false" outlineLevel="0" collapsed="false">
      <c r="A4128" s="9"/>
      <c r="B4128" s="10"/>
      <c r="C4128" s="10"/>
      <c r="D4128" s="10"/>
      <c r="E4128" s="10"/>
      <c r="F4128" s="10"/>
      <c r="G4128" s="10"/>
      <c r="H4128" s="10"/>
      <c r="I4128" s="22" t="n">
        <v>3</v>
      </c>
      <c r="J4128" s="22"/>
      <c r="K4128" s="23"/>
      <c r="L4128" s="23"/>
      <c r="M4128" s="22"/>
      <c r="N4128" s="22"/>
      <c r="O4128" s="22"/>
      <c r="P4128" s="23"/>
      <c r="Q4128" s="23"/>
      <c r="R4128" s="22"/>
      <c r="S4128" s="22"/>
      <c r="T4128" s="22"/>
      <c r="U4128" s="24"/>
      <c r="V4128" s="15"/>
      <c r="W4128" s="16"/>
      <c r="X4128" s="16"/>
      <c r="Y4128" s="16"/>
    </row>
    <row r="4129" customFormat="false" ht="15.75" hidden="false" customHeight="false" outlineLevel="0" collapsed="false">
      <c r="A4129" s="9"/>
      <c r="B4129" s="10"/>
      <c r="C4129" s="10"/>
      <c r="D4129" s="10"/>
      <c r="E4129" s="10"/>
      <c r="F4129" s="10"/>
      <c r="G4129" s="10"/>
      <c r="H4129" s="10"/>
      <c r="I4129" s="25" t="n">
        <v>4</v>
      </c>
      <c r="J4129" s="25"/>
      <c r="K4129" s="26"/>
      <c r="L4129" s="26"/>
      <c r="M4129" s="25"/>
      <c r="N4129" s="25"/>
      <c r="O4129" s="25"/>
      <c r="P4129" s="26"/>
      <c r="Q4129" s="26"/>
      <c r="R4129" s="25"/>
      <c r="S4129" s="25"/>
      <c r="T4129" s="25"/>
      <c r="U4129" s="27"/>
      <c r="V4129" s="21"/>
      <c r="W4129" s="16"/>
      <c r="X4129" s="16"/>
      <c r="Y4129" s="16"/>
    </row>
    <row r="4130" customFormat="false" ht="15.75" hidden="false" customHeight="false" outlineLevel="0" collapsed="false">
      <c r="A4130" s="9"/>
      <c r="B4130" s="10"/>
      <c r="C4130" s="11"/>
      <c r="D4130" s="10"/>
      <c r="E4130" s="10"/>
      <c r="F4130" s="10"/>
      <c r="G4130" s="10"/>
      <c r="H4130" s="10"/>
      <c r="I4130" s="12" t="n">
        <v>1</v>
      </c>
      <c r="J4130" s="12"/>
      <c r="K4130" s="13"/>
      <c r="L4130" s="13"/>
      <c r="M4130" s="12"/>
      <c r="N4130" s="12"/>
      <c r="O4130" s="12"/>
      <c r="P4130" s="13"/>
      <c r="Q4130" s="13"/>
      <c r="R4130" s="12"/>
      <c r="S4130" s="12"/>
      <c r="T4130" s="12"/>
      <c r="U4130" s="14"/>
      <c r="V4130" s="15"/>
      <c r="W4130" s="16" t="n">
        <f aca="false">A4130</f>
        <v>0</v>
      </c>
      <c r="X4130" s="17" t="e">
        <f aca="false">ifs(C4130="","",X4130="",NOW(),TRUE(),X4130)</f>
        <v>#VALUE!</v>
      </c>
      <c r="Y4130" s="17" t="e">
        <f aca="false">ifs(COUNTA(K4130:U4133)&lt;44,"",Y4130="",NOW(),TRUE(),Y4130)</f>
        <v>#VALUE!</v>
      </c>
    </row>
    <row r="4131" customFormat="false" ht="15.75" hidden="false" customHeight="false" outlineLevel="0" collapsed="false">
      <c r="A4131" s="9"/>
      <c r="B4131" s="10"/>
      <c r="C4131" s="10"/>
      <c r="D4131" s="10"/>
      <c r="E4131" s="10"/>
      <c r="F4131" s="10"/>
      <c r="G4131" s="10"/>
      <c r="H4131" s="10"/>
      <c r="I4131" s="18" t="n">
        <v>2</v>
      </c>
      <c r="J4131" s="18"/>
      <c r="K4131" s="19"/>
      <c r="L4131" s="19"/>
      <c r="M4131" s="18"/>
      <c r="N4131" s="18"/>
      <c r="O4131" s="18"/>
      <c r="P4131" s="19"/>
      <c r="Q4131" s="19"/>
      <c r="R4131" s="18"/>
      <c r="S4131" s="18"/>
      <c r="T4131" s="18"/>
      <c r="U4131" s="20"/>
      <c r="V4131" s="21"/>
      <c r="W4131" s="16"/>
      <c r="X4131" s="16"/>
      <c r="Y4131" s="16"/>
    </row>
    <row r="4132" customFormat="false" ht="15.75" hidden="false" customHeight="false" outlineLevel="0" collapsed="false">
      <c r="A4132" s="9"/>
      <c r="B4132" s="10"/>
      <c r="C4132" s="10"/>
      <c r="D4132" s="10"/>
      <c r="E4132" s="10"/>
      <c r="F4132" s="10"/>
      <c r="G4132" s="10"/>
      <c r="H4132" s="10"/>
      <c r="I4132" s="22" t="n">
        <v>3</v>
      </c>
      <c r="J4132" s="22"/>
      <c r="K4132" s="23"/>
      <c r="L4132" s="23"/>
      <c r="M4132" s="22"/>
      <c r="N4132" s="22"/>
      <c r="O4132" s="22"/>
      <c r="P4132" s="23"/>
      <c r="Q4132" s="23"/>
      <c r="R4132" s="22"/>
      <c r="S4132" s="22"/>
      <c r="T4132" s="22"/>
      <c r="U4132" s="24"/>
      <c r="V4132" s="15"/>
      <c r="W4132" s="16"/>
      <c r="X4132" s="16"/>
      <c r="Y4132" s="16"/>
    </row>
    <row r="4133" customFormat="false" ht="15.75" hidden="false" customHeight="false" outlineLevel="0" collapsed="false">
      <c r="A4133" s="9"/>
      <c r="B4133" s="10"/>
      <c r="C4133" s="10"/>
      <c r="D4133" s="10"/>
      <c r="E4133" s="10"/>
      <c r="F4133" s="10"/>
      <c r="G4133" s="10"/>
      <c r="H4133" s="10"/>
      <c r="I4133" s="25" t="n">
        <v>4</v>
      </c>
      <c r="J4133" s="25"/>
      <c r="K4133" s="26"/>
      <c r="L4133" s="26"/>
      <c r="M4133" s="25"/>
      <c r="N4133" s="25"/>
      <c r="O4133" s="25"/>
      <c r="P4133" s="26"/>
      <c r="Q4133" s="26"/>
      <c r="R4133" s="25"/>
      <c r="S4133" s="25"/>
      <c r="T4133" s="25"/>
      <c r="U4133" s="27"/>
      <c r="V4133" s="21"/>
      <c r="W4133" s="16"/>
      <c r="X4133" s="16"/>
      <c r="Y4133" s="16"/>
    </row>
    <row r="4134" customFormat="false" ht="15.75" hidden="false" customHeight="false" outlineLevel="0" collapsed="false">
      <c r="A4134" s="9"/>
      <c r="B4134" s="10"/>
      <c r="C4134" s="11"/>
      <c r="D4134" s="10"/>
      <c r="E4134" s="10"/>
      <c r="F4134" s="10"/>
      <c r="G4134" s="10"/>
      <c r="H4134" s="10"/>
      <c r="I4134" s="12" t="n">
        <v>1</v>
      </c>
      <c r="J4134" s="12"/>
      <c r="K4134" s="13"/>
      <c r="L4134" s="13"/>
      <c r="M4134" s="12"/>
      <c r="N4134" s="12"/>
      <c r="O4134" s="12"/>
      <c r="P4134" s="13"/>
      <c r="Q4134" s="13"/>
      <c r="R4134" s="12"/>
      <c r="S4134" s="12"/>
      <c r="T4134" s="12"/>
      <c r="U4134" s="14"/>
      <c r="V4134" s="15"/>
      <c r="W4134" s="16" t="n">
        <f aca="false">A4134</f>
        <v>0</v>
      </c>
      <c r="X4134" s="17" t="e">
        <f aca="false">ifs(C4134="","",X4134="",NOW(),TRUE(),X4134)</f>
        <v>#VALUE!</v>
      </c>
      <c r="Y4134" s="17" t="e">
        <f aca="false">ifs(COUNTA(K4134:U4137)&lt;44,"",Y4134="",NOW(),TRUE(),Y4134)</f>
        <v>#VALUE!</v>
      </c>
    </row>
    <row r="4135" customFormat="false" ht="15.75" hidden="false" customHeight="false" outlineLevel="0" collapsed="false">
      <c r="A4135" s="9"/>
      <c r="B4135" s="10"/>
      <c r="C4135" s="10"/>
      <c r="D4135" s="10"/>
      <c r="E4135" s="10"/>
      <c r="F4135" s="10"/>
      <c r="G4135" s="10"/>
      <c r="H4135" s="10"/>
      <c r="I4135" s="18" t="n">
        <v>2</v>
      </c>
      <c r="J4135" s="18"/>
      <c r="K4135" s="19"/>
      <c r="L4135" s="19"/>
      <c r="M4135" s="18"/>
      <c r="N4135" s="18"/>
      <c r="O4135" s="18"/>
      <c r="P4135" s="19"/>
      <c r="Q4135" s="19"/>
      <c r="R4135" s="18"/>
      <c r="S4135" s="18"/>
      <c r="T4135" s="18"/>
      <c r="U4135" s="20"/>
      <c r="V4135" s="21"/>
      <c r="W4135" s="16"/>
      <c r="X4135" s="16"/>
      <c r="Y4135" s="16"/>
    </row>
    <row r="4136" customFormat="false" ht="15.75" hidden="false" customHeight="false" outlineLevel="0" collapsed="false">
      <c r="A4136" s="9"/>
      <c r="B4136" s="10"/>
      <c r="C4136" s="10"/>
      <c r="D4136" s="10"/>
      <c r="E4136" s="10"/>
      <c r="F4136" s="10"/>
      <c r="G4136" s="10"/>
      <c r="H4136" s="10"/>
      <c r="I4136" s="22" t="n">
        <v>3</v>
      </c>
      <c r="J4136" s="22"/>
      <c r="K4136" s="23"/>
      <c r="L4136" s="23"/>
      <c r="M4136" s="22"/>
      <c r="N4136" s="22"/>
      <c r="O4136" s="22"/>
      <c r="P4136" s="23"/>
      <c r="Q4136" s="23"/>
      <c r="R4136" s="22"/>
      <c r="S4136" s="22"/>
      <c r="T4136" s="22"/>
      <c r="U4136" s="24"/>
      <c r="V4136" s="15"/>
      <c r="W4136" s="16"/>
      <c r="X4136" s="16"/>
      <c r="Y4136" s="16"/>
    </row>
    <row r="4137" customFormat="false" ht="15.75" hidden="false" customHeight="false" outlineLevel="0" collapsed="false">
      <c r="A4137" s="9"/>
      <c r="B4137" s="10"/>
      <c r="C4137" s="10"/>
      <c r="D4137" s="10"/>
      <c r="E4137" s="10"/>
      <c r="F4137" s="10"/>
      <c r="G4137" s="10"/>
      <c r="H4137" s="10"/>
      <c r="I4137" s="25" t="n">
        <v>4</v>
      </c>
      <c r="J4137" s="25"/>
      <c r="K4137" s="26"/>
      <c r="L4137" s="26"/>
      <c r="M4137" s="25"/>
      <c r="N4137" s="25"/>
      <c r="O4137" s="25"/>
      <c r="P4137" s="26"/>
      <c r="Q4137" s="26"/>
      <c r="R4137" s="25"/>
      <c r="S4137" s="25"/>
      <c r="T4137" s="25"/>
      <c r="U4137" s="27"/>
      <c r="V4137" s="21"/>
      <c r="W4137" s="16"/>
      <c r="X4137" s="16"/>
      <c r="Y4137" s="16"/>
    </row>
    <row r="4138" customFormat="false" ht="15.75" hidden="false" customHeight="false" outlineLevel="0" collapsed="false">
      <c r="A4138" s="9"/>
      <c r="B4138" s="10"/>
      <c r="C4138" s="11"/>
      <c r="D4138" s="10"/>
      <c r="E4138" s="10"/>
      <c r="F4138" s="10"/>
      <c r="G4138" s="10"/>
      <c r="H4138" s="10"/>
      <c r="I4138" s="12" t="n">
        <v>1</v>
      </c>
      <c r="J4138" s="12"/>
      <c r="K4138" s="13"/>
      <c r="L4138" s="13"/>
      <c r="M4138" s="12"/>
      <c r="N4138" s="12"/>
      <c r="O4138" s="12"/>
      <c r="P4138" s="13"/>
      <c r="Q4138" s="13"/>
      <c r="R4138" s="12"/>
      <c r="S4138" s="12"/>
      <c r="T4138" s="12"/>
      <c r="U4138" s="14"/>
      <c r="V4138" s="15"/>
      <c r="W4138" s="16" t="n">
        <f aca="false">A4138</f>
        <v>0</v>
      </c>
      <c r="X4138" s="17" t="e">
        <f aca="false">ifs(C4138="","",X4138="",NOW(),TRUE(),X4138)</f>
        <v>#VALUE!</v>
      </c>
      <c r="Y4138" s="17" t="e">
        <f aca="false">ifs(COUNTA(K4138:U4141)&lt;44,"",Y4138="",NOW(),TRUE(),Y4138)</f>
        <v>#VALUE!</v>
      </c>
    </row>
    <row r="4139" customFormat="false" ht="15.75" hidden="false" customHeight="false" outlineLevel="0" collapsed="false">
      <c r="A4139" s="9"/>
      <c r="B4139" s="10"/>
      <c r="C4139" s="10"/>
      <c r="D4139" s="10"/>
      <c r="E4139" s="10"/>
      <c r="F4139" s="10"/>
      <c r="G4139" s="10"/>
      <c r="H4139" s="10"/>
      <c r="I4139" s="18" t="n">
        <v>2</v>
      </c>
      <c r="J4139" s="18"/>
      <c r="K4139" s="19"/>
      <c r="L4139" s="19"/>
      <c r="M4139" s="18"/>
      <c r="N4139" s="18"/>
      <c r="O4139" s="18"/>
      <c r="P4139" s="19"/>
      <c r="Q4139" s="19"/>
      <c r="R4139" s="18"/>
      <c r="S4139" s="18"/>
      <c r="T4139" s="18"/>
      <c r="U4139" s="20"/>
      <c r="V4139" s="21"/>
      <c r="W4139" s="16"/>
      <c r="X4139" s="16"/>
      <c r="Y4139" s="16"/>
    </row>
    <row r="4140" customFormat="false" ht="15.75" hidden="false" customHeight="false" outlineLevel="0" collapsed="false">
      <c r="A4140" s="9"/>
      <c r="B4140" s="10"/>
      <c r="C4140" s="10"/>
      <c r="D4140" s="10"/>
      <c r="E4140" s="10"/>
      <c r="F4140" s="10"/>
      <c r="G4140" s="10"/>
      <c r="H4140" s="10"/>
      <c r="I4140" s="22" t="n">
        <v>3</v>
      </c>
      <c r="J4140" s="22"/>
      <c r="K4140" s="23"/>
      <c r="L4140" s="23"/>
      <c r="M4140" s="22"/>
      <c r="N4140" s="22"/>
      <c r="O4140" s="22"/>
      <c r="P4140" s="23"/>
      <c r="Q4140" s="23"/>
      <c r="R4140" s="22"/>
      <c r="S4140" s="22"/>
      <c r="T4140" s="22"/>
      <c r="U4140" s="24"/>
      <c r="V4140" s="15"/>
      <c r="W4140" s="16"/>
      <c r="X4140" s="16"/>
      <c r="Y4140" s="16"/>
    </row>
    <row r="4141" customFormat="false" ht="15.75" hidden="false" customHeight="false" outlineLevel="0" collapsed="false">
      <c r="A4141" s="9"/>
      <c r="B4141" s="10"/>
      <c r="C4141" s="10"/>
      <c r="D4141" s="10"/>
      <c r="E4141" s="10"/>
      <c r="F4141" s="10"/>
      <c r="G4141" s="10"/>
      <c r="H4141" s="10"/>
      <c r="I4141" s="25" t="n">
        <v>4</v>
      </c>
      <c r="J4141" s="25"/>
      <c r="K4141" s="26"/>
      <c r="L4141" s="26"/>
      <c r="M4141" s="25"/>
      <c r="N4141" s="25"/>
      <c r="O4141" s="25"/>
      <c r="P4141" s="26"/>
      <c r="Q4141" s="26"/>
      <c r="R4141" s="25"/>
      <c r="S4141" s="25"/>
      <c r="T4141" s="25"/>
      <c r="U4141" s="27"/>
      <c r="V4141" s="21"/>
      <c r="W4141" s="16"/>
      <c r="X4141" s="16"/>
      <c r="Y4141" s="16"/>
    </row>
    <row r="4142" customFormat="false" ht="15.75" hidden="false" customHeight="false" outlineLevel="0" collapsed="false">
      <c r="A4142" s="9"/>
      <c r="B4142" s="10"/>
      <c r="C4142" s="11"/>
      <c r="D4142" s="10"/>
      <c r="E4142" s="10"/>
      <c r="F4142" s="10"/>
      <c r="G4142" s="10"/>
      <c r="H4142" s="10"/>
      <c r="I4142" s="12" t="n">
        <v>1</v>
      </c>
      <c r="J4142" s="12"/>
      <c r="K4142" s="13"/>
      <c r="L4142" s="13"/>
      <c r="M4142" s="12"/>
      <c r="N4142" s="12"/>
      <c r="O4142" s="12"/>
      <c r="P4142" s="13"/>
      <c r="Q4142" s="13"/>
      <c r="R4142" s="12"/>
      <c r="S4142" s="12"/>
      <c r="T4142" s="12"/>
      <c r="U4142" s="14"/>
      <c r="V4142" s="15"/>
      <c r="W4142" s="16" t="n">
        <f aca="false">A4142</f>
        <v>0</v>
      </c>
      <c r="X4142" s="17" t="e">
        <f aca="false">ifs(C4142="","",X4142="",NOW(),TRUE(),X4142)</f>
        <v>#VALUE!</v>
      </c>
      <c r="Y4142" s="17" t="e">
        <f aca="false">ifs(COUNTA(K4142:U4145)&lt;44,"",Y4142="",NOW(),TRUE(),Y4142)</f>
        <v>#VALUE!</v>
      </c>
    </row>
    <row r="4143" customFormat="false" ht="15.75" hidden="false" customHeight="false" outlineLevel="0" collapsed="false">
      <c r="A4143" s="9"/>
      <c r="B4143" s="10"/>
      <c r="C4143" s="10"/>
      <c r="D4143" s="10"/>
      <c r="E4143" s="10"/>
      <c r="F4143" s="10"/>
      <c r="G4143" s="10"/>
      <c r="H4143" s="10"/>
      <c r="I4143" s="18" t="n">
        <v>2</v>
      </c>
      <c r="J4143" s="18"/>
      <c r="K4143" s="19"/>
      <c r="L4143" s="19"/>
      <c r="M4143" s="18"/>
      <c r="N4143" s="18"/>
      <c r="O4143" s="18"/>
      <c r="P4143" s="19"/>
      <c r="Q4143" s="19"/>
      <c r="R4143" s="18"/>
      <c r="S4143" s="18"/>
      <c r="T4143" s="18"/>
      <c r="U4143" s="20"/>
      <c r="V4143" s="21"/>
      <c r="W4143" s="16"/>
      <c r="X4143" s="16"/>
      <c r="Y4143" s="16"/>
    </row>
    <row r="4144" customFormat="false" ht="15.75" hidden="false" customHeight="false" outlineLevel="0" collapsed="false">
      <c r="A4144" s="9"/>
      <c r="B4144" s="10"/>
      <c r="C4144" s="10"/>
      <c r="D4144" s="10"/>
      <c r="E4144" s="10"/>
      <c r="F4144" s="10"/>
      <c r="G4144" s="10"/>
      <c r="H4144" s="10"/>
      <c r="I4144" s="22" t="n">
        <v>3</v>
      </c>
      <c r="J4144" s="22"/>
      <c r="K4144" s="23"/>
      <c r="L4144" s="23"/>
      <c r="M4144" s="22"/>
      <c r="N4144" s="22"/>
      <c r="O4144" s="22"/>
      <c r="P4144" s="23"/>
      <c r="Q4144" s="23"/>
      <c r="R4144" s="22"/>
      <c r="S4144" s="22"/>
      <c r="T4144" s="22"/>
      <c r="U4144" s="24"/>
      <c r="V4144" s="15"/>
      <c r="W4144" s="16"/>
      <c r="X4144" s="16"/>
      <c r="Y4144" s="16"/>
    </row>
    <row r="4145" customFormat="false" ht="15.75" hidden="false" customHeight="false" outlineLevel="0" collapsed="false">
      <c r="A4145" s="9"/>
      <c r="B4145" s="10"/>
      <c r="C4145" s="10"/>
      <c r="D4145" s="10"/>
      <c r="E4145" s="10"/>
      <c r="F4145" s="10"/>
      <c r="G4145" s="10"/>
      <c r="H4145" s="10"/>
      <c r="I4145" s="25" t="n">
        <v>4</v>
      </c>
      <c r="J4145" s="25"/>
      <c r="K4145" s="26"/>
      <c r="L4145" s="26"/>
      <c r="M4145" s="25"/>
      <c r="N4145" s="25"/>
      <c r="O4145" s="25"/>
      <c r="P4145" s="26"/>
      <c r="Q4145" s="26"/>
      <c r="R4145" s="25"/>
      <c r="S4145" s="25"/>
      <c r="T4145" s="25"/>
      <c r="U4145" s="27"/>
      <c r="V4145" s="21"/>
      <c r="W4145" s="16"/>
      <c r="X4145" s="16"/>
      <c r="Y4145" s="16"/>
    </row>
    <row r="4146" customFormat="false" ht="15.75" hidden="false" customHeight="false" outlineLevel="0" collapsed="false">
      <c r="A4146" s="9"/>
      <c r="B4146" s="10"/>
      <c r="C4146" s="11"/>
      <c r="D4146" s="10"/>
      <c r="E4146" s="10"/>
      <c r="F4146" s="10"/>
      <c r="G4146" s="10"/>
      <c r="H4146" s="10"/>
      <c r="I4146" s="12" t="n">
        <v>1</v>
      </c>
      <c r="J4146" s="12"/>
      <c r="K4146" s="13"/>
      <c r="L4146" s="13"/>
      <c r="M4146" s="12"/>
      <c r="N4146" s="12"/>
      <c r="O4146" s="12"/>
      <c r="P4146" s="13"/>
      <c r="Q4146" s="13"/>
      <c r="R4146" s="12"/>
      <c r="S4146" s="12"/>
      <c r="T4146" s="12"/>
      <c r="U4146" s="14"/>
      <c r="V4146" s="15"/>
      <c r="W4146" s="16" t="n">
        <f aca="false">A4146</f>
        <v>0</v>
      </c>
      <c r="X4146" s="17" t="e">
        <f aca="false">ifs(C4146="","",X4146="",NOW(),TRUE(),X4146)</f>
        <v>#VALUE!</v>
      </c>
      <c r="Y4146" s="17" t="e">
        <f aca="false">ifs(COUNTA(K4146:U4149)&lt;44,"",Y4146="",NOW(),TRUE(),Y4146)</f>
        <v>#VALUE!</v>
      </c>
    </row>
    <row r="4147" customFormat="false" ht="15.75" hidden="false" customHeight="false" outlineLevel="0" collapsed="false">
      <c r="A4147" s="9"/>
      <c r="B4147" s="10"/>
      <c r="C4147" s="10"/>
      <c r="D4147" s="10"/>
      <c r="E4147" s="10"/>
      <c r="F4147" s="10"/>
      <c r="G4147" s="10"/>
      <c r="H4147" s="10"/>
      <c r="I4147" s="18" t="n">
        <v>2</v>
      </c>
      <c r="J4147" s="18"/>
      <c r="K4147" s="19"/>
      <c r="L4147" s="19"/>
      <c r="M4147" s="18"/>
      <c r="N4147" s="18"/>
      <c r="O4147" s="18"/>
      <c r="P4147" s="19"/>
      <c r="Q4147" s="19"/>
      <c r="R4147" s="18"/>
      <c r="S4147" s="18"/>
      <c r="T4147" s="18"/>
      <c r="U4147" s="20"/>
      <c r="V4147" s="21"/>
      <c r="W4147" s="16"/>
      <c r="X4147" s="16"/>
      <c r="Y4147" s="16"/>
    </row>
    <row r="4148" customFormat="false" ht="15.75" hidden="false" customHeight="false" outlineLevel="0" collapsed="false">
      <c r="A4148" s="9"/>
      <c r="B4148" s="10"/>
      <c r="C4148" s="10"/>
      <c r="D4148" s="10"/>
      <c r="E4148" s="10"/>
      <c r="F4148" s="10"/>
      <c r="G4148" s="10"/>
      <c r="H4148" s="10"/>
      <c r="I4148" s="22" t="n">
        <v>3</v>
      </c>
      <c r="J4148" s="22"/>
      <c r="K4148" s="23"/>
      <c r="L4148" s="23"/>
      <c r="M4148" s="22"/>
      <c r="N4148" s="22"/>
      <c r="O4148" s="22"/>
      <c r="P4148" s="23"/>
      <c r="Q4148" s="23"/>
      <c r="R4148" s="22"/>
      <c r="S4148" s="22"/>
      <c r="T4148" s="22"/>
      <c r="U4148" s="24"/>
      <c r="V4148" s="15"/>
      <c r="W4148" s="16"/>
      <c r="X4148" s="16"/>
      <c r="Y4148" s="16"/>
    </row>
    <row r="4149" customFormat="false" ht="15.75" hidden="false" customHeight="false" outlineLevel="0" collapsed="false">
      <c r="A4149" s="9"/>
      <c r="B4149" s="10"/>
      <c r="C4149" s="10"/>
      <c r="D4149" s="10"/>
      <c r="E4149" s="10"/>
      <c r="F4149" s="10"/>
      <c r="G4149" s="10"/>
      <c r="H4149" s="10"/>
      <c r="I4149" s="25" t="n">
        <v>4</v>
      </c>
      <c r="J4149" s="25"/>
      <c r="K4149" s="26"/>
      <c r="L4149" s="26"/>
      <c r="M4149" s="25"/>
      <c r="N4149" s="25"/>
      <c r="O4149" s="25"/>
      <c r="P4149" s="26"/>
      <c r="Q4149" s="26"/>
      <c r="R4149" s="25"/>
      <c r="S4149" s="25"/>
      <c r="T4149" s="25"/>
      <c r="U4149" s="27"/>
      <c r="V4149" s="21"/>
      <c r="W4149" s="16"/>
      <c r="X4149" s="16"/>
      <c r="Y4149" s="16"/>
    </row>
    <row r="4150" customFormat="false" ht="15.75" hidden="false" customHeight="false" outlineLevel="0" collapsed="false">
      <c r="A4150" s="9"/>
      <c r="B4150" s="10"/>
      <c r="C4150" s="11"/>
      <c r="D4150" s="10"/>
      <c r="E4150" s="10"/>
      <c r="F4150" s="10"/>
      <c r="G4150" s="10"/>
      <c r="H4150" s="10"/>
      <c r="I4150" s="12" t="n">
        <v>1</v>
      </c>
      <c r="J4150" s="12"/>
      <c r="K4150" s="13"/>
      <c r="L4150" s="13"/>
      <c r="M4150" s="12"/>
      <c r="N4150" s="12"/>
      <c r="O4150" s="12"/>
      <c r="P4150" s="13"/>
      <c r="Q4150" s="13"/>
      <c r="R4150" s="12"/>
      <c r="S4150" s="12"/>
      <c r="T4150" s="12"/>
      <c r="U4150" s="14"/>
      <c r="V4150" s="15"/>
      <c r="W4150" s="16" t="n">
        <f aca="false">A4150</f>
        <v>0</v>
      </c>
      <c r="X4150" s="17" t="e">
        <f aca="false">ifs(C4150="","",X4150="",NOW(),TRUE(),X4150)</f>
        <v>#VALUE!</v>
      </c>
      <c r="Y4150" s="17" t="e">
        <f aca="false">ifs(COUNTA(K4150:U4153)&lt;44,"",Y4150="",NOW(),TRUE(),Y4150)</f>
        <v>#VALUE!</v>
      </c>
    </row>
    <row r="4151" customFormat="false" ht="15.75" hidden="false" customHeight="false" outlineLevel="0" collapsed="false">
      <c r="A4151" s="9"/>
      <c r="B4151" s="10"/>
      <c r="C4151" s="10"/>
      <c r="D4151" s="10"/>
      <c r="E4151" s="10"/>
      <c r="F4151" s="10"/>
      <c r="G4151" s="10"/>
      <c r="H4151" s="10"/>
      <c r="I4151" s="18" t="n">
        <v>2</v>
      </c>
      <c r="J4151" s="18"/>
      <c r="K4151" s="19"/>
      <c r="L4151" s="19"/>
      <c r="M4151" s="18"/>
      <c r="N4151" s="18"/>
      <c r="O4151" s="18"/>
      <c r="P4151" s="19"/>
      <c r="Q4151" s="19"/>
      <c r="R4151" s="18"/>
      <c r="S4151" s="18"/>
      <c r="T4151" s="18"/>
      <c r="U4151" s="20"/>
      <c r="V4151" s="21"/>
      <c r="W4151" s="16"/>
      <c r="X4151" s="16"/>
      <c r="Y4151" s="16"/>
    </row>
    <row r="4152" customFormat="false" ht="15.75" hidden="false" customHeight="false" outlineLevel="0" collapsed="false">
      <c r="A4152" s="9"/>
      <c r="B4152" s="10"/>
      <c r="C4152" s="10"/>
      <c r="D4152" s="10"/>
      <c r="E4152" s="10"/>
      <c r="F4152" s="10"/>
      <c r="G4152" s="10"/>
      <c r="H4152" s="10"/>
      <c r="I4152" s="22" t="n">
        <v>3</v>
      </c>
      <c r="J4152" s="22"/>
      <c r="K4152" s="23"/>
      <c r="L4152" s="23"/>
      <c r="M4152" s="22"/>
      <c r="N4152" s="22"/>
      <c r="O4152" s="22"/>
      <c r="P4152" s="23"/>
      <c r="Q4152" s="23"/>
      <c r="R4152" s="22"/>
      <c r="S4152" s="22"/>
      <c r="T4152" s="22"/>
      <c r="U4152" s="24"/>
      <c r="V4152" s="15"/>
      <c r="W4152" s="16"/>
      <c r="X4152" s="16"/>
      <c r="Y4152" s="16"/>
    </row>
    <row r="4153" customFormat="false" ht="15.75" hidden="false" customHeight="false" outlineLevel="0" collapsed="false">
      <c r="A4153" s="9"/>
      <c r="B4153" s="10"/>
      <c r="C4153" s="10"/>
      <c r="D4153" s="10"/>
      <c r="E4153" s="10"/>
      <c r="F4153" s="10"/>
      <c r="G4153" s="10"/>
      <c r="H4153" s="10"/>
      <c r="I4153" s="25" t="n">
        <v>4</v>
      </c>
      <c r="J4153" s="25"/>
      <c r="K4153" s="26"/>
      <c r="L4153" s="26"/>
      <c r="M4153" s="25"/>
      <c r="N4153" s="25"/>
      <c r="O4153" s="25"/>
      <c r="P4153" s="26"/>
      <c r="Q4153" s="26"/>
      <c r="R4153" s="25"/>
      <c r="S4153" s="25"/>
      <c r="T4153" s="25"/>
      <c r="U4153" s="27"/>
      <c r="V4153" s="21"/>
      <c r="W4153" s="16"/>
      <c r="X4153" s="16"/>
      <c r="Y4153" s="16"/>
    </row>
    <row r="4154" customFormat="false" ht="15.75" hidden="false" customHeight="false" outlineLevel="0" collapsed="false">
      <c r="A4154" s="9"/>
      <c r="B4154" s="10"/>
      <c r="C4154" s="11"/>
      <c r="D4154" s="10"/>
      <c r="E4154" s="10"/>
      <c r="F4154" s="10"/>
      <c r="G4154" s="10"/>
      <c r="H4154" s="10"/>
      <c r="I4154" s="12" t="n">
        <v>1</v>
      </c>
      <c r="J4154" s="12"/>
      <c r="K4154" s="13"/>
      <c r="L4154" s="13"/>
      <c r="M4154" s="12"/>
      <c r="N4154" s="12"/>
      <c r="O4154" s="12"/>
      <c r="P4154" s="13"/>
      <c r="Q4154" s="13"/>
      <c r="R4154" s="12"/>
      <c r="S4154" s="12"/>
      <c r="T4154" s="12"/>
      <c r="U4154" s="14"/>
      <c r="V4154" s="15"/>
      <c r="W4154" s="16" t="n">
        <f aca="false">A4154</f>
        <v>0</v>
      </c>
      <c r="X4154" s="17" t="e">
        <f aca="false">ifs(C4154="","",X4154="",NOW(),TRUE(),X4154)</f>
        <v>#VALUE!</v>
      </c>
      <c r="Y4154" s="17" t="e">
        <f aca="false">ifs(COUNTA(K4154:U4157)&lt;44,"",Y4154="",NOW(),TRUE(),Y4154)</f>
        <v>#VALUE!</v>
      </c>
    </row>
    <row r="4155" customFormat="false" ht="15.75" hidden="false" customHeight="false" outlineLevel="0" collapsed="false">
      <c r="A4155" s="9"/>
      <c r="B4155" s="10"/>
      <c r="C4155" s="10"/>
      <c r="D4155" s="10"/>
      <c r="E4155" s="10"/>
      <c r="F4155" s="10"/>
      <c r="G4155" s="10"/>
      <c r="H4155" s="10"/>
      <c r="I4155" s="18" t="n">
        <v>2</v>
      </c>
      <c r="J4155" s="18"/>
      <c r="K4155" s="19"/>
      <c r="L4155" s="19"/>
      <c r="M4155" s="18"/>
      <c r="N4155" s="18"/>
      <c r="O4155" s="18"/>
      <c r="P4155" s="19"/>
      <c r="Q4155" s="19"/>
      <c r="R4155" s="18"/>
      <c r="S4155" s="18"/>
      <c r="T4155" s="18"/>
      <c r="U4155" s="20"/>
      <c r="V4155" s="21"/>
      <c r="W4155" s="16"/>
      <c r="X4155" s="16"/>
      <c r="Y4155" s="16"/>
    </row>
    <row r="4156" customFormat="false" ht="15.75" hidden="false" customHeight="false" outlineLevel="0" collapsed="false">
      <c r="A4156" s="9"/>
      <c r="B4156" s="10"/>
      <c r="C4156" s="10"/>
      <c r="D4156" s="10"/>
      <c r="E4156" s="10"/>
      <c r="F4156" s="10"/>
      <c r="G4156" s="10"/>
      <c r="H4156" s="10"/>
      <c r="I4156" s="22" t="n">
        <v>3</v>
      </c>
      <c r="J4156" s="22"/>
      <c r="K4156" s="23"/>
      <c r="L4156" s="23"/>
      <c r="M4156" s="22"/>
      <c r="N4156" s="22"/>
      <c r="O4156" s="22"/>
      <c r="P4156" s="23"/>
      <c r="Q4156" s="23"/>
      <c r="R4156" s="22"/>
      <c r="S4156" s="22"/>
      <c r="T4156" s="22"/>
      <c r="U4156" s="24"/>
      <c r="V4156" s="15"/>
      <c r="W4156" s="16"/>
      <c r="X4156" s="16"/>
      <c r="Y4156" s="16"/>
    </row>
    <row r="4157" customFormat="false" ht="15.75" hidden="false" customHeight="false" outlineLevel="0" collapsed="false">
      <c r="A4157" s="9"/>
      <c r="B4157" s="10"/>
      <c r="C4157" s="10"/>
      <c r="D4157" s="10"/>
      <c r="E4157" s="10"/>
      <c r="F4157" s="10"/>
      <c r="G4157" s="10"/>
      <c r="H4157" s="10"/>
      <c r="I4157" s="25" t="n">
        <v>4</v>
      </c>
      <c r="J4157" s="25"/>
      <c r="K4157" s="26"/>
      <c r="L4157" s="26"/>
      <c r="M4157" s="25"/>
      <c r="N4157" s="25"/>
      <c r="O4157" s="25"/>
      <c r="P4157" s="26"/>
      <c r="Q4157" s="26"/>
      <c r="R4157" s="25"/>
      <c r="S4157" s="25"/>
      <c r="T4157" s="25"/>
      <c r="U4157" s="27"/>
      <c r="V4157" s="21"/>
      <c r="W4157" s="16"/>
      <c r="X4157" s="16"/>
      <c r="Y4157" s="16"/>
    </row>
    <row r="4158" customFormat="false" ht="15.75" hidden="false" customHeight="false" outlineLevel="0" collapsed="false">
      <c r="A4158" s="9"/>
      <c r="B4158" s="10"/>
      <c r="C4158" s="11"/>
      <c r="D4158" s="10"/>
      <c r="E4158" s="10"/>
      <c r="F4158" s="10"/>
      <c r="G4158" s="10"/>
      <c r="H4158" s="10"/>
      <c r="I4158" s="12" t="n">
        <v>1</v>
      </c>
      <c r="J4158" s="12"/>
      <c r="K4158" s="13"/>
      <c r="L4158" s="13"/>
      <c r="M4158" s="12"/>
      <c r="N4158" s="12"/>
      <c r="O4158" s="12"/>
      <c r="P4158" s="13"/>
      <c r="Q4158" s="13"/>
      <c r="R4158" s="12"/>
      <c r="S4158" s="12"/>
      <c r="T4158" s="12"/>
      <c r="U4158" s="14"/>
      <c r="V4158" s="15"/>
      <c r="W4158" s="16" t="n">
        <f aca="false">A4158</f>
        <v>0</v>
      </c>
      <c r="X4158" s="17" t="e">
        <f aca="false">ifs(C4158="","",X4158="",NOW(),TRUE(),X4158)</f>
        <v>#VALUE!</v>
      </c>
      <c r="Y4158" s="17" t="e">
        <f aca="false">ifs(COUNTA(K4158:U4161)&lt;44,"",Y4158="",NOW(),TRUE(),Y4158)</f>
        <v>#VALUE!</v>
      </c>
    </row>
    <row r="4159" customFormat="false" ht="15.75" hidden="false" customHeight="false" outlineLevel="0" collapsed="false">
      <c r="A4159" s="9"/>
      <c r="B4159" s="10"/>
      <c r="C4159" s="10"/>
      <c r="D4159" s="10"/>
      <c r="E4159" s="10"/>
      <c r="F4159" s="10"/>
      <c r="G4159" s="10"/>
      <c r="H4159" s="10"/>
      <c r="I4159" s="18" t="n">
        <v>2</v>
      </c>
      <c r="J4159" s="18"/>
      <c r="K4159" s="19"/>
      <c r="L4159" s="19"/>
      <c r="M4159" s="18"/>
      <c r="N4159" s="18"/>
      <c r="O4159" s="18"/>
      <c r="P4159" s="19"/>
      <c r="Q4159" s="19"/>
      <c r="R4159" s="18"/>
      <c r="S4159" s="18"/>
      <c r="T4159" s="18"/>
      <c r="U4159" s="20"/>
      <c r="V4159" s="21"/>
      <c r="W4159" s="16"/>
      <c r="X4159" s="16"/>
      <c r="Y4159" s="16"/>
    </row>
    <row r="4160" customFormat="false" ht="15.75" hidden="false" customHeight="false" outlineLevel="0" collapsed="false">
      <c r="A4160" s="9"/>
      <c r="B4160" s="10"/>
      <c r="C4160" s="10"/>
      <c r="D4160" s="10"/>
      <c r="E4160" s="10"/>
      <c r="F4160" s="10"/>
      <c r="G4160" s="10"/>
      <c r="H4160" s="10"/>
      <c r="I4160" s="22" t="n">
        <v>3</v>
      </c>
      <c r="J4160" s="22"/>
      <c r="K4160" s="23"/>
      <c r="L4160" s="23"/>
      <c r="M4160" s="22"/>
      <c r="N4160" s="22"/>
      <c r="O4160" s="22"/>
      <c r="P4160" s="23"/>
      <c r="Q4160" s="23"/>
      <c r="R4160" s="22"/>
      <c r="S4160" s="22"/>
      <c r="T4160" s="22"/>
      <c r="U4160" s="24"/>
      <c r="V4160" s="15"/>
      <c r="W4160" s="16"/>
      <c r="X4160" s="16"/>
      <c r="Y4160" s="16"/>
    </row>
    <row r="4161" customFormat="false" ht="15.75" hidden="false" customHeight="false" outlineLevel="0" collapsed="false">
      <c r="A4161" s="9"/>
      <c r="B4161" s="10"/>
      <c r="C4161" s="10"/>
      <c r="D4161" s="10"/>
      <c r="E4161" s="10"/>
      <c r="F4161" s="10"/>
      <c r="G4161" s="10"/>
      <c r="H4161" s="10"/>
      <c r="I4161" s="25" t="n">
        <v>4</v>
      </c>
      <c r="J4161" s="25"/>
      <c r="K4161" s="26"/>
      <c r="L4161" s="26"/>
      <c r="M4161" s="25"/>
      <c r="N4161" s="25"/>
      <c r="O4161" s="25"/>
      <c r="P4161" s="26"/>
      <c r="Q4161" s="26"/>
      <c r="R4161" s="25"/>
      <c r="S4161" s="25"/>
      <c r="T4161" s="25"/>
      <c r="U4161" s="27"/>
      <c r="V4161" s="21"/>
      <c r="W4161" s="16"/>
      <c r="X4161" s="16"/>
      <c r="Y4161" s="16"/>
    </row>
    <row r="4162" customFormat="false" ht="15.75" hidden="false" customHeight="false" outlineLevel="0" collapsed="false">
      <c r="A4162" s="9"/>
      <c r="B4162" s="10"/>
      <c r="C4162" s="11"/>
      <c r="D4162" s="10"/>
      <c r="E4162" s="10"/>
      <c r="F4162" s="10"/>
      <c r="G4162" s="10"/>
      <c r="H4162" s="10"/>
      <c r="I4162" s="12" t="n">
        <v>1</v>
      </c>
      <c r="J4162" s="12"/>
      <c r="K4162" s="13"/>
      <c r="L4162" s="13"/>
      <c r="M4162" s="12"/>
      <c r="N4162" s="12"/>
      <c r="O4162" s="12"/>
      <c r="P4162" s="13"/>
      <c r="Q4162" s="13"/>
      <c r="R4162" s="12"/>
      <c r="S4162" s="12"/>
      <c r="T4162" s="12"/>
      <c r="U4162" s="14"/>
      <c r="V4162" s="15"/>
      <c r="W4162" s="16" t="n">
        <f aca="false">A4162</f>
        <v>0</v>
      </c>
      <c r="X4162" s="17" t="e">
        <f aca="false">ifs(C4162="","",X4162="",NOW(),TRUE(),X4162)</f>
        <v>#VALUE!</v>
      </c>
      <c r="Y4162" s="17" t="e">
        <f aca="false">ifs(COUNTA(K4162:U4165)&lt;44,"",Y4162="",NOW(),TRUE(),Y4162)</f>
        <v>#VALUE!</v>
      </c>
    </row>
    <row r="4163" customFormat="false" ht="15.75" hidden="false" customHeight="false" outlineLevel="0" collapsed="false">
      <c r="A4163" s="9"/>
      <c r="B4163" s="10"/>
      <c r="C4163" s="10"/>
      <c r="D4163" s="10"/>
      <c r="E4163" s="10"/>
      <c r="F4163" s="10"/>
      <c r="G4163" s="10"/>
      <c r="H4163" s="10"/>
      <c r="I4163" s="18" t="n">
        <v>2</v>
      </c>
      <c r="J4163" s="18"/>
      <c r="K4163" s="19"/>
      <c r="L4163" s="19"/>
      <c r="M4163" s="18"/>
      <c r="N4163" s="18"/>
      <c r="O4163" s="18"/>
      <c r="P4163" s="19"/>
      <c r="Q4163" s="19"/>
      <c r="R4163" s="18"/>
      <c r="S4163" s="18"/>
      <c r="T4163" s="18"/>
      <c r="U4163" s="20"/>
      <c r="V4163" s="21"/>
      <c r="W4163" s="16"/>
      <c r="X4163" s="16"/>
      <c r="Y4163" s="16"/>
    </row>
    <row r="4164" customFormat="false" ht="15.75" hidden="false" customHeight="false" outlineLevel="0" collapsed="false">
      <c r="A4164" s="9"/>
      <c r="B4164" s="10"/>
      <c r="C4164" s="10"/>
      <c r="D4164" s="10"/>
      <c r="E4164" s="10"/>
      <c r="F4164" s="10"/>
      <c r="G4164" s="10"/>
      <c r="H4164" s="10"/>
      <c r="I4164" s="22" t="n">
        <v>3</v>
      </c>
      <c r="J4164" s="22"/>
      <c r="K4164" s="23"/>
      <c r="L4164" s="23"/>
      <c r="M4164" s="22"/>
      <c r="N4164" s="22"/>
      <c r="O4164" s="22"/>
      <c r="P4164" s="23"/>
      <c r="Q4164" s="23"/>
      <c r="R4164" s="22"/>
      <c r="S4164" s="22"/>
      <c r="T4164" s="22"/>
      <c r="U4164" s="24"/>
      <c r="V4164" s="15"/>
      <c r="W4164" s="16"/>
      <c r="X4164" s="16"/>
      <c r="Y4164" s="16"/>
    </row>
    <row r="4165" customFormat="false" ht="15.75" hidden="false" customHeight="false" outlineLevel="0" collapsed="false">
      <c r="A4165" s="9"/>
      <c r="B4165" s="10"/>
      <c r="C4165" s="10"/>
      <c r="D4165" s="10"/>
      <c r="E4165" s="10"/>
      <c r="F4165" s="10"/>
      <c r="G4165" s="10"/>
      <c r="H4165" s="10"/>
      <c r="I4165" s="25" t="n">
        <v>4</v>
      </c>
      <c r="J4165" s="25"/>
      <c r="K4165" s="26"/>
      <c r="L4165" s="26"/>
      <c r="M4165" s="25"/>
      <c r="N4165" s="25"/>
      <c r="O4165" s="25"/>
      <c r="P4165" s="26"/>
      <c r="Q4165" s="26"/>
      <c r="R4165" s="25"/>
      <c r="S4165" s="25"/>
      <c r="T4165" s="25"/>
      <c r="U4165" s="27"/>
      <c r="V4165" s="21"/>
      <c r="W4165" s="16"/>
      <c r="X4165" s="16"/>
      <c r="Y4165" s="16"/>
    </row>
    <row r="4166" customFormat="false" ht="15.75" hidden="false" customHeight="false" outlineLevel="0" collapsed="false">
      <c r="A4166" s="9"/>
      <c r="B4166" s="10"/>
      <c r="C4166" s="11"/>
      <c r="D4166" s="10"/>
      <c r="E4166" s="10"/>
      <c r="F4166" s="10"/>
      <c r="G4166" s="10"/>
      <c r="H4166" s="10"/>
      <c r="I4166" s="12" t="n">
        <v>1</v>
      </c>
      <c r="J4166" s="12"/>
      <c r="K4166" s="13"/>
      <c r="L4166" s="13"/>
      <c r="M4166" s="12"/>
      <c r="N4166" s="12"/>
      <c r="O4166" s="12"/>
      <c r="P4166" s="13"/>
      <c r="Q4166" s="13"/>
      <c r="R4166" s="12"/>
      <c r="S4166" s="12"/>
      <c r="T4166" s="12"/>
      <c r="U4166" s="14"/>
      <c r="V4166" s="15"/>
      <c r="W4166" s="16" t="n">
        <f aca="false">A4166</f>
        <v>0</v>
      </c>
      <c r="X4166" s="17" t="e">
        <f aca="false">ifs(C4166="","",X4166="",NOW(),TRUE(),X4166)</f>
        <v>#VALUE!</v>
      </c>
      <c r="Y4166" s="17" t="e">
        <f aca="false">ifs(COUNTA(K4166:U4169)&lt;44,"",Y4166="",NOW(),TRUE(),Y4166)</f>
        <v>#VALUE!</v>
      </c>
    </row>
    <row r="4167" customFormat="false" ht="15.75" hidden="false" customHeight="false" outlineLevel="0" collapsed="false">
      <c r="A4167" s="9"/>
      <c r="B4167" s="10"/>
      <c r="C4167" s="10"/>
      <c r="D4167" s="10"/>
      <c r="E4167" s="10"/>
      <c r="F4167" s="10"/>
      <c r="G4167" s="10"/>
      <c r="H4167" s="10"/>
      <c r="I4167" s="18" t="n">
        <v>2</v>
      </c>
      <c r="J4167" s="18"/>
      <c r="K4167" s="19"/>
      <c r="L4167" s="19"/>
      <c r="M4167" s="18"/>
      <c r="N4167" s="18"/>
      <c r="O4167" s="18"/>
      <c r="P4167" s="19"/>
      <c r="Q4167" s="19"/>
      <c r="R4167" s="18"/>
      <c r="S4167" s="18"/>
      <c r="T4167" s="18"/>
      <c r="U4167" s="20"/>
      <c r="V4167" s="21"/>
      <c r="W4167" s="16"/>
      <c r="X4167" s="16"/>
      <c r="Y4167" s="16"/>
    </row>
    <row r="4168" customFormat="false" ht="15.75" hidden="false" customHeight="false" outlineLevel="0" collapsed="false">
      <c r="A4168" s="9"/>
      <c r="B4168" s="10"/>
      <c r="C4168" s="10"/>
      <c r="D4168" s="10"/>
      <c r="E4168" s="10"/>
      <c r="F4168" s="10"/>
      <c r="G4168" s="10"/>
      <c r="H4168" s="10"/>
      <c r="I4168" s="22" t="n">
        <v>3</v>
      </c>
      <c r="J4168" s="22"/>
      <c r="K4168" s="23"/>
      <c r="L4168" s="23"/>
      <c r="M4168" s="22"/>
      <c r="N4168" s="22"/>
      <c r="O4168" s="22"/>
      <c r="P4168" s="23"/>
      <c r="Q4168" s="23"/>
      <c r="R4168" s="22"/>
      <c r="S4168" s="22"/>
      <c r="T4168" s="22"/>
      <c r="U4168" s="24"/>
      <c r="V4168" s="15"/>
      <c r="W4168" s="16"/>
      <c r="X4168" s="16"/>
      <c r="Y4168" s="16"/>
    </row>
    <row r="4169" customFormat="false" ht="15.75" hidden="false" customHeight="false" outlineLevel="0" collapsed="false">
      <c r="A4169" s="9"/>
      <c r="B4169" s="10"/>
      <c r="C4169" s="10"/>
      <c r="D4169" s="10"/>
      <c r="E4169" s="10"/>
      <c r="F4169" s="10"/>
      <c r="G4169" s="10"/>
      <c r="H4169" s="10"/>
      <c r="I4169" s="25" t="n">
        <v>4</v>
      </c>
      <c r="J4169" s="25"/>
      <c r="K4169" s="26"/>
      <c r="L4169" s="26"/>
      <c r="M4169" s="25"/>
      <c r="N4169" s="25"/>
      <c r="O4169" s="25"/>
      <c r="P4169" s="26"/>
      <c r="Q4169" s="26"/>
      <c r="R4169" s="25"/>
      <c r="S4169" s="25"/>
      <c r="T4169" s="25"/>
      <c r="U4169" s="27"/>
      <c r="V4169" s="21"/>
      <c r="W4169" s="16"/>
      <c r="X4169" s="16"/>
      <c r="Y4169" s="16"/>
    </row>
    <row r="4170" customFormat="false" ht="15.75" hidden="false" customHeight="false" outlineLevel="0" collapsed="false">
      <c r="A4170" s="9"/>
      <c r="B4170" s="10"/>
      <c r="C4170" s="11"/>
      <c r="D4170" s="10"/>
      <c r="E4170" s="10"/>
      <c r="F4170" s="10"/>
      <c r="G4170" s="10"/>
      <c r="H4170" s="10"/>
      <c r="I4170" s="12" t="n">
        <v>1</v>
      </c>
      <c r="J4170" s="12"/>
      <c r="K4170" s="13"/>
      <c r="L4170" s="13"/>
      <c r="M4170" s="12"/>
      <c r="N4170" s="12"/>
      <c r="O4170" s="12"/>
      <c r="P4170" s="13"/>
      <c r="Q4170" s="13"/>
      <c r="R4170" s="12"/>
      <c r="S4170" s="12"/>
      <c r="T4170" s="12"/>
      <c r="U4170" s="14"/>
      <c r="V4170" s="15"/>
      <c r="W4170" s="16" t="n">
        <f aca="false">A4170</f>
        <v>0</v>
      </c>
      <c r="X4170" s="17" t="e">
        <f aca="false">ifs(C4170="","",X4170="",NOW(),TRUE(),X4170)</f>
        <v>#VALUE!</v>
      </c>
      <c r="Y4170" s="17" t="e">
        <f aca="false">ifs(COUNTA(K4170:U4173)&lt;44,"",Y4170="",NOW(),TRUE(),Y4170)</f>
        <v>#VALUE!</v>
      </c>
    </row>
    <row r="4171" customFormat="false" ht="15.75" hidden="false" customHeight="false" outlineLevel="0" collapsed="false">
      <c r="A4171" s="9"/>
      <c r="B4171" s="10"/>
      <c r="C4171" s="10"/>
      <c r="D4171" s="10"/>
      <c r="E4171" s="10"/>
      <c r="F4171" s="10"/>
      <c r="G4171" s="10"/>
      <c r="H4171" s="10"/>
      <c r="I4171" s="18" t="n">
        <v>2</v>
      </c>
      <c r="J4171" s="18"/>
      <c r="K4171" s="19"/>
      <c r="L4171" s="19"/>
      <c r="M4171" s="18"/>
      <c r="N4171" s="18"/>
      <c r="O4171" s="18"/>
      <c r="P4171" s="19"/>
      <c r="Q4171" s="19"/>
      <c r="R4171" s="18"/>
      <c r="S4171" s="18"/>
      <c r="T4171" s="18"/>
      <c r="U4171" s="20"/>
      <c r="V4171" s="21"/>
      <c r="W4171" s="16"/>
      <c r="X4171" s="16"/>
      <c r="Y4171" s="16"/>
    </row>
    <row r="4172" customFormat="false" ht="15.75" hidden="false" customHeight="false" outlineLevel="0" collapsed="false">
      <c r="A4172" s="9"/>
      <c r="B4172" s="10"/>
      <c r="C4172" s="10"/>
      <c r="D4172" s="10"/>
      <c r="E4172" s="10"/>
      <c r="F4172" s="10"/>
      <c r="G4172" s="10"/>
      <c r="H4172" s="10"/>
      <c r="I4172" s="22" t="n">
        <v>3</v>
      </c>
      <c r="J4172" s="22"/>
      <c r="K4172" s="23"/>
      <c r="L4172" s="23"/>
      <c r="M4172" s="22"/>
      <c r="N4172" s="22"/>
      <c r="O4172" s="22"/>
      <c r="P4172" s="23"/>
      <c r="Q4172" s="23"/>
      <c r="R4172" s="22"/>
      <c r="S4172" s="22"/>
      <c r="T4172" s="22"/>
      <c r="U4172" s="24"/>
      <c r="V4172" s="15"/>
      <c r="W4172" s="16"/>
      <c r="X4172" s="16"/>
      <c r="Y4172" s="16"/>
    </row>
    <row r="4173" customFormat="false" ht="15.75" hidden="false" customHeight="false" outlineLevel="0" collapsed="false">
      <c r="A4173" s="9"/>
      <c r="B4173" s="10"/>
      <c r="C4173" s="10"/>
      <c r="D4173" s="10"/>
      <c r="E4173" s="10"/>
      <c r="F4173" s="10"/>
      <c r="G4173" s="10"/>
      <c r="H4173" s="10"/>
      <c r="I4173" s="25" t="n">
        <v>4</v>
      </c>
      <c r="J4173" s="25"/>
      <c r="K4173" s="26"/>
      <c r="L4173" s="26"/>
      <c r="M4173" s="25"/>
      <c r="N4173" s="25"/>
      <c r="O4173" s="25"/>
      <c r="P4173" s="26"/>
      <c r="Q4173" s="26"/>
      <c r="R4173" s="25"/>
      <c r="S4173" s="25"/>
      <c r="T4173" s="25"/>
      <c r="U4173" s="27"/>
      <c r="V4173" s="21"/>
      <c r="W4173" s="16"/>
      <c r="X4173" s="16"/>
      <c r="Y4173" s="16"/>
    </row>
    <row r="4174" customFormat="false" ht="15.75" hidden="false" customHeight="false" outlineLevel="0" collapsed="false">
      <c r="A4174" s="9"/>
      <c r="B4174" s="10"/>
      <c r="C4174" s="11"/>
      <c r="D4174" s="10"/>
      <c r="E4174" s="10"/>
      <c r="F4174" s="10"/>
      <c r="G4174" s="10"/>
      <c r="H4174" s="10"/>
      <c r="I4174" s="12" t="n">
        <v>1</v>
      </c>
      <c r="J4174" s="12"/>
      <c r="K4174" s="13"/>
      <c r="L4174" s="13"/>
      <c r="M4174" s="12"/>
      <c r="N4174" s="12"/>
      <c r="O4174" s="12"/>
      <c r="P4174" s="13"/>
      <c r="Q4174" s="13"/>
      <c r="R4174" s="12"/>
      <c r="S4174" s="12"/>
      <c r="T4174" s="12"/>
      <c r="U4174" s="14"/>
      <c r="V4174" s="15"/>
      <c r="W4174" s="16" t="n">
        <f aca="false">A4174</f>
        <v>0</v>
      </c>
      <c r="X4174" s="17" t="e">
        <f aca="false">ifs(C4174="","",X4174="",NOW(),TRUE(),X4174)</f>
        <v>#VALUE!</v>
      </c>
      <c r="Y4174" s="17" t="e">
        <f aca="false">ifs(COUNTA(K4174:U4177)&lt;44,"",Y4174="",NOW(),TRUE(),Y4174)</f>
        <v>#VALUE!</v>
      </c>
    </row>
    <row r="4175" customFormat="false" ht="15.75" hidden="false" customHeight="false" outlineLevel="0" collapsed="false">
      <c r="A4175" s="9"/>
      <c r="B4175" s="10"/>
      <c r="C4175" s="10"/>
      <c r="D4175" s="10"/>
      <c r="E4175" s="10"/>
      <c r="F4175" s="10"/>
      <c r="G4175" s="10"/>
      <c r="H4175" s="10"/>
      <c r="I4175" s="18" t="n">
        <v>2</v>
      </c>
      <c r="J4175" s="18"/>
      <c r="K4175" s="19"/>
      <c r="L4175" s="19"/>
      <c r="M4175" s="18"/>
      <c r="N4175" s="18"/>
      <c r="O4175" s="18"/>
      <c r="P4175" s="19"/>
      <c r="Q4175" s="19"/>
      <c r="R4175" s="18"/>
      <c r="S4175" s="18"/>
      <c r="T4175" s="18"/>
      <c r="U4175" s="20"/>
      <c r="V4175" s="21"/>
      <c r="W4175" s="16"/>
      <c r="X4175" s="16"/>
      <c r="Y4175" s="16"/>
    </row>
    <row r="4176" customFormat="false" ht="15.75" hidden="false" customHeight="false" outlineLevel="0" collapsed="false">
      <c r="A4176" s="9"/>
      <c r="B4176" s="10"/>
      <c r="C4176" s="10"/>
      <c r="D4176" s="10"/>
      <c r="E4176" s="10"/>
      <c r="F4176" s="10"/>
      <c r="G4176" s="10"/>
      <c r="H4176" s="10"/>
      <c r="I4176" s="22" t="n">
        <v>3</v>
      </c>
      <c r="J4176" s="22"/>
      <c r="K4176" s="23"/>
      <c r="L4176" s="23"/>
      <c r="M4176" s="22"/>
      <c r="N4176" s="22"/>
      <c r="O4176" s="22"/>
      <c r="P4176" s="23"/>
      <c r="Q4176" s="23"/>
      <c r="R4176" s="22"/>
      <c r="S4176" s="22"/>
      <c r="T4176" s="22"/>
      <c r="U4176" s="24"/>
      <c r="V4176" s="15"/>
      <c r="W4176" s="16"/>
      <c r="X4176" s="16"/>
      <c r="Y4176" s="16"/>
    </row>
    <row r="4177" customFormat="false" ht="15.75" hidden="false" customHeight="false" outlineLevel="0" collapsed="false">
      <c r="A4177" s="9"/>
      <c r="B4177" s="10"/>
      <c r="C4177" s="10"/>
      <c r="D4177" s="10"/>
      <c r="E4177" s="10"/>
      <c r="F4177" s="10"/>
      <c r="G4177" s="10"/>
      <c r="H4177" s="10"/>
      <c r="I4177" s="25" t="n">
        <v>4</v>
      </c>
      <c r="J4177" s="25"/>
      <c r="K4177" s="26"/>
      <c r="L4177" s="26"/>
      <c r="M4177" s="25"/>
      <c r="N4177" s="25"/>
      <c r="O4177" s="25"/>
      <c r="P4177" s="26"/>
      <c r="Q4177" s="26"/>
      <c r="R4177" s="25"/>
      <c r="S4177" s="25"/>
      <c r="T4177" s="25"/>
      <c r="U4177" s="27"/>
      <c r="V4177" s="21"/>
      <c r="W4177" s="16"/>
      <c r="X4177" s="16"/>
      <c r="Y4177" s="16"/>
    </row>
    <row r="4178" customFormat="false" ht="15.75" hidden="false" customHeight="false" outlineLevel="0" collapsed="false">
      <c r="A4178" s="9"/>
      <c r="B4178" s="10"/>
      <c r="C4178" s="11"/>
      <c r="D4178" s="10"/>
      <c r="E4178" s="10"/>
      <c r="F4178" s="10"/>
      <c r="G4178" s="10"/>
      <c r="H4178" s="10"/>
      <c r="I4178" s="12" t="n">
        <v>1</v>
      </c>
      <c r="J4178" s="12"/>
      <c r="K4178" s="13"/>
      <c r="L4178" s="13"/>
      <c r="M4178" s="12"/>
      <c r="N4178" s="12"/>
      <c r="O4178" s="12"/>
      <c r="P4178" s="13"/>
      <c r="Q4178" s="13"/>
      <c r="R4178" s="12"/>
      <c r="S4178" s="12"/>
      <c r="T4178" s="12"/>
      <c r="U4178" s="14"/>
      <c r="V4178" s="15"/>
      <c r="W4178" s="16" t="n">
        <f aca="false">A4178</f>
        <v>0</v>
      </c>
      <c r="X4178" s="17" t="e">
        <f aca="false">ifs(C4178="","",X4178="",NOW(),TRUE(),X4178)</f>
        <v>#VALUE!</v>
      </c>
      <c r="Y4178" s="17" t="e">
        <f aca="false">ifs(COUNTA(K4178:U4181)&lt;44,"",Y4178="",NOW(),TRUE(),Y4178)</f>
        <v>#VALUE!</v>
      </c>
    </row>
    <row r="4179" customFormat="false" ht="15.75" hidden="false" customHeight="false" outlineLevel="0" collapsed="false">
      <c r="A4179" s="9"/>
      <c r="B4179" s="10"/>
      <c r="C4179" s="10"/>
      <c r="D4179" s="10"/>
      <c r="E4179" s="10"/>
      <c r="F4179" s="10"/>
      <c r="G4179" s="10"/>
      <c r="H4179" s="10"/>
      <c r="I4179" s="18" t="n">
        <v>2</v>
      </c>
      <c r="J4179" s="18"/>
      <c r="K4179" s="19"/>
      <c r="L4179" s="19"/>
      <c r="M4179" s="18"/>
      <c r="N4179" s="18"/>
      <c r="O4179" s="18"/>
      <c r="P4179" s="19"/>
      <c r="Q4179" s="19"/>
      <c r="R4179" s="18"/>
      <c r="S4179" s="18"/>
      <c r="T4179" s="18"/>
      <c r="U4179" s="20"/>
      <c r="V4179" s="21"/>
      <c r="W4179" s="16"/>
      <c r="X4179" s="16"/>
      <c r="Y4179" s="16"/>
    </row>
    <row r="4180" customFormat="false" ht="15.75" hidden="false" customHeight="false" outlineLevel="0" collapsed="false">
      <c r="A4180" s="9"/>
      <c r="B4180" s="10"/>
      <c r="C4180" s="10"/>
      <c r="D4180" s="10"/>
      <c r="E4180" s="10"/>
      <c r="F4180" s="10"/>
      <c r="G4180" s="10"/>
      <c r="H4180" s="10"/>
      <c r="I4180" s="22" t="n">
        <v>3</v>
      </c>
      <c r="J4180" s="22"/>
      <c r="K4180" s="23"/>
      <c r="L4180" s="23"/>
      <c r="M4180" s="22"/>
      <c r="N4180" s="22"/>
      <c r="O4180" s="22"/>
      <c r="P4180" s="23"/>
      <c r="Q4180" s="23"/>
      <c r="R4180" s="22"/>
      <c r="S4180" s="22"/>
      <c r="T4180" s="22"/>
      <c r="U4180" s="24"/>
      <c r="V4180" s="15"/>
      <c r="W4180" s="16"/>
      <c r="X4180" s="16"/>
      <c r="Y4180" s="16"/>
    </row>
    <row r="4181" customFormat="false" ht="15.75" hidden="false" customHeight="false" outlineLevel="0" collapsed="false">
      <c r="A4181" s="9"/>
      <c r="B4181" s="10"/>
      <c r="C4181" s="10"/>
      <c r="D4181" s="10"/>
      <c r="E4181" s="10"/>
      <c r="F4181" s="10"/>
      <c r="G4181" s="10"/>
      <c r="H4181" s="10"/>
      <c r="I4181" s="25" t="n">
        <v>4</v>
      </c>
      <c r="J4181" s="25"/>
      <c r="K4181" s="26"/>
      <c r="L4181" s="26"/>
      <c r="M4181" s="25"/>
      <c r="N4181" s="25"/>
      <c r="O4181" s="25"/>
      <c r="P4181" s="26"/>
      <c r="Q4181" s="26"/>
      <c r="R4181" s="25"/>
      <c r="S4181" s="25"/>
      <c r="T4181" s="25"/>
      <c r="U4181" s="27"/>
      <c r="V4181" s="21"/>
      <c r="W4181" s="16"/>
      <c r="X4181" s="16"/>
      <c r="Y4181" s="16"/>
    </row>
    <row r="4182" customFormat="false" ht="15.75" hidden="false" customHeight="false" outlineLevel="0" collapsed="false">
      <c r="A4182" s="9"/>
      <c r="B4182" s="10"/>
      <c r="C4182" s="11"/>
      <c r="D4182" s="10"/>
      <c r="E4182" s="10"/>
      <c r="F4182" s="10"/>
      <c r="G4182" s="10"/>
      <c r="H4182" s="10"/>
      <c r="I4182" s="12" t="n">
        <v>1</v>
      </c>
      <c r="J4182" s="12"/>
      <c r="K4182" s="13"/>
      <c r="L4182" s="13"/>
      <c r="M4182" s="12"/>
      <c r="N4182" s="12"/>
      <c r="O4182" s="12"/>
      <c r="P4182" s="13"/>
      <c r="Q4182" s="13"/>
      <c r="R4182" s="12"/>
      <c r="S4182" s="12"/>
      <c r="T4182" s="12"/>
      <c r="U4182" s="14"/>
      <c r="V4182" s="15"/>
      <c r="W4182" s="16" t="n">
        <f aca="false">A4182</f>
        <v>0</v>
      </c>
      <c r="X4182" s="17" t="e">
        <f aca="false">ifs(C4182="","",X4182="",NOW(),TRUE(),X4182)</f>
        <v>#VALUE!</v>
      </c>
      <c r="Y4182" s="17" t="e">
        <f aca="false">ifs(COUNTA(K4182:U4185)&lt;44,"",Y4182="",NOW(),TRUE(),Y4182)</f>
        <v>#VALUE!</v>
      </c>
    </row>
    <row r="4183" customFormat="false" ht="15.75" hidden="false" customHeight="false" outlineLevel="0" collapsed="false">
      <c r="A4183" s="9"/>
      <c r="B4183" s="10"/>
      <c r="C4183" s="10"/>
      <c r="D4183" s="10"/>
      <c r="E4183" s="10"/>
      <c r="F4183" s="10"/>
      <c r="G4183" s="10"/>
      <c r="H4183" s="10"/>
      <c r="I4183" s="18" t="n">
        <v>2</v>
      </c>
      <c r="J4183" s="18"/>
      <c r="K4183" s="19"/>
      <c r="L4183" s="19"/>
      <c r="M4183" s="18"/>
      <c r="N4183" s="18"/>
      <c r="O4183" s="18"/>
      <c r="P4183" s="19"/>
      <c r="Q4183" s="19"/>
      <c r="R4183" s="18"/>
      <c r="S4183" s="18"/>
      <c r="T4183" s="18"/>
      <c r="U4183" s="20"/>
      <c r="V4183" s="21"/>
      <c r="W4183" s="16"/>
      <c r="X4183" s="16"/>
      <c r="Y4183" s="16"/>
    </row>
    <row r="4184" customFormat="false" ht="15.75" hidden="false" customHeight="false" outlineLevel="0" collapsed="false">
      <c r="A4184" s="9"/>
      <c r="B4184" s="10"/>
      <c r="C4184" s="10"/>
      <c r="D4184" s="10"/>
      <c r="E4184" s="10"/>
      <c r="F4184" s="10"/>
      <c r="G4184" s="10"/>
      <c r="H4184" s="10"/>
      <c r="I4184" s="22" t="n">
        <v>3</v>
      </c>
      <c r="J4184" s="22"/>
      <c r="K4184" s="23"/>
      <c r="L4184" s="23"/>
      <c r="M4184" s="22"/>
      <c r="N4184" s="22"/>
      <c r="O4184" s="22"/>
      <c r="P4184" s="23"/>
      <c r="Q4184" s="23"/>
      <c r="R4184" s="22"/>
      <c r="S4184" s="22"/>
      <c r="T4184" s="22"/>
      <c r="U4184" s="24"/>
      <c r="V4184" s="15"/>
      <c r="W4184" s="16"/>
      <c r="X4184" s="16"/>
      <c r="Y4184" s="16"/>
    </row>
    <row r="4185" customFormat="false" ht="15.75" hidden="false" customHeight="false" outlineLevel="0" collapsed="false">
      <c r="A4185" s="9"/>
      <c r="B4185" s="10"/>
      <c r="C4185" s="10"/>
      <c r="D4185" s="10"/>
      <c r="E4185" s="10"/>
      <c r="F4185" s="10"/>
      <c r="G4185" s="10"/>
      <c r="H4185" s="10"/>
      <c r="I4185" s="25" t="n">
        <v>4</v>
      </c>
      <c r="J4185" s="25"/>
      <c r="K4185" s="26"/>
      <c r="L4185" s="26"/>
      <c r="M4185" s="25"/>
      <c r="N4185" s="25"/>
      <c r="O4185" s="25"/>
      <c r="P4185" s="26"/>
      <c r="Q4185" s="26"/>
      <c r="R4185" s="25"/>
      <c r="S4185" s="25"/>
      <c r="T4185" s="25"/>
      <c r="U4185" s="27"/>
      <c r="V4185" s="21"/>
      <c r="W4185" s="16"/>
      <c r="X4185" s="16"/>
      <c r="Y4185" s="16"/>
    </row>
    <row r="4186" customFormat="false" ht="15.75" hidden="false" customHeight="false" outlineLevel="0" collapsed="false">
      <c r="A4186" s="9"/>
      <c r="B4186" s="10"/>
      <c r="C4186" s="11"/>
      <c r="D4186" s="10"/>
      <c r="E4186" s="10"/>
      <c r="F4186" s="10"/>
      <c r="G4186" s="10"/>
      <c r="H4186" s="10"/>
      <c r="I4186" s="12" t="n">
        <v>1</v>
      </c>
      <c r="J4186" s="12"/>
      <c r="K4186" s="13"/>
      <c r="L4186" s="13"/>
      <c r="M4186" s="12"/>
      <c r="N4186" s="12"/>
      <c r="O4186" s="12"/>
      <c r="P4186" s="13"/>
      <c r="Q4186" s="13"/>
      <c r="R4186" s="12"/>
      <c r="S4186" s="12"/>
      <c r="T4186" s="12"/>
      <c r="U4186" s="14"/>
      <c r="V4186" s="15"/>
      <c r="W4186" s="16" t="n">
        <f aca="false">A4186</f>
        <v>0</v>
      </c>
      <c r="X4186" s="17" t="e">
        <f aca="false">ifs(C4186="","",X4186="",NOW(),TRUE(),X4186)</f>
        <v>#VALUE!</v>
      </c>
      <c r="Y4186" s="17" t="e">
        <f aca="false">ifs(COUNTA(K4186:U4189)&lt;44,"",Y4186="",NOW(),TRUE(),Y4186)</f>
        <v>#VALUE!</v>
      </c>
    </row>
    <row r="4187" customFormat="false" ht="15.75" hidden="false" customHeight="false" outlineLevel="0" collapsed="false">
      <c r="A4187" s="9"/>
      <c r="B4187" s="10"/>
      <c r="C4187" s="10"/>
      <c r="D4187" s="10"/>
      <c r="E4187" s="10"/>
      <c r="F4187" s="10"/>
      <c r="G4187" s="10"/>
      <c r="H4187" s="10"/>
      <c r="I4187" s="18" t="n">
        <v>2</v>
      </c>
      <c r="J4187" s="18"/>
      <c r="K4187" s="19"/>
      <c r="L4187" s="19"/>
      <c r="M4187" s="18"/>
      <c r="N4187" s="18"/>
      <c r="O4187" s="18"/>
      <c r="P4187" s="19"/>
      <c r="Q4187" s="19"/>
      <c r="R4187" s="18"/>
      <c r="S4187" s="18"/>
      <c r="T4187" s="18"/>
      <c r="U4187" s="20"/>
      <c r="V4187" s="21"/>
      <c r="W4187" s="16"/>
      <c r="X4187" s="16"/>
      <c r="Y4187" s="16"/>
    </row>
    <row r="4188" customFormat="false" ht="15.75" hidden="false" customHeight="false" outlineLevel="0" collapsed="false">
      <c r="A4188" s="9"/>
      <c r="B4188" s="10"/>
      <c r="C4188" s="10"/>
      <c r="D4188" s="10"/>
      <c r="E4188" s="10"/>
      <c r="F4188" s="10"/>
      <c r="G4188" s="10"/>
      <c r="H4188" s="10"/>
      <c r="I4188" s="22" t="n">
        <v>3</v>
      </c>
      <c r="J4188" s="22"/>
      <c r="K4188" s="23"/>
      <c r="L4188" s="23"/>
      <c r="M4188" s="22"/>
      <c r="N4188" s="22"/>
      <c r="O4188" s="22"/>
      <c r="P4188" s="23"/>
      <c r="Q4188" s="23"/>
      <c r="R4188" s="22"/>
      <c r="S4188" s="22"/>
      <c r="T4188" s="22"/>
      <c r="U4188" s="24"/>
      <c r="V4188" s="15"/>
      <c r="W4188" s="16"/>
      <c r="X4188" s="16"/>
      <c r="Y4188" s="16"/>
    </row>
    <row r="4189" customFormat="false" ht="15.75" hidden="false" customHeight="false" outlineLevel="0" collapsed="false">
      <c r="A4189" s="9"/>
      <c r="B4189" s="10"/>
      <c r="C4189" s="10"/>
      <c r="D4189" s="10"/>
      <c r="E4189" s="10"/>
      <c r="F4189" s="10"/>
      <c r="G4189" s="10"/>
      <c r="H4189" s="10"/>
      <c r="I4189" s="25" t="n">
        <v>4</v>
      </c>
      <c r="J4189" s="25"/>
      <c r="K4189" s="26"/>
      <c r="L4189" s="26"/>
      <c r="M4189" s="25"/>
      <c r="N4189" s="25"/>
      <c r="O4189" s="25"/>
      <c r="P4189" s="26"/>
      <c r="Q4189" s="26"/>
      <c r="R4189" s="25"/>
      <c r="S4189" s="25"/>
      <c r="T4189" s="25"/>
      <c r="U4189" s="27"/>
      <c r="V4189" s="21"/>
      <c r="W4189" s="16"/>
      <c r="X4189" s="16"/>
      <c r="Y4189" s="16"/>
    </row>
    <row r="4190" customFormat="false" ht="15.75" hidden="false" customHeight="false" outlineLevel="0" collapsed="false">
      <c r="A4190" s="9"/>
      <c r="B4190" s="10"/>
      <c r="C4190" s="11"/>
      <c r="D4190" s="10"/>
      <c r="E4190" s="10"/>
      <c r="F4190" s="10"/>
      <c r="G4190" s="10"/>
      <c r="H4190" s="10"/>
      <c r="I4190" s="12" t="n">
        <v>1</v>
      </c>
      <c r="J4190" s="12"/>
      <c r="K4190" s="13"/>
      <c r="L4190" s="13"/>
      <c r="M4190" s="12"/>
      <c r="N4190" s="12"/>
      <c r="O4190" s="12"/>
      <c r="P4190" s="13"/>
      <c r="Q4190" s="13"/>
      <c r="R4190" s="12"/>
      <c r="S4190" s="12"/>
      <c r="T4190" s="12"/>
      <c r="U4190" s="14"/>
      <c r="V4190" s="15"/>
      <c r="W4190" s="16" t="n">
        <f aca="false">A4190</f>
        <v>0</v>
      </c>
      <c r="X4190" s="17" t="e">
        <f aca="false">ifs(C4190="","",X4190="",NOW(),TRUE(),X4190)</f>
        <v>#VALUE!</v>
      </c>
      <c r="Y4190" s="17" t="e">
        <f aca="false">ifs(COUNTA(K4190:U4193)&lt;44,"",Y4190="",NOW(),TRUE(),Y4190)</f>
        <v>#VALUE!</v>
      </c>
    </row>
    <row r="4191" customFormat="false" ht="15.75" hidden="false" customHeight="false" outlineLevel="0" collapsed="false">
      <c r="A4191" s="9"/>
      <c r="B4191" s="10"/>
      <c r="C4191" s="10"/>
      <c r="D4191" s="10"/>
      <c r="E4191" s="10"/>
      <c r="F4191" s="10"/>
      <c r="G4191" s="10"/>
      <c r="H4191" s="10"/>
      <c r="I4191" s="18" t="n">
        <v>2</v>
      </c>
      <c r="J4191" s="18"/>
      <c r="K4191" s="19"/>
      <c r="L4191" s="19"/>
      <c r="M4191" s="18"/>
      <c r="N4191" s="18"/>
      <c r="O4191" s="18"/>
      <c r="P4191" s="19"/>
      <c r="Q4191" s="19"/>
      <c r="R4191" s="18"/>
      <c r="S4191" s="18"/>
      <c r="T4191" s="18"/>
      <c r="U4191" s="20"/>
      <c r="V4191" s="21"/>
      <c r="W4191" s="16"/>
      <c r="X4191" s="16"/>
      <c r="Y4191" s="16"/>
    </row>
    <row r="4192" customFormat="false" ht="15.75" hidden="false" customHeight="false" outlineLevel="0" collapsed="false">
      <c r="A4192" s="9"/>
      <c r="B4192" s="10"/>
      <c r="C4192" s="10"/>
      <c r="D4192" s="10"/>
      <c r="E4192" s="10"/>
      <c r="F4192" s="10"/>
      <c r="G4192" s="10"/>
      <c r="H4192" s="10"/>
      <c r="I4192" s="22" t="n">
        <v>3</v>
      </c>
      <c r="J4192" s="22"/>
      <c r="K4192" s="23"/>
      <c r="L4192" s="23"/>
      <c r="M4192" s="22"/>
      <c r="N4192" s="22"/>
      <c r="O4192" s="22"/>
      <c r="P4192" s="23"/>
      <c r="Q4192" s="23"/>
      <c r="R4192" s="22"/>
      <c r="S4192" s="22"/>
      <c r="T4192" s="22"/>
      <c r="U4192" s="24"/>
      <c r="V4192" s="15"/>
      <c r="W4192" s="16"/>
      <c r="X4192" s="16"/>
      <c r="Y4192" s="16"/>
    </row>
    <row r="4193" customFormat="false" ht="15.75" hidden="false" customHeight="false" outlineLevel="0" collapsed="false">
      <c r="A4193" s="9"/>
      <c r="B4193" s="10"/>
      <c r="C4193" s="10"/>
      <c r="D4193" s="10"/>
      <c r="E4193" s="10"/>
      <c r="F4193" s="10"/>
      <c r="G4193" s="10"/>
      <c r="H4193" s="10"/>
      <c r="I4193" s="25" t="n">
        <v>4</v>
      </c>
      <c r="J4193" s="25"/>
      <c r="K4193" s="26"/>
      <c r="L4193" s="26"/>
      <c r="M4193" s="25"/>
      <c r="N4193" s="25"/>
      <c r="O4193" s="25"/>
      <c r="P4193" s="26"/>
      <c r="Q4193" s="26"/>
      <c r="R4193" s="25"/>
      <c r="S4193" s="25"/>
      <c r="T4193" s="25"/>
      <c r="U4193" s="27"/>
      <c r="V4193" s="21"/>
      <c r="W4193" s="16"/>
      <c r="X4193" s="16"/>
      <c r="Y4193" s="16"/>
    </row>
    <row r="4194" customFormat="false" ht="15.75" hidden="false" customHeight="false" outlineLevel="0" collapsed="false">
      <c r="A4194" s="9"/>
      <c r="B4194" s="10"/>
      <c r="C4194" s="11"/>
      <c r="D4194" s="10"/>
      <c r="E4194" s="10"/>
      <c r="F4194" s="10"/>
      <c r="G4194" s="10"/>
      <c r="H4194" s="10"/>
      <c r="I4194" s="12" t="n">
        <v>1</v>
      </c>
      <c r="J4194" s="12"/>
      <c r="K4194" s="13"/>
      <c r="L4194" s="13"/>
      <c r="M4194" s="12"/>
      <c r="N4194" s="12"/>
      <c r="O4194" s="12"/>
      <c r="P4194" s="13"/>
      <c r="Q4194" s="13"/>
      <c r="R4194" s="12"/>
      <c r="S4194" s="12"/>
      <c r="T4194" s="12"/>
      <c r="U4194" s="14"/>
      <c r="V4194" s="15"/>
      <c r="W4194" s="16" t="n">
        <f aca="false">A4194</f>
        <v>0</v>
      </c>
      <c r="X4194" s="17" t="e">
        <f aca="false">ifs(C4194="","",X4194="",NOW(),TRUE(),X4194)</f>
        <v>#VALUE!</v>
      </c>
      <c r="Y4194" s="17" t="e">
        <f aca="false">ifs(COUNTA(K4194:U4197)&lt;44,"",Y4194="",NOW(),TRUE(),Y4194)</f>
        <v>#VALUE!</v>
      </c>
    </row>
    <row r="4195" customFormat="false" ht="15.75" hidden="false" customHeight="false" outlineLevel="0" collapsed="false">
      <c r="A4195" s="9"/>
      <c r="B4195" s="10"/>
      <c r="C4195" s="10"/>
      <c r="D4195" s="10"/>
      <c r="E4195" s="10"/>
      <c r="F4195" s="10"/>
      <c r="G4195" s="10"/>
      <c r="H4195" s="10"/>
      <c r="I4195" s="18" t="n">
        <v>2</v>
      </c>
      <c r="J4195" s="18"/>
      <c r="K4195" s="19"/>
      <c r="L4195" s="19"/>
      <c r="M4195" s="18"/>
      <c r="N4195" s="18"/>
      <c r="O4195" s="18"/>
      <c r="P4195" s="19"/>
      <c r="Q4195" s="19"/>
      <c r="R4195" s="18"/>
      <c r="S4195" s="18"/>
      <c r="T4195" s="18"/>
      <c r="U4195" s="20"/>
      <c r="V4195" s="21"/>
      <c r="W4195" s="16"/>
      <c r="X4195" s="16"/>
      <c r="Y4195" s="16"/>
    </row>
    <row r="4196" customFormat="false" ht="15.75" hidden="false" customHeight="false" outlineLevel="0" collapsed="false">
      <c r="A4196" s="9"/>
      <c r="B4196" s="10"/>
      <c r="C4196" s="10"/>
      <c r="D4196" s="10"/>
      <c r="E4196" s="10"/>
      <c r="F4196" s="10"/>
      <c r="G4196" s="10"/>
      <c r="H4196" s="10"/>
      <c r="I4196" s="22" t="n">
        <v>3</v>
      </c>
      <c r="J4196" s="22"/>
      <c r="K4196" s="23"/>
      <c r="L4196" s="23"/>
      <c r="M4196" s="22"/>
      <c r="N4196" s="22"/>
      <c r="O4196" s="22"/>
      <c r="P4196" s="23"/>
      <c r="Q4196" s="23"/>
      <c r="R4196" s="22"/>
      <c r="S4196" s="22"/>
      <c r="T4196" s="22"/>
      <c r="U4196" s="24"/>
      <c r="V4196" s="15"/>
      <c r="W4196" s="16"/>
      <c r="X4196" s="16"/>
      <c r="Y4196" s="16"/>
    </row>
    <row r="4197" customFormat="false" ht="15.75" hidden="false" customHeight="false" outlineLevel="0" collapsed="false">
      <c r="A4197" s="9"/>
      <c r="B4197" s="10"/>
      <c r="C4197" s="10"/>
      <c r="D4197" s="10"/>
      <c r="E4197" s="10"/>
      <c r="F4197" s="10"/>
      <c r="G4197" s="10"/>
      <c r="H4197" s="10"/>
      <c r="I4197" s="25" t="n">
        <v>4</v>
      </c>
      <c r="J4197" s="25"/>
      <c r="K4197" s="26"/>
      <c r="L4197" s="26"/>
      <c r="M4197" s="25"/>
      <c r="N4197" s="25"/>
      <c r="O4197" s="25"/>
      <c r="P4197" s="26"/>
      <c r="Q4197" s="26"/>
      <c r="R4197" s="25"/>
      <c r="S4197" s="25"/>
      <c r="T4197" s="25"/>
      <c r="U4197" s="27"/>
      <c r="V4197" s="21"/>
      <c r="W4197" s="16"/>
      <c r="X4197" s="16"/>
      <c r="Y4197" s="16"/>
    </row>
    <row r="4198" customFormat="false" ht="15.75" hidden="false" customHeight="false" outlineLevel="0" collapsed="false">
      <c r="A4198" s="9"/>
      <c r="B4198" s="10"/>
      <c r="C4198" s="11"/>
      <c r="D4198" s="10"/>
      <c r="E4198" s="10"/>
      <c r="F4198" s="10"/>
      <c r="G4198" s="10"/>
      <c r="H4198" s="10"/>
      <c r="I4198" s="12" t="n">
        <v>1</v>
      </c>
      <c r="J4198" s="12"/>
      <c r="K4198" s="13"/>
      <c r="L4198" s="13"/>
      <c r="M4198" s="12"/>
      <c r="N4198" s="12"/>
      <c r="O4198" s="12"/>
      <c r="P4198" s="13"/>
      <c r="Q4198" s="13"/>
      <c r="R4198" s="12"/>
      <c r="S4198" s="12"/>
      <c r="T4198" s="12"/>
      <c r="U4198" s="14"/>
      <c r="V4198" s="15"/>
      <c r="W4198" s="16" t="n">
        <f aca="false">A4198</f>
        <v>0</v>
      </c>
      <c r="X4198" s="17" t="e">
        <f aca="false">ifs(C4198="","",X4198="",NOW(),TRUE(),X4198)</f>
        <v>#VALUE!</v>
      </c>
      <c r="Y4198" s="17" t="e">
        <f aca="false">ifs(COUNTA(K4198:U4201)&lt;44,"",Y4198="",NOW(),TRUE(),Y4198)</f>
        <v>#VALUE!</v>
      </c>
    </row>
    <row r="4199" customFormat="false" ht="15.75" hidden="false" customHeight="false" outlineLevel="0" collapsed="false">
      <c r="A4199" s="9"/>
      <c r="B4199" s="10"/>
      <c r="C4199" s="10"/>
      <c r="D4199" s="10"/>
      <c r="E4199" s="10"/>
      <c r="F4199" s="10"/>
      <c r="G4199" s="10"/>
      <c r="H4199" s="10"/>
      <c r="I4199" s="18" t="n">
        <v>2</v>
      </c>
      <c r="J4199" s="18"/>
      <c r="K4199" s="19"/>
      <c r="L4199" s="19"/>
      <c r="M4199" s="18"/>
      <c r="N4199" s="18"/>
      <c r="O4199" s="18"/>
      <c r="P4199" s="19"/>
      <c r="Q4199" s="19"/>
      <c r="R4199" s="18"/>
      <c r="S4199" s="18"/>
      <c r="T4199" s="18"/>
      <c r="U4199" s="20"/>
      <c r="V4199" s="21"/>
      <c r="W4199" s="16"/>
      <c r="X4199" s="16"/>
      <c r="Y4199" s="16"/>
    </row>
    <row r="4200" customFormat="false" ht="15.75" hidden="false" customHeight="false" outlineLevel="0" collapsed="false">
      <c r="A4200" s="9"/>
      <c r="B4200" s="10"/>
      <c r="C4200" s="10"/>
      <c r="D4200" s="10"/>
      <c r="E4200" s="10"/>
      <c r="F4200" s="10"/>
      <c r="G4200" s="10"/>
      <c r="H4200" s="10"/>
      <c r="I4200" s="22" t="n">
        <v>3</v>
      </c>
      <c r="J4200" s="22"/>
      <c r="K4200" s="23"/>
      <c r="L4200" s="23"/>
      <c r="M4200" s="22"/>
      <c r="N4200" s="22"/>
      <c r="O4200" s="22"/>
      <c r="P4200" s="23"/>
      <c r="Q4200" s="23"/>
      <c r="R4200" s="22"/>
      <c r="S4200" s="22"/>
      <c r="T4200" s="22"/>
      <c r="U4200" s="24"/>
      <c r="V4200" s="15"/>
      <c r="W4200" s="16"/>
      <c r="X4200" s="16"/>
      <c r="Y4200" s="16"/>
    </row>
    <row r="4201" customFormat="false" ht="15.75" hidden="false" customHeight="false" outlineLevel="0" collapsed="false">
      <c r="A4201" s="9"/>
      <c r="B4201" s="10"/>
      <c r="C4201" s="10"/>
      <c r="D4201" s="10"/>
      <c r="E4201" s="10"/>
      <c r="F4201" s="10"/>
      <c r="G4201" s="10"/>
      <c r="H4201" s="10"/>
      <c r="I4201" s="25" t="n">
        <v>4</v>
      </c>
      <c r="J4201" s="25"/>
      <c r="K4201" s="26"/>
      <c r="L4201" s="26"/>
      <c r="M4201" s="25"/>
      <c r="N4201" s="25"/>
      <c r="O4201" s="25"/>
      <c r="P4201" s="26"/>
      <c r="Q4201" s="26"/>
      <c r="R4201" s="25"/>
      <c r="S4201" s="25"/>
      <c r="T4201" s="25"/>
      <c r="U4201" s="27"/>
      <c r="V4201" s="21"/>
      <c r="W4201" s="16"/>
      <c r="X4201" s="16"/>
      <c r="Y4201" s="16"/>
    </row>
    <row r="4202" customFormat="false" ht="15.75" hidden="false" customHeight="false" outlineLevel="0" collapsed="false">
      <c r="A4202" s="9"/>
      <c r="B4202" s="10"/>
      <c r="C4202" s="11"/>
      <c r="D4202" s="10"/>
      <c r="E4202" s="10"/>
      <c r="F4202" s="10"/>
      <c r="G4202" s="10"/>
      <c r="H4202" s="10"/>
      <c r="I4202" s="12" t="n">
        <v>1</v>
      </c>
      <c r="J4202" s="12"/>
      <c r="K4202" s="13"/>
      <c r="L4202" s="13"/>
      <c r="M4202" s="12"/>
      <c r="N4202" s="12"/>
      <c r="O4202" s="12"/>
      <c r="P4202" s="13"/>
      <c r="Q4202" s="13"/>
      <c r="R4202" s="12"/>
      <c r="S4202" s="12"/>
      <c r="T4202" s="12"/>
      <c r="U4202" s="14"/>
      <c r="V4202" s="15"/>
      <c r="W4202" s="16" t="n">
        <f aca="false">A4202</f>
        <v>0</v>
      </c>
      <c r="X4202" s="17" t="e">
        <f aca="false">ifs(C4202="","",X4202="",NOW(),TRUE(),X4202)</f>
        <v>#VALUE!</v>
      </c>
      <c r="Y4202" s="17" t="e">
        <f aca="false">ifs(COUNTA(K4202:U4205)&lt;44,"",Y4202="",NOW(),TRUE(),Y4202)</f>
        <v>#VALUE!</v>
      </c>
    </row>
    <row r="4203" customFormat="false" ht="15.75" hidden="false" customHeight="false" outlineLevel="0" collapsed="false">
      <c r="A4203" s="9"/>
      <c r="B4203" s="10"/>
      <c r="C4203" s="10"/>
      <c r="D4203" s="10"/>
      <c r="E4203" s="10"/>
      <c r="F4203" s="10"/>
      <c r="G4203" s="10"/>
      <c r="H4203" s="10"/>
      <c r="I4203" s="18" t="n">
        <v>2</v>
      </c>
      <c r="J4203" s="18"/>
      <c r="K4203" s="19"/>
      <c r="L4203" s="19"/>
      <c r="M4203" s="18"/>
      <c r="N4203" s="18"/>
      <c r="O4203" s="18"/>
      <c r="P4203" s="19"/>
      <c r="Q4203" s="19"/>
      <c r="R4203" s="18"/>
      <c r="S4203" s="18"/>
      <c r="T4203" s="18"/>
      <c r="U4203" s="20"/>
      <c r="V4203" s="21"/>
      <c r="W4203" s="16"/>
      <c r="X4203" s="16"/>
      <c r="Y4203" s="16"/>
    </row>
    <row r="4204" customFormat="false" ht="15.75" hidden="false" customHeight="false" outlineLevel="0" collapsed="false">
      <c r="A4204" s="9"/>
      <c r="B4204" s="10"/>
      <c r="C4204" s="10"/>
      <c r="D4204" s="10"/>
      <c r="E4204" s="10"/>
      <c r="F4204" s="10"/>
      <c r="G4204" s="10"/>
      <c r="H4204" s="10"/>
      <c r="I4204" s="22" t="n">
        <v>3</v>
      </c>
      <c r="J4204" s="22"/>
      <c r="K4204" s="23"/>
      <c r="L4204" s="23"/>
      <c r="M4204" s="22"/>
      <c r="N4204" s="22"/>
      <c r="O4204" s="22"/>
      <c r="P4204" s="23"/>
      <c r="Q4204" s="23"/>
      <c r="R4204" s="22"/>
      <c r="S4204" s="22"/>
      <c r="T4204" s="22"/>
      <c r="U4204" s="24"/>
      <c r="V4204" s="15"/>
      <c r="W4204" s="16"/>
      <c r="X4204" s="16"/>
      <c r="Y4204" s="16"/>
    </row>
    <row r="4205" customFormat="false" ht="15.75" hidden="false" customHeight="false" outlineLevel="0" collapsed="false">
      <c r="A4205" s="9"/>
      <c r="B4205" s="10"/>
      <c r="C4205" s="10"/>
      <c r="D4205" s="10"/>
      <c r="E4205" s="10"/>
      <c r="F4205" s="10"/>
      <c r="G4205" s="10"/>
      <c r="H4205" s="10"/>
      <c r="I4205" s="25" t="n">
        <v>4</v>
      </c>
      <c r="J4205" s="25"/>
      <c r="K4205" s="26"/>
      <c r="L4205" s="26"/>
      <c r="M4205" s="25"/>
      <c r="N4205" s="25"/>
      <c r="O4205" s="25"/>
      <c r="P4205" s="26"/>
      <c r="Q4205" s="26"/>
      <c r="R4205" s="25"/>
      <c r="S4205" s="25"/>
      <c r="T4205" s="25"/>
      <c r="U4205" s="27"/>
      <c r="V4205" s="21"/>
      <c r="W4205" s="16"/>
      <c r="X4205" s="16"/>
      <c r="Y4205" s="16"/>
    </row>
    <row r="4206" customFormat="false" ht="15.75" hidden="false" customHeight="false" outlineLevel="0" collapsed="false">
      <c r="A4206" s="9"/>
      <c r="B4206" s="10"/>
      <c r="C4206" s="11"/>
      <c r="D4206" s="10"/>
      <c r="E4206" s="10"/>
      <c r="F4206" s="10"/>
      <c r="G4206" s="10"/>
      <c r="H4206" s="10"/>
      <c r="I4206" s="12" t="n">
        <v>1</v>
      </c>
      <c r="J4206" s="12"/>
      <c r="K4206" s="13"/>
      <c r="L4206" s="13"/>
      <c r="M4206" s="12"/>
      <c r="N4206" s="12"/>
      <c r="O4206" s="12"/>
      <c r="P4206" s="13"/>
      <c r="Q4206" s="13"/>
      <c r="R4206" s="12"/>
      <c r="S4206" s="12"/>
      <c r="T4206" s="12"/>
      <c r="U4206" s="14"/>
      <c r="V4206" s="15"/>
      <c r="W4206" s="16" t="n">
        <f aca="false">A4206</f>
        <v>0</v>
      </c>
      <c r="X4206" s="17" t="e">
        <f aca="false">ifs(C4206="","",X4206="",NOW(),TRUE(),X4206)</f>
        <v>#VALUE!</v>
      </c>
      <c r="Y4206" s="17" t="e">
        <f aca="false">ifs(COUNTA(K4206:U4209)&lt;44,"",Y4206="",NOW(),TRUE(),Y4206)</f>
        <v>#VALUE!</v>
      </c>
    </row>
    <row r="4207" customFormat="false" ht="15.75" hidden="false" customHeight="false" outlineLevel="0" collapsed="false">
      <c r="A4207" s="9"/>
      <c r="B4207" s="10"/>
      <c r="C4207" s="10"/>
      <c r="D4207" s="10"/>
      <c r="E4207" s="10"/>
      <c r="F4207" s="10"/>
      <c r="G4207" s="10"/>
      <c r="H4207" s="10"/>
      <c r="I4207" s="18" t="n">
        <v>2</v>
      </c>
      <c r="J4207" s="18"/>
      <c r="K4207" s="19"/>
      <c r="L4207" s="19"/>
      <c r="M4207" s="18"/>
      <c r="N4207" s="18"/>
      <c r="O4207" s="18"/>
      <c r="P4207" s="19"/>
      <c r="Q4207" s="19"/>
      <c r="R4207" s="18"/>
      <c r="S4207" s="18"/>
      <c r="T4207" s="18"/>
      <c r="U4207" s="20"/>
      <c r="V4207" s="21"/>
      <c r="W4207" s="16"/>
      <c r="X4207" s="16"/>
      <c r="Y4207" s="16"/>
    </row>
    <row r="4208" customFormat="false" ht="15.75" hidden="false" customHeight="false" outlineLevel="0" collapsed="false">
      <c r="A4208" s="9"/>
      <c r="B4208" s="10"/>
      <c r="C4208" s="10"/>
      <c r="D4208" s="10"/>
      <c r="E4208" s="10"/>
      <c r="F4208" s="10"/>
      <c r="G4208" s="10"/>
      <c r="H4208" s="10"/>
      <c r="I4208" s="22" t="n">
        <v>3</v>
      </c>
      <c r="J4208" s="22"/>
      <c r="K4208" s="23"/>
      <c r="L4208" s="23"/>
      <c r="M4208" s="22"/>
      <c r="N4208" s="22"/>
      <c r="O4208" s="22"/>
      <c r="P4208" s="23"/>
      <c r="Q4208" s="23"/>
      <c r="R4208" s="22"/>
      <c r="S4208" s="22"/>
      <c r="T4208" s="22"/>
      <c r="U4208" s="24"/>
      <c r="V4208" s="15"/>
      <c r="W4208" s="16"/>
      <c r="X4208" s="16"/>
      <c r="Y4208" s="16"/>
    </row>
    <row r="4209" customFormat="false" ht="15.75" hidden="false" customHeight="false" outlineLevel="0" collapsed="false">
      <c r="A4209" s="9"/>
      <c r="B4209" s="10"/>
      <c r="C4209" s="10"/>
      <c r="D4209" s="10"/>
      <c r="E4209" s="10"/>
      <c r="F4209" s="10"/>
      <c r="G4209" s="10"/>
      <c r="H4209" s="10"/>
      <c r="I4209" s="25" t="n">
        <v>4</v>
      </c>
      <c r="J4209" s="25"/>
      <c r="K4209" s="26"/>
      <c r="L4209" s="26"/>
      <c r="M4209" s="25"/>
      <c r="N4209" s="25"/>
      <c r="O4209" s="25"/>
      <c r="P4209" s="26"/>
      <c r="Q4209" s="26"/>
      <c r="R4209" s="25"/>
      <c r="S4209" s="25"/>
      <c r="T4209" s="25"/>
      <c r="U4209" s="27"/>
      <c r="V4209" s="21"/>
      <c r="W4209" s="16"/>
      <c r="X4209" s="16"/>
      <c r="Y4209" s="16"/>
    </row>
    <row r="4210" customFormat="false" ht="15.75" hidden="false" customHeight="false" outlineLevel="0" collapsed="false">
      <c r="A4210" s="9"/>
      <c r="B4210" s="10"/>
      <c r="C4210" s="11"/>
      <c r="D4210" s="10"/>
      <c r="E4210" s="10"/>
      <c r="F4210" s="10"/>
      <c r="G4210" s="10"/>
      <c r="H4210" s="10"/>
      <c r="I4210" s="12" t="n">
        <v>1</v>
      </c>
      <c r="J4210" s="12"/>
      <c r="K4210" s="13"/>
      <c r="L4210" s="13"/>
      <c r="M4210" s="12"/>
      <c r="N4210" s="12"/>
      <c r="O4210" s="12"/>
      <c r="P4210" s="13"/>
      <c r="Q4210" s="13"/>
      <c r="R4210" s="12"/>
      <c r="S4210" s="12"/>
      <c r="T4210" s="12"/>
      <c r="U4210" s="14"/>
      <c r="V4210" s="15"/>
      <c r="W4210" s="16" t="n">
        <f aca="false">A4210</f>
        <v>0</v>
      </c>
      <c r="X4210" s="17" t="e">
        <f aca="false">ifs(C4210="","",X4210="",NOW(),TRUE(),X4210)</f>
        <v>#VALUE!</v>
      </c>
      <c r="Y4210" s="17" t="e">
        <f aca="false">ifs(COUNTA(K4210:U4213)&lt;44,"",Y4210="",NOW(),TRUE(),Y4210)</f>
        <v>#VALUE!</v>
      </c>
    </row>
    <row r="4211" customFormat="false" ht="15.75" hidden="false" customHeight="false" outlineLevel="0" collapsed="false">
      <c r="A4211" s="9"/>
      <c r="B4211" s="10"/>
      <c r="C4211" s="10"/>
      <c r="D4211" s="10"/>
      <c r="E4211" s="10"/>
      <c r="F4211" s="10"/>
      <c r="G4211" s="10"/>
      <c r="H4211" s="10"/>
      <c r="I4211" s="18" t="n">
        <v>2</v>
      </c>
      <c r="J4211" s="18"/>
      <c r="K4211" s="19"/>
      <c r="L4211" s="19"/>
      <c r="M4211" s="18"/>
      <c r="N4211" s="18"/>
      <c r="O4211" s="18"/>
      <c r="P4211" s="19"/>
      <c r="Q4211" s="19"/>
      <c r="R4211" s="18"/>
      <c r="S4211" s="18"/>
      <c r="T4211" s="18"/>
      <c r="U4211" s="20"/>
      <c r="V4211" s="21"/>
      <c r="W4211" s="16"/>
      <c r="X4211" s="16"/>
      <c r="Y4211" s="16"/>
    </row>
    <row r="4212" customFormat="false" ht="15.75" hidden="false" customHeight="false" outlineLevel="0" collapsed="false">
      <c r="A4212" s="9"/>
      <c r="B4212" s="10"/>
      <c r="C4212" s="10"/>
      <c r="D4212" s="10"/>
      <c r="E4212" s="10"/>
      <c r="F4212" s="10"/>
      <c r="G4212" s="10"/>
      <c r="H4212" s="10"/>
      <c r="I4212" s="22" t="n">
        <v>3</v>
      </c>
      <c r="J4212" s="22"/>
      <c r="K4212" s="23"/>
      <c r="L4212" s="23"/>
      <c r="M4212" s="22"/>
      <c r="N4212" s="22"/>
      <c r="O4212" s="22"/>
      <c r="P4212" s="23"/>
      <c r="Q4212" s="23"/>
      <c r="R4212" s="22"/>
      <c r="S4212" s="22"/>
      <c r="T4212" s="22"/>
      <c r="U4212" s="24"/>
      <c r="V4212" s="15"/>
      <c r="W4212" s="16"/>
      <c r="X4212" s="16"/>
      <c r="Y4212" s="16"/>
    </row>
    <row r="4213" customFormat="false" ht="15.75" hidden="false" customHeight="false" outlineLevel="0" collapsed="false">
      <c r="A4213" s="9"/>
      <c r="B4213" s="10"/>
      <c r="C4213" s="10"/>
      <c r="D4213" s="10"/>
      <c r="E4213" s="10"/>
      <c r="F4213" s="10"/>
      <c r="G4213" s="10"/>
      <c r="H4213" s="10"/>
      <c r="I4213" s="25" t="n">
        <v>4</v>
      </c>
      <c r="J4213" s="25"/>
      <c r="K4213" s="26"/>
      <c r="L4213" s="26"/>
      <c r="M4213" s="25"/>
      <c r="N4213" s="25"/>
      <c r="O4213" s="25"/>
      <c r="P4213" s="26"/>
      <c r="Q4213" s="26"/>
      <c r="R4213" s="25"/>
      <c r="S4213" s="25"/>
      <c r="T4213" s="25"/>
      <c r="U4213" s="27"/>
      <c r="V4213" s="21"/>
      <c r="W4213" s="16"/>
      <c r="X4213" s="16"/>
      <c r="Y4213" s="16"/>
    </row>
    <row r="4214" customFormat="false" ht="15.75" hidden="false" customHeight="false" outlineLevel="0" collapsed="false">
      <c r="A4214" s="9"/>
      <c r="B4214" s="10"/>
      <c r="C4214" s="11"/>
      <c r="D4214" s="10"/>
      <c r="E4214" s="10"/>
      <c r="F4214" s="10"/>
      <c r="G4214" s="10"/>
      <c r="H4214" s="10"/>
      <c r="I4214" s="12" t="n">
        <v>1</v>
      </c>
      <c r="J4214" s="12"/>
      <c r="K4214" s="13"/>
      <c r="L4214" s="13"/>
      <c r="M4214" s="12"/>
      <c r="N4214" s="12"/>
      <c r="O4214" s="12"/>
      <c r="P4214" s="13"/>
      <c r="Q4214" s="13"/>
      <c r="R4214" s="12"/>
      <c r="S4214" s="12"/>
      <c r="T4214" s="12"/>
      <c r="U4214" s="14"/>
      <c r="V4214" s="15"/>
      <c r="W4214" s="16" t="n">
        <f aca="false">A4214</f>
        <v>0</v>
      </c>
      <c r="X4214" s="17" t="e">
        <f aca="false">ifs(C4214="","",X4214="",NOW(),TRUE(),X4214)</f>
        <v>#VALUE!</v>
      </c>
      <c r="Y4214" s="17" t="e">
        <f aca="false">ifs(COUNTA(K4214:U4217)&lt;44,"",Y4214="",NOW(),TRUE(),Y4214)</f>
        <v>#VALUE!</v>
      </c>
    </row>
    <row r="4215" customFormat="false" ht="15.75" hidden="false" customHeight="false" outlineLevel="0" collapsed="false">
      <c r="A4215" s="9"/>
      <c r="B4215" s="10"/>
      <c r="C4215" s="10"/>
      <c r="D4215" s="10"/>
      <c r="E4215" s="10"/>
      <c r="F4215" s="10"/>
      <c r="G4215" s="10"/>
      <c r="H4215" s="10"/>
      <c r="I4215" s="18" t="n">
        <v>2</v>
      </c>
      <c r="J4215" s="18"/>
      <c r="K4215" s="19"/>
      <c r="L4215" s="19"/>
      <c r="M4215" s="18"/>
      <c r="N4215" s="18"/>
      <c r="O4215" s="18"/>
      <c r="P4215" s="19"/>
      <c r="Q4215" s="19"/>
      <c r="R4215" s="18"/>
      <c r="S4215" s="18"/>
      <c r="T4215" s="18"/>
      <c r="U4215" s="20"/>
      <c r="V4215" s="21"/>
      <c r="W4215" s="16"/>
      <c r="X4215" s="16"/>
      <c r="Y4215" s="16"/>
    </row>
    <row r="4216" customFormat="false" ht="15.75" hidden="false" customHeight="false" outlineLevel="0" collapsed="false">
      <c r="A4216" s="9"/>
      <c r="B4216" s="10"/>
      <c r="C4216" s="10"/>
      <c r="D4216" s="10"/>
      <c r="E4216" s="10"/>
      <c r="F4216" s="10"/>
      <c r="G4216" s="10"/>
      <c r="H4216" s="10"/>
      <c r="I4216" s="22" t="n">
        <v>3</v>
      </c>
      <c r="J4216" s="22"/>
      <c r="K4216" s="23"/>
      <c r="L4216" s="23"/>
      <c r="M4216" s="22"/>
      <c r="N4216" s="22"/>
      <c r="O4216" s="22"/>
      <c r="P4216" s="23"/>
      <c r="Q4216" s="23"/>
      <c r="R4216" s="22"/>
      <c r="S4216" s="22"/>
      <c r="T4216" s="22"/>
      <c r="U4216" s="24"/>
      <c r="V4216" s="15"/>
      <c r="W4216" s="16"/>
      <c r="X4216" s="16"/>
      <c r="Y4216" s="16"/>
    </row>
    <row r="4217" customFormat="false" ht="15.75" hidden="false" customHeight="false" outlineLevel="0" collapsed="false">
      <c r="A4217" s="9"/>
      <c r="B4217" s="10"/>
      <c r="C4217" s="10"/>
      <c r="D4217" s="10"/>
      <c r="E4217" s="10"/>
      <c r="F4217" s="10"/>
      <c r="G4217" s="10"/>
      <c r="H4217" s="10"/>
      <c r="I4217" s="25" t="n">
        <v>4</v>
      </c>
      <c r="J4217" s="25"/>
      <c r="K4217" s="26"/>
      <c r="L4217" s="26"/>
      <c r="M4217" s="25"/>
      <c r="N4217" s="25"/>
      <c r="O4217" s="25"/>
      <c r="P4217" s="26"/>
      <c r="Q4217" s="26"/>
      <c r="R4217" s="25"/>
      <c r="S4217" s="25"/>
      <c r="T4217" s="25"/>
      <c r="U4217" s="27"/>
      <c r="V4217" s="21"/>
      <c r="W4217" s="16"/>
      <c r="X4217" s="16"/>
      <c r="Y4217" s="16"/>
    </row>
    <row r="4218" customFormat="false" ht="15.75" hidden="false" customHeight="false" outlineLevel="0" collapsed="false">
      <c r="A4218" s="9"/>
      <c r="B4218" s="10"/>
      <c r="C4218" s="11"/>
      <c r="D4218" s="10"/>
      <c r="E4218" s="10"/>
      <c r="F4218" s="10"/>
      <c r="G4218" s="10"/>
      <c r="H4218" s="10"/>
      <c r="I4218" s="12" t="n">
        <v>1</v>
      </c>
      <c r="J4218" s="12"/>
      <c r="K4218" s="13"/>
      <c r="L4218" s="13"/>
      <c r="M4218" s="12"/>
      <c r="N4218" s="12"/>
      <c r="O4218" s="12"/>
      <c r="P4218" s="13"/>
      <c r="Q4218" s="13"/>
      <c r="R4218" s="12"/>
      <c r="S4218" s="12"/>
      <c r="T4218" s="12"/>
      <c r="U4218" s="14"/>
      <c r="V4218" s="15"/>
      <c r="W4218" s="16" t="n">
        <f aca="false">A4218</f>
        <v>0</v>
      </c>
      <c r="X4218" s="17" t="e">
        <f aca="false">ifs(C4218="","",X4218="",NOW(),TRUE(),X4218)</f>
        <v>#VALUE!</v>
      </c>
      <c r="Y4218" s="17" t="e">
        <f aca="false">ifs(COUNTA(K4218:U4221)&lt;44,"",Y4218="",NOW(),TRUE(),Y4218)</f>
        <v>#VALUE!</v>
      </c>
    </row>
    <row r="4219" customFormat="false" ht="15.75" hidden="false" customHeight="false" outlineLevel="0" collapsed="false">
      <c r="A4219" s="9"/>
      <c r="B4219" s="10"/>
      <c r="C4219" s="10"/>
      <c r="D4219" s="10"/>
      <c r="E4219" s="10"/>
      <c r="F4219" s="10"/>
      <c r="G4219" s="10"/>
      <c r="H4219" s="10"/>
      <c r="I4219" s="18" t="n">
        <v>2</v>
      </c>
      <c r="J4219" s="18"/>
      <c r="K4219" s="19"/>
      <c r="L4219" s="19"/>
      <c r="M4219" s="18"/>
      <c r="N4219" s="18"/>
      <c r="O4219" s="18"/>
      <c r="P4219" s="19"/>
      <c r="Q4219" s="19"/>
      <c r="R4219" s="18"/>
      <c r="S4219" s="18"/>
      <c r="T4219" s="18"/>
      <c r="U4219" s="20"/>
      <c r="V4219" s="21"/>
      <c r="W4219" s="16"/>
      <c r="X4219" s="16"/>
      <c r="Y4219" s="16"/>
    </row>
    <row r="4220" customFormat="false" ht="15.75" hidden="false" customHeight="false" outlineLevel="0" collapsed="false">
      <c r="A4220" s="9"/>
      <c r="B4220" s="10"/>
      <c r="C4220" s="10"/>
      <c r="D4220" s="10"/>
      <c r="E4220" s="10"/>
      <c r="F4220" s="10"/>
      <c r="G4220" s="10"/>
      <c r="H4220" s="10"/>
      <c r="I4220" s="22" t="n">
        <v>3</v>
      </c>
      <c r="J4220" s="22"/>
      <c r="K4220" s="23"/>
      <c r="L4220" s="23"/>
      <c r="M4220" s="22"/>
      <c r="N4220" s="22"/>
      <c r="O4220" s="22"/>
      <c r="P4220" s="23"/>
      <c r="Q4220" s="23"/>
      <c r="R4220" s="22"/>
      <c r="S4220" s="22"/>
      <c r="T4220" s="22"/>
      <c r="U4220" s="24"/>
      <c r="V4220" s="15"/>
      <c r="W4220" s="16"/>
      <c r="X4220" s="16"/>
      <c r="Y4220" s="16"/>
    </row>
    <row r="4221" customFormat="false" ht="15.75" hidden="false" customHeight="false" outlineLevel="0" collapsed="false">
      <c r="A4221" s="9"/>
      <c r="B4221" s="10"/>
      <c r="C4221" s="10"/>
      <c r="D4221" s="10"/>
      <c r="E4221" s="10"/>
      <c r="F4221" s="10"/>
      <c r="G4221" s="10"/>
      <c r="H4221" s="10"/>
      <c r="I4221" s="25" t="n">
        <v>4</v>
      </c>
      <c r="J4221" s="25"/>
      <c r="K4221" s="26"/>
      <c r="L4221" s="26"/>
      <c r="M4221" s="25"/>
      <c r="N4221" s="25"/>
      <c r="O4221" s="25"/>
      <c r="P4221" s="26"/>
      <c r="Q4221" s="26"/>
      <c r="R4221" s="25"/>
      <c r="S4221" s="25"/>
      <c r="T4221" s="25"/>
      <c r="U4221" s="27"/>
      <c r="V4221" s="21"/>
      <c r="W4221" s="16"/>
      <c r="X4221" s="16"/>
      <c r="Y4221" s="16"/>
    </row>
    <row r="4222" customFormat="false" ht="15.75" hidden="false" customHeight="false" outlineLevel="0" collapsed="false">
      <c r="A4222" s="9"/>
      <c r="B4222" s="10"/>
      <c r="C4222" s="11"/>
      <c r="D4222" s="10"/>
      <c r="E4222" s="10"/>
      <c r="F4222" s="10"/>
      <c r="G4222" s="10"/>
      <c r="H4222" s="10"/>
      <c r="I4222" s="12" t="n">
        <v>1</v>
      </c>
      <c r="J4222" s="12"/>
      <c r="K4222" s="13"/>
      <c r="L4222" s="13"/>
      <c r="M4222" s="12"/>
      <c r="N4222" s="12"/>
      <c r="O4222" s="12"/>
      <c r="P4222" s="13"/>
      <c r="Q4222" s="13"/>
      <c r="R4222" s="12"/>
      <c r="S4222" s="12"/>
      <c r="T4222" s="12"/>
      <c r="U4222" s="14"/>
      <c r="V4222" s="15"/>
      <c r="W4222" s="16" t="n">
        <f aca="false">A4222</f>
        <v>0</v>
      </c>
      <c r="X4222" s="17" t="e">
        <f aca="false">ifs(C4222="","",X4222="",NOW(),TRUE(),X4222)</f>
        <v>#VALUE!</v>
      </c>
      <c r="Y4222" s="17" t="e">
        <f aca="false">ifs(COUNTA(K4222:U4225)&lt;44,"",Y4222="",NOW(),TRUE(),Y4222)</f>
        <v>#VALUE!</v>
      </c>
    </row>
    <row r="4223" customFormat="false" ht="15.75" hidden="false" customHeight="false" outlineLevel="0" collapsed="false">
      <c r="A4223" s="9"/>
      <c r="B4223" s="10"/>
      <c r="C4223" s="10"/>
      <c r="D4223" s="10"/>
      <c r="E4223" s="10"/>
      <c r="F4223" s="10"/>
      <c r="G4223" s="10"/>
      <c r="H4223" s="10"/>
      <c r="I4223" s="18" t="n">
        <v>2</v>
      </c>
      <c r="J4223" s="18"/>
      <c r="K4223" s="19"/>
      <c r="L4223" s="19"/>
      <c r="M4223" s="18"/>
      <c r="N4223" s="18"/>
      <c r="O4223" s="18"/>
      <c r="P4223" s="19"/>
      <c r="Q4223" s="19"/>
      <c r="R4223" s="18"/>
      <c r="S4223" s="18"/>
      <c r="T4223" s="18"/>
      <c r="U4223" s="20"/>
      <c r="V4223" s="21"/>
      <c r="W4223" s="16"/>
      <c r="X4223" s="16"/>
      <c r="Y4223" s="16"/>
    </row>
    <row r="4224" customFormat="false" ht="15.75" hidden="false" customHeight="false" outlineLevel="0" collapsed="false">
      <c r="A4224" s="9"/>
      <c r="B4224" s="10"/>
      <c r="C4224" s="10"/>
      <c r="D4224" s="10"/>
      <c r="E4224" s="10"/>
      <c r="F4224" s="10"/>
      <c r="G4224" s="10"/>
      <c r="H4224" s="10"/>
      <c r="I4224" s="22" t="n">
        <v>3</v>
      </c>
      <c r="J4224" s="22"/>
      <c r="K4224" s="23"/>
      <c r="L4224" s="23"/>
      <c r="M4224" s="22"/>
      <c r="N4224" s="22"/>
      <c r="O4224" s="22"/>
      <c r="P4224" s="23"/>
      <c r="Q4224" s="23"/>
      <c r="R4224" s="22"/>
      <c r="S4224" s="22"/>
      <c r="T4224" s="22"/>
      <c r="U4224" s="24"/>
      <c r="V4224" s="15"/>
      <c r="W4224" s="16"/>
      <c r="X4224" s="16"/>
      <c r="Y4224" s="16"/>
    </row>
    <row r="4225" customFormat="false" ht="15.75" hidden="false" customHeight="false" outlineLevel="0" collapsed="false">
      <c r="A4225" s="9"/>
      <c r="B4225" s="10"/>
      <c r="C4225" s="10"/>
      <c r="D4225" s="10"/>
      <c r="E4225" s="10"/>
      <c r="F4225" s="10"/>
      <c r="G4225" s="10"/>
      <c r="H4225" s="10"/>
      <c r="I4225" s="25" t="n">
        <v>4</v>
      </c>
      <c r="J4225" s="25"/>
      <c r="K4225" s="26"/>
      <c r="L4225" s="26"/>
      <c r="M4225" s="25"/>
      <c r="N4225" s="25"/>
      <c r="O4225" s="25"/>
      <c r="P4225" s="26"/>
      <c r="Q4225" s="26"/>
      <c r="R4225" s="25"/>
      <c r="S4225" s="25"/>
      <c r="T4225" s="25"/>
      <c r="U4225" s="27"/>
      <c r="V4225" s="21"/>
      <c r="W4225" s="16"/>
      <c r="X4225" s="16"/>
      <c r="Y4225" s="16"/>
    </row>
    <row r="4226" customFormat="false" ht="15.75" hidden="false" customHeight="false" outlineLevel="0" collapsed="false">
      <c r="A4226" s="9"/>
      <c r="B4226" s="10"/>
      <c r="C4226" s="11"/>
      <c r="D4226" s="10"/>
      <c r="E4226" s="10"/>
      <c r="F4226" s="10"/>
      <c r="G4226" s="10"/>
      <c r="H4226" s="10"/>
      <c r="I4226" s="12" t="n">
        <v>1</v>
      </c>
      <c r="J4226" s="12"/>
      <c r="K4226" s="13"/>
      <c r="L4226" s="13"/>
      <c r="M4226" s="12"/>
      <c r="N4226" s="12"/>
      <c r="O4226" s="12"/>
      <c r="P4226" s="13"/>
      <c r="Q4226" s="13"/>
      <c r="R4226" s="12"/>
      <c r="S4226" s="12"/>
      <c r="T4226" s="12"/>
      <c r="U4226" s="14"/>
      <c r="V4226" s="15"/>
      <c r="W4226" s="16" t="n">
        <f aca="false">A4226</f>
        <v>0</v>
      </c>
      <c r="X4226" s="17" t="e">
        <f aca="false">ifs(C4226="","",X4226="",NOW(),TRUE(),X4226)</f>
        <v>#VALUE!</v>
      </c>
      <c r="Y4226" s="17" t="e">
        <f aca="false">ifs(COUNTA(K4226:U4229)&lt;44,"",Y4226="",NOW(),TRUE(),Y4226)</f>
        <v>#VALUE!</v>
      </c>
    </row>
    <row r="4227" customFormat="false" ht="15.75" hidden="false" customHeight="false" outlineLevel="0" collapsed="false">
      <c r="A4227" s="9"/>
      <c r="B4227" s="10"/>
      <c r="C4227" s="10"/>
      <c r="D4227" s="10"/>
      <c r="E4227" s="10"/>
      <c r="F4227" s="10"/>
      <c r="G4227" s="10"/>
      <c r="H4227" s="10"/>
      <c r="I4227" s="18" t="n">
        <v>2</v>
      </c>
      <c r="J4227" s="18"/>
      <c r="K4227" s="19"/>
      <c r="L4227" s="19"/>
      <c r="M4227" s="18"/>
      <c r="N4227" s="18"/>
      <c r="O4227" s="18"/>
      <c r="P4227" s="19"/>
      <c r="Q4227" s="19"/>
      <c r="R4227" s="18"/>
      <c r="S4227" s="18"/>
      <c r="T4227" s="18"/>
      <c r="U4227" s="20"/>
      <c r="V4227" s="21"/>
      <c r="W4227" s="16"/>
      <c r="X4227" s="16"/>
      <c r="Y4227" s="16"/>
    </row>
    <row r="4228" customFormat="false" ht="15.75" hidden="false" customHeight="false" outlineLevel="0" collapsed="false">
      <c r="A4228" s="9"/>
      <c r="B4228" s="10"/>
      <c r="C4228" s="10"/>
      <c r="D4228" s="10"/>
      <c r="E4228" s="10"/>
      <c r="F4228" s="10"/>
      <c r="G4228" s="10"/>
      <c r="H4228" s="10"/>
      <c r="I4228" s="22" t="n">
        <v>3</v>
      </c>
      <c r="J4228" s="22"/>
      <c r="K4228" s="23"/>
      <c r="L4228" s="23"/>
      <c r="M4228" s="22"/>
      <c r="N4228" s="22"/>
      <c r="O4228" s="22"/>
      <c r="P4228" s="23"/>
      <c r="Q4228" s="23"/>
      <c r="R4228" s="22"/>
      <c r="S4228" s="22"/>
      <c r="T4228" s="22"/>
      <c r="U4228" s="24"/>
      <c r="V4228" s="15"/>
      <c r="W4228" s="16"/>
      <c r="X4228" s="16"/>
      <c r="Y4228" s="16"/>
    </row>
    <row r="4229" customFormat="false" ht="15.75" hidden="false" customHeight="false" outlineLevel="0" collapsed="false">
      <c r="A4229" s="9"/>
      <c r="B4229" s="10"/>
      <c r="C4229" s="10"/>
      <c r="D4229" s="10"/>
      <c r="E4229" s="10"/>
      <c r="F4229" s="10"/>
      <c r="G4229" s="10"/>
      <c r="H4229" s="10"/>
      <c r="I4229" s="25" t="n">
        <v>4</v>
      </c>
      <c r="J4229" s="25"/>
      <c r="K4229" s="26"/>
      <c r="L4229" s="26"/>
      <c r="M4229" s="25"/>
      <c r="N4229" s="25"/>
      <c r="O4229" s="25"/>
      <c r="P4229" s="26"/>
      <c r="Q4229" s="26"/>
      <c r="R4229" s="25"/>
      <c r="S4229" s="25"/>
      <c r="T4229" s="25"/>
      <c r="U4229" s="27"/>
      <c r="V4229" s="21"/>
      <c r="W4229" s="16"/>
      <c r="X4229" s="16"/>
      <c r="Y4229" s="16"/>
    </row>
    <row r="4230" customFormat="false" ht="15.75" hidden="false" customHeight="false" outlineLevel="0" collapsed="false">
      <c r="A4230" s="9"/>
      <c r="B4230" s="10"/>
      <c r="C4230" s="11"/>
      <c r="D4230" s="10"/>
      <c r="E4230" s="10"/>
      <c r="F4230" s="10"/>
      <c r="G4230" s="10"/>
      <c r="H4230" s="10"/>
      <c r="I4230" s="12" t="n">
        <v>1</v>
      </c>
      <c r="J4230" s="12"/>
      <c r="K4230" s="13"/>
      <c r="L4230" s="13"/>
      <c r="M4230" s="12"/>
      <c r="N4230" s="12"/>
      <c r="O4230" s="12"/>
      <c r="P4230" s="13"/>
      <c r="Q4230" s="13"/>
      <c r="R4230" s="12"/>
      <c r="S4230" s="12"/>
      <c r="T4230" s="12"/>
      <c r="U4230" s="14"/>
      <c r="V4230" s="15"/>
      <c r="W4230" s="16" t="n">
        <f aca="false">A4230</f>
        <v>0</v>
      </c>
      <c r="X4230" s="17" t="e">
        <f aca="false">ifs(C4230="","",X4230="",NOW(),TRUE(),X4230)</f>
        <v>#VALUE!</v>
      </c>
      <c r="Y4230" s="17" t="e">
        <f aca="false">ifs(COUNTA(K4230:U4233)&lt;44,"",Y4230="",NOW(),TRUE(),Y4230)</f>
        <v>#VALUE!</v>
      </c>
    </row>
    <row r="4231" customFormat="false" ht="15.75" hidden="false" customHeight="false" outlineLevel="0" collapsed="false">
      <c r="A4231" s="9"/>
      <c r="B4231" s="10"/>
      <c r="C4231" s="10"/>
      <c r="D4231" s="10"/>
      <c r="E4231" s="10"/>
      <c r="F4231" s="10"/>
      <c r="G4231" s="10"/>
      <c r="H4231" s="10"/>
      <c r="I4231" s="18" t="n">
        <v>2</v>
      </c>
      <c r="J4231" s="18"/>
      <c r="K4231" s="19"/>
      <c r="L4231" s="19"/>
      <c r="M4231" s="18"/>
      <c r="N4231" s="18"/>
      <c r="O4231" s="18"/>
      <c r="P4231" s="19"/>
      <c r="Q4231" s="19"/>
      <c r="R4231" s="18"/>
      <c r="S4231" s="18"/>
      <c r="T4231" s="18"/>
      <c r="U4231" s="20"/>
      <c r="V4231" s="21"/>
      <c r="W4231" s="16"/>
      <c r="X4231" s="16"/>
      <c r="Y4231" s="16"/>
    </row>
    <row r="4232" customFormat="false" ht="15.75" hidden="false" customHeight="false" outlineLevel="0" collapsed="false">
      <c r="A4232" s="9"/>
      <c r="B4232" s="10"/>
      <c r="C4232" s="10"/>
      <c r="D4232" s="10"/>
      <c r="E4232" s="10"/>
      <c r="F4232" s="10"/>
      <c r="G4232" s="10"/>
      <c r="H4232" s="10"/>
      <c r="I4232" s="22" t="n">
        <v>3</v>
      </c>
      <c r="J4232" s="22"/>
      <c r="K4232" s="23"/>
      <c r="L4232" s="23"/>
      <c r="M4232" s="22"/>
      <c r="N4232" s="22"/>
      <c r="O4232" s="22"/>
      <c r="P4232" s="23"/>
      <c r="Q4232" s="23"/>
      <c r="R4232" s="22"/>
      <c r="S4232" s="22"/>
      <c r="T4232" s="22"/>
      <c r="U4232" s="24"/>
      <c r="V4232" s="15"/>
      <c r="W4232" s="16"/>
      <c r="X4232" s="16"/>
      <c r="Y4232" s="16"/>
    </row>
    <row r="4233" customFormat="false" ht="15.75" hidden="false" customHeight="false" outlineLevel="0" collapsed="false">
      <c r="A4233" s="9"/>
      <c r="B4233" s="10"/>
      <c r="C4233" s="10"/>
      <c r="D4233" s="10"/>
      <c r="E4233" s="10"/>
      <c r="F4233" s="10"/>
      <c r="G4233" s="10"/>
      <c r="H4233" s="10"/>
      <c r="I4233" s="25" t="n">
        <v>4</v>
      </c>
      <c r="J4233" s="25"/>
      <c r="K4233" s="26"/>
      <c r="L4233" s="26"/>
      <c r="M4233" s="25"/>
      <c r="N4233" s="25"/>
      <c r="O4233" s="25"/>
      <c r="P4233" s="26"/>
      <c r="Q4233" s="26"/>
      <c r="R4233" s="25"/>
      <c r="S4233" s="25"/>
      <c r="T4233" s="25"/>
      <c r="U4233" s="27"/>
      <c r="V4233" s="21"/>
      <c r="W4233" s="16"/>
      <c r="X4233" s="16"/>
      <c r="Y4233" s="16"/>
    </row>
    <row r="4234" customFormat="false" ht="15.75" hidden="false" customHeight="false" outlineLevel="0" collapsed="false">
      <c r="A4234" s="9"/>
      <c r="B4234" s="10"/>
      <c r="C4234" s="11"/>
      <c r="D4234" s="10"/>
      <c r="E4234" s="10"/>
      <c r="F4234" s="10"/>
      <c r="G4234" s="10"/>
      <c r="H4234" s="10"/>
      <c r="I4234" s="12" t="n">
        <v>1</v>
      </c>
      <c r="J4234" s="12"/>
      <c r="K4234" s="13"/>
      <c r="L4234" s="13"/>
      <c r="M4234" s="12"/>
      <c r="N4234" s="12"/>
      <c r="O4234" s="12"/>
      <c r="P4234" s="13"/>
      <c r="Q4234" s="13"/>
      <c r="R4234" s="12"/>
      <c r="S4234" s="12"/>
      <c r="T4234" s="12"/>
      <c r="U4234" s="14"/>
      <c r="V4234" s="15"/>
      <c r="W4234" s="16" t="n">
        <f aca="false">A4234</f>
        <v>0</v>
      </c>
      <c r="X4234" s="17" t="e">
        <f aca="false">ifs(C4234="","",X4234="",NOW(),TRUE(),X4234)</f>
        <v>#VALUE!</v>
      </c>
      <c r="Y4234" s="17" t="e">
        <f aca="false">ifs(COUNTA(K4234:U4237)&lt;44,"",Y4234="",NOW(),TRUE(),Y4234)</f>
        <v>#VALUE!</v>
      </c>
    </row>
    <row r="4235" customFormat="false" ht="15.75" hidden="false" customHeight="false" outlineLevel="0" collapsed="false">
      <c r="A4235" s="9"/>
      <c r="B4235" s="10"/>
      <c r="C4235" s="10"/>
      <c r="D4235" s="10"/>
      <c r="E4235" s="10"/>
      <c r="F4235" s="10"/>
      <c r="G4235" s="10"/>
      <c r="H4235" s="10"/>
      <c r="I4235" s="18" t="n">
        <v>2</v>
      </c>
      <c r="J4235" s="18"/>
      <c r="K4235" s="19"/>
      <c r="L4235" s="19"/>
      <c r="M4235" s="18"/>
      <c r="N4235" s="18"/>
      <c r="O4235" s="18"/>
      <c r="P4235" s="19"/>
      <c r="Q4235" s="19"/>
      <c r="R4235" s="18"/>
      <c r="S4235" s="18"/>
      <c r="T4235" s="18"/>
      <c r="U4235" s="20"/>
      <c r="V4235" s="21"/>
      <c r="W4235" s="16"/>
      <c r="X4235" s="16"/>
      <c r="Y4235" s="16"/>
    </row>
    <row r="4236" customFormat="false" ht="15.75" hidden="false" customHeight="false" outlineLevel="0" collapsed="false">
      <c r="A4236" s="9"/>
      <c r="B4236" s="10"/>
      <c r="C4236" s="10"/>
      <c r="D4236" s="10"/>
      <c r="E4236" s="10"/>
      <c r="F4236" s="10"/>
      <c r="G4236" s="10"/>
      <c r="H4236" s="10"/>
      <c r="I4236" s="22" t="n">
        <v>3</v>
      </c>
      <c r="J4236" s="22"/>
      <c r="K4236" s="23"/>
      <c r="L4236" s="23"/>
      <c r="M4236" s="22"/>
      <c r="N4236" s="22"/>
      <c r="O4236" s="22"/>
      <c r="P4236" s="23"/>
      <c r="Q4236" s="23"/>
      <c r="R4236" s="22"/>
      <c r="S4236" s="22"/>
      <c r="T4236" s="22"/>
      <c r="U4236" s="24"/>
      <c r="V4236" s="15"/>
      <c r="W4236" s="16"/>
      <c r="X4236" s="16"/>
      <c r="Y4236" s="16"/>
    </row>
    <row r="4237" customFormat="false" ht="15.75" hidden="false" customHeight="false" outlineLevel="0" collapsed="false">
      <c r="A4237" s="9"/>
      <c r="B4237" s="10"/>
      <c r="C4237" s="10"/>
      <c r="D4237" s="10"/>
      <c r="E4237" s="10"/>
      <c r="F4237" s="10"/>
      <c r="G4237" s="10"/>
      <c r="H4237" s="10"/>
      <c r="I4237" s="25" t="n">
        <v>4</v>
      </c>
      <c r="J4237" s="25"/>
      <c r="K4237" s="26"/>
      <c r="L4237" s="26"/>
      <c r="M4237" s="25"/>
      <c r="N4237" s="25"/>
      <c r="O4237" s="25"/>
      <c r="P4237" s="26"/>
      <c r="Q4237" s="26"/>
      <c r="R4237" s="25"/>
      <c r="S4237" s="25"/>
      <c r="T4237" s="25"/>
      <c r="U4237" s="27"/>
      <c r="V4237" s="21"/>
      <c r="W4237" s="16"/>
      <c r="X4237" s="16"/>
      <c r="Y4237" s="16"/>
    </row>
    <row r="4238" customFormat="false" ht="15.75" hidden="false" customHeight="false" outlineLevel="0" collapsed="false">
      <c r="A4238" s="9"/>
      <c r="B4238" s="10"/>
      <c r="C4238" s="11"/>
      <c r="D4238" s="10"/>
      <c r="E4238" s="10"/>
      <c r="F4238" s="10"/>
      <c r="G4238" s="10"/>
      <c r="H4238" s="10"/>
      <c r="I4238" s="12" t="n">
        <v>1</v>
      </c>
      <c r="J4238" s="12"/>
      <c r="K4238" s="13"/>
      <c r="L4238" s="13"/>
      <c r="M4238" s="12"/>
      <c r="N4238" s="12"/>
      <c r="O4238" s="12"/>
      <c r="P4238" s="13"/>
      <c r="Q4238" s="13"/>
      <c r="R4238" s="12"/>
      <c r="S4238" s="12"/>
      <c r="T4238" s="12"/>
      <c r="U4238" s="14"/>
      <c r="V4238" s="15"/>
      <c r="W4238" s="16" t="n">
        <f aca="false">A4238</f>
        <v>0</v>
      </c>
      <c r="X4238" s="17" t="e">
        <f aca="false">ifs(C4238="","",X4238="",NOW(),TRUE(),X4238)</f>
        <v>#VALUE!</v>
      </c>
      <c r="Y4238" s="17" t="e">
        <f aca="false">ifs(COUNTA(K4238:U4241)&lt;44,"",Y4238="",NOW(),TRUE(),Y4238)</f>
        <v>#VALUE!</v>
      </c>
    </row>
    <row r="4239" customFormat="false" ht="15.75" hidden="false" customHeight="false" outlineLevel="0" collapsed="false">
      <c r="A4239" s="9"/>
      <c r="B4239" s="10"/>
      <c r="C4239" s="10"/>
      <c r="D4239" s="10"/>
      <c r="E4239" s="10"/>
      <c r="F4239" s="10"/>
      <c r="G4239" s="10"/>
      <c r="H4239" s="10"/>
      <c r="I4239" s="18" t="n">
        <v>2</v>
      </c>
      <c r="J4239" s="18"/>
      <c r="K4239" s="19"/>
      <c r="L4239" s="19"/>
      <c r="M4239" s="18"/>
      <c r="N4239" s="18"/>
      <c r="O4239" s="18"/>
      <c r="P4239" s="19"/>
      <c r="Q4239" s="19"/>
      <c r="R4239" s="18"/>
      <c r="S4239" s="18"/>
      <c r="T4239" s="18"/>
      <c r="U4239" s="20"/>
      <c r="V4239" s="21"/>
      <c r="W4239" s="16"/>
      <c r="X4239" s="16"/>
      <c r="Y4239" s="16"/>
    </row>
    <row r="4240" customFormat="false" ht="15.75" hidden="false" customHeight="false" outlineLevel="0" collapsed="false">
      <c r="A4240" s="9"/>
      <c r="B4240" s="10"/>
      <c r="C4240" s="10"/>
      <c r="D4240" s="10"/>
      <c r="E4240" s="10"/>
      <c r="F4240" s="10"/>
      <c r="G4240" s="10"/>
      <c r="H4240" s="10"/>
      <c r="I4240" s="22" t="n">
        <v>3</v>
      </c>
      <c r="J4240" s="22"/>
      <c r="K4240" s="23"/>
      <c r="L4240" s="23"/>
      <c r="M4240" s="22"/>
      <c r="N4240" s="22"/>
      <c r="O4240" s="22"/>
      <c r="P4240" s="23"/>
      <c r="Q4240" s="23"/>
      <c r="R4240" s="22"/>
      <c r="S4240" s="22"/>
      <c r="T4240" s="22"/>
      <c r="U4240" s="24"/>
      <c r="V4240" s="15"/>
      <c r="W4240" s="16"/>
      <c r="X4240" s="16"/>
      <c r="Y4240" s="16"/>
    </row>
    <row r="4241" customFormat="false" ht="15.75" hidden="false" customHeight="false" outlineLevel="0" collapsed="false">
      <c r="A4241" s="9"/>
      <c r="B4241" s="10"/>
      <c r="C4241" s="10"/>
      <c r="D4241" s="10"/>
      <c r="E4241" s="10"/>
      <c r="F4241" s="10"/>
      <c r="G4241" s="10"/>
      <c r="H4241" s="10"/>
      <c r="I4241" s="25" t="n">
        <v>4</v>
      </c>
      <c r="J4241" s="25"/>
      <c r="K4241" s="26"/>
      <c r="L4241" s="26"/>
      <c r="M4241" s="25"/>
      <c r="N4241" s="25"/>
      <c r="O4241" s="25"/>
      <c r="P4241" s="26"/>
      <c r="Q4241" s="26"/>
      <c r="R4241" s="25"/>
      <c r="S4241" s="25"/>
      <c r="T4241" s="25"/>
      <c r="U4241" s="27"/>
      <c r="V4241" s="21"/>
      <c r="W4241" s="16"/>
      <c r="X4241" s="16"/>
      <c r="Y4241" s="16"/>
    </row>
    <row r="4242" customFormat="false" ht="15.75" hidden="false" customHeight="false" outlineLevel="0" collapsed="false">
      <c r="A4242" s="9"/>
      <c r="B4242" s="10"/>
      <c r="C4242" s="11"/>
      <c r="D4242" s="10"/>
      <c r="E4242" s="10"/>
      <c r="F4242" s="10"/>
      <c r="G4242" s="10"/>
      <c r="H4242" s="10"/>
      <c r="I4242" s="12" t="n">
        <v>1</v>
      </c>
      <c r="J4242" s="12"/>
      <c r="K4242" s="13"/>
      <c r="L4242" s="13"/>
      <c r="M4242" s="12"/>
      <c r="N4242" s="12"/>
      <c r="O4242" s="12"/>
      <c r="P4242" s="13"/>
      <c r="Q4242" s="13"/>
      <c r="R4242" s="12"/>
      <c r="S4242" s="12"/>
      <c r="T4242" s="12"/>
      <c r="U4242" s="14"/>
      <c r="V4242" s="15"/>
      <c r="W4242" s="16" t="n">
        <f aca="false">A4242</f>
        <v>0</v>
      </c>
      <c r="X4242" s="17" t="e">
        <f aca="false">ifs(C4242="","",X4242="",NOW(),TRUE(),X4242)</f>
        <v>#VALUE!</v>
      </c>
      <c r="Y4242" s="17" t="e">
        <f aca="false">ifs(COUNTA(K4242:U4245)&lt;44,"",Y4242="",NOW(),TRUE(),Y4242)</f>
        <v>#VALUE!</v>
      </c>
    </row>
    <row r="4243" customFormat="false" ht="15.75" hidden="false" customHeight="false" outlineLevel="0" collapsed="false">
      <c r="A4243" s="9"/>
      <c r="B4243" s="10"/>
      <c r="C4243" s="10"/>
      <c r="D4243" s="10"/>
      <c r="E4243" s="10"/>
      <c r="F4243" s="10"/>
      <c r="G4243" s="10"/>
      <c r="H4243" s="10"/>
      <c r="I4243" s="18" t="n">
        <v>2</v>
      </c>
      <c r="J4243" s="18"/>
      <c r="K4243" s="19"/>
      <c r="L4243" s="19"/>
      <c r="M4243" s="18"/>
      <c r="N4243" s="18"/>
      <c r="O4243" s="18"/>
      <c r="P4243" s="19"/>
      <c r="Q4243" s="19"/>
      <c r="R4243" s="18"/>
      <c r="S4243" s="18"/>
      <c r="T4243" s="18"/>
      <c r="U4243" s="20"/>
      <c r="V4243" s="21"/>
      <c r="W4243" s="16"/>
      <c r="X4243" s="16"/>
      <c r="Y4243" s="16"/>
    </row>
    <row r="4244" customFormat="false" ht="15.75" hidden="false" customHeight="false" outlineLevel="0" collapsed="false">
      <c r="A4244" s="9"/>
      <c r="B4244" s="10"/>
      <c r="C4244" s="10"/>
      <c r="D4244" s="10"/>
      <c r="E4244" s="10"/>
      <c r="F4244" s="10"/>
      <c r="G4244" s="10"/>
      <c r="H4244" s="10"/>
      <c r="I4244" s="22" t="n">
        <v>3</v>
      </c>
      <c r="J4244" s="22"/>
      <c r="K4244" s="23"/>
      <c r="L4244" s="23"/>
      <c r="M4244" s="22"/>
      <c r="N4244" s="22"/>
      <c r="O4244" s="22"/>
      <c r="P4244" s="23"/>
      <c r="Q4244" s="23"/>
      <c r="R4244" s="22"/>
      <c r="S4244" s="22"/>
      <c r="T4244" s="22"/>
      <c r="U4244" s="24"/>
      <c r="V4244" s="15"/>
      <c r="W4244" s="16"/>
      <c r="X4244" s="16"/>
      <c r="Y4244" s="16"/>
    </row>
    <row r="4245" customFormat="false" ht="15.75" hidden="false" customHeight="false" outlineLevel="0" collapsed="false">
      <c r="A4245" s="9"/>
      <c r="B4245" s="10"/>
      <c r="C4245" s="10"/>
      <c r="D4245" s="10"/>
      <c r="E4245" s="10"/>
      <c r="F4245" s="10"/>
      <c r="G4245" s="10"/>
      <c r="H4245" s="10"/>
      <c r="I4245" s="25" t="n">
        <v>4</v>
      </c>
      <c r="J4245" s="25"/>
      <c r="K4245" s="26"/>
      <c r="L4245" s="26"/>
      <c r="M4245" s="25"/>
      <c r="N4245" s="25"/>
      <c r="O4245" s="25"/>
      <c r="P4245" s="26"/>
      <c r="Q4245" s="26"/>
      <c r="R4245" s="25"/>
      <c r="S4245" s="25"/>
      <c r="T4245" s="25"/>
      <c r="U4245" s="27"/>
      <c r="V4245" s="21"/>
      <c r="W4245" s="16"/>
      <c r="X4245" s="16"/>
      <c r="Y4245" s="16"/>
    </row>
    <row r="4246" customFormat="false" ht="15.75" hidden="false" customHeight="false" outlineLevel="0" collapsed="false">
      <c r="A4246" s="9"/>
      <c r="B4246" s="10"/>
      <c r="C4246" s="11"/>
      <c r="D4246" s="10"/>
      <c r="E4246" s="10"/>
      <c r="F4246" s="10"/>
      <c r="G4246" s="10"/>
      <c r="H4246" s="10"/>
      <c r="I4246" s="12" t="n">
        <v>1</v>
      </c>
      <c r="J4246" s="12"/>
      <c r="K4246" s="13"/>
      <c r="L4246" s="13"/>
      <c r="M4246" s="12"/>
      <c r="N4246" s="12"/>
      <c r="O4246" s="12"/>
      <c r="P4246" s="13"/>
      <c r="Q4246" s="13"/>
      <c r="R4246" s="12"/>
      <c r="S4246" s="12"/>
      <c r="T4246" s="12"/>
      <c r="U4246" s="14"/>
      <c r="V4246" s="15"/>
      <c r="W4246" s="16" t="n">
        <f aca="false">A4246</f>
        <v>0</v>
      </c>
      <c r="X4246" s="17" t="e">
        <f aca="false">ifs(C4246="","",X4246="",NOW(),TRUE(),X4246)</f>
        <v>#VALUE!</v>
      </c>
      <c r="Y4246" s="17" t="e">
        <f aca="false">ifs(COUNTA(K4246:U4249)&lt;44,"",Y4246="",NOW(),TRUE(),Y4246)</f>
        <v>#VALUE!</v>
      </c>
    </row>
    <row r="4247" customFormat="false" ht="15.75" hidden="false" customHeight="false" outlineLevel="0" collapsed="false">
      <c r="A4247" s="9"/>
      <c r="B4247" s="10"/>
      <c r="C4247" s="10"/>
      <c r="D4247" s="10"/>
      <c r="E4247" s="10"/>
      <c r="F4247" s="10"/>
      <c r="G4247" s="10"/>
      <c r="H4247" s="10"/>
      <c r="I4247" s="18" t="n">
        <v>2</v>
      </c>
      <c r="J4247" s="18"/>
      <c r="K4247" s="19"/>
      <c r="L4247" s="19"/>
      <c r="M4247" s="18"/>
      <c r="N4247" s="18"/>
      <c r="O4247" s="18"/>
      <c r="P4247" s="19"/>
      <c r="Q4247" s="19"/>
      <c r="R4247" s="18"/>
      <c r="S4247" s="18"/>
      <c r="T4247" s="18"/>
      <c r="U4247" s="20"/>
      <c r="V4247" s="21"/>
      <c r="W4247" s="16"/>
      <c r="X4247" s="16"/>
      <c r="Y4247" s="16"/>
    </row>
    <row r="4248" customFormat="false" ht="15.75" hidden="false" customHeight="false" outlineLevel="0" collapsed="false">
      <c r="A4248" s="9"/>
      <c r="B4248" s="10"/>
      <c r="C4248" s="10"/>
      <c r="D4248" s="10"/>
      <c r="E4248" s="10"/>
      <c r="F4248" s="10"/>
      <c r="G4248" s="10"/>
      <c r="H4248" s="10"/>
      <c r="I4248" s="22" t="n">
        <v>3</v>
      </c>
      <c r="J4248" s="22"/>
      <c r="K4248" s="23"/>
      <c r="L4248" s="23"/>
      <c r="M4248" s="22"/>
      <c r="N4248" s="22"/>
      <c r="O4248" s="22"/>
      <c r="P4248" s="23"/>
      <c r="Q4248" s="23"/>
      <c r="R4248" s="22"/>
      <c r="S4248" s="22"/>
      <c r="T4248" s="22"/>
      <c r="U4248" s="24"/>
      <c r="V4248" s="15"/>
      <c r="W4248" s="16"/>
      <c r="X4248" s="16"/>
      <c r="Y4248" s="16"/>
    </row>
    <row r="4249" customFormat="false" ht="15.75" hidden="false" customHeight="false" outlineLevel="0" collapsed="false">
      <c r="A4249" s="9"/>
      <c r="B4249" s="10"/>
      <c r="C4249" s="10"/>
      <c r="D4249" s="10"/>
      <c r="E4249" s="10"/>
      <c r="F4249" s="10"/>
      <c r="G4249" s="10"/>
      <c r="H4249" s="10"/>
      <c r="I4249" s="25" t="n">
        <v>4</v>
      </c>
      <c r="J4249" s="25"/>
      <c r="K4249" s="26"/>
      <c r="L4249" s="26"/>
      <c r="M4249" s="25"/>
      <c r="N4249" s="25"/>
      <c r="O4249" s="25"/>
      <c r="P4249" s="26"/>
      <c r="Q4249" s="26"/>
      <c r="R4249" s="25"/>
      <c r="S4249" s="25"/>
      <c r="T4249" s="25"/>
      <c r="U4249" s="27"/>
      <c r="V4249" s="21"/>
      <c r="W4249" s="16"/>
      <c r="X4249" s="16"/>
      <c r="Y4249" s="16"/>
    </row>
    <row r="4250" customFormat="false" ht="15.75" hidden="false" customHeight="false" outlineLevel="0" collapsed="false">
      <c r="A4250" s="9"/>
      <c r="B4250" s="10"/>
      <c r="C4250" s="11"/>
      <c r="D4250" s="10"/>
      <c r="E4250" s="10"/>
      <c r="F4250" s="10"/>
      <c r="G4250" s="10"/>
      <c r="H4250" s="10"/>
      <c r="I4250" s="12" t="n">
        <v>1</v>
      </c>
      <c r="J4250" s="12"/>
      <c r="K4250" s="13"/>
      <c r="L4250" s="13"/>
      <c r="M4250" s="12"/>
      <c r="N4250" s="12"/>
      <c r="O4250" s="12"/>
      <c r="P4250" s="13"/>
      <c r="Q4250" s="13"/>
      <c r="R4250" s="12"/>
      <c r="S4250" s="12"/>
      <c r="T4250" s="12"/>
      <c r="U4250" s="14"/>
      <c r="V4250" s="15"/>
      <c r="W4250" s="16" t="n">
        <f aca="false">A4250</f>
        <v>0</v>
      </c>
      <c r="X4250" s="17" t="e">
        <f aca="false">ifs(C4250="","",X4250="",NOW(),TRUE(),X4250)</f>
        <v>#VALUE!</v>
      </c>
      <c r="Y4250" s="17" t="e">
        <f aca="false">ifs(COUNTA(K4250:U4253)&lt;44,"",Y4250="",NOW(),TRUE(),Y4250)</f>
        <v>#VALUE!</v>
      </c>
    </row>
    <row r="4251" customFormat="false" ht="15.75" hidden="false" customHeight="false" outlineLevel="0" collapsed="false">
      <c r="A4251" s="9"/>
      <c r="B4251" s="10"/>
      <c r="C4251" s="10"/>
      <c r="D4251" s="10"/>
      <c r="E4251" s="10"/>
      <c r="F4251" s="10"/>
      <c r="G4251" s="10"/>
      <c r="H4251" s="10"/>
      <c r="I4251" s="18" t="n">
        <v>2</v>
      </c>
      <c r="J4251" s="18"/>
      <c r="K4251" s="19"/>
      <c r="L4251" s="19"/>
      <c r="M4251" s="18"/>
      <c r="N4251" s="18"/>
      <c r="O4251" s="18"/>
      <c r="P4251" s="19"/>
      <c r="Q4251" s="19"/>
      <c r="R4251" s="18"/>
      <c r="S4251" s="18"/>
      <c r="T4251" s="18"/>
      <c r="U4251" s="20"/>
      <c r="V4251" s="21"/>
      <c r="W4251" s="16"/>
      <c r="X4251" s="16"/>
      <c r="Y4251" s="16"/>
    </row>
    <row r="4252" customFormat="false" ht="15.75" hidden="false" customHeight="false" outlineLevel="0" collapsed="false">
      <c r="A4252" s="9"/>
      <c r="B4252" s="10"/>
      <c r="C4252" s="10"/>
      <c r="D4252" s="10"/>
      <c r="E4252" s="10"/>
      <c r="F4252" s="10"/>
      <c r="G4252" s="10"/>
      <c r="H4252" s="10"/>
      <c r="I4252" s="22" t="n">
        <v>3</v>
      </c>
      <c r="J4252" s="22"/>
      <c r="K4252" s="23"/>
      <c r="L4252" s="23"/>
      <c r="M4252" s="22"/>
      <c r="N4252" s="22"/>
      <c r="O4252" s="22"/>
      <c r="P4252" s="23"/>
      <c r="Q4252" s="23"/>
      <c r="R4252" s="22"/>
      <c r="S4252" s="22"/>
      <c r="T4252" s="22"/>
      <c r="U4252" s="24"/>
      <c r="V4252" s="15"/>
      <c r="W4252" s="16"/>
      <c r="X4252" s="16"/>
      <c r="Y4252" s="16"/>
    </row>
    <row r="4253" customFormat="false" ht="15.75" hidden="false" customHeight="false" outlineLevel="0" collapsed="false">
      <c r="A4253" s="9"/>
      <c r="B4253" s="10"/>
      <c r="C4253" s="10"/>
      <c r="D4253" s="10"/>
      <c r="E4253" s="10"/>
      <c r="F4253" s="10"/>
      <c r="G4253" s="10"/>
      <c r="H4253" s="10"/>
      <c r="I4253" s="25" t="n">
        <v>4</v>
      </c>
      <c r="J4253" s="25"/>
      <c r="K4253" s="26"/>
      <c r="L4253" s="26"/>
      <c r="M4253" s="25"/>
      <c r="N4253" s="25"/>
      <c r="O4253" s="25"/>
      <c r="P4253" s="26"/>
      <c r="Q4253" s="26"/>
      <c r="R4253" s="25"/>
      <c r="S4253" s="25"/>
      <c r="T4253" s="25"/>
      <c r="U4253" s="27"/>
      <c r="V4253" s="21"/>
      <c r="W4253" s="16"/>
      <c r="X4253" s="16"/>
      <c r="Y4253" s="16"/>
    </row>
    <row r="4254" customFormat="false" ht="15.75" hidden="false" customHeight="false" outlineLevel="0" collapsed="false">
      <c r="A4254" s="9"/>
      <c r="B4254" s="10"/>
      <c r="C4254" s="11"/>
      <c r="D4254" s="10"/>
      <c r="E4254" s="10"/>
      <c r="F4254" s="10"/>
      <c r="G4254" s="10"/>
      <c r="H4254" s="10"/>
      <c r="I4254" s="12" t="n">
        <v>1</v>
      </c>
      <c r="J4254" s="12"/>
      <c r="K4254" s="13"/>
      <c r="L4254" s="13"/>
      <c r="M4254" s="12"/>
      <c r="N4254" s="12"/>
      <c r="O4254" s="12"/>
      <c r="P4254" s="13"/>
      <c r="Q4254" s="13"/>
      <c r="R4254" s="12"/>
      <c r="S4254" s="12"/>
      <c r="T4254" s="12"/>
      <c r="U4254" s="14"/>
      <c r="V4254" s="15"/>
      <c r="W4254" s="16" t="n">
        <f aca="false">A4254</f>
        <v>0</v>
      </c>
      <c r="X4254" s="17" t="e">
        <f aca="false">ifs(C4254="","",X4254="",NOW(),TRUE(),X4254)</f>
        <v>#VALUE!</v>
      </c>
      <c r="Y4254" s="17" t="e">
        <f aca="false">ifs(COUNTA(K4254:U4257)&lt;44,"",Y4254="",NOW(),TRUE(),Y4254)</f>
        <v>#VALUE!</v>
      </c>
    </row>
    <row r="4255" customFormat="false" ht="15.75" hidden="false" customHeight="false" outlineLevel="0" collapsed="false">
      <c r="A4255" s="9"/>
      <c r="B4255" s="10"/>
      <c r="C4255" s="10"/>
      <c r="D4255" s="10"/>
      <c r="E4255" s="10"/>
      <c r="F4255" s="10"/>
      <c r="G4255" s="10"/>
      <c r="H4255" s="10"/>
      <c r="I4255" s="18" t="n">
        <v>2</v>
      </c>
      <c r="J4255" s="18"/>
      <c r="K4255" s="19"/>
      <c r="L4255" s="19"/>
      <c r="M4255" s="18"/>
      <c r="N4255" s="18"/>
      <c r="O4255" s="18"/>
      <c r="P4255" s="19"/>
      <c r="Q4255" s="19"/>
      <c r="R4255" s="18"/>
      <c r="S4255" s="18"/>
      <c r="T4255" s="18"/>
      <c r="U4255" s="20"/>
      <c r="V4255" s="21"/>
      <c r="W4255" s="16"/>
      <c r="X4255" s="16"/>
      <c r="Y4255" s="16"/>
    </row>
    <row r="4256" customFormat="false" ht="15.75" hidden="false" customHeight="false" outlineLevel="0" collapsed="false">
      <c r="A4256" s="9"/>
      <c r="B4256" s="10"/>
      <c r="C4256" s="10"/>
      <c r="D4256" s="10"/>
      <c r="E4256" s="10"/>
      <c r="F4256" s="10"/>
      <c r="G4256" s="10"/>
      <c r="H4256" s="10"/>
      <c r="I4256" s="22" t="n">
        <v>3</v>
      </c>
      <c r="J4256" s="22"/>
      <c r="K4256" s="23"/>
      <c r="L4256" s="23"/>
      <c r="M4256" s="22"/>
      <c r="N4256" s="22"/>
      <c r="O4256" s="22"/>
      <c r="P4256" s="23"/>
      <c r="Q4256" s="23"/>
      <c r="R4256" s="22"/>
      <c r="S4256" s="22"/>
      <c r="T4256" s="22"/>
      <c r="U4256" s="24"/>
      <c r="V4256" s="15"/>
      <c r="W4256" s="16"/>
      <c r="X4256" s="16"/>
      <c r="Y4256" s="16"/>
    </row>
    <row r="4257" customFormat="false" ht="15.75" hidden="false" customHeight="false" outlineLevel="0" collapsed="false">
      <c r="A4257" s="9"/>
      <c r="B4257" s="10"/>
      <c r="C4257" s="10"/>
      <c r="D4257" s="10"/>
      <c r="E4257" s="10"/>
      <c r="F4257" s="10"/>
      <c r="G4257" s="10"/>
      <c r="H4257" s="10"/>
      <c r="I4257" s="25" t="n">
        <v>4</v>
      </c>
      <c r="J4257" s="25"/>
      <c r="K4257" s="26"/>
      <c r="L4257" s="26"/>
      <c r="M4257" s="25"/>
      <c r="N4257" s="25"/>
      <c r="O4257" s="25"/>
      <c r="P4257" s="26"/>
      <c r="Q4257" s="26"/>
      <c r="R4257" s="25"/>
      <c r="S4257" s="25"/>
      <c r="T4257" s="25"/>
      <c r="U4257" s="27"/>
      <c r="V4257" s="21"/>
      <c r="W4257" s="16"/>
      <c r="X4257" s="16"/>
      <c r="Y4257" s="16"/>
    </row>
    <row r="4258" customFormat="false" ht="15.75" hidden="false" customHeight="false" outlineLevel="0" collapsed="false">
      <c r="A4258" s="9"/>
      <c r="B4258" s="10"/>
      <c r="C4258" s="11"/>
      <c r="D4258" s="10"/>
      <c r="E4258" s="10"/>
      <c r="F4258" s="10"/>
      <c r="G4258" s="10"/>
      <c r="H4258" s="10"/>
      <c r="I4258" s="12" t="n">
        <v>1</v>
      </c>
      <c r="J4258" s="12"/>
      <c r="K4258" s="13"/>
      <c r="L4258" s="13"/>
      <c r="M4258" s="12"/>
      <c r="N4258" s="12"/>
      <c r="O4258" s="12"/>
      <c r="P4258" s="13"/>
      <c r="Q4258" s="13"/>
      <c r="R4258" s="12"/>
      <c r="S4258" s="12"/>
      <c r="T4258" s="12"/>
      <c r="U4258" s="14"/>
      <c r="V4258" s="15"/>
      <c r="W4258" s="16" t="n">
        <f aca="false">A4258</f>
        <v>0</v>
      </c>
      <c r="X4258" s="17" t="e">
        <f aca="false">ifs(C4258="","",X4258="",NOW(),TRUE(),X4258)</f>
        <v>#VALUE!</v>
      </c>
      <c r="Y4258" s="17" t="e">
        <f aca="false">ifs(COUNTA(K4258:U4261)&lt;44,"",Y4258="",NOW(),TRUE(),Y4258)</f>
        <v>#VALUE!</v>
      </c>
    </row>
    <row r="4259" customFormat="false" ht="15.75" hidden="false" customHeight="false" outlineLevel="0" collapsed="false">
      <c r="A4259" s="9"/>
      <c r="B4259" s="10"/>
      <c r="C4259" s="10"/>
      <c r="D4259" s="10"/>
      <c r="E4259" s="10"/>
      <c r="F4259" s="10"/>
      <c r="G4259" s="10"/>
      <c r="H4259" s="10"/>
      <c r="I4259" s="18" t="n">
        <v>2</v>
      </c>
      <c r="J4259" s="18"/>
      <c r="K4259" s="19"/>
      <c r="L4259" s="19"/>
      <c r="M4259" s="18"/>
      <c r="N4259" s="18"/>
      <c r="O4259" s="18"/>
      <c r="P4259" s="19"/>
      <c r="Q4259" s="19"/>
      <c r="R4259" s="18"/>
      <c r="S4259" s="18"/>
      <c r="T4259" s="18"/>
      <c r="U4259" s="20"/>
      <c r="V4259" s="21"/>
      <c r="W4259" s="16"/>
      <c r="X4259" s="16"/>
      <c r="Y4259" s="16"/>
    </row>
    <row r="4260" customFormat="false" ht="15.75" hidden="false" customHeight="false" outlineLevel="0" collapsed="false">
      <c r="A4260" s="9"/>
      <c r="B4260" s="10"/>
      <c r="C4260" s="10"/>
      <c r="D4260" s="10"/>
      <c r="E4260" s="10"/>
      <c r="F4260" s="10"/>
      <c r="G4260" s="10"/>
      <c r="H4260" s="10"/>
      <c r="I4260" s="22" t="n">
        <v>3</v>
      </c>
      <c r="J4260" s="22"/>
      <c r="K4260" s="23"/>
      <c r="L4260" s="23"/>
      <c r="M4260" s="22"/>
      <c r="N4260" s="22"/>
      <c r="O4260" s="22"/>
      <c r="P4260" s="23"/>
      <c r="Q4260" s="23"/>
      <c r="R4260" s="22"/>
      <c r="S4260" s="22"/>
      <c r="T4260" s="22"/>
      <c r="U4260" s="24"/>
      <c r="V4260" s="15"/>
      <c r="W4260" s="16"/>
      <c r="X4260" s="16"/>
      <c r="Y4260" s="16"/>
    </row>
    <row r="4261" customFormat="false" ht="15.75" hidden="false" customHeight="false" outlineLevel="0" collapsed="false">
      <c r="A4261" s="9"/>
      <c r="B4261" s="10"/>
      <c r="C4261" s="10"/>
      <c r="D4261" s="10"/>
      <c r="E4261" s="10"/>
      <c r="F4261" s="10"/>
      <c r="G4261" s="10"/>
      <c r="H4261" s="10"/>
      <c r="I4261" s="25" t="n">
        <v>4</v>
      </c>
      <c r="J4261" s="25"/>
      <c r="K4261" s="26"/>
      <c r="L4261" s="26"/>
      <c r="M4261" s="25"/>
      <c r="N4261" s="25"/>
      <c r="O4261" s="25"/>
      <c r="P4261" s="26"/>
      <c r="Q4261" s="26"/>
      <c r="R4261" s="25"/>
      <c r="S4261" s="25"/>
      <c r="T4261" s="25"/>
      <c r="U4261" s="27"/>
      <c r="V4261" s="21"/>
      <c r="W4261" s="16"/>
      <c r="X4261" s="16"/>
      <c r="Y4261" s="16"/>
    </row>
    <row r="4262" customFormat="false" ht="15.75" hidden="false" customHeight="false" outlineLevel="0" collapsed="false">
      <c r="A4262" s="9"/>
      <c r="B4262" s="10"/>
      <c r="C4262" s="11"/>
      <c r="D4262" s="10"/>
      <c r="E4262" s="10"/>
      <c r="F4262" s="10"/>
      <c r="G4262" s="10"/>
      <c r="H4262" s="10"/>
      <c r="I4262" s="12" t="n">
        <v>1</v>
      </c>
      <c r="J4262" s="12"/>
      <c r="K4262" s="13"/>
      <c r="L4262" s="13"/>
      <c r="M4262" s="12"/>
      <c r="N4262" s="12"/>
      <c r="O4262" s="12"/>
      <c r="P4262" s="13"/>
      <c r="Q4262" s="13"/>
      <c r="R4262" s="12"/>
      <c r="S4262" s="12"/>
      <c r="T4262" s="12"/>
      <c r="U4262" s="14"/>
      <c r="V4262" s="15"/>
      <c r="W4262" s="16" t="n">
        <f aca="false">A4262</f>
        <v>0</v>
      </c>
      <c r="X4262" s="17" t="e">
        <f aca="false">ifs(C4262="","",X4262="",NOW(),TRUE(),X4262)</f>
        <v>#VALUE!</v>
      </c>
      <c r="Y4262" s="17" t="e">
        <f aca="false">ifs(COUNTA(K4262:U4265)&lt;44,"",Y4262="",NOW(),TRUE(),Y4262)</f>
        <v>#VALUE!</v>
      </c>
    </row>
    <row r="4263" customFormat="false" ht="15.75" hidden="false" customHeight="false" outlineLevel="0" collapsed="false">
      <c r="A4263" s="9"/>
      <c r="B4263" s="10"/>
      <c r="C4263" s="10"/>
      <c r="D4263" s="10"/>
      <c r="E4263" s="10"/>
      <c r="F4263" s="10"/>
      <c r="G4263" s="10"/>
      <c r="H4263" s="10"/>
      <c r="I4263" s="18" t="n">
        <v>2</v>
      </c>
      <c r="J4263" s="18"/>
      <c r="K4263" s="19"/>
      <c r="L4263" s="19"/>
      <c r="M4263" s="18"/>
      <c r="N4263" s="18"/>
      <c r="O4263" s="18"/>
      <c r="P4263" s="19"/>
      <c r="Q4263" s="19"/>
      <c r="R4263" s="18"/>
      <c r="S4263" s="18"/>
      <c r="T4263" s="18"/>
      <c r="U4263" s="20"/>
      <c r="V4263" s="21"/>
      <c r="W4263" s="16"/>
      <c r="X4263" s="16"/>
      <c r="Y4263" s="16"/>
    </row>
    <row r="4264" customFormat="false" ht="15.75" hidden="false" customHeight="false" outlineLevel="0" collapsed="false">
      <c r="A4264" s="9"/>
      <c r="B4264" s="10"/>
      <c r="C4264" s="10"/>
      <c r="D4264" s="10"/>
      <c r="E4264" s="10"/>
      <c r="F4264" s="10"/>
      <c r="G4264" s="10"/>
      <c r="H4264" s="10"/>
      <c r="I4264" s="22" t="n">
        <v>3</v>
      </c>
      <c r="J4264" s="22"/>
      <c r="K4264" s="23"/>
      <c r="L4264" s="23"/>
      <c r="M4264" s="22"/>
      <c r="N4264" s="22"/>
      <c r="O4264" s="22"/>
      <c r="P4264" s="23"/>
      <c r="Q4264" s="23"/>
      <c r="R4264" s="22"/>
      <c r="S4264" s="22"/>
      <c r="T4264" s="22"/>
      <c r="U4264" s="24"/>
      <c r="V4264" s="15"/>
      <c r="W4264" s="16"/>
      <c r="X4264" s="16"/>
      <c r="Y4264" s="16"/>
    </row>
    <row r="4265" customFormat="false" ht="15.75" hidden="false" customHeight="false" outlineLevel="0" collapsed="false">
      <c r="A4265" s="9"/>
      <c r="B4265" s="10"/>
      <c r="C4265" s="10"/>
      <c r="D4265" s="10"/>
      <c r="E4265" s="10"/>
      <c r="F4265" s="10"/>
      <c r="G4265" s="10"/>
      <c r="H4265" s="10"/>
      <c r="I4265" s="25" t="n">
        <v>4</v>
      </c>
      <c r="J4265" s="25"/>
      <c r="K4265" s="26"/>
      <c r="L4265" s="26"/>
      <c r="M4265" s="25"/>
      <c r="N4265" s="25"/>
      <c r="O4265" s="25"/>
      <c r="P4265" s="26"/>
      <c r="Q4265" s="26"/>
      <c r="R4265" s="25"/>
      <c r="S4265" s="25"/>
      <c r="T4265" s="25"/>
      <c r="U4265" s="27"/>
      <c r="V4265" s="21"/>
      <c r="W4265" s="16"/>
      <c r="X4265" s="16"/>
      <c r="Y4265" s="16"/>
    </row>
    <row r="4266" customFormat="false" ht="15.75" hidden="false" customHeight="false" outlineLevel="0" collapsed="false">
      <c r="A4266" s="9"/>
      <c r="B4266" s="10"/>
      <c r="C4266" s="11"/>
      <c r="D4266" s="10"/>
      <c r="E4266" s="10"/>
      <c r="F4266" s="10"/>
      <c r="G4266" s="10"/>
      <c r="H4266" s="10"/>
      <c r="I4266" s="12" t="n">
        <v>1</v>
      </c>
      <c r="J4266" s="12"/>
      <c r="K4266" s="13"/>
      <c r="L4266" s="13"/>
      <c r="M4266" s="12"/>
      <c r="N4266" s="12"/>
      <c r="O4266" s="12"/>
      <c r="P4266" s="13"/>
      <c r="Q4266" s="13"/>
      <c r="R4266" s="12"/>
      <c r="S4266" s="12"/>
      <c r="T4266" s="12"/>
      <c r="U4266" s="14"/>
      <c r="V4266" s="15"/>
      <c r="W4266" s="16" t="n">
        <f aca="false">A4266</f>
        <v>0</v>
      </c>
      <c r="X4266" s="17" t="e">
        <f aca="false">ifs(C4266="","",X4266="",NOW(),TRUE(),X4266)</f>
        <v>#VALUE!</v>
      </c>
      <c r="Y4266" s="17" t="e">
        <f aca="false">ifs(COUNTA(K4266:U4269)&lt;44,"",Y4266="",NOW(),TRUE(),Y4266)</f>
        <v>#VALUE!</v>
      </c>
    </row>
    <row r="4267" customFormat="false" ht="15.75" hidden="false" customHeight="false" outlineLevel="0" collapsed="false">
      <c r="A4267" s="9"/>
      <c r="B4267" s="10"/>
      <c r="C4267" s="10"/>
      <c r="D4267" s="10"/>
      <c r="E4267" s="10"/>
      <c r="F4267" s="10"/>
      <c r="G4267" s="10"/>
      <c r="H4267" s="10"/>
      <c r="I4267" s="18" t="n">
        <v>2</v>
      </c>
      <c r="J4267" s="18"/>
      <c r="K4267" s="19"/>
      <c r="L4267" s="19"/>
      <c r="M4267" s="18"/>
      <c r="N4267" s="18"/>
      <c r="O4267" s="18"/>
      <c r="P4267" s="19"/>
      <c r="Q4267" s="19"/>
      <c r="R4267" s="18"/>
      <c r="S4267" s="18"/>
      <c r="T4267" s="18"/>
      <c r="U4267" s="20"/>
      <c r="V4267" s="21"/>
      <c r="W4267" s="16"/>
      <c r="X4267" s="16"/>
      <c r="Y4267" s="16"/>
    </row>
    <row r="4268" customFormat="false" ht="15.75" hidden="false" customHeight="false" outlineLevel="0" collapsed="false">
      <c r="A4268" s="9"/>
      <c r="B4268" s="10"/>
      <c r="C4268" s="10"/>
      <c r="D4268" s="10"/>
      <c r="E4268" s="10"/>
      <c r="F4268" s="10"/>
      <c r="G4268" s="10"/>
      <c r="H4268" s="10"/>
      <c r="I4268" s="22" t="n">
        <v>3</v>
      </c>
      <c r="J4268" s="22"/>
      <c r="K4268" s="23"/>
      <c r="L4268" s="23"/>
      <c r="M4268" s="22"/>
      <c r="N4268" s="22"/>
      <c r="O4268" s="22"/>
      <c r="P4268" s="23"/>
      <c r="Q4268" s="23"/>
      <c r="R4268" s="22"/>
      <c r="S4268" s="22"/>
      <c r="T4268" s="22"/>
      <c r="U4268" s="24"/>
      <c r="V4268" s="15"/>
      <c r="W4268" s="16"/>
      <c r="X4268" s="16"/>
      <c r="Y4268" s="16"/>
    </row>
    <row r="4269" customFormat="false" ht="15.75" hidden="false" customHeight="false" outlineLevel="0" collapsed="false">
      <c r="A4269" s="9"/>
      <c r="B4269" s="10"/>
      <c r="C4269" s="10"/>
      <c r="D4269" s="10"/>
      <c r="E4269" s="10"/>
      <c r="F4269" s="10"/>
      <c r="G4269" s="10"/>
      <c r="H4269" s="10"/>
      <c r="I4269" s="25" t="n">
        <v>4</v>
      </c>
      <c r="J4269" s="25"/>
      <c r="K4269" s="26"/>
      <c r="L4269" s="26"/>
      <c r="M4269" s="25"/>
      <c r="N4269" s="25"/>
      <c r="O4269" s="25"/>
      <c r="P4269" s="26"/>
      <c r="Q4269" s="26"/>
      <c r="R4269" s="25"/>
      <c r="S4269" s="25"/>
      <c r="T4269" s="25"/>
      <c r="U4269" s="27"/>
      <c r="V4269" s="21"/>
      <c r="W4269" s="16"/>
      <c r="X4269" s="16"/>
      <c r="Y4269" s="16"/>
    </row>
    <row r="4270" customFormat="false" ht="15.75" hidden="false" customHeight="false" outlineLevel="0" collapsed="false">
      <c r="A4270" s="9"/>
      <c r="B4270" s="10"/>
      <c r="C4270" s="11"/>
      <c r="D4270" s="10"/>
      <c r="E4270" s="10"/>
      <c r="F4270" s="10"/>
      <c r="G4270" s="10"/>
      <c r="H4270" s="10"/>
      <c r="I4270" s="12" t="n">
        <v>1</v>
      </c>
      <c r="J4270" s="12"/>
      <c r="K4270" s="13"/>
      <c r="L4270" s="13"/>
      <c r="M4270" s="12"/>
      <c r="N4270" s="12"/>
      <c r="O4270" s="12"/>
      <c r="P4270" s="13"/>
      <c r="Q4270" s="13"/>
      <c r="R4270" s="12"/>
      <c r="S4270" s="12"/>
      <c r="T4270" s="12"/>
      <c r="U4270" s="14"/>
      <c r="V4270" s="15"/>
      <c r="W4270" s="16" t="n">
        <f aca="false">A4270</f>
        <v>0</v>
      </c>
      <c r="X4270" s="17" t="e">
        <f aca="false">ifs(C4270="","",X4270="",NOW(),TRUE(),X4270)</f>
        <v>#VALUE!</v>
      </c>
      <c r="Y4270" s="17" t="e">
        <f aca="false">ifs(COUNTA(K4270:U4273)&lt;44,"",Y4270="",NOW(),TRUE(),Y4270)</f>
        <v>#VALUE!</v>
      </c>
    </row>
    <row r="4271" customFormat="false" ht="15.75" hidden="false" customHeight="false" outlineLevel="0" collapsed="false">
      <c r="A4271" s="9"/>
      <c r="B4271" s="10"/>
      <c r="C4271" s="10"/>
      <c r="D4271" s="10"/>
      <c r="E4271" s="10"/>
      <c r="F4271" s="10"/>
      <c r="G4271" s="10"/>
      <c r="H4271" s="10"/>
      <c r="I4271" s="18" t="n">
        <v>2</v>
      </c>
      <c r="J4271" s="18"/>
      <c r="K4271" s="19"/>
      <c r="L4271" s="19"/>
      <c r="M4271" s="18"/>
      <c r="N4271" s="18"/>
      <c r="O4271" s="18"/>
      <c r="P4271" s="19"/>
      <c r="Q4271" s="19"/>
      <c r="R4271" s="18"/>
      <c r="S4271" s="18"/>
      <c r="T4271" s="18"/>
      <c r="U4271" s="20"/>
      <c r="V4271" s="21"/>
      <c r="W4271" s="16"/>
      <c r="X4271" s="16"/>
      <c r="Y4271" s="16"/>
    </row>
    <row r="4272" customFormat="false" ht="15.75" hidden="false" customHeight="false" outlineLevel="0" collapsed="false">
      <c r="A4272" s="9"/>
      <c r="B4272" s="10"/>
      <c r="C4272" s="10"/>
      <c r="D4272" s="10"/>
      <c r="E4272" s="10"/>
      <c r="F4272" s="10"/>
      <c r="G4272" s="10"/>
      <c r="H4272" s="10"/>
      <c r="I4272" s="22" t="n">
        <v>3</v>
      </c>
      <c r="J4272" s="22"/>
      <c r="K4272" s="23"/>
      <c r="L4272" s="23"/>
      <c r="M4272" s="22"/>
      <c r="N4272" s="22"/>
      <c r="O4272" s="22"/>
      <c r="P4272" s="23"/>
      <c r="Q4272" s="23"/>
      <c r="R4272" s="22"/>
      <c r="S4272" s="22"/>
      <c r="T4272" s="22"/>
      <c r="U4272" s="24"/>
      <c r="V4272" s="15"/>
      <c r="W4272" s="16"/>
      <c r="X4272" s="16"/>
      <c r="Y4272" s="16"/>
    </row>
    <row r="4273" customFormat="false" ht="15.75" hidden="false" customHeight="false" outlineLevel="0" collapsed="false">
      <c r="A4273" s="9"/>
      <c r="B4273" s="10"/>
      <c r="C4273" s="10"/>
      <c r="D4273" s="10"/>
      <c r="E4273" s="10"/>
      <c r="F4273" s="10"/>
      <c r="G4273" s="10"/>
      <c r="H4273" s="10"/>
      <c r="I4273" s="25" t="n">
        <v>4</v>
      </c>
      <c r="J4273" s="25"/>
      <c r="K4273" s="26"/>
      <c r="L4273" s="26"/>
      <c r="M4273" s="25"/>
      <c r="N4273" s="25"/>
      <c r="O4273" s="25"/>
      <c r="P4273" s="26"/>
      <c r="Q4273" s="26"/>
      <c r="R4273" s="25"/>
      <c r="S4273" s="25"/>
      <c r="T4273" s="25"/>
      <c r="U4273" s="27"/>
      <c r="V4273" s="21"/>
      <c r="W4273" s="16"/>
      <c r="X4273" s="16"/>
      <c r="Y4273" s="16"/>
    </row>
    <row r="4274" customFormat="false" ht="15.75" hidden="false" customHeight="false" outlineLevel="0" collapsed="false">
      <c r="A4274" s="9"/>
      <c r="B4274" s="10"/>
      <c r="C4274" s="11"/>
      <c r="D4274" s="10"/>
      <c r="E4274" s="10"/>
      <c r="F4274" s="10"/>
      <c r="G4274" s="10"/>
      <c r="H4274" s="10"/>
      <c r="I4274" s="12" t="n">
        <v>1</v>
      </c>
      <c r="J4274" s="12"/>
      <c r="K4274" s="13"/>
      <c r="L4274" s="13"/>
      <c r="M4274" s="12"/>
      <c r="N4274" s="12"/>
      <c r="O4274" s="12"/>
      <c r="P4274" s="13"/>
      <c r="Q4274" s="13"/>
      <c r="R4274" s="12"/>
      <c r="S4274" s="12"/>
      <c r="T4274" s="12"/>
      <c r="U4274" s="14"/>
      <c r="V4274" s="15"/>
      <c r="W4274" s="16" t="n">
        <f aca="false">A4274</f>
        <v>0</v>
      </c>
      <c r="X4274" s="17" t="e">
        <f aca="false">ifs(C4274="","",X4274="",NOW(),TRUE(),X4274)</f>
        <v>#VALUE!</v>
      </c>
      <c r="Y4274" s="17" t="e">
        <f aca="false">ifs(COUNTA(K4274:U4277)&lt;44,"",Y4274="",NOW(),TRUE(),Y4274)</f>
        <v>#VALUE!</v>
      </c>
    </row>
    <row r="4275" customFormat="false" ht="15.75" hidden="false" customHeight="false" outlineLevel="0" collapsed="false">
      <c r="A4275" s="9"/>
      <c r="B4275" s="10"/>
      <c r="C4275" s="10"/>
      <c r="D4275" s="10"/>
      <c r="E4275" s="10"/>
      <c r="F4275" s="10"/>
      <c r="G4275" s="10"/>
      <c r="H4275" s="10"/>
      <c r="I4275" s="18" t="n">
        <v>2</v>
      </c>
      <c r="J4275" s="18"/>
      <c r="K4275" s="19"/>
      <c r="L4275" s="19"/>
      <c r="M4275" s="18"/>
      <c r="N4275" s="18"/>
      <c r="O4275" s="18"/>
      <c r="P4275" s="19"/>
      <c r="Q4275" s="19"/>
      <c r="R4275" s="18"/>
      <c r="S4275" s="18"/>
      <c r="T4275" s="18"/>
      <c r="U4275" s="20"/>
      <c r="V4275" s="21"/>
      <c r="W4275" s="16"/>
      <c r="X4275" s="16"/>
      <c r="Y4275" s="16"/>
    </row>
    <row r="4276" customFormat="false" ht="15.75" hidden="false" customHeight="false" outlineLevel="0" collapsed="false">
      <c r="A4276" s="9"/>
      <c r="B4276" s="10"/>
      <c r="C4276" s="10"/>
      <c r="D4276" s="10"/>
      <c r="E4276" s="10"/>
      <c r="F4276" s="10"/>
      <c r="G4276" s="10"/>
      <c r="H4276" s="10"/>
      <c r="I4276" s="22" t="n">
        <v>3</v>
      </c>
      <c r="J4276" s="22"/>
      <c r="K4276" s="23"/>
      <c r="L4276" s="23"/>
      <c r="M4276" s="22"/>
      <c r="N4276" s="22"/>
      <c r="O4276" s="22"/>
      <c r="P4276" s="23"/>
      <c r="Q4276" s="23"/>
      <c r="R4276" s="22"/>
      <c r="S4276" s="22"/>
      <c r="T4276" s="22"/>
      <c r="U4276" s="24"/>
      <c r="V4276" s="15"/>
      <c r="W4276" s="16"/>
      <c r="X4276" s="16"/>
      <c r="Y4276" s="16"/>
    </row>
    <row r="4277" customFormat="false" ht="15.75" hidden="false" customHeight="false" outlineLevel="0" collapsed="false">
      <c r="A4277" s="9"/>
      <c r="B4277" s="10"/>
      <c r="C4277" s="10"/>
      <c r="D4277" s="10"/>
      <c r="E4277" s="10"/>
      <c r="F4277" s="10"/>
      <c r="G4277" s="10"/>
      <c r="H4277" s="10"/>
      <c r="I4277" s="25" t="n">
        <v>4</v>
      </c>
      <c r="J4277" s="25"/>
      <c r="K4277" s="26"/>
      <c r="L4277" s="26"/>
      <c r="M4277" s="25"/>
      <c r="N4277" s="25"/>
      <c r="O4277" s="25"/>
      <c r="P4277" s="26"/>
      <c r="Q4277" s="26"/>
      <c r="R4277" s="25"/>
      <c r="S4277" s="25"/>
      <c r="T4277" s="25"/>
      <c r="U4277" s="27"/>
      <c r="V4277" s="21"/>
      <c r="W4277" s="16"/>
      <c r="X4277" s="16"/>
      <c r="Y4277" s="16"/>
    </row>
    <row r="4278" customFormat="false" ht="15.75" hidden="false" customHeight="false" outlineLevel="0" collapsed="false">
      <c r="A4278" s="9"/>
      <c r="B4278" s="10"/>
      <c r="C4278" s="11"/>
      <c r="D4278" s="10"/>
      <c r="E4278" s="10"/>
      <c r="F4278" s="10"/>
      <c r="G4278" s="10"/>
      <c r="H4278" s="10"/>
      <c r="I4278" s="12" t="n">
        <v>1</v>
      </c>
      <c r="J4278" s="12"/>
      <c r="K4278" s="13"/>
      <c r="L4278" s="13"/>
      <c r="M4278" s="12"/>
      <c r="N4278" s="12"/>
      <c r="O4278" s="12"/>
      <c r="P4278" s="13"/>
      <c r="Q4278" s="13"/>
      <c r="R4278" s="12"/>
      <c r="S4278" s="12"/>
      <c r="T4278" s="12"/>
      <c r="U4278" s="14"/>
      <c r="V4278" s="15"/>
      <c r="W4278" s="16" t="n">
        <f aca="false">A4278</f>
        <v>0</v>
      </c>
      <c r="X4278" s="17" t="e">
        <f aca="false">ifs(C4278="","",X4278="",NOW(),TRUE(),X4278)</f>
        <v>#VALUE!</v>
      </c>
      <c r="Y4278" s="17" t="e">
        <f aca="false">ifs(COUNTA(K4278:U4281)&lt;44,"",Y4278="",NOW(),TRUE(),Y4278)</f>
        <v>#VALUE!</v>
      </c>
    </row>
    <row r="4279" customFormat="false" ht="15.75" hidden="false" customHeight="false" outlineLevel="0" collapsed="false">
      <c r="A4279" s="9"/>
      <c r="B4279" s="10"/>
      <c r="C4279" s="10"/>
      <c r="D4279" s="10"/>
      <c r="E4279" s="10"/>
      <c r="F4279" s="10"/>
      <c r="G4279" s="10"/>
      <c r="H4279" s="10"/>
      <c r="I4279" s="18" t="n">
        <v>2</v>
      </c>
      <c r="J4279" s="18"/>
      <c r="K4279" s="19"/>
      <c r="L4279" s="19"/>
      <c r="M4279" s="18"/>
      <c r="N4279" s="18"/>
      <c r="O4279" s="18"/>
      <c r="P4279" s="19"/>
      <c r="Q4279" s="19"/>
      <c r="R4279" s="18"/>
      <c r="S4279" s="18"/>
      <c r="T4279" s="18"/>
      <c r="U4279" s="20"/>
      <c r="V4279" s="21"/>
      <c r="W4279" s="16"/>
      <c r="X4279" s="16"/>
      <c r="Y4279" s="16"/>
    </row>
    <row r="4280" customFormat="false" ht="15.75" hidden="false" customHeight="false" outlineLevel="0" collapsed="false">
      <c r="A4280" s="9"/>
      <c r="B4280" s="10"/>
      <c r="C4280" s="10"/>
      <c r="D4280" s="10"/>
      <c r="E4280" s="10"/>
      <c r="F4280" s="10"/>
      <c r="G4280" s="10"/>
      <c r="H4280" s="10"/>
      <c r="I4280" s="22" t="n">
        <v>3</v>
      </c>
      <c r="J4280" s="22"/>
      <c r="K4280" s="23"/>
      <c r="L4280" s="23"/>
      <c r="M4280" s="22"/>
      <c r="N4280" s="22"/>
      <c r="O4280" s="22"/>
      <c r="P4280" s="23"/>
      <c r="Q4280" s="23"/>
      <c r="R4280" s="22"/>
      <c r="S4280" s="22"/>
      <c r="T4280" s="22"/>
      <c r="U4280" s="24"/>
      <c r="V4280" s="15"/>
      <c r="W4280" s="16"/>
      <c r="X4280" s="16"/>
      <c r="Y4280" s="16"/>
    </row>
    <row r="4281" customFormat="false" ht="15.75" hidden="false" customHeight="false" outlineLevel="0" collapsed="false">
      <c r="A4281" s="9"/>
      <c r="B4281" s="10"/>
      <c r="C4281" s="10"/>
      <c r="D4281" s="10"/>
      <c r="E4281" s="10"/>
      <c r="F4281" s="10"/>
      <c r="G4281" s="10"/>
      <c r="H4281" s="10"/>
      <c r="I4281" s="25" t="n">
        <v>4</v>
      </c>
      <c r="J4281" s="25"/>
      <c r="K4281" s="26"/>
      <c r="L4281" s="26"/>
      <c r="M4281" s="25"/>
      <c r="N4281" s="25"/>
      <c r="O4281" s="25"/>
      <c r="P4281" s="26"/>
      <c r="Q4281" s="26"/>
      <c r="R4281" s="25"/>
      <c r="S4281" s="25"/>
      <c r="T4281" s="25"/>
      <c r="U4281" s="27"/>
      <c r="V4281" s="21"/>
      <c r="W4281" s="16"/>
      <c r="X4281" s="16"/>
      <c r="Y4281" s="16"/>
    </row>
    <row r="4282" customFormat="false" ht="15.75" hidden="false" customHeight="false" outlineLevel="0" collapsed="false">
      <c r="A4282" s="9"/>
      <c r="B4282" s="10"/>
      <c r="C4282" s="11"/>
      <c r="D4282" s="10"/>
      <c r="E4282" s="10"/>
      <c r="F4282" s="10"/>
      <c r="G4282" s="10"/>
      <c r="H4282" s="10"/>
      <c r="I4282" s="12" t="n">
        <v>1</v>
      </c>
      <c r="J4282" s="12"/>
      <c r="K4282" s="13"/>
      <c r="L4282" s="13"/>
      <c r="M4282" s="12"/>
      <c r="N4282" s="12"/>
      <c r="O4282" s="12"/>
      <c r="P4282" s="13"/>
      <c r="Q4282" s="13"/>
      <c r="R4282" s="12"/>
      <c r="S4282" s="12"/>
      <c r="T4282" s="12"/>
      <c r="U4282" s="14"/>
      <c r="V4282" s="15"/>
      <c r="W4282" s="16" t="n">
        <f aca="false">A4282</f>
        <v>0</v>
      </c>
      <c r="X4282" s="17" t="e">
        <f aca="false">ifs(C4282="","",X4282="",NOW(),TRUE(),X4282)</f>
        <v>#VALUE!</v>
      </c>
      <c r="Y4282" s="17" t="e">
        <f aca="false">ifs(COUNTA(K4282:U4285)&lt;44,"",Y4282="",NOW(),TRUE(),Y4282)</f>
        <v>#VALUE!</v>
      </c>
    </row>
    <row r="4283" customFormat="false" ht="15.75" hidden="false" customHeight="false" outlineLevel="0" collapsed="false">
      <c r="A4283" s="9"/>
      <c r="B4283" s="10"/>
      <c r="C4283" s="10"/>
      <c r="D4283" s="10"/>
      <c r="E4283" s="10"/>
      <c r="F4283" s="10"/>
      <c r="G4283" s="10"/>
      <c r="H4283" s="10"/>
      <c r="I4283" s="18" t="n">
        <v>2</v>
      </c>
      <c r="J4283" s="18"/>
      <c r="K4283" s="19"/>
      <c r="L4283" s="19"/>
      <c r="M4283" s="18"/>
      <c r="N4283" s="18"/>
      <c r="O4283" s="18"/>
      <c r="P4283" s="19"/>
      <c r="Q4283" s="19"/>
      <c r="R4283" s="18"/>
      <c r="S4283" s="18"/>
      <c r="T4283" s="18"/>
      <c r="U4283" s="20"/>
      <c r="V4283" s="21"/>
      <c r="W4283" s="16"/>
      <c r="X4283" s="16"/>
      <c r="Y4283" s="16"/>
    </row>
    <row r="4284" customFormat="false" ht="15.75" hidden="false" customHeight="false" outlineLevel="0" collapsed="false">
      <c r="A4284" s="9"/>
      <c r="B4284" s="10"/>
      <c r="C4284" s="10"/>
      <c r="D4284" s="10"/>
      <c r="E4284" s="10"/>
      <c r="F4284" s="10"/>
      <c r="G4284" s="10"/>
      <c r="H4284" s="10"/>
      <c r="I4284" s="22" t="n">
        <v>3</v>
      </c>
      <c r="J4284" s="22"/>
      <c r="K4284" s="23"/>
      <c r="L4284" s="23"/>
      <c r="M4284" s="22"/>
      <c r="N4284" s="22"/>
      <c r="O4284" s="22"/>
      <c r="P4284" s="23"/>
      <c r="Q4284" s="23"/>
      <c r="R4284" s="22"/>
      <c r="S4284" s="22"/>
      <c r="T4284" s="22"/>
      <c r="U4284" s="24"/>
      <c r="V4284" s="15"/>
      <c r="W4284" s="16"/>
      <c r="X4284" s="16"/>
      <c r="Y4284" s="16"/>
    </row>
    <row r="4285" customFormat="false" ht="15.75" hidden="false" customHeight="false" outlineLevel="0" collapsed="false">
      <c r="A4285" s="9"/>
      <c r="B4285" s="10"/>
      <c r="C4285" s="10"/>
      <c r="D4285" s="10"/>
      <c r="E4285" s="10"/>
      <c r="F4285" s="10"/>
      <c r="G4285" s="10"/>
      <c r="H4285" s="10"/>
      <c r="I4285" s="25" t="n">
        <v>4</v>
      </c>
      <c r="J4285" s="25"/>
      <c r="K4285" s="26"/>
      <c r="L4285" s="26"/>
      <c r="M4285" s="25"/>
      <c r="N4285" s="25"/>
      <c r="O4285" s="25"/>
      <c r="P4285" s="26"/>
      <c r="Q4285" s="26"/>
      <c r="R4285" s="25"/>
      <c r="S4285" s="25"/>
      <c r="T4285" s="25"/>
      <c r="U4285" s="27"/>
      <c r="V4285" s="21"/>
      <c r="W4285" s="16"/>
      <c r="X4285" s="16"/>
      <c r="Y4285" s="16"/>
    </row>
    <row r="4286" customFormat="false" ht="15.75" hidden="false" customHeight="false" outlineLevel="0" collapsed="false">
      <c r="A4286" s="9"/>
      <c r="B4286" s="10"/>
      <c r="C4286" s="11"/>
      <c r="D4286" s="10"/>
      <c r="E4286" s="10"/>
      <c r="F4286" s="10"/>
      <c r="G4286" s="10"/>
      <c r="H4286" s="10"/>
      <c r="I4286" s="12" t="n">
        <v>1</v>
      </c>
      <c r="J4286" s="12"/>
      <c r="K4286" s="13"/>
      <c r="L4286" s="13"/>
      <c r="M4286" s="12"/>
      <c r="N4286" s="12"/>
      <c r="O4286" s="12"/>
      <c r="P4286" s="13"/>
      <c r="Q4286" s="13"/>
      <c r="R4286" s="12"/>
      <c r="S4286" s="12"/>
      <c r="T4286" s="12"/>
      <c r="U4286" s="14"/>
      <c r="V4286" s="15"/>
      <c r="W4286" s="16" t="n">
        <f aca="false">A4286</f>
        <v>0</v>
      </c>
      <c r="X4286" s="17" t="e">
        <f aca="false">ifs(C4286="","",X4286="",NOW(),TRUE(),X4286)</f>
        <v>#VALUE!</v>
      </c>
      <c r="Y4286" s="17" t="e">
        <f aca="false">ifs(COUNTA(K4286:U4289)&lt;44,"",Y4286="",NOW(),TRUE(),Y4286)</f>
        <v>#VALUE!</v>
      </c>
    </row>
    <row r="4287" customFormat="false" ht="15.75" hidden="false" customHeight="false" outlineLevel="0" collapsed="false">
      <c r="A4287" s="9"/>
      <c r="B4287" s="10"/>
      <c r="C4287" s="10"/>
      <c r="D4287" s="10"/>
      <c r="E4287" s="10"/>
      <c r="F4287" s="10"/>
      <c r="G4287" s="10"/>
      <c r="H4287" s="10"/>
      <c r="I4287" s="18" t="n">
        <v>2</v>
      </c>
      <c r="J4287" s="18"/>
      <c r="K4287" s="19"/>
      <c r="L4287" s="19"/>
      <c r="M4287" s="18"/>
      <c r="N4287" s="18"/>
      <c r="O4287" s="18"/>
      <c r="P4287" s="19"/>
      <c r="Q4287" s="19"/>
      <c r="R4287" s="18"/>
      <c r="S4287" s="18"/>
      <c r="T4287" s="18"/>
      <c r="U4287" s="20"/>
      <c r="V4287" s="21"/>
      <c r="W4287" s="16"/>
      <c r="X4287" s="16"/>
      <c r="Y4287" s="16"/>
    </row>
    <row r="4288" customFormat="false" ht="15.75" hidden="false" customHeight="false" outlineLevel="0" collapsed="false">
      <c r="A4288" s="9"/>
      <c r="B4288" s="10"/>
      <c r="C4288" s="10"/>
      <c r="D4288" s="10"/>
      <c r="E4288" s="10"/>
      <c r="F4288" s="10"/>
      <c r="G4288" s="10"/>
      <c r="H4288" s="10"/>
      <c r="I4288" s="22" t="n">
        <v>3</v>
      </c>
      <c r="J4288" s="22"/>
      <c r="K4288" s="23"/>
      <c r="L4288" s="23"/>
      <c r="M4288" s="22"/>
      <c r="N4288" s="22"/>
      <c r="O4288" s="22"/>
      <c r="P4288" s="23"/>
      <c r="Q4288" s="23"/>
      <c r="R4288" s="22"/>
      <c r="S4288" s="22"/>
      <c r="T4288" s="22"/>
      <c r="U4288" s="24"/>
      <c r="V4288" s="15"/>
      <c r="W4288" s="16"/>
      <c r="X4288" s="16"/>
      <c r="Y4288" s="16"/>
    </row>
    <row r="4289" customFormat="false" ht="15.75" hidden="false" customHeight="false" outlineLevel="0" collapsed="false">
      <c r="A4289" s="9"/>
      <c r="B4289" s="10"/>
      <c r="C4289" s="10"/>
      <c r="D4289" s="10"/>
      <c r="E4289" s="10"/>
      <c r="F4289" s="10"/>
      <c r="G4289" s="10"/>
      <c r="H4289" s="10"/>
      <c r="I4289" s="25" t="n">
        <v>4</v>
      </c>
      <c r="J4289" s="25"/>
      <c r="K4289" s="26"/>
      <c r="L4289" s="26"/>
      <c r="M4289" s="25"/>
      <c r="N4289" s="25"/>
      <c r="O4289" s="25"/>
      <c r="P4289" s="26"/>
      <c r="Q4289" s="26"/>
      <c r="R4289" s="25"/>
      <c r="S4289" s="25"/>
      <c r="T4289" s="25"/>
      <c r="U4289" s="27"/>
      <c r="V4289" s="21"/>
      <c r="W4289" s="16"/>
      <c r="X4289" s="16"/>
      <c r="Y4289" s="16"/>
    </row>
    <row r="4290" customFormat="false" ht="15.75" hidden="false" customHeight="false" outlineLevel="0" collapsed="false">
      <c r="A4290" s="9"/>
      <c r="B4290" s="10"/>
      <c r="C4290" s="11"/>
      <c r="D4290" s="10"/>
      <c r="E4290" s="10"/>
      <c r="F4290" s="10"/>
      <c r="G4290" s="10"/>
      <c r="H4290" s="10"/>
      <c r="I4290" s="12" t="n">
        <v>1</v>
      </c>
      <c r="J4290" s="12"/>
      <c r="K4290" s="13"/>
      <c r="L4290" s="13"/>
      <c r="M4290" s="12"/>
      <c r="N4290" s="12"/>
      <c r="O4290" s="12"/>
      <c r="P4290" s="13"/>
      <c r="Q4290" s="13"/>
      <c r="R4290" s="12"/>
      <c r="S4290" s="12"/>
      <c r="T4290" s="12"/>
      <c r="U4290" s="14"/>
      <c r="V4290" s="15"/>
      <c r="W4290" s="16" t="n">
        <f aca="false">A4290</f>
        <v>0</v>
      </c>
      <c r="X4290" s="17" t="e">
        <f aca="false">ifs(C4290="","",X4290="",NOW(),TRUE(),X4290)</f>
        <v>#VALUE!</v>
      </c>
      <c r="Y4290" s="17" t="e">
        <f aca="false">ifs(COUNTA(K4290:U4293)&lt;44,"",Y4290="",NOW(),TRUE(),Y4290)</f>
        <v>#VALUE!</v>
      </c>
    </row>
    <row r="4291" customFormat="false" ht="15.75" hidden="false" customHeight="false" outlineLevel="0" collapsed="false">
      <c r="A4291" s="9"/>
      <c r="B4291" s="10"/>
      <c r="C4291" s="10"/>
      <c r="D4291" s="10"/>
      <c r="E4291" s="10"/>
      <c r="F4291" s="10"/>
      <c r="G4291" s="10"/>
      <c r="H4291" s="10"/>
      <c r="I4291" s="18" t="n">
        <v>2</v>
      </c>
      <c r="J4291" s="18"/>
      <c r="K4291" s="19"/>
      <c r="L4291" s="19"/>
      <c r="M4291" s="18"/>
      <c r="N4291" s="18"/>
      <c r="O4291" s="18"/>
      <c r="P4291" s="19"/>
      <c r="Q4291" s="19"/>
      <c r="R4291" s="18"/>
      <c r="S4291" s="18"/>
      <c r="T4291" s="18"/>
      <c r="U4291" s="20"/>
      <c r="V4291" s="21"/>
      <c r="W4291" s="16"/>
      <c r="X4291" s="16"/>
      <c r="Y4291" s="16"/>
    </row>
    <row r="4292" customFormat="false" ht="15.75" hidden="false" customHeight="false" outlineLevel="0" collapsed="false">
      <c r="A4292" s="9"/>
      <c r="B4292" s="10"/>
      <c r="C4292" s="10"/>
      <c r="D4292" s="10"/>
      <c r="E4292" s="10"/>
      <c r="F4292" s="10"/>
      <c r="G4292" s="10"/>
      <c r="H4292" s="10"/>
      <c r="I4292" s="22" t="n">
        <v>3</v>
      </c>
      <c r="J4292" s="22"/>
      <c r="K4292" s="23"/>
      <c r="L4292" s="23"/>
      <c r="M4292" s="22"/>
      <c r="N4292" s="22"/>
      <c r="O4292" s="22"/>
      <c r="P4292" s="23"/>
      <c r="Q4292" s="23"/>
      <c r="R4292" s="22"/>
      <c r="S4292" s="22"/>
      <c r="T4292" s="22"/>
      <c r="U4292" s="24"/>
      <c r="V4292" s="15"/>
      <c r="W4292" s="16"/>
      <c r="X4292" s="16"/>
      <c r="Y4292" s="16"/>
    </row>
    <row r="4293" customFormat="false" ht="15.75" hidden="false" customHeight="false" outlineLevel="0" collapsed="false">
      <c r="A4293" s="9"/>
      <c r="B4293" s="10"/>
      <c r="C4293" s="10"/>
      <c r="D4293" s="10"/>
      <c r="E4293" s="10"/>
      <c r="F4293" s="10"/>
      <c r="G4293" s="10"/>
      <c r="H4293" s="10"/>
      <c r="I4293" s="25" t="n">
        <v>4</v>
      </c>
      <c r="J4293" s="25"/>
      <c r="K4293" s="26"/>
      <c r="L4293" s="26"/>
      <c r="M4293" s="25"/>
      <c r="N4293" s="25"/>
      <c r="O4293" s="25"/>
      <c r="P4293" s="26"/>
      <c r="Q4293" s="26"/>
      <c r="R4293" s="25"/>
      <c r="S4293" s="25"/>
      <c r="T4293" s="25"/>
      <c r="U4293" s="27"/>
      <c r="V4293" s="21"/>
      <c r="W4293" s="16"/>
      <c r="X4293" s="16"/>
      <c r="Y4293" s="16"/>
    </row>
    <row r="4294" customFormat="false" ht="15.75" hidden="false" customHeight="false" outlineLevel="0" collapsed="false">
      <c r="A4294" s="9"/>
      <c r="B4294" s="10"/>
      <c r="C4294" s="11"/>
      <c r="D4294" s="10"/>
      <c r="E4294" s="10"/>
      <c r="F4294" s="10"/>
      <c r="G4294" s="10"/>
      <c r="H4294" s="10"/>
      <c r="I4294" s="12" t="n">
        <v>1</v>
      </c>
      <c r="J4294" s="12"/>
      <c r="K4294" s="13"/>
      <c r="L4294" s="13"/>
      <c r="M4294" s="12"/>
      <c r="N4294" s="12"/>
      <c r="O4294" s="12"/>
      <c r="P4294" s="13"/>
      <c r="Q4294" s="13"/>
      <c r="R4294" s="12"/>
      <c r="S4294" s="12"/>
      <c r="T4294" s="12"/>
      <c r="U4294" s="14"/>
      <c r="V4294" s="15"/>
      <c r="W4294" s="16" t="n">
        <f aca="false">A4294</f>
        <v>0</v>
      </c>
      <c r="X4294" s="17" t="e">
        <f aca="false">ifs(C4294="","",X4294="",NOW(),TRUE(),X4294)</f>
        <v>#VALUE!</v>
      </c>
      <c r="Y4294" s="17" t="e">
        <f aca="false">ifs(COUNTA(K4294:U4297)&lt;44,"",Y4294="",NOW(),TRUE(),Y4294)</f>
        <v>#VALUE!</v>
      </c>
    </row>
    <row r="4295" customFormat="false" ht="15.75" hidden="false" customHeight="false" outlineLevel="0" collapsed="false">
      <c r="A4295" s="9"/>
      <c r="B4295" s="10"/>
      <c r="C4295" s="10"/>
      <c r="D4295" s="10"/>
      <c r="E4295" s="10"/>
      <c r="F4295" s="10"/>
      <c r="G4295" s="10"/>
      <c r="H4295" s="10"/>
      <c r="I4295" s="18" t="n">
        <v>2</v>
      </c>
      <c r="J4295" s="18"/>
      <c r="K4295" s="19"/>
      <c r="L4295" s="19"/>
      <c r="M4295" s="18"/>
      <c r="N4295" s="18"/>
      <c r="O4295" s="18"/>
      <c r="P4295" s="19"/>
      <c r="Q4295" s="19"/>
      <c r="R4295" s="18"/>
      <c r="S4295" s="18"/>
      <c r="T4295" s="18"/>
      <c r="U4295" s="20"/>
      <c r="V4295" s="21"/>
      <c r="W4295" s="16"/>
      <c r="X4295" s="16"/>
      <c r="Y4295" s="16"/>
    </row>
    <row r="4296" customFormat="false" ht="15.75" hidden="false" customHeight="false" outlineLevel="0" collapsed="false">
      <c r="A4296" s="9"/>
      <c r="B4296" s="10"/>
      <c r="C4296" s="10"/>
      <c r="D4296" s="10"/>
      <c r="E4296" s="10"/>
      <c r="F4296" s="10"/>
      <c r="G4296" s="10"/>
      <c r="H4296" s="10"/>
      <c r="I4296" s="22" t="n">
        <v>3</v>
      </c>
      <c r="J4296" s="22"/>
      <c r="K4296" s="23"/>
      <c r="L4296" s="23"/>
      <c r="M4296" s="22"/>
      <c r="N4296" s="22"/>
      <c r="O4296" s="22"/>
      <c r="P4296" s="23"/>
      <c r="Q4296" s="23"/>
      <c r="R4296" s="22"/>
      <c r="S4296" s="22"/>
      <c r="T4296" s="22"/>
      <c r="U4296" s="24"/>
      <c r="V4296" s="15"/>
      <c r="W4296" s="16"/>
      <c r="X4296" s="16"/>
      <c r="Y4296" s="16"/>
    </row>
    <row r="4297" customFormat="false" ht="15.75" hidden="false" customHeight="false" outlineLevel="0" collapsed="false">
      <c r="A4297" s="9"/>
      <c r="B4297" s="10"/>
      <c r="C4297" s="10"/>
      <c r="D4297" s="10"/>
      <c r="E4297" s="10"/>
      <c r="F4297" s="10"/>
      <c r="G4297" s="10"/>
      <c r="H4297" s="10"/>
      <c r="I4297" s="25" t="n">
        <v>4</v>
      </c>
      <c r="J4297" s="25"/>
      <c r="K4297" s="26"/>
      <c r="L4297" s="26"/>
      <c r="M4297" s="25"/>
      <c r="N4297" s="25"/>
      <c r="O4297" s="25"/>
      <c r="P4297" s="26"/>
      <c r="Q4297" s="26"/>
      <c r="R4297" s="25"/>
      <c r="S4297" s="25"/>
      <c r="T4297" s="25"/>
      <c r="U4297" s="27"/>
      <c r="V4297" s="21"/>
      <c r="W4297" s="16"/>
      <c r="X4297" s="16"/>
      <c r="Y4297" s="16"/>
    </row>
    <row r="4298" customFormat="false" ht="15.75" hidden="false" customHeight="false" outlineLevel="0" collapsed="false">
      <c r="A4298" s="9"/>
      <c r="B4298" s="10"/>
      <c r="C4298" s="11"/>
      <c r="D4298" s="10"/>
      <c r="E4298" s="10"/>
      <c r="F4298" s="10"/>
      <c r="G4298" s="10"/>
      <c r="H4298" s="10"/>
      <c r="I4298" s="12" t="n">
        <v>1</v>
      </c>
      <c r="J4298" s="12"/>
      <c r="K4298" s="13"/>
      <c r="L4298" s="13"/>
      <c r="M4298" s="12"/>
      <c r="N4298" s="12"/>
      <c r="O4298" s="12"/>
      <c r="P4298" s="13"/>
      <c r="Q4298" s="13"/>
      <c r="R4298" s="12"/>
      <c r="S4298" s="12"/>
      <c r="T4298" s="12"/>
      <c r="U4298" s="14"/>
      <c r="V4298" s="15"/>
      <c r="W4298" s="16" t="n">
        <f aca="false">A4298</f>
        <v>0</v>
      </c>
      <c r="X4298" s="17" t="e">
        <f aca="false">ifs(C4298="","",X4298="",NOW(),TRUE(),X4298)</f>
        <v>#VALUE!</v>
      </c>
      <c r="Y4298" s="17" t="e">
        <f aca="false">ifs(COUNTA(K4298:U4301)&lt;44,"",Y4298="",NOW(),TRUE(),Y4298)</f>
        <v>#VALUE!</v>
      </c>
    </row>
    <row r="4299" customFormat="false" ht="15.75" hidden="false" customHeight="false" outlineLevel="0" collapsed="false">
      <c r="A4299" s="9"/>
      <c r="B4299" s="10"/>
      <c r="C4299" s="10"/>
      <c r="D4299" s="10"/>
      <c r="E4299" s="10"/>
      <c r="F4299" s="10"/>
      <c r="G4299" s="10"/>
      <c r="H4299" s="10"/>
      <c r="I4299" s="18" t="n">
        <v>2</v>
      </c>
      <c r="J4299" s="18"/>
      <c r="K4299" s="19"/>
      <c r="L4299" s="19"/>
      <c r="M4299" s="18"/>
      <c r="N4299" s="18"/>
      <c r="O4299" s="18"/>
      <c r="P4299" s="19"/>
      <c r="Q4299" s="19"/>
      <c r="R4299" s="18"/>
      <c r="S4299" s="18"/>
      <c r="T4299" s="18"/>
      <c r="U4299" s="20"/>
      <c r="V4299" s="21"/>
      <c r="W4299" s="16"/>
      <c r="X4299" s="16"/>
      <c r="Y4299" s="16"/>
    </row>
    <row r="4300" customFormat="false" ht="15.75" hidden="false" customHeight="false" outlineLevel="0" collapsed="false">
      <c r="A4300" s="9"/>
      <c r="B4300" s="10"/>
      <c r="C4300" s="10"/>
      <c r="D4300" s="10"/>
      <c r="E4300" s="10"/>
      <c r="F4300" s="10"/>
      <c r="G4300" s="10"/>
      <c r="H4300" s="10"/>
      <c r="I4300" s="22" t="n">
        <v>3</v>
      </c>
      <c r="J4300" s="22"/>
      <c r="K4300" s="23"/>
      <c r="L4300" s="23"/>
      <c r="M4300" s="22"/>
      <c r="N4300" s="22"/>
      <c r="O4300" s="22"/>
      <c r="P4300" s="23"/>
      <c r="Q4300" s="23"/>
      <c r="R4300" s="22"/>
      <c r="S4300" s="22"/>
      <c r="T4300" s="22"/>
      <c r="U4300" s="24"/>
      <c r="V4300" s="15"/>
      <c r="W4300" s="16"/>
      <c r="X4300" s="16"/>
      <c r="Y4300" s="16"/>
    </row>
    <row r="4301" customFormat="false" ht="15.75" hidden="false" customHeight="false" outlineLevel="0" collapsed="false">
      <c r="A4301" s="9"/>
      <c r="B4301" s="10"/>
      <c r="C4301" s="10"/>
      <c r="D4301" s="10"/>
      <c r="E4301" s="10"/>
      <c r="F4301" s="10"/>
      <c r="G4301" s="10"/>
      <c r="H4301" s="10"/>
      <c r="I4301" s="25" t="n">
        <v>4</v>
      </c>
      <c r="J4301" s="25"/>
      <c r="K4301" s="26"/>
      <c r="L4301" s="26"/>
      <c r="M4301" s="25"/>
      <c r="N4301" s="25"/>
      <c r="O4301" s="25"/>
      <c r="P4301" s="26"/>
      <c r="Q4301" s="26"/>
      <c r="R4301" s="25"/>
      <c r="S4301" s="25"/>
      <c r="T4301" s="25"/>
      <c r="U4301" s="27"/>
      <c r="V4301" s="21"/>
      <c r="W4301" s="16"/>
      <c r="X4301" s="16"/>
      <c r="Y4301" s="16"/>
    </row>
    <row r="4302" customFormat="false" ht="15.75" hidden="false" customHeight="false" outlineLevel="0" collapsed="false">
      <c r="A4302" s="9"/>
      <c r="B4302" s="10"/>
      <c r="C4302" s="11"/>
      <c r="D4302" s="10"/>
      <c r="E4302" s="10"/>
      <c r="F4302" s="10"/>
      <c r="G4302" s="10"/>
      <c r="H4302" s="10"/>
      <c r="I4302" s="12" t="n">
        <v>1</v>
      </c>
      <c r="J4302" s="12"/>
      <c r="K4302" s="13"/>
      <c r="L4302" s="13"/>
      <c r="M4302" s="12"/>
      <c r="N4302" s="12"/>
      <c r="O4302" s="12"/>
      <c r="P4302" s="13"/>
      <c r="Q4302" s="13"/>
      <c r="R4302" s="12"/>
      <c r="S4302" s="12"/>
      <c r="T4302" s="12"/>
      <c r="U4302" s="14"/>
      <c r="V4302" s="15"/>
      <c r="W4302" s="16" t="n">
        <f aca="false">A4302</f>
        <v>0</v>
      </c>
      <c r="X4302" s="17" t="e">
        <f aca="false">ifs(C4302="","",X4302="",NOW(),TRUE(),X4302)</f>
        <v>#VALUE!</v>
      </c>
      <c r="Y4302" s="17" t="e">
        <f aca="false">ifs(COUNTA(K4302:U4305)&lt;44,"",Y4302="",NOW(),TRUE(),Y4302)</f>
        <v>#VALUE!</v>
      </c>
    </row>
    <row r="4303" customFormat="false" ht="15.75" hidden="false" customHeight="false" outlineLevel="0" collapsed="false">
      <c r="A4303" s="9"/>
      <c r="B4303" s="10"/>
      <c r="C4303" s="10"/>
      <c r="D4303" s="10"/>
      <c r="E4303" s="10"/>
      <c r="F4303" s="10"/>
      <c r="G4303" s="10"/>
      <c r="H4303" s="10"/>
      <c r="I4303" s="18" t="n">
        <v>2</v>
      </c>
      <c r="J4303" s="18"/>
      <c r="K4303" s="19"/>
      <c r="L4303" s="19"/>
      <c r="M4303" s="18"/>
      <c r="N4303" s="18"/>
      <c r="O4303" s="18"/>
      <c r="P4303" s="19"/>
      <c r="Q4303" s="19"/>
      <c r="R4303" s="18"/>
      <c r="S4303" s="18"/>
      <c r="T4303" s="18"/>
      <c r="U4303" s="20"/>
      <c r="V4303" s="21"/>
      <c r="W4303" s="16"/>
      <c r="X4303" s="16"/>
      <c r="Y4303" s="16"/>
    </row>
    <row r="4304" customFormat="false" ht="15.75" hidden="false" customHeight="false" outlineLevel="0" collapsed="false">
      <c r="A4304" s="9"/>
      <c r="B4304" s="10"/>
      <c r="C4304" s="10"/>
      <c r="D4304" s="10"/>
      <c r="E4304" s="10"/>
      <c r="F4304" s="10"/>
      <c r="G4304" s="10"/>
      <c r="H4304" s="10"/>
      <c r="I4304" s="22" t="n">
        <v>3</v>
      </c>
      <c r="J4304" s="22"/>
      <c r="K4304" s="23"/>
      <c r="L4304" s="23"/>
      <c r="M4304" s="22"/>
      <c r="N4304" s="22"/>
      <c r="O4304" s="22"/>
      <c r="P4304" s="23"/>
      <c r="Q4304" s="23"/>
      <c r="R4304" s="22"/>
      <c r="S4304" s="22"/>
      <c r="T4304" s="22"/>
      <c r="U4304" s="24"/>
      <c r="V4304" s="15"/>
      <c r="W4304" s="16"/>
      <c r="X4304" s="16"/>
      <c r="Y4304" s="16"/>
    </row>
    <row r="4305" customFormat="false" ht="15.75" hidden="false" customHeight="false" outlineLevel="0" collapsed="false">
      <c r="A4305" s="9"/>
      <c r="B4305" s="10"/>
      <c r="C4305" s="10"/>
      <c r="D4305" s="10"/>
      <c r="E4305" s="10"/>
      <c r="F4305" s="10"/>
      <c r="G4305" s="10"/>
      <c r="H4305" s="10"/>
      <c r="I4305" s="25" t="n">
        <v>4</v>
      </c>
      <c r="J4305" s="25"/>
      <c r="K4305" s="26"/>
      <c r="L4305" s="26"/>
      <c r="M4305" s="25"/>
      <c r="N4305" s="25"/>
      <c r="O4305" s="25"/>
      <c r="P4305" s="26"/>
      <c r="Q4305" s="26"/>
      <c r="R4305" s="25"/>
      <c r="S4305" s="25"/>
      <c r="T4305" s="25"/>
      <c r="U4305" s="27"/>
      <c r="V4305" s="21"/>
      <c r="W4305" s="16"/>
      <c r="X4305" s="16"/>
      <c r="Y4305" s="16"/>
    </row>
    <row r="4306" customFormat="false" ht="15.75" hidden="false" customHeight="false" outlineLevel="0" collapsed="false">
      <c r="A4306" s="9"/>
      <c r="B4306" s="10"/>
      <c r="C4306" s="11"/>
      <c r="D4306" s="10"/>
      <c r="E4306" s="10"/>
      <c r="F4306" s="10"/>
      <c r="G4306" s="10"/>
      <c r="H4306" s="10"/>
      <c r="I4306" s="12" t="n">
        <v>1</v>
      </c>
      <c r="J4306" s="12"/>
      <c r="K4306" s="13"/>
      <c r="L4306" s="13"/>
      <c r="M4306" s="12"/>
      <c r="N4306" s="12"/>
      <c r="O4306" s="12"/>
      <c r="P4306" s="13"/>
      <c r="Q4306" s="13"/>
      <c r="R4306" s="12"/>
      <c r="S4306" s="12"/>
      <c r="T4306" s="12"/>
      <c r="U4306" s="14"/>
      <c r="V4306" s="15"/>
      <c r="W4306" s="16" t="n">
        <f aca="false">A4306</f>
        <v>0</v>
      </c>
      <c r="X4306" s="17" t="e">
        <f aca="false">ifs(C4306="","",X4306="",NOW(),TRUE(),X4306)</f>
        <v>#VALUE!</v>
      </c>
      <c r="Y4306" s="17" t="e">
        <f aca="false">ifs(COUNTA(K4306:U4309)&lt;44,"",Y4306="",NOW(),TRUE(),Y4306)</f>
        <v>#VALUE!</v>
      </c>
    </row>
    <row r="4307" customFormat="false" ht="15.75" hidden="false" customHeight="false" outlineLevel="0" collapsed="false">
      <c r="A4307" s="9"/>
      <c r="B4307" s="10"/>
      <c r="C4307" s="10"/>
      <c r="D4307" s="10"/>
      <c r="E4307" s="10"/>
      <c r="F4307" s="10"/>
      <c r="G4307" s="10"/>
      <c r="H4307" s="10"/>
      <c r="I4307" s="18" t="n">
        <v>2</v>
      </c>
      <c r="J4307" s="18"/>
      <c r="K4307" s="19"/>
      <c r="L4307" s="19"/>
      <c r="M4307" s="18"/>
      <c r="N4307" s="18"/>
      <c r="O4307" s="18"/>
      <c r="P4307" s="19"/>
      <c r="Q4307" s="19"/>
      <c r="R4307" s="18"/>
      <c r="S4307" s="18"/>
      <c r="T4307" s="18"/>
      <c r="U4307" s="20"/>
      <c r="V4307" s="21"/>
      <c r="W4307" s="16"/>
      <c r="X4307" s="16"/>
      <c r="Y4307" s="16"/>
    </row>
    <row r="4308" customFormat="false" ht="15.75" hidden="false" customHeight="false" outlineLevel="0" collapsed="false">
      <c r="A4308" s="9"/>
      <c r="B4308" s="10"/>
      <c r="C4308" s="10"/>
      <c r="D4308" s="10"/>
      <c r="E4308" s="10"/>
      <c r="F4308" s="10"/>
      <c r="G4308" s="10"/>
      <c r="H4308" s="10"/>
      <c r="I4308" s="22" t="n">
        <v>3</v>
      </c>
      <c r="J4308" s="22"/>
      <c r="K4308" s="23"/>
      <c r="L4308" s="23"/>
      <c r="M4308" s="22"/>
      <c r="N4308" s="22"/>
      <c r="O4308" s="22"/>
      <c r="P4308" s="23"/>
      <c r="Q4308" s="23"/>
      <c r="R4308" s="22"/>
      <c r="S4308" s="22"/>
      <c r="T4308" s="22"/>
      <c r="U4308" s="24"/>
      <c r="V4308" s="15"/>
      <c r="W4308" s="16"/>
      <c r="X4308" s="16"/>
      <c r="Y4308" s="16"/>
    </row>
    <row r="4309" customFormat="false" ht="15.75" hidden="false" customHeight="false" outlineLevel="0" collapsed="false">
      <c r="A4309" s="9"/>
      <c r="B4309" s="10"/>
      <c r="C4309" s="10"/>
      <c r="D4309" s="10"/>
      <c r="E4309" s="10"/>
      <c r="F4309" s="10"/>
      <c r="G4309" s="10"/>
      <c r="H4309" s="10"/>
      <c r="I4309" s="25" t="n">
        <v>4</v>
      </c>
      <c r="J4309" s="25"/>
      <c r="K4309" s="26"/>
      <c r="L4309" s="26"/>
      <c r="M4309" s="25"/>
      <c r="N4309" s="25"/>
      <c r="O4309" s="25"/>
      <c r="P4309" s="26"/>
      <c r="Q4309" s="26"/>
      <c r="R4309" s="25"/>
      <c r="S4309" s="25"/>
      <c r="T4309" s="25"/>
      <c r="U4309" s="27"/>
      <c r="V4309" s="21"/>
      <c r="W4309" s="16"/>
      <c r="X4309" s="16"/>
      <c r="Y4309" s="16"/>
    </row>
    <row r="4310" customFormat="false" ht="15.75" hidden="false" customHeight="false" outlineLevel="0" collapsed="false">
      <c r="A4310" s="9"/>
      <c r="B4310" s="10"/>
      <c r="C4310" s="11"/>
      <c r="D4310" s="10"/>
      <c r="E4310" s="10"/>
      <c r="F4310" s="10"/>
      <c r="G4310" s="10"/>
      <c r="H4310" s="10"/>
      <c r="I4310" s="12" t="n">
        <v>1</v>
      </c>
      <c r="J4310" s="12"/>
      <c r="K4310" s="13"/>
      <c r="L4310" s="13"/>
      <c r="M4310" s="12"/>
      <c r="N4310" s="12"/>
      <c r="O4310" s="12"/>
      <c r="P4310" s="13"/>
      <c r="Q4310" s="13"/>
      <c r="R4310" s="12"/>
      <c r="S4310" s="12"/>
      <c r="T4310" s="12"/>
      <c r="U4310" s="14"/>
      <c r="V4310" s="15"/>
      <c r="W4310" s="16" t="n">
        <f aca="false">A4310</f>
        <v>0</v>
      </c>
      <c r="X4310" s="17" t="e">
        <f aca="false">ifs(C4310="","",X4310="",NOW(),TRUE(),X4310)</f>
        <v>#VALUE!</v>
      </c>
      <c r="Y4310" s="17" t="e">
        <f aca="false">ifs(COUNTA(K4310:U4313)&lt;44,"",Y4310="",NOW(),TRUE(),Y4310)</f>
        <v>#VALUE!</v>
      </c>
    </row>
    <row r="4311" customFormat="false" ht="15.75" hidden="false" customHeight="false" outlineLevel="0" collapsed="false">
      <c r="A4311" s="9"/>
      <c r="B4311" s="10"/>
      <c r="C4311" s="10"/>
      <c r="D4311" s="10"/>
      <c r="E4311" s="10"/>
      <c r="F4311" s="10"/>
      <c r="G4311" s="10"/>
      <c r="H4311" s="10"/>
      <c r="I4311" s="18" t="n">
        <v>2</v>
      </c>
      <c r="J4311" s="18"/>
      <c r="K4311" s="19"/>
      <c r="L4311" s="19"/>
      <c r="M4311" s="18"/>
      <c r="N4311" s="18"/>
      <c r="O4311" s="18"/>
      <c r="P4311" s="19"/>
      <c r="Q4311" s="19"/>
      <c r="R4311" s="18"/>
      <c r="S4311" s="18"/>
      <c r="T4311" s="18"/>
      <c r="U4311" s="20"/>
      <c r="V4311" s="21"/>
      <c r="W4311" s="16"/>
      <c r="X4311" s="16"/>
      <c r="Y4311" s="16"/>
    </row>
    <row r="4312" customFormat="false" ht="15.75" hidden="false" customHeight="false" outlineLevel="0" collapsed="false">
      <c r="A4312" s="9"/>
      <c r="B4312" s="10"/>
      <c r="C4312" s="10"/>
      <c r="D4312" s="10"/>
      <c r="E4312" s="10"/>
      <c r="F4312" s="10"/>
      <c r="G4312" s="10"/>
      <c r="H4312" s="10"/>
      <c r="I4312" s="22" t="n">
        <v>3</v>
      </c>
      <c r="J4312" s="22"/>
      <c r="K4312" s="23"/>
      <c r="L4312" s="23"/>
      <c r="M4312" s="22"/>
      <c r="N4312" s="22"/>
      <c r="O4312" s="22"/>
      <c r="P4312" s="23"/>
      <c r="Q4312" s="23"/>
      <c r="R4312" s="22"/>
      <c r="S4312" s="22"/>
      <c r="T4312" s="22"/>
      <c r="U4312" s="24"/>
      <c r="V4312" s="15"/>
      <c r="W4312" s="16"/>
      <c r="X4312" s="16"/>
      <c r="Y4312" s="16"/>
    </row>
    <row r="4313" customFormat="false" ht="15.75" hidden="false" customHeight="false" outlineLevel="0" collapsed="false">
      <c r="A4313" s="9"/>
      <c r="B4313" s="10"/>
      <c r="C4313" s="10"/>
      <c r="D4313" s="10"/>
      <c r="E4313" s="10"/>
      <c r="F4313" s="10"/>
      <c r="G4313" s="10"/>
      <c r="H4313" s="10"/>
      <c r="I4313" s="25" t="n">
        <v>4</v>
      </c>
      <c r="J4313" s="25"/>
      <c r="K4313" s="26"/>
      <c r="L4313" s="26"/>
      <c r="M4313" s="25"/>
      <c r="N4313" s="25"/>
      <c r="O4313" s="25"/>
      <c r="P4313" s="26"/>
      <c r="Q4313" s="26"/>
      <c r="R4313" s="25"/>
      <c r="S4313" s="25"/>
      <c r="T4313" s="25"/>
      <c r="U4313" s="27"/>
      <c r="V4313" s="21"/>
      <c r="W4313" s="16"/>
      <c r="X4313" s="16"/>
      <c r="Y4313" s="16"/>
    </row>
    <row r="4314" customFormat="false" ht="15.75" hidden="false" customHeight="false" outlineLevel="0" collapsed="false">
      <c r="A4314" s="9"/>
      <c r="B4314" s="10"/>
      <c r="C4314" s="11"/>
      <c r="D4314" s="10"/>
      <c r="E4314" s="10"/>
      <c r="F4314" s="10"/>
      <c r="G4314" s="10"/>
      <c r="H4314" s="10"/>
      <c r="I4314" s="12" t="n">
        <v>1</v>
      </c>
      <c r="J4314" s="12"/>
      <c r="K4314" s="13"/>
      <c r="L4314" s="13"/>
      <c r="M4314" s="12"/>
      <c r="N4314" s="12"/>
      <c r="O4314" s="12"/>
      <c r="P4314" s="13"/>
      <c r="Q4314" s="13"/>
      <c r="R4314" s="12"/>
      <c r="S4314" s="12"/>
      <c r="T4314" s="12"/>
      <c r="U4314" s="14"/>
      <c r="V4314" s="15"/>
      <c r="W4314" s="16" t="n">
        <f aca="false">A4314</f>
        <v>0</v>
      </c>
      <c r="X4314" s="17" t="e">
        <f aca="false">ifs(C4314="","",X4314="",NOW(),TRUE(),X4314)</f>
        <v>#VALUE!</v>
      </c>
      <c r="Y4314" s="17" t="e">
        <f aca="false">ifs(COUNTA(K4314:U4317)&lt;44,"",Y4314="",NOW(),TRUE(),Y4314)</f>
        <v>#VALUE!</v>
      </c>
    </row>
    <row r="4315" customFormat="false" ht="15.75" hidden="false" customHeight="false" outlineLevel="0" collapsed="false">
      <c r="A4315" s="9"/>
      <c r="B4315" s="10"/>
      <c r="C4315" s="10"/>
      <c r="D4315" s="10"/>
      <c r="E4315" s="10"/>
      <c r="F4315" s="10"/>
      <c r="G4315" s="10"/>
      <c r="H4315" s="10"/>
      <c r="I4315" s="18" t="n">
        <v>2</v>
      </c>
      <c r="J4315" s="18"/>
      <c r="K4315" s="19"/>
      <c r="L4315" s="19"/>
      <c r="M4315" s="18"/>
      <c r="N4315" s="18"/>
      <c r="O4315" s="18"/>
      <c r="P4315" s="19"/>
      <c r="Q4315" s="19"/>
      <c r="R4315" s="18"/>
      <c r="S4315" s="18"/>
      <c r="T4315" s="18"/>
      <c r="U4315" s="20"/>
      <c r="V4315" s="21"/>
      <c r="W4315" s="16"/>
      <c r="X4315" s="16"/>
      <c r="Y4315" s="16"/>
    </row>
    <row r="4316" customFormat="false" ht="15.75" hidden="false" customHeight="false" outlineLevel="0" collapsed="false">
      <c r="A4316" s="9"/>
      <c r="B4316" s="10"/>
      <c r="C4316" s="10"/>
      <c r="D4316" s="10"/>
      <c r="E4316" s="10"/>
      <c r="F4316" s="10"/>
      <c r="G4316" s="10"/>
      <c r="H4316" s="10"/>
      <c r="I4316" s="22" t="n">
        <v>3</v>
      </c>
      <c r="J4316" s="22"/>
      <c r="K4316" s="23"/>
      <c r="L4316" s="23"/>
      <c r="M4316" s="22"/>
      <c r="N4316" s="22"/>
      <c r="O4316" s="22"/>
      <c r="P4316" s="23"/>
      <c r="Q4316" s="23"/>
      <c r="R4316" s="22"/>
      <c r="S4316" s="22"/>
      <c r="T4316" s="22"/>
      <c r="U4316" s="24"/>
      <c r="V4316" s="15"/>
      <c r="W4316" s="16"/>
      <c r="X4316" s="16"/>
      <c r="Y4316" s="16"/>
    </row>
    <row r="4317" customFormat="false" ht="15.75" hidden="false" customHeight="false" outlineLevel="0" collapsed="false">
      <c r="A4317" s="9"/>
      <c r="B4317" s="10"/>
      <c r="C4317" s="10"/>
      <c r="D4317" s="10"/>
      <c r="E4317" s="10"/>
      <c r="F4317" s="10"/>
      <c r="G4317" s="10"/>
      <c r="H4317" s="10"/>
      <c r="I4317" s="25" t="n">
        <v>4</v>
      </c>
      <c r="J4317" s="25"/>
      <c r="K4317" s="26"/>
      <c r="L4317" s="26"/>
      <c r="M4317" s="25"/>
      <c r="N4317" s="25"/>
      <c r="O4317" s="25"/>
      <c r="P4317" s="26"/>
      <c r="Q4317" s="26"/>
      <c r="R4317" s="25"/>
      <c r="S4317" s="25"/>
      <c r="T4317" s="25"/>
      <c r="U4317" s="27"/>
      <c r="V4317" s="21"/>
      <c r="W4317" s="16"/>
      <c r="X4317" s="16"/>
      <c r="Y4317" s="16"/>
    </row>
    <row r="4318" customFormat="false" ht="15.75" hidden="false" customHeight="false" outlineLevel="0" collapsed="false">
      <c r="A4318" s="9"/>
      <c r="B4318" s="10"/>
      <c r="C4318" s="11"/>
      <c r="D4318" s="10"/>
      <c r="E4318" s="10"/>
      <c r="F4318" s="10"/>
      <c r="G4318" s="10"/>
      <c r="H4318" s="10"/>
      <c r="I4318" s="12" t="n">
        <v>1</v>
      </c>
      <c r="J4318" s="12"/>
      <c r="K4318" s="13"/>
      <c r="L4318" s="13"/>
      <c r="M4318" s="12"/>
      <c r="N4318" s="12"/>
      <c r="O4318" s="12"/>
      <c r="P4318" s="13"/>
      <c r="Q4318" s="13"/>
      <c r="R4318" s="12"/>
      <c r="S4318" s="12"/>
      <c r="T4318" s="12"/>
      <c r="U4318" s="14"/>
      <c r="V4318" s="15"/>
      <c r="W4318" s="16" t="n">
        <f aca="false">A4318</f>
        <v>0</v>
      </c>
      <c r="X4318" s="17" t="e">
        <f aca="false">ifs(C4318="","",X4318="",NOW(),TRUE(),X4318)</f>
        <v>#VALUE!</v>
      </c>
      <c r="Y4318" s="17" t="e">
        <f aca="false">ifs(COUNTA(K4318:U4321)&lt;44,"",Y4318="",NOW(),TRUE(),Y4318)</f>
        <v>#VALUE!</v>
      </c>
    </row>
    <row r="4319" customFormat="false" ht="15.75" hidden="false" customHeight="false" outlineLevel="0" collapsed="false">
      <c r="A4319" s="9"/>
      <c r="B4319" s="10"/>
      <c r="C4319" s="10"/>
      <c r="D4319" s="10"/>
      <c r="E4319" s="10"/>
      <c r="F4319" s="10"/>
      <c r="G4319" s="10"/>
      <c r="H4319" s="10"/>
      <c r="I4319" s="18" t="n">
        <v>2</v>
      </c>
      <c r="J4319" s="18"/>
      <c r="K4319" s="19"/>
      <c r="L4319" s="19"/>
      <c r="M4319" s="18"/>
      <c r="N4319" s="18"/>
      <c r="O4319" s="18"/>
      <c r="P4319" s="19"/>
      <c r="Q4319" s="19"/>
      <c r="R4319" s="18"/>
      <c r="S4319" s="18"/>
      <c r="T4319" s="18"/>
      <c r="U4319" s="20"/>
      <c r="V4319" s="21"/>
      <c r="W4319" s="16"/>
      <c r="X4319" s="16"/>
      <c r="Y4319" s="16"/>
    </row>
    <row r="4320" customFormat="false" ht="15.75" hidden="false" customHeight="false" outlineLevel="0" collapsed="false">
      <c r="A4320" s="9"/>
      <c r="B4320" s="10"/>
      <c r="C4320" s="10"/>
      <c r="D4320" s="10"/>
      <c r="E4320" s="10"/>
      <c r="F4320" s="10"/>
      <c r="G4320" s="10"/>
      <c r="H4320" s="10"/>
      <c r="I4320" s="22" t="n">
        <v>3</v>
      </c>
      <c r="J4320" s="22"/>
      <c r="K4320" s="23"/>
      <c r="L4320" s="23"/>
      <c r="M4320" s="22"/>
      <c r="N4320" s="22"/>
      <c r="O4320" s="22"/>
      <c r="P4320" s="23"/>
      <c r="Q4320" s="23"/>
      <c r="R4320" s="22"/>
      <c r="S4320" s="22"/>
      <c r="T4320" s="22"/>
      <c r="U4320" s="24"/>
      <c r="V4320" s="15"/>
      <c r="W4320" s="16"/>
      <c r="X4320" s="16"/>
      <c r="Y4320" s="16"/>
    </row>
    <row r="4321" customFormat="false" ht="15.75" hidden="false" customHeight="false" outlineLevel="0" collapsed="false">
      <c r="A4321" s="9"/>
      <c r="B4321" s="10"/>
      <c r="C4321" s="10"/>
      <c r="D4321" s="10"/>
      <c r="E4321" s="10"/>
      <c r="F4321" s="10"/>
      <c r="G4321" s="10"/>
      <c r="H4321" s="10"/>
      <c r="I4321" s="25" t="n">
        <v>4</v>
      </c>
      <c r="J4321" s="25"/>
      <c r="K4321" s="26"/>
      <c r="L4321" s="26"/>
      <c r="M4321" s="25"/>
      <c r="N4321" s="25"/>
      <c r="O4321" s="25"/>
      <c r="P4321" s="26"/>
      <c r="Q4321" s="26"/>
      <c r="R4321" s="25"/>
      <c r="S4321" s="25"/>
      <c r="T4321" s="25"/>
      <c r="U4321" s="27"/>
      <c r="V4321" s="21"/>
      <c r="W4321" s="16"/>
      <c r="X4321" s="16"/>
      <c r="Y4321" s="16"/>
    </row>
    <row r="4322" customFormat="false" ht="15.75" hidden="false" customHeight="false" outlineLevel="0" collapsed="false">
      <c r="A4322" s="9"/>
      <c r="B4322" s="10"/>
      <c r="C4322" s="11"/>
      <c r="D4322" s="10"/>
      <c r="E4322" s="10"/>
      <c r="F4322" s="10"/>
      <c r="G4322" s="10"/>
      <c r="H4322" s="10"/>
      <c r="I4322" s="12" t="n">
        <v>1</v>
      </c>
      <c r="J4322" s="12"/>
      <c r="K4322" s="13"/>
      <c r="L4322" s="13"/>
      <c r="M4322" s="12"/>
      <c r="N4322" s="12"/>
      <c r="O4322" s="12"/>
      <c r="P4322" s="13"/>
      <c r="Q4322" s="13"/>
      <c r="R4322" s="12"/>
      <c r="S4322" s="12"/>
      <c r="T4322" s="12"/>
      <c r="U4322" s="14"/>
      <c r="V4322" s="15"/>
      <c r="W4322" s="16" t="n">
        <f aca="false">A4322</f>
        <v>0</v>
      </c>
      <c r="X4322" s="17" t="e">
        <f aca="false">ifs(C4322="","",X4322="",NOW(),TRUE(),X4322)</f>
        <v>#VALUE!</v>
      </c>
      <c r="Y4322" s="17" t="e">
        <f aca="false">ifs(COUNTA(K4322:U4325)&lt;44,"",Y4322="",NOW(),TRUE(),Y4322)</f>
        <v>#VALUE!</v>
      </c>
    </row>
    <row r="4323" customFormat="false" ht="15.75" hidden="false" customHeight="false" outlineLevel="0" collapsed="false">
      <c r="A4323" s="9"/>
      <c r="B4323" s="10"/>
      <c r="C4323" s="10"/>
      <c r="D4323" s="10"/>
      <c r="E4323" s="10"/>
      <c r="F4323" s="10"/>
      <c r="G4323" s="10"/>
      <c r="H4323" s="10"/>
      <c r="I4323" s="18" t="n">
        <v>2</v>
      </c>
      <c r="J4323" s="18"/>
      <c r="K4323" s="19"/>
      <c r="L4323" s="19"/>
      <c r="M4323" s="18"/>
      <c r="N4323" s="18"/>
      <c r="O4323" s="18"/>
      <c r="P4323" s="19"/>
      <c r="Q4323" s="19"/>
      <c r="R4323" s="18"/>
      <c r="S4323" s="18"/>
      <c r="T4323" s="18"/>
      <c r="U4323" s="20"/>
      <c r="V4323" s="21"/>
      <c r="W4323" s="16"/>
      <c r="X4323" s="16"/>
      <c r="Y4323" s="16"/>
    </row>
    <row r="4324" customFormat="false" ht="15.75" hidden="false" customHeight="false" outlineLevel="0" collapsed="false">
      <c r="A4324" s="9"/>
      <c r="B4324" s="10"/>
      <c r="C4324" s="10"/>
      <c r="D4324" s="10"/>
      <c r="E4324" s="10"/>
      <c r="F4324" s="10"/>
      <c r="G4324" s="10"/>
      <c r="H4324" s="10"/>
      <c r="I4324" s="22" t="n">
        <v>3</v>
      </c>
      <c r="J4324" s="22"/>
      <c r="K4324" s="23"/>
      <c r="L4324" s="23"/>
      <c r="M4324" s="22"/>
      <c r="N4324" s="22"/>
      <c r="O4324" s="22"/>
      <c r="P4324" s="23"/>
      <c r="Q4324" s="23"/>
      <c r="R4324" s="22"/>
      <c r="S4324" s="22"/>
      <c r="T4324" s="22"/>
      <c r="U4324" s="24"/>
      <c r="V4324" s="15"/>
      <c r="W4324" s="16"/>
      <c r="X4324" s="16"/>
      <c r="Y4324" s="16"/>
    </row>
    <row r="4325" customFormat="false" ht="15.75" hidden="false" customHeight="false" outlineLevel="0" collapsed="false">
      <c r="A4325" s="9"/>
      <c r="B4325" s="10"/>
      <c r="C4325" s="10"/>
      <c r="D4325" s="10"/>
      <c r="E4325" s="10"/>
      <c r="F4325" s="10"/>
      <c r="G4325" s="10"/>
      <c r="H4325" s="10"/>
      <c r="I4325" s="25" t="n">
        <v>4</v>
      </c>
      <c r="J4325" s="25"/>
      <c r="K4325" s="26"/>
      <c r="L4325" s="26"/>
      <c r="M4325" s="25"/>
      <c r="N4325" s="25"/>
      <c r="O4325" s="25"/>
      <c r="P4325" s="26"/>
      <c r="Q4325" s="26"/>
      <c r="R4325" s="25"/>
      <c r="S4325" s="25"/>
      <c r="T4325" s="25"/>
      <c r="U4325" s="27"/>
      <c r="V4325" s="21"/>
      <c r="W4325" s="16"/>
      <c r="X4325" s="16"/>
      <c r="Y4325" s="16"/>
    </row>
    <row r="4326" customFormat="false" ht="15.75" hidden="false" customHeight="false" outlineLevel="0" collapsed="false">
      <c r="A4326" s="9"/>
      <c r="B4326" s="10"/>
      <c r="C4326" s="11"/>
      <c r="D4326" s="10"/>
      <c r="E4326" s="10"/>
      <c r="F4326" s="10"/>
      <c r="G4326" s="10"/>
      <c r="H4326" s="10"/>
      <c r="I4326" s="12" t="n">
        <v>1</v>
      </c>
      <c r="J4326" s="12"/>
      <c r="K4326" s="13"/>
      <c r="L4326" s="13"/>
      <c r="M4326" s="12"/>
      <c r="N4326" s="12"/>
      <c r="O4326" s="12"/>
      <c r="P4326" s="13"/>
      <c r="Q4326" s="13"/>
      <c r="R4326" s="12"/>
      <c r="S4326" s="12"/>
      <c r="T4326" s="12"/>
      <c r="U4326" s="14"/>
      <c r="V4326" s="15"/>
      <c r="W4326" s="16" t="n">
        <f aca="false">A4326</f>
        <v>0</v>
      </c>
      <c r="X4326" s="17" t="e">
        <f aca="false">ifs(C4326="","",X4326="",NOW(),TRUE(),X4326)</f>
        <v>#VALUE!</v>
      </c>
      <c r="Y4326" s="17" t="e">
        <f aca="false">ifs(COUNTA(K4326:U4329)&lt;44,"",Y4326="",NOW(),TRUE(),Y4326)</f>
        <v>#VALUE!</v>
      </c>
    </row>
    <row r="4327" customFormat="false" ht="15.75" hidden="false" customHeight="false" outlineLevel="0" collapsed="false">
      <c r="A4327" s="9"/>
      <c r="B4327" s="10"/>
      <c r="C4327" s="10"/>
      <c r="D4327" s="10"/>
      <c r="E4327" s="10"/>
      <c r="F4327" s="10"/>
      <c r="G4327" s="10"/>
      <c r="H4327" s="10"/>
      <c r="I4327" s="18" t="n">
        <v>2</v>
      </c>
      <c r="J4327" s="18"/>
      <c r="K4327" s="19"/>
      <c r="L4327" s="19"/>
      <c r="M4327" s="18"/>
      <c r="N4327" s="18"/>
      <c r="O4327" s="18"/>
      <c r="P4327" s="19"/>
      <c r="Q4327" s="19"/>
      <c r="R4327" s="18"/>
      <c r="S4327" s="18"/>
      <c r="T4327" s="18"/>
      <c r="U4327" s="20"/>
      <c r="V4327" s="21"/>
      <c r="W4327" s="16"/>
      <c r="X4327" s="16"/>
      <c r="Y4327" s="16"/>
    </row>
    <row r="4328" customFormat="false" ht="15.75" hidden="false" customHeight="false" outlineLevel="0" collapsed="false">
      <c r="A4328" s="9"/>
      <c r="B4328" s="10"/>
      <c r="C4328" s="10"/>
      <c r="D4328" s="10"/>
      <c r="E4328" s="10"/>
      <c r="F4328" s="10"/>
      <c r="G4328" s="10"/>
      <c r="H4328" s="10"/>
      <c r="I4328" s="22" t="n">
        <v>3</v>
      </c>
      <c r="J4328" s="22"/>
      <c r="K4328" s="23"/>
      <c r="L4328" s="23"/>
      <c r="M4328" s="22"/>
      <c r="N4328" s="22"/>
      <c r="O4328" s="22"/>
      <c r="P4328" s="23"/>
      <c r="Q4328" s="23"/>
      <c r="R4328" s="22"/>
      <c r="S4328" s="22"/>
      <c r="T4328" s="22"/>
      <c r="U4328" s="24"/>
      <c r="V4328" s="15"/>
      <c r="W4328" s="16"/>
      <c r="X4328" s="16"/>
      <c r="Y4328" s="16"/>
    </row>
    <row r="4329" customFormat="false" ht="15.75" hidden="false" customHeight="false" outlineLevel="0" collapsed="false">
      <c r="A4329" s="9"/>
      <c r="B4329" s="10"/>
      <c r="C4329" s="10"/>
      <c r="D4329" s="10"/>
      <c r="E4329" s="10"/>
      <c r="F4329" s="10"/>
      <c r="G4329" s="10"/>
      <c r="H4329" s="10"/>
      <c r="I4329" s="25" t="n">
        <v>4</v>
      </c>
      <c r="J4329" s="25"/>
      <c r="K4329" s="26"/>
      <c r="L4329" s="26"/>
      <c r="M4329" s="25"/>
      <c r="N4329" s="25"/>
      <c r="O4329" s="25"/>
      <c r="P4329" s="26"/>
      <c r="Q4329" s="26"/>
      <c r="R4329" s="25"/>
      <c r="S4329" s="25"/>
      <c r="T4329" s="25"/>
      <c r="U4329" s="27"/>
      <c r="V4329" s="21"/>
      <c r="W4329" s="16"/>
      <c r="X4329" s="16"/>
      <c r="Y4329" s="16"/>
    </row>
    <row r="4330" customFormat="false" ht="15.75" hidden="false" customHeight="false" outlineLevel="0" collapsed="false">
      <c r="A4330" s="9"/>
      <c r="B4330" s="10"/>
      <c r="C4330" s="11"/>
      <c r="D4330" s="10"/>
      <c r="E4330" s="10"/>
      <c r="F4330" s="10"/>
      <c r="G4330" s="10"/>
      <c r="H4330" s="10"/>
      <c r="I4330" s="12" t="n">
        <v>1</v>
      </c>
      <c r="J4330" s="12"/>
      <c r="K4330" s="13"/>
      <c r="L4330" s="13"/>
      <c r="M4330" s="12"/>
      <c r="N4330" s="12"/>
      <c r="O4330" s="12"/>
      <c r="P4330" s="13"/>
      <c r="Q4330" s="13"/>
      <c r="R4330" s="12"/>
      <c r="S4330" s="12"/>
      <c r="T4330" s="12"/>
      <c r="U4330" s="14"/>
      <c r="V4330" s="15"/>
      <c r="W4330" s="16" t="n">
        <f aca="false">A4330</f>
        <v>0</v>
      </c>
      <c r="X4330" s="17" t="e">
        <f aca="false">ifs(C4330="","",X4330="",NOW(),TRUE(),X4330)</f>
        <v>#VALUE!</v>
      </c>
      <c r="Y4330" s="17" t="e">
        <f aca="false">ifs(COUNTA(K4330:U4333)&lt;44,"",Y4330="",NOW(),TRUE(),Y4330)</f>
        <v>#VALUE!</v>
      </c>
    </row>
    <row r="4331" customFormat="false" ht="15.75" hidden="false" customHeight="false" outlineLevel="0" collapsed="false">
      <c r="A4331" s="9"/>
      <c r="B4331" s="10"/>
      <c r="C4331" s="10"/>
      <c r="D4331" s="10"/>
      <c r="E4331" s="10"/>
      <c r="F4331" s="10"/>
      <c r="G4331" s="10"/>
      <c r="H4331" s="10"/>
      <c r="I4331" s="18" t="n">
        <v>2</v>
      </c>
      <c r="J4331" s="18"/>
      <c r="K4331" s="19"/>
      <c r="L4331" s="19"/>
      <c r="M4331" s="18"/>
      <c r="N4331" s="18"/>
      <c r="O4331" s="18"/>
      <c r="P4331" s="19"/>
      <c r="Q4331" s="19"/>
      <c r="R4331" s="18"/>
      <c r="S4331" s="18"/>
      <c r="T4331" s="18"/>
      <c r="U4331" s="20"/>
      <c r="V4331" s="21"/>
      <c r="W4331" s="16"/>
      <c r="X4331" s="16"/>
      <c r="Y4331" s="16"/>
    </row>
    <row r="4332" customFormat="false" ht="15.75" hidden="false" customHeight="false" outlineLevel="0" collapsed="false">
      <c r="A4332" s="9"/>
      <c r="B4332" s="10"/>
      <c r="C4332" s="10"/>
      <c r="D4332" s="10"/>
      <c r="E4332" s="10"/>
      <c r="F4332" s="10"/>
      <c r="G4332" s="10"/>
      <c r="H4332" s="10"/>
      <c r="I4332" s="22" t="n">
        <v>3</v>
      </c>
      <c r="J4332" s="22"/>
      <c r="K4332" s="23"/>
      <c r="L4332" s="23"/>
      <c r="M4332" s="22"/>
      <c r="N4332" s="22"/>
      <c r="O4332" s="22"/>
      <c r="P4332" s="23"/>
      <c r="Q4332" s="23"/>
      <c r="R4332" s="22"/>
      <c r="S4332" s="22"/>
      <c r="T4332" s="22"/>
      <c r="U4332" s="24"/>
      <c r="V4332" s="15"/>
      <c r="W4332" s="16"/>
      <c r="X4332" s="16"/>
      <c r="Y4332" s="16"/>
    </row>
    <row r="4333" customFormat="false" ht="15.75" hidden="false" customHeight="false" outlineLevel="0" collapsed="false">
      <c r="A4333" s="9"/>
      <c r="B4333" s="10"/>
      <c r="C4333" s="10"/>
      <c r="D4333" s="10"/>
      <c r="E4333" s="10"/>
      <c r="F4333" s="10"/>
      <c r="G4333" s="10"/>
      <c r="H4333" s="10"/>
      <c r="I4333" s="25" t="n">
        <v>4</v>
      </c>
      <c r="J4333" s="25"/>
      <c r="K4333" s="26"/>
      <c r="L4333" s="26"/>
      <c r="M4333" s="25"/>
      <c r="N4333" s="25"/>
      <c r="O4333" s="25"/>
      <c r="P4333" s="26"/>
      <c r="Q4333" s="26"/>
      <c r="R4333" s="25"/>
      <c r="S4333" s="25"/>
      <c r="T4333" s="25"/>
      <c r="U4333" s="27"/>
      <c r="V4333" s="21"/>
      <c r="W4333" s="16"/>
      <c r="X4333" s="16"/>
      <c r="Y4333" s="16"/>
    </row>
    <row r="4334" customFormat="false" ht="15.75" hidden="false" customHeight="false" outlineLevel="0" collapsed="false">
      <c r="A4334" s="9"/>
      <c r="B4334" s="10"/>
      <c r="C4334" s="11"/>
      <c r="D4334" s="10"/>
      <c r="E4334" s="10"/>
      <c r="F4334" s="10"/>
      <c r="G4334" s="10"/>
      <c r="H4334" s="10"/>
      <c r="I4334" s="12" t="n">
        <v>1</v>
      </c>
      <c r="J4334" s="12"/>
      <c r="K4334" s="13"/>
      <c r="L4334" s="13"/>
      <c r="M4334" s="12"/>
      <c r="N4334" s="12"/>
      <c r="O4334" s="12"/>
      <c r="P4334" s="13"/>
      <c r="Q4334" s="13"/>
      <c r="R4334" s="12"/>
      <c r="S4334" s="12"/>
      <c r="T4334" s="12"/>
      <c r="U4334" s="14"/>
      <c r="V4334" s="15"/>
      <c r="W4334" s="16" t="n">
        <f aca="false">A4334</f>
        <v>0</v>
      </c>
      <c r="X4334" s="17" t="e">
        <f aca="false">ifs(C4334="","",X4334="",NOW(),TRUE(),X4334)</f>
        <v>#VALUE!</v>
      </c>
      <c r="Y4334" s="17" t="e">
        <f aca="false">ifs(COUNTA(K4334:U4337)&lt;44,"",Y4334="",NOW(),TRUE(),Y4334)</f>
        <v>#VALUE!</v>
      </c>
    </row>
    <row r="4335" customFormat="false" ht="15.75" hidden="false" customHeight="false" outlineLevel="0" collapsed="false">
      <c r="A4335" s="9"/>
      <c r="B4335" s="10"/>
      <c r="C4335" s="10"/>
      <c r="D4335" s="10"/>
      <c r="E4335" s="10"/>
      <c r="F4335" s="10"/>
      <c r="G4335" s="10"/>
      <c r="H4335" s="10"/>
      <c r="I4335" s="18" t="n">
        <v>2</v>
      </c>
      <c r="J4335" s="18"/>
      <c r="K4335" s="19"/>
      <c r="L4335" s="19"/>
      <c r="M4335" s="18"/>
      <c r="N4335" s="18"/>
      <c r="O4335" s="18"/>
      <c r="P4335" s="19"/>
      <c r="Q4335" s="19"/>
      <c r="R4335" s="18"/>
      <c r="S4335" s="18"/>
      <c r="T4335" s="18"/>
      <c r="U4335" s="20"/>
      <c r="V4335" s="21"/>
      <c r="W4335" s="16"/>
      <c r="X4335" s="16"/>
      <c r="Y4335" s="16"/>
    </row>
    <row r="4336" customFormat="false" ht="15.75" hidden="false" customHeight="false" outlineLevel="0" collapsed="false">
      <c r="A4336" s="9"/>
      <c r="B4336" s="10"/>
      <c r="C4336" s="10"/>
      <c r="D4336" s="10"/>
      <c r="E4336" s="10"/>
      <c r="F4336" s="10"/>
      <c r="G4336" s="10"/>
      <c r="H4336" s="10"/>
      <c r="I4336" s="22" t="n">
        <v>3</v>
      </c>
      <c r="J4336" s="22"/>
      <c r="K4336" s="23"/>
      <c r="L4336" s="23"/>
      <c r="M4336" s="22"/>
      <c r="N4336" s="22"/>
      <c r="O4336" s="22"/>
      <c r="P4336" s="23"/>
      <c r="Q4336" s="23"/>
      <c r="R4336" s="22"/>
      <c r="S4336" s="22"/>
      <c r="T4336" s="22"/>
      <c r="U4336" s="24"/>
      <c r="V4336" s="15"/>
      <c r="W4336" s="16"/>
      <c r="X4336" s="16"/>
      <c r="Y4336" s="16"/>
    </row>
    <row r="4337" customFormat="false" ht="15.75" hidden="false" customHeight="false" outlineLevel="0" collapsed="false">
      <c r="A4337" s="9"/>
      <c r="B4337" s="10"/>
      <c r="C4337" s="10"/>
      <c r="D4337" s="10"/>
      <c r="E4337" s="10"/>
      <c r="F4337" s="10"/>
      <c r="G4337" s="10"/>
      <c r="H4337" s="10"/>
      <c r="I4337" s="25" t="n">
        <v>4</v>
      </c>
      <c r="J4337" s="25"/>
      <c r="K4337" s="26"/>
      <c r="L4337" s="26"/>
      <c r="M4337" s="25"/>
      <c r="N4337" s="25"/>
      <c r="O4337" s="25"/>
      <c r="P4337" s="26"/>
      <c r="Q4337" s="26"/>
      <c r="R4337" s="25"/>
      <c r="S4337" s="25"/>
      <c r="T4337" s="25"/>
      <c r="U4337" s="27"/>
      <c r="V4337" s="21"/>
      <c r="W4337" s="16"/>
      <c r="X4337" s="16"/>
      <c r="Y4337" s="16"/>
    </row>
    <row r="4338" customFormat="false" ht="15.75" hidden="false" customHeight="false" outlineLevel="0" collapsed="false">
      <c r="A4338" s="9"/>
      <c r="B4338" s="10"/>
      <c r="C4338" s="11"/>
      <c r="D4338" s="10"/>
      <c r="E4338" s="10"/>
      <c r="F4338" s="10"/>
      <c r="G4338" s="10"/>
      <c r="H4338" s="10"/>
      <c r="I4338" s="12" t="n">
        <v>1</v>
      </c>
      <c r="J4338" s="12"/>
      <c r="K4338" s="13"/>
      <c r="L4338" s="13"/>
      <c r="M4338" s="12"/>
      <c r="N4338" s="12"/>
      <c r="O4338" s="12"/>
      <c r="P4338" s="13"/>
      <c r="Q4338" s="13"/>
      <c r="R4338" s="12"/>
      <c r="S4338" s="12"/>
      <c r="T4338" s="12"/>
      <c r="U4338" s="14"/>
      <c r="V4338" s="15"/>
      <c r="W4338" s="16" t="n">
        <f aca="false">A4338</f>
        <v>0</v>
      </c>
      <c r="X4338" s="17" t="e">
        <f aca="false">ifs(C4338="","",X4338="",NOW(),TRUE(),X4338)</f>
        <v>#VALUE!</v>
      </c>
      <c r="Y4338" s="17" t="e">
        <f aca="false">ifs(COUNTA(K4338:U4341)&lt;44,"",Y4338="",NOW(),TRUE(),Y4338)</f>
        <v>#VALUE!</v>
      </c>
    </row>
    <row r="4339" customFormat="false" ht="15.75" hidden="false" customHeight="false" outlineLevel="0" collapsed="false">
      <c r="A4339" s="9"/>
      <c r="B4339" s="10"/>
      <c r="C4339" s="10"/>
      <c r="D4339" s="10"/>
      <c r="E4339" s="10"/>
      <c r="F4339" s="10"/>
      <c r="G4339" s="10"/>
      <c r="H4339" s="10"/>
      <c r="I4339" s="18" t="n">
        <v>2</v>
      </c>
      <c r="J4339" s="18"/>
      <c r="K4339" s="19"/>
      <c r="L4339" s="19"/>
      <c r="M4339" s="18"/>
      <c r="N4339" s="18"/>
      <c r="O4339" s="18"/>
      <c r="P4339" s="19"/>
      <c r="Q4339" s="19"/>
      <c r="R4339" s="18"/>
      <c r="S4339" s="18"/>
      <c r="T4339" s="18"/>
      <c r="U4339" s="20"/>
      <c r="V4339" s="21"/>
      <c r="W4339" s="16"/>
      <c r="X4339" s="16"/>
      <c r="Y4339" s="16"/>
    </row>
    <row r="4340" customFormat="false" ht="15.75" hidden="false" customHeight="false" outlineLevel="0" collapsed="false">
      <c r="A4340" s="9"/>
      <c r="B4340" s="10"/>
      <c r="C4340" s="10"/>
      <c r="D4340" s="10"/>
      <c r="E4340" s="10"/>
      <c r="F4340" s="10"/>
      <c r="G4340" s="10"/>
      <c r="H4340" s="10"/>
      <c r="I4340" s="22" t="n">
        <v>3</v>
      </c>
      <c r="J4340" s="22"/>
      <c r="K4340" s="23"/>
      <c r="L4340" s="23"/>
      <c r="M4340" s="22"/>
      <c r="N4340" s="22"/>
      <c r="O4340" s="22"/>
      <c r="P4340" s="23"/>
      <c r="Q4340" s="23"/>
      <c r="R4340" s="22"/>
      <c r="S4340" s="22"/>
      <c r="T4340" s="22"/>
      <c r="U4340" s="24"/>
      <c r="V4340" s="15"/>
      <c r="W4340" s="16"/>
      <c r="X4340" s="16"/>
      <c r="Y4340" s="16"/>
    </row>
    <row r="4341" customFormat="false" ht="15.75" hidden="false" customHeight="false" outlineLevel="0" collapsed="false">
      <c r="A4341" s="9"/>
      <c r="B4341" s="10"/>
      <c r="C4341" s="10"/>
      <c r="D4341" s="10"/>
      <c r="E4341" s="10"/>
      <c r="F4341" s="10"/>
      <c r="G4341" s="10"/>
      <c r="H4341" s="10"/>
      <c r="I4341" s="25" t="n">
        <v>4</v>
      </c>
      <c r="J4341" s="25"/>
      <c r="K4341" s="26"/>
      <c r="L4341" s="26"/>
      <c r="M4341" s="25"/>
      <c r="N4341" s="25"/>
      <c r="O4341" s="25"/>
      <c r="P4341" s="26"/>
      <c r="Q4341" s="26"/>
      <c r="R4341" s="25"/>
      <c r="S4341" s="25"/>
      <c r="T4341" s="25"/>
      <c r="U4341" s="27"/>
      <c r="V4341" s="21"/>
      <c r="W4341" s="16"/>
      <c r="X4341" s="16"/>
      <c r="Y4341" s="16"/>
    </row>
    <row r="4342" customFormat="false" ht="15.75" hidden="false" customHeight="false" outlineLevel="0" collapsed="false">
      <c r="A4342" s="9"/>
      <c r="B4342" s="10"/>
      <c r="C4342" s="11"/>
      <c r="D4342" s="10"/>
      <c r="E4342" s="10"/>
      <c r="F4342" s="10"/>
      <c r="G4342" s="10"/>
      <c r="H4342" s="10"/>
      <c r="I4342" s="12" t="n">
        <v>1</v>
      </c>
      <c r="J4342" s="12"/>
      <c r="K4342" s="13"/>
      <c r="L4342" s="13"/>
      <c r="M4342" s="12"/>
      <c r="N4342" s="12"/>
      <c r="O4342" s="12"/>
      <c r="P4342" s="13"/>
      <c r="Q4342" s="13"/>
      <c r="R4342" s="12"/>
      <c r="S4342" s="12"/>
      <c r="T4342" s="12"/>
      <c r="U4342" s="14"/>
      <c r="V4342" s="15"/>
      <c r="W4342" s="16" t="n">
        <f aca="false">A4342</f>
        <v>0</v>
      </c>
      <c r="X4342" s="17" t="e">
        <f aca="false">ifs(C4342="","",X4342="",NOW(),TRUE(),X4342)</f>
        <v>#VALUE!</v>
      </c>
      <c r="Y4342" s="17" t="e">
        <f aca="false">ifs(COUNTA(K4342:U4345)&lt;44,"",Y4342="",NOW(),TRUE(),Y4342)</f>
        <v>#VALUE!</v>
      </c>
    </row>
    <row r="4343" customFormat="false" ht="15.75" hidden="false" customHeight="false" outlineLevel="0" collapsed="false">
      <c r="A4343" s="9"/>
      <c r="B4343" s="10"/>
      <c r="C4343" s="10"/>
      <c r="D4343" s="10"/>
      <c r="E4343" s="10"/>
      <c r="F4343" s="10"/>
      <c r="G4343" s="10"/>
      <c r="H4343" s="10"/>
      <c r="I4343" s="18" t="n">
        <v>2</v>
      </c>
      <c r="J4343" s="18"/>
      <c r="K4343" s="19"/>
      <c r="L4343" s="19"/>
      <c r="M4343" s="18"/>
      <c r="N4343" s="18"/>
      <c r="O4343" s="18"/>
      <c r="P4343" s="19"/>
      <c r="Q4343" s="19"/>
      <c r="R4343" s="18"/>
      <c r="S4343" s="18"/>
      <c r="T4343" s="18"/>
      <c r="U4343" s="20"/>
      <c r="V4343" s="21"/>
      <c r="W4343" s="16"/>
      <c r="X4343" s="16"/>
      <c r="Y4343" s="16"/>
    </row>
    <row r="4344" customFormat="false" ht="15.75" hidden="false" customHeight="false" outlineLevel="0" collapsed="false">
      <c r="A4344" s="9"/>
      <c r="B4344" s="10"/>
      <c r="C4344" s="10"/>
      <c r="D4344" s="10"/>
      <c r="E4344" s="10"/>
      <c r="F4344" s="10"/>
      <c r="G4344" s="10"/>
      <c r="H4344" s="10"/>
      <c r="I4344" s="22" t="n">
        <v>3</v>
      </c>
      <c r="J4344" s="22"/>
      <c r="K4344" s="23"/>
      <c r="L4344" s="23"/>
      <c r="M4344" s="22"/>
      <c r="N4344" s="22"/>
      <c r="O4344" s="22"/>
      <c r="P4344" s="23"/>
      <c r="Q4344" s="23"/>
      <c r="R4344" s="22"/>
      <c r="S4344" s="22"/>
      <c r="T4344" s="22"/>
      <c r="U4344" s="24"/>
      <c r="V4344" s="15"/>
      <c r="W4344" s="16"/>
      <c r="X4344" s="16"/>
      <c r="Y4344" s="16"/>
    </row>
    <row r="4345" customFormat="false" ht="15.75" hidden="false" customHeight="false" outlineLevel="0" collapsed="false">
      <c r="A4345" s="9"/>
      <c r="B4345" s="10"/>
      <c r="C4345" s="10"/>
      <c r="D4345" s="10"/>
      <c r="E4345" s="10"/>
      <c r="F4345" s="10"/>
      <c r="G4345" s="10"/>
      <c r="H4345" s="10"/>
      <c r="I4345" s="25" t="n">
        <v>4</v>
      </c>
      <c r="J4345" s="25"/>
      <c r="K4345" s="26"/>
      <c r="L4345" s="26"/>
      <c r="M4345" s="25"/>
      <c r="N4345" s="25"/>
      <c r="O4345" s="25"/>
      <c r="P4345" s="26"/>
      <c r="Q4345" s="26"/>
      <c r="R4345" s="25"/>
      <c r="S4345" s="25"/>
      <c r="T4345" s="25"/>
      <c r="U4345" s="27"/>
      <c r="V4345" s="21"/>
      <c r="W4345" s="16"/>
      <c r="X4345" s="16"/>
      <c r="Y4345" s="16"/>
    </row>
    <row r="4346" customFormat="false" ht="15.75" hidden="false" customHeight="false" outlineLevel="0" collapsed="false">
      <c r="A4346" s="9"/>
      <c r="B4346" s="10"/>
      <c r="C4346" s="11"/>
      <c r="D4346" s="10"/>
      <c r="E4346" s="10"/>
      <c r="F4346" s="10"/>
      <c r="G4346" s="10"/>
      <c r="H4346" s="10"/>
      <c r="I4346" s="12" t="n">
        <v>1</v>
      </c>
      <c r="J4346" s="12"/>
      <c r="K4346" s="13"/>
      <c r="L4346" s="13"/>
      <c r="M4346" s="12"/>
      <c r="N4346" s="12"/>
      <c r="O4346" s="12"/>
      <c r="P4346" s="13"/>
      <c r="Q4346" s="13"/>
      <c r="R4346" s="12"/>
      <c r="S4346" s="12"/>
      <c r="T4346" s="12"/>
      <c r="U4346" s="14"/>
      <c r="V4346" s="15"/>
      <c r="W4346" s="16" t="n">
        <f aca="false">A4346</f>
        <v>0</v>
      </c>
      <c r="X4346" s="17" t="e">
        <f aca="false">ifs(C4346="","",X4346="",NOW(),TRUE(),X4346)</f>
        <v>#VALUE!</v>
      </c>
      <c r="Y4346" s="17" t="e">
        <f aca="false">ifs(COUNTA(K4346:U4349)&lt;44,"",Y4346="",NOW(),TRUE(),Y4346)</f>
        <v>#VALUE!</v>
      </c>
    </row>
    <row r="4347" customFormat="false" ht="15.75" hidden="false" customHeight="false" outlineLevel="0" collapsed="false">
      <c r="A4347" s="9"/>
      <c r="B4347" s="10"/>
      <c r="C4347" s="10"/>
      <c r="D4347" s="10"/>
      <c r="E4347" s="10"/>
      <c r="F4347" s="10"/>
      <c r="G4347" s="10"/>
      <c r="H4347" s="10"/>
      <c r="I4347" s="18" t="n">
        <v>2</v>
      </c>
      <c r="J4347" s="18"/>
      <c r="K4347" s="19"/>
      <c r="L4347" s="19"/>
      <c r="M4347" s="18"/>
      <c r="N4347" s="18"/>
      <c r="O4347" s="18"/>
      <c r="P4347" s="19"/>
      <c r="Q4347" s="19"/>
      <c r="R4347" s="18"/>
      <c r="S4347" s="18"/>
      <c r="T4347" s="18"/>
      <c r="U4347" s="20"/>
      <c r="V4347" s="21"/>
      <c r="W4347" s="16"/>
      <c r="X4347" s="16"/>
      <c r="Y4347" s="16"/>
    </row>
    <row r="4348" customFormat="false" ht="15.75" hidden="false" customHeight="false" outlineLevel="0" collapsed="false">
      <c r="A4348" s="9"/>
      <c r="B4348" s="10"/>
      <c r="C4348" s="10"/>
      <c r="D4348" s="10"/>
      <c r="E4348" s="10"/>
      <c r="F4348" s="10"/>
      <c r="G4348" s="10"/>
      <c r="H4348" s="10"/>
      <c r="I4348" s="22" t="n">
        <v>3</v>
      </c>
      <c r="J4348" s="22"/>
      <c r="K4348" s="23"/>
      <c r="L4348" s="23"/>
      <c r="M4348" s="22"/>
      <c r="N4348" s="22"/>
      <c r="O4348" s="22"/>
      <c r="P4348" s="23"/>
      <c r="Q4348" s="23"/>
      <c r="R4348" s="22"/>
      <c r="S4348" s="22"/>
      <c r="T4348" s="22"/>
      <c r="U4348" s="24"/>
      <c r="V4348" s="15"/>
      <c r="W4348" s="16"/>
      <c r="X4348" s="16"/>
      <c r="Y4348" s="16"/>
    </row>
    <row r="4349" customFormat="false" ht="15.75" hidden="false" customHeight="false" outlineLevel="0" collapsed="false">
      <c r="A4349" s="9"/>
      <c r="B4349" s="10"/>
      <c r="C4349" s="10"/>
      <c r="D4349" s="10"/>
      <c r="E4349" s="10"/>
      <c r="F4349" s="10"/>
      <c r="G4349" s="10"/>
      <c r="H4349" s="10"/>
      <c r="I4349" s="25" t="n">
        <v>4</v>
      </c>
      <c r="J4349" s="25"/>
      <c r="K4349" s="26"/>
      <c r="L4349" s="26"/>
      <c r="M4349" s="25"/>
      <c r="N4349" s="25"/>
      <c r="O4349" s="25"/>
      <c r="P4349" s="26"/>
      <c r="Q4349" s="26"/>
      <c r="R4349" s="25"/>
      <c r="S4349" s="25"/>
      <c r="T4349" s="25"/>
      <c r="U4349" s="27"/>
      <c r="V4349" s="21"/>
      <c r="W4349" s="16"/>
      <c r="X4349" s="16"/>
      <c r="Y4349" s="16"/>
    </row>
    <row r="4350" customFormat="false" ht="15.75" hidden="false" customHeight="false" outlineLevel="0" collapsed="false">
      <c r="A4350" s="9"/>
      <c r="B4350" s="10"/>
      <c r="C4350" s="11"/>
      <c r="D4350" s="10"/>
      <c r="E4350" s="10"/>
      <c r="F4350" s="10"/>
      <c r="G4350" s="10"/>
      <c r="H4350" s="10"/>
      <c r="I4350" s="12" t="n">
        <v>1</v>
      </c>
      <c r="J4350" s="12"/>
      <c r="K4350" s="13"/>
      <c r="L4350" s="13"/>
      <c r="M4350" s="12"/>
      <c r="N4350" s="12"/>
      <c r="O4350" s="12"/>
      <c r="P4350" s="13"/>
      <c r="Q4350" s="13"/>
      <c r="R4350" s="12"/>
      <c r="S4350" s="12"/>
      <c r="T4350" s="12"/>
      <c r="U4350" s="14"/>
      <c r="V4350" s="15"/>
      <c r="W4350" s="16" t="n">
        <f aca="false">A4350</f>
        <v>0</v>
      </c>
      <c r="X4350" s="17" t="e">
        <f aca="false">ifs(C4350="","",X4350="",NOW(),TRUE(),X4350)</f>
        <v>#VALUE!</v>
      </c>
      <c r="Y4350" s="17" t="e">
        <f aca="false">ifs(COUNTA(K4350:U4353)&lt;44,"",Y4350="",NOW(),TRUE(),Y4350)</f>
        <v>#VALUE!</v>
      </c>
    </row>
    <row r="4351" customFormat="false" ht="15.75" hidden="false" customHeight="false" outlineLevel="0" collapsed="false">
      <c r="A4351" s="9"/>
      <c r="B4351" s="10"/>
      <c r="C4351" s="10"/>
      <c r="D4351" s="10"/>
      <c r="E4351" s="10"/>
      <c r="F4351" s="10"/>
      <c r="G4351" s="10"/>
      <c r="H4351" s="10"/>
      <c r="I4351" s="18" t="n">
        <v>2</v>
      </c>
      <c r="J4351" s="18"/>
      <c r="K4351" s="19"/>
      <c r="L4351" s="19"/>
      <c r="M4351" s="18"/>
      <c r="N4351" s="18"/>
      <c r="O4351" s="18"/>
      <c r="P4351" s="19"/>
      <c r="Q4351" s="19"/>
      <c r="R4351" s="18"/>
      <c r="S4351" s="18"/>
      <c r="T4351" s="18"/>
      <c r="U4351" s="20"/>
      <c r="V4351" s="21"/>
      <c r="W4351" s="16"/>
      <c r="X4351" s="16"/>
      <c r="Y4351" s="16"/>
    </row>
    <row r="4352" customFormat="false" ht="15.75" hidden="false" customHeight="false" outlineLevel="0" collapsed="false">
      <c r="A4352" s="9"/>
      <c r="B4352" s="10"/>
      <c r="C4352" s="10"/>
      <c r="D4352" s="10"/>
      <c r="E4352" s="10"/>
      <c r="F4352" s="10"/>
      <c r="G4352" s="10"/>
      <c r="H4352" s="10"/>
      <c r="I4352" s="22" t="n">
        <v>3</v>
      </c>
      <c r="J4352" s="22"/>
      <c r="K4352" s="23"/>
      <c r="L4352" s="23"/>
      <c r="M4352" s="22"/>
      <c r="N4352" s="22"/>
      <c r="O4352" s="22"/>
      <c r="P4352" s="23"/>
      <c r="Q4352" s="23"/>
      <c r="R4352" s="22"/>
      <c r="S4352" s="22"/>
      <c r="T4352" s="22"/>
      <c r="U4352" s="24"/>
      <c r="V4352" s="15"/>
      <c r="W4352" s="16"/>
      <c r="X4352" s="16"/>
      <c r="Y4352" s="16"/>
    </row>
    <row r="4353" customFormat="false" ht="15.75" hidden="false" customHeight="false" outlineLevel="0" collapsed="false">
      <c r="A4353" s="9"/>
      <c r="B4353" s="10"/>
      <c r="C4353" s="10"/>
      <c r="D4353" s="10"/>
      <c r="E4353" s="10"/>
      <c r="F4353" s="10"/>
      <c r="G4353" s="10"/>
      <c r="H4353" s="10"/>
      <c r="I4353" s="25" t="n">
        <v>4</v>
      </c>
      <c r="J4353" s="25"/>
      <c r="K4353" s="26"/>
      <c r="L4353" s="26"/>
      <c r="M4353" s="25"/>
      <c r="N4353" s="25"/>
      <c r="O4353" s="25"/>
      <c r="P4353" s="26"/>
      <c r="Q4353" s="26"/>
      <c r="R4353" s="25"/>
      <c r="S4353" s="25"/>
      <c r="T4353" s="25"/>
      <c r="U4353" s="27"/>
      <c r="V4353" s="21"/>
      <c r="W4353" s="16"/>
      <c r="X4353" s="16"/>
      <c r="Y4353" s="16"/>
    </row>
    <row r="4354" customFormat="false" ht="15.75" hidden="false" customHeight="false" outlineLevel="0" collapsed="false">
      <c r="A4354" s="9"/>
      <c r="B4354" s="10"/>
      <c r="C4354" s="11"/>
      <c r="D4354" s="10"/>
      <c r="E4354" s="10"/>
      <c r="F4354" s="10"/>
      <c r="G4354" s="10"/>
      <c r="H4354" s="10"/>
      <c r="I4354" s="12" t="n">
        <v>1</v>
      </c>
      <c r="J4354" s="12"/>
      <c r="K4354" s="13"/>
      <c r="L4354" s="13"/>
      <c r="M4354" s="12"/>
      <c r="N4354" s="12"/>
      <c r="O4354" s="12"/>
      <c r="P4354" s="13"/>
      <c r="Q4354" s="13"/>
      <c r="R4354" s="12"/>
      <c r="S4354" s="12"/>
      <c r="T4354" s="12"/>
      <c r="U4354" s="14"/>
      <c r="V4354" s="15"/>
      <c r="W4354" s="16" t="n">
        <f aca="false">A4354</f>
        <v>0</v>
      </c>
      <c r="X4354" s="17" t="e">
        <f aca="false">ifs(C4354="","",X4354="",NOW(),TRUE(),X4354)</f>
        <v>#VALUE!</v>
      </c>
      <c r="Y4354" s="17" t="e">
        <f aca="false">ifs(COUNTA(K4354:U4357)&lt;44,"",Y4354="",NOW(),TRUE(),Y4354)</f>
        <v>#VALUE!</v>
      </c>
    </row>
    <row r="4355" customFormat="false" ht="15.75" hidden="false" customHeight="false" outlineLevel="0" collapsed="false">
      <c r="A4355" s="9"/>
      <c r="B4355" s="10"/>
      <c r="C4355" s="10"/>
      <c r="D4355" s="10"/>
      <c r="E4355" s="10"/>
      <c r="F4355" s="10"/>
      <c r="G4355" s="10"/>
      <c r="H4355" s="10"/>
      <c r="I4355" s="18" t="n">
        <v>2</v>
      </c>
      <c r="J4355" s="18"/>
      <c r="K4355" s="19"/>
      <c r="L4355" s="19"/>
      <c r="M4355" s="18"/>
      <c r="N4355" s="18"/>
      <c r="O4355" s="18"/>
      <c r="P4355" s="19"/>
      <c r="Q4355" s="19"/>
      <c r="R4355" s="18"/>
      <c r="S4355" s="18"/>
      <c r="T4355" s="18"/>
      <c r="U4355" s="20"/>
      <c r="V4355" s="21"/>
      <c r="W4355" s="16"/>
      <c r="X4355" s="16"/>
      <c r="Y4355" s="16"/>
    </row>
    <row r="4356" customFormat="false" ht="15.75" hidden="false" customHeight="false" outlineLevel="0" collapsed="false">
      <c r="A4356" s="9"/>
      <c r="B4356" s="10"/>
      <c r="C4356" s="10"/>
      <c r="D4356" s="10"/>
      <c r="E4356" s="10"/>
      <c r="F4356" s="10"/>
      <c r="G4356" s="10"/>
      <c r="H4356" s="10"/>
      <c r="I4356" s="22" t="n">
        <v>3</v>
      </c>
      <c r="J4356" s="22"/>
      <c r="K4356" s="23"/>
      <c r="L4356" s="23"/>
      <c r="M4356" s="22"/>
      <c r="N4356" s="22"/>
      <c r="O4356" s="22"/>
      <c r="P4356" s="23"/>
      <c r="Q4356" s="23"/>
      <c r="R4356" s="22"/>
      <c r="S4356" s="22"/>
      <c r="T4356" s="22"/>
      <c r="U4356" s="24"/>
      <c r="V4356" s="15"/>
      <c r="W4356" s="16"/>
      <c r="X4356" s="16"/>
      <c r="Y4356" s="16"/>
    </row>
    <row r="4357" customFormat="false" ht="15.75" hidden="false" customHeight="false" outlineLevel="0" collapsed="false">
      <c r="A4357" s="9"/>
      <c r="B4357" s="10"/>
      <c r="C4357" s="10"/>
      <c r="D4357" s="10"/>
      <c r="E4357" s="10"/>
      <c r="F4357" s="10"/>
      <c r="G4357" s="10"/>
      <c r="H4357" s="10"/>
      <c r="I4357" s="25" t="n">
        <v>4</v>
      </c>
      <c r="J4357" s="25"/>
      <c r="K4357" s="26"/>
      <c r="L4357" s="26"/>
      <c r="M4357" s="25"/>
      <c r="N4357" s="25"/>
      <c r="O4357" s="25"/>
      <c r="P4357" s="26"/>
      <c r="Q4357" s="26"/>
      <c r="R4357" s="25"/>
      <c r="S4357" s="25"/>
      <c r="T4357" s="25"/>
      <c r="U4357" s="27"/>
      <c r="V4357" s="21"/>
      <c r="W4357" s="16"/>
      <c r="X4357" s="16"/>
      <c r="Y4357" s="16"/>
    </row>
    <row r="4358" customFormat="false" ht="15.75" hidden="false" customHeight="false" outlineLevel="0" collapsed="false">
      <c r="A4358" s="9"/>
      <c r="B4358" s="10"/>
      <c r="C4358" s="11"/>
      <c r="D4358" s="10"/>
      <c r="E4358" s="10"/>
      <c r="F4358" s="10"/>
      <c r="G4358" s="10"/>
      <c r="H4358" s="10"/>
      <c r="I4358" s="12" t="n">
        <v>1</v>
      </c>
      <c r="J4358" s="12"/>
      <c r="K4358" s="13"/>
      <c r="L4358" s="13"/>
      <c r="M4358" s="12"/>
      <c r="N4358" s="12"/>
      <c r="O4358" s="12"/>
      <c r="P4358" s="13"/>
      <c r="Q4358" s="13"/>
      <c r="R4358" s="12"/>
      <c r="S4358" s="12"/>
      <c r="T4358" s="12"/>
      <c r="U4358" s="14"/>
      <c r="V4358" s="15"/>
      <c r="W4358" s="16" t="n">
        <f aca="false">A4358</f>
        <v>0</v>
      </c>
      <c r="X4358" s="17" t="e">
        <f aca="false">ifs(C4358="","",X4358="",NOW(),TRUE(),X4358)</f>
        <v>#VALUE!</v>
      </c>
      <c r="Y4358" s="17" t="e">
        <f aca="false">ifs(COUNTA(K4358:U4361)&lt;44,"",Y4358="",NOW(),TRUE(),Y4358)</f>
        <v>#VALUE!</v>
      </c>
    </row>
    <row r="4359" customFormat="false" ht="15.75" hidden="false" customHeight="false" outlineLevel="0" collapsed="false">
      <c r="A4359" s="9"/>
      <c r="B4359" s="10"/>
      <c r="C4359" s="10"/>
      <c r="D4359" s="10"/>
      <c r="E4359" s="10"/>
      <c r="F4359" s="10"/>
      <c r="G4359" s="10"/>
      <c r="H4359" s="10"/>
      <c r="I4359" s="18" t="n">
        <v>2</v>
      </c>
      <c r="J4359" s="18"/>
      <c r="K4359" s="19"/>
      <c r="L4359" s="19"/>
      <c r="M4359" s="18"/>
      <c r="N4359" s="18"/>
      <c r="O4359" s="18"/>
      <c r="P4359" s="19"/>
      <c r="Q4359" s="19"/>
      <c r="R4359" s="18"/>
      <c r="S4359" s="18"/>
      <c r="T4359" s="18"/>
      <c r="U4359" s="20"/>
      <c r="V4359" s="21"/>
      <c r="W4359" s="16"/>
      <c r="X4359" s="16"/>
      <c r="Y4359" s="16"/>
    </row>
    <row r="4360" customFormat="false" ht="15.75" hidden="false" customHeight="false" outlineLevel="0" collapsed="false">
      <c r="A4360" s="9"/>
      <c r="B4360" s="10"/>
      <c r="C4360" s="10"/>
      <c r="D4360" s="10"/>
      <c r="E4360" s="10"/>
      <c r="F4360" s="10"/>
      <c r="G4360" s="10"/>
      <c r="H4360" s="10"/>
      <c r="I4360" s="22" t="n">
        <v>3</v>
      </c>
      <c r="J4360" s="22"/>
      <c r="K4360" s="23"/>
      <c r="L4360" s="23"/>
      <c r="M4360" s="22"/>
      <c r="N4360" s="22"/>
      <c r="O4360" s="22"/>
      <c r="P4360" s="23"/>
      <c r="Q4360" s="23"/>
      <c r="R4360" s="22"/>
      <c r="S4360" s="22"/>
      <c r="T4360" s="22"/>
      <c r="U4360" s="24"/>
      <c r="V4360" s="15"/>
      <c r="W4360" s="16"/>
      <c r="X4360" s="16"/>
      <c r="Y4360" s="16"/>
    </row>
    <row r="4361" customFormat="false" ht="15.75" hidden="false" customHeight="false" outlineLevel="0" collapsed="false">
      <c r="A4361" s="9"/>
      <c r="B4361" s="10"/>
      <c r="C4361" s="10"/>
      <c r="D4361" s="10"/>
      <c r="E4361" s="10"/>
      <c r="F4361" s="10"/>
      <c r="G4361" s="10"/>
      <c r="H4361" s="10"/>
      <c r="I4361" s="25" t="n">
        <v>4</v>
      </c>
      <c r="J4361" s="25"/>
      <c r="K4361" s="26"/>
      <c r="L4361" s="26"/>
      <c r="M4361" s="25"/>
      <c r="N4361" s="25"/>
      <c r="O4361" s="25"/>
      <c r="P4361" s="26"/>
      <c r="Q4361" s="26"/>
      <c r="R4361" s="25"/>
      <c r="S4361" s="25"/>
      <c r="T4361" s="25"/>
      <c r="U4361" s="27"/>
      <c r="V4361" s="21"/>
      <c r="W4361" s="16"/>
      <c r="X4361" s="16"/>
      <c r="Y4361" s="16"/>
    </row>
    <row r="4362" customFormat="false" ht="15.75" hidden="false" customHeight="false" outlineLevel="0" collapsed="false">
      <c r="A4362" s="9"/>
      <c r="B4362" s="10"/>
      <c r="C4362" s="11"/>
      <c r="D4362" s="10"/>
      <c r="E4362" s="10"/>
      <c r="F4362" s="10"/>
      <c r="G4362" s="10"/>
      <c r="H4362" s="10"/>
      <c r="I4362" s="12" t="n">
        <v>1</v>
      </c>
      <c r="J4362" s="12"/>
      <c r="K4362" s="13"/>
      <c r="L4362" s="13"/>
      <c r="M4362" s="12"/>
      <c r="N4362" s="12"/>
      <c r="O4362" s="12"/>
      <c r="P4362" s="13"/>
      <c r="Q4362" s="13"/>
      <c r="R4362" s="12"/>
      <c r="S4362" s="12"/>
      <c r="T4362" s="12"/>
      <c r="U4362" s="14"/>
      <c r="V4362" s="15"/>
      <c r="W4362" s="16" t="n">
        <f aca="false">A4362</f>
        <v>0</v>
      </c>
      <c r="X4362" s="17" t="e">
        <f aca="false">ifs(C4362="","",X4362="",NOW(),TRUE(),X4362)</f>
        <v>#VALUE!</v>
      </c>
      <c r="Y4362" s="17" t="e">
        <f aca="false">ifs(COUNTA(K4362:U4365)&lt;44,"",Y4362="",NOW(),TRUE(),Y4362)</f>
        <v>#VALUE!</v>
      </c>
    </row>
    <row r="4363" customFormat="false" ht="15.75" hidden="false" customHeight="false" outlineLevel="0" collapsed="false">
      <c r="A4363" s="9"/>
      <c r="B4363" s="10"/>
      <c r="C4363" s="10"/>
      <c r="D4363" s="10"/>
      <c r="E4363" s="10"/>
      <c r="F4363" s="10"/>
      <c r="G4363" s="10"/>
      <c r="H4363" s="10"/>
      <c r="I4363" s="18" t="n">
        <v>2</v>
      </c>
      <c r="J4363" s="18"/>
      <c r="K4363" s="19"/>
      <c r="L4363" s="19"/>
      <c r="M4363" s="18"/>
      <c r="N4363" s="18"/>
      <c r="O4363" s="18"/>
      <c r="P4363" s="19"/>
      <c r="Q4363" s="19"/>
      <c r="R4363" s="18"/>
      <c r="S4363" s="18"/>
      <c r="T4363" s="18"/>
      <c r="U4363" s="20"/>
      <c r="V4363" s="21"/>
      <c r="W4363" s="16"/>
      <c r="X4363" s="16"/>
      <c r="Y4363" s="16"/>
    </row>
    <row r="4364" customFormat="false" ht="15.75" hidden="false" customHeight="false" outlineLevel="0" collapsed="false">
      <c r="A4364" s="9"/>
      <c r="B4364" s="10"/>
      <c r="C4364" s="10"/>
      <c r="D4364" s="10"/>
      <c r="E4364" s="10"/>
      <c r="F4364" s="10"/>
      <c r="G4364" s="10"/>
      <c r="H4364" s="10"/>
      <c r="I4364" s="22" t="n">
        <v>3</v>
      </c>
      <c r="J4364" s="22"/>
      <c r="K4364" s="23"/>
      <c r="L4364" s="23"/>
      <c r="M4364" s="22"/>
      <c r="N4364" s="22"/>
      <c r="O4364" s="22"/>
      <c r="P4364" s="23"/>
      <c r="Q4364" s="23"/>
      <c r="R4364" s="22"/>
      <c r="S4364" s="22"/>
      <c r="T4364" s="22"/>
      <c r="U4364" s="24"/>
      <c r="V4364" s="15"/>
      <c r="W4364" s="16"/>
      <c r="X4364" s="16"/>
      <c r="Y4364" s="16"/>
    </row>
    <row r="4365" customFormat="false" ht="15.75" hidden="false" customHeight="false" outlineLevel="0" collapsed="false">
      <c r="A4365" s="9"/>
      <c r="B4365" s="10"/>
      <c r="C4365" s="10"/>
      <c r="D4365" s="10"/>
      <c r="E4365" s="10"/>
      <c r="F4365" s="10"/>
      <c r="G4365" s="10"/>
      <c r="H4365" s="10"/>
      <c r="I4365" s="25" t="n">
        <v>4</v>
      </c>
      <c r="J4365" s="25"/>
      <c r="K4365" s="26"/>
      <c r="L4365" s="26"/>
      <c r="M4365" s="25"/>
      <c r="N4365" s="25"/>
      <c r="O4365" s="25"/>
      <c r="P4365" s="26"/>
      <c r="Q4365" s="26"/>
      <c r="R4365" s="25"/>
      <c r="S4365" s="25"/>
      <c r="T4365" s="25"/>
      <c r="U4365" s="27"/>
      <c r="V4365" s="21"/>
      <c r="W4365" s="16"/>
      <c r="X4365" s="16"/>
      <c r="Y4365" s="16"/>
    </row>
    <row r="4366" customFormat="false" ht="15.75" hidden="false" customHeight="false" outlineLevel="0" collapsed="false">
      <c r="A4366" s="9"/>
      <c r="B4366" s="10"/>
      <c r="C4366" s="11"/>
      <c r="D4366" s="10"/>
      <c r="E4366" s="10"/>
      <c r="F4366" s="10"/>
      <c r="G4366" s="10"/>
      <c r="H4366" s="10"/>
      <c r="I4366" s="12" t="n">
        <v>1</v>
      </c>
      <c r="J4366" s="12"/>
      <c r="K4366" s="13"/>
      <c r="L4366" s="13"/>
      <c r="M4366" s="12"/>
      <c r="N4366" s="12"/>
      <c r="O4366" s="12"/>
      <c r="P4366" s="13"/>
      <c r="Q4366" s="13"/>
      <c r="R4366" s="12"/>
      <c r="S4366" s="12"/>
      <c r="T4366" s="12"/>
      <c r="U4366" s="14"/>
      <c r="V4366" s="15"/>
      <c r="W4366" s="16" t="n">
        <f aca="false">A4366</f>
        <v>0</v>
      </c>
      <c r="X4366" s="17" t="e">
        <f aca="false">ifs(C4366="","",X4366="",NOW(),TRUE(),X4366)</f>
        <v>#VALUE!</v>
      </c>
      <c r="Y4366" s="17" t="e">
        <f aca="false">ifs(COUNTA(K4366:U4369)&lt;44,"",Y4366="",NOW(),TRUE(),Y4366)</f>
        <v>#VALUE!</v>
      </c>
    </row>
    <row r="4367" customFormat="false" ht="15.75" hidden="false" customHeight="false" outlineLevel="0" collapsed="false">
      <c r="A4367" s="9"/>
      <c r="B4367" s="10"/>
      <c r="C4367" s="10"/>
      <c r="D4367" s="10"/>
      <c r="E4367" s="10"/>
      <c r="F4367" s="10"/>
      <c r="G4367" s="10"/>
      <c r="H4367" s="10"/>
      <c r="I4367" s="18" t="n">
        <v>2</v>
      </c>
      <c r="J4367" s="18"/>
      <c r="K4367" s="19"/>
      <c r="L4367" s="19"/>
      <c r="M4367" s="18"/>
      <c r="N4367" s="18"/>
      <c r="O4367" s="18"/>
      <c r="P4367" s="19"/>
      <c r="Q4367" s="19"/>
      <c r="R4367" s="18"/>
      <c r="S4367" s="18"/>
      <c r="T4367" s="18"/>
      <c r="U4367" s="20"/>
      <c r="V4367" s="21"/>
      <c r="W4367" s="16"/>
      <c r="X4367" s="16"/>
      <c r="Y4367" s="16"/>
    </row>
    <row r="4368" customFormat="false" ht="15.75" hidden="false" customHeight="false" outlineLevel="0" collapsed="false">
      <c r="A4368" s="9"/>
      <c r="B4368" s="10"/>
      <c r="C4368" s="10"/>
      <c r="D4368" s="10"/>
      <c r="E4368" s="10"/>
      <c r="F4368" s="10"/>
      <c r="G4368" s="10"/>
      <c r="H4368" s="10"/>
      <c r="I4368" s="22" t="n">
        <v>3</v>
      </c>
      <c r="J4368" s="22"/>
      <c r="K4368" s="23"/>
      <c r="L4368" s="23"/>
      <c r="M4368" s="22"/>
      <c r="N4368" s="22"/>
      <c r="O4368" s="22"/>
      <c r="P4368" s="23"/>
      <c r="Q4368" s="23"/>
      <c r="R4368" s="22"/>
      <c r="S4368" s="22"/>
      <c r="T4368" s="22"/>
      <c r="U4368" s="24"/>
      <c r="V4368" s="15"/>
      <c r="W4368" s="16"/>
      <c r="X4368" s="16"/>
      <c r="Y4368" s="16"/>
    </row>
    <row r="4369" customFormat="false" ht="15.75" hidden="false" customHeight="false" outlineLevel="0" collapsed="false">
      <c r="A4369" s="9"/>
      <c r="B4369" s="10"/>
      <c r="C4369" s="10"/>
      <c r="D4369" s="10"/>
      <c r="E4369" s="10"/>
      <c r="F4369" s="10"/>
      <c r="G4369" s="10"/>
      <c r="H4369" s="10"/>
      <c r="I4369" s="25" t="n">
        <v>4</v>
      </c>
      <c r="J4369" s="25"/>
      <c r="K4369" s="26"/>
      <c r="L4369" s="26"/>
      <c r="M4369" s="25"/>
      <c r="N4369" s="25"/>
      <c r="O4369" s="25"/>
      <c r="P4369" s="26"/>
      <c r="Q4369" s="26"/>
      <c r="R4369" s="25"/>
      <c r="S4369" s="25"/>
      <c r="T4369" s="25"/>
      <c r="U4369" s="27"/>
      <c r="V4369" s="21"/>
      <c r="W4369" s="16"/>
      <c r="X4369" s="16"/>
      <c r="Y4369" s="16"/>
    </row>
    <row r="4370" customFormat="false" ht="15.75" hidden="false" customHeight="false" outlineLevel="0" collapsed="false">
      <c r="A4370" s="9"/>
      <c r="B4370" s="10"/>
      <c r="C4370" s="11"/>
      <c r="D4370" s="10"/>
      <c r="E4370" s="10"/>
      <c r="F4370" s="10"/>
      <c r="G4370" s="10"/>
      <c r="H4370" s="10"/>
      <c r="I4370" s="12" t="n">
        <v>1</v>
      </c>
      <c r="J4370" s="12"/>
      <c r="K4370" s="13"/>
      <c r="L4370" s="13"/>
      <c r="M4370" s="12"/>
      <c r="N4370" s="12"/>
      <c r="O4370" s="12"/>
      <c r="P4370" s="13"/>
      <c r="Q4370" s="13"/>
      <c r="R4370" s="12"/>
      <c r="S4370" s="12"/>
      <c r="T4370" s="12"/>
      <c r="U4370" s="14"/>
      <c r="V4370" s="15"/>
      <c r="W4370" s="16" t="n">
        <f aca="false">A4370</f>
        <v>0</v>
      </c>
      <c r="X4370" s="17" t="e">
        <f aca="false">ifs(C4370="","",X4370="",NOW(),TRUE(),X4370)</f>
        <v>#VALUE!</v>
      </c>
      <c r="Y4370" s="17" t="e">
        <f aca="false">ifs(COUNTA(K4370:U4373)&lt;44,"",Y4370="",NOW(),TRUE(),Y4370)</f>
        <v>#VALUE!</v>
      </c>
    </row>
    <row r="4371" customFormat="false" ht="15.75" hidden="false" customHeight="false" outlineLevel="0" collapsed="false">
      <c r="A4371" s="9"/>
      <c r="B4371" s="10"/>
      <c r="C4371" s="10"/>
      <c r="D4371" s="10"/>
      <c r="E4371" s="10"/>
      <c r="F4371" s="10"/>
      <c r="G4371" s="10"/>
      <c r="H4371" s="10"/>
      <c r="I4371" s="18" t="n">
        <v>2</v>
      </c>
      <c r="J4371" s="18"/>
      <c r="K4371" s="19"/>
      <c r="L4371" s="19"/>
      <c r="M4371" s="18"/>
      <c r="N4371" s="18"/>
      <c r="O4371" s="18"/>
      <c r="P4371" s="19"/>
      <c r="Q4371" s="19"/>
      <c r="R4371" s="18"/>
      <c r="S4371" s="18"/>
      <c r="T4371" s="18"/>
      <c r="U4371" s="20"/>
      <c r="V4371" s="21"/>
      <c r="W4371" s="16"/>
      <c r="X4371" s="16"/>
      <c r="Y4371" s="16"/>
    </row>
    <row r="4372" customFormat="false" ht="15.75" hidden="false" customHeight="false" outlineLevel="0" collapsed="false">
      <c r="A4372" s="9"/>
      <c r="B4372" s="10"/>
      <c r="C4372" s="10"/>
      <c r="D4372" s="10"/>
      <c r="E4372" s="10"/>
      <c r="F4372" s="10"/>
      <c r="G4372" s="10"/>
      <c r="H4372" s="10"/>
      <c r="I4372" s="22" t="n">
        <v>3</v>
      </c>
      <c r="J4372" s="22"/>
      <c r="K4372" s="23"/>
      <c r="L4372" s="23"/>
      <c r="M4372" s="22"/>
      <c r="N4372" s="22"/>
      <c r="O4372" s="22"/>
      <c r="P4372" s="23"/>
      <c r="Q4372" s="23"/>
      <c r="R4372" s="22"/>
      <c r="S4372" s="22"/>
      <c r="T4372" s="22"/>
      <c r="U4372" s="24"/>
      <c r="V4372" s="15"/>
      <c r="W4372" s="16"/>
      <c r="X4372" s="16"/>
      <c r="Y4372" s="16"/>
    </row>
    <row r="4373" customFormat="false" ht="15.75" hidden="false" customHeight="false" outlineLevel="0" collapsed="false">
      <c r="A4373" s="9"/>
      <c r="B4373" s="10"/>
      <c r="C4373" s="10"/>
      <c r="D4373" s="10"/>
      <c r="E4373" s="10"/>
      <c r="F4373" s="10"/>
      <c r="G4373" s="10"/>
      <c r="H4373" s="10"/>
      <c r="I4373" s="25" t="n">
        <v>4</v>
      </c>
      <c r="J4373" s="25"/>
      <c r="K4373" s="26"/>
      <c r="L4373" s="26"/>
      <c r="M4373" s="25"/>
      <c r="N4373" s="25"/>
      <c r="O4373" s="25"/>
      <c r="P4373" s="26"/>
      <c r="Q4373" s="26"/>
      <c r="R4373" s="25"/>
      <c r="S4373" s="25"/>
      <c r="T4373" s="25"/>
      <c r="U4373" s="27"/>
      <c r="V4373" s="21"/>
      <c r="W4373" s="16"/>
      <c r="X4373" s="16"/>
      <c r="Y4373" s="16"/>
    </row>
    <row r="4374" customFormat="false" ht="15.75" hidden="false" customHeight="false" outlineLevel="0" collapsed="false">
      <c r="A4374" s="9"/>
      <c r="B4374" s="10"/>
      <c r="C4374" s="11"/>
      <c r="D4374" s="10"/>
      <c r="E4374" s="10"/>
      <c r="F4374" s="10"/>
      <c r="G4374" s="10"/>
      <c r="H4374" s="10"/>
      <c r="I4374" s="12" t="n">
        <v>1</v>
      </c>
      <c r="J4374" s="12"/>
      <c r="K4374" s="13"/>
      <c r="L4374" s="13"/>
      <c r="M4374" s="12"/>
      <c r="N4374" s="12"/>
      <c r="O4374" s="12"/>
      <c r="P4374" s="13"/>
      <c r="Q4374" s="13"/>
      <c r="R4374" s="12"/>
      <c r="S4374" s="12"/>
      <c r="T4374" s="12"/>
      <c r="U4374" s="14"/>
      <c r="V4374" s="15"/>
      <c r="W4374" s="16" t="n">
        <f aca="false">A4374</f>
        <v>0</v>
      </c>
      <c r="X4374" s="17" t="e">
        <f aca="false">ifs(C4374="","",X4374="",NOW(),TRUE(),X4374)</f>
        <v>#VALUE!</v>
      </c>
      <c r="Y4374" s="17" t="e">
        <f aca="false">ifs(COUNTA(K4374:U4377)&lt;44,"",Y4374="",NOW(),TRUE(),Y4374)</f>
        <v>#VALUE!</v>
      </c>
    </row>
    <row r="4375" customFormat="false" ht="15.75" hidden="false" customHeight="false" outlineLevel="0" collapsed="false">
      <c r="A4375" s="9"/>
      <c r="B4375" s="10"/>
      <c r="C4375" s="10"/>
      <c r="D4375" s="10"/>
      <c r="E4375" s="10"/>
      <c r="F4375" s="10"/>
      <c r="G4375" s="10"/>
      <c r="H4375" s="10"/>
      <c r="I4375" s="18" t="n">
        <v>2</v>
      </c>
      <c r="J4375" s="18"/>
      <c r="K4375" s="19"/>
      <c r="L4375" s="19"/>
      <c r="M4375" s="18"/>
      <c r="N4375" s="18"/>
      <c r="O4375" s="18"/>
      <c r="P4375" s="19"/>
      <c r="Q4375" s="19"/>
      <c r="R4375" s="18"/>
      <c r="S4375" s="18"/>
      <c r="T4375" s="18"/>
      <c r="U4375" s="20"/>
      <c r="V4375" s="21"/>
      <c r="W4375" s="16"/>
      <c r="X4375" s="16"/>
      <c r="Y4375" s="16"/>
    </row>
    <row r="4376" customFormat="false" ht="15.75" hidden="false" customHeight="false" outlineLevel="0" collapsed="false">
      <c r="A4376" s="9"/>
      <c r="B4376" s="10"/>
      <c r="C4376" s="10"/>
      <c r="D4376" s="10"/>
      <c r="E4376" s="10"/>
      <c r="F4376" s="10"/>
      <c r="G4376" s="10"/>
      <c r="H4376" s="10"/>
      <c r="I4376" s="22" t="n">
        <v>3</v>
      </c>
      <c r="J4376" s="22"/>
      <c r="K4376" s="23"/>
      <c r="L4376" s="23"/>
      <c r="M4376" s="22"/>
      <c r="N4376" s="22"/>
      <c r="O4376" s="22"/>
      <c r="P4376" s="23"/>
      <c r="Q4376" s="23"/>
      <c r="R4376" s="22"/>
      <c r="S4376" s="22"/>
      <c r="T4376" s="22"/>
      <c r="U4376" s="24"/>
      <c r="V4376" s="15"/>
      <c r="W4376" s="16"/>
      <c r="X4376" s="16"/>
      <c r="Y4376" s="16"/>
    </row>
    <row r="4377" customFormat="false" ht="15.75" hidden="false" customHeight="false" outlineLevel="0" collapsed="false">
      <c r="A4377" s="9"/>
      <c r="B4377" s="10"/>
      <c r="C4377" s="10"/>
      <c r="D4377" s="10"/>
      <c r="E4377" s="10"/>
      <c r="F4377" s="10"/>
      <c r="G4377" s="10"/>
      <c r="H4377" s="10"/>
      <c r="I4377" s="25" t="n">
        <v>4</v>
      </c>
      <c r="J4377" s="25"/>
      <c r="K4377" s="26"/>
      <c r="L4377" s="26"/>
      <c r="M4377" s="25"/>
      <c r="N4377" s="25"/>
      <c r="O4377" s="25"/>
      <c r="P4377" s="26"/>
      <c r="Q4377" s="26"/>
      <c r="R4377" s="25"/>
      <c r="S4377" s="25"/>
      <c r="T4377" s="25"/>
      <c r="U4377" s="27"/>
      <c r="V4377" s="21"/>
      <c r="W4377" s="16"/>
      <c r="X4377" s="16"/>
      <c r="Y4377" s="16"/>
    </row>
    <row r="4378" customFormat="false" ht="15.75" hidden="false" customHeight="false" outlineLevel="0" collapsed="false">
      <c r="A4378" s="9"/>
      <c r="B4378" s="10"/>
      <c r="C4378" s="11"/>
      <c r="D4378" s="10"/>
      <c r="E4378" s="10"/>
      <c r="F4378" s="10"/>
      <c r="G4378" s="10"/>
      <c r="H4378" s="10"/>
      <c r="I4378" s="12" t="n">
        <v>1</v>
      </c>
      <c r="J4378" s="12"/>
      <c r="K4378" s="13"/>
      <c r="L4378" s="13"/>
      <c r="M4378" s="12"/>
      <c r="N4378" s="12"/>
      <c r="O4378" s="12"/>
      <c r="P4378" s="13"/>
      <c r="Q4378" s="13"/>
      <c r="R4378" s="12"/>
      <c r="S4378" s="12"/>
      <c r="T4378" s="12"/>
      <c r="U4378" s="14"/>
      <c r="V4378" s="15"/>
      <c r="W4378" s="16" t="n">
        <f aca="false">A4378</f>
        <v>0</v>
      </c>
      <c r="X4378" s="17" t="e">
        <f aca="false">ifs(C4378="","",X4378="",NOW(),TRUE(),X4378)</f>
        <v>#VALUE!</v>
      </c>
      <c r="Y4378" s="17" t="e">
        <f aca="false">ifs(COUNTA(K4378:U4381)&lt;44,"",Y4378="",NOW(),TRUE(),Y4378)</f>
        <v>#VALUE!</v>
      </c>
    </row>
    <row r="4379" customFormat="false" ht="15.75" hidden="false" customHeight="false" outlineLevel="0" collapsed="false">
      <c r="A4379" s="9"/>
      <c r="B4379" s="10"/>
      <c r="C4379" s="10"/>
      <c r="D4379" s="10"/>
      <c r="E4379" s="10"/>
      <c r="F4379" s="10"/>
      <c r="G4379" s="10"/>
      <c r="H4379" s="10"/>
      <c r="I4379" s="18" t="n">
        <v>2</v>
      </c>
      <c r="J4379" s="18"/>
      <c r="K4379" s="19"/>
      <c r="L4379" s="19"/>
      <c r="M4379" s="18"/>
      <c r="N4379" s="18"/>
      <c r="O4379" s="18"/>
      <c r="P4379" s="19"/>
      <c r="Q4379" s="19"/>
      <c r="R4379" s="18"/>
      <c r="S4379" s="18"/>
      <c r="T4379" s="18"/>
      <c r="U4379" s="20"/>
      <c r="V4379" s="21"/>
      <c r="W4379" s="16"/>
      <c r="X4379" s="16"/>
      <c r="Y4379" s="16"/>
    </row>
    <row r="4380" customFormat="false" ht="15.75" hidden="false" customHeight="false" outlineLevel="0" collapsed="false">
      <c r="A4380" s="9"/>
      <c r="B4380" s="10"/>
      <c r="C4380" s="10"/>
      <c r="D4380" s="10"/>
      <c r="E4380" s="10"/>
      <c r="F4380" s="10"/>
      <c r="G4380" s="10"/>
      <c r="H4380" s="10"/>
      <c r="I4380" s="22" t="n">
        <v>3</v>
      </c>
      <c r="J4380" s="22"/>
      <c r="K4380" s="23"/>
      <c r="L4380" s="23"/>
      <c r="M4380" s="22"/>
      <c r="N4380" s="22"/>
      <c r="O4380" s="22"/>
      <c r="P4380" s="23"/>
      <c r="Q4380" s="23"/>
      <c r="R4380" s="22"/>
      <c r="S4380" s="22"/>
      <c r="T4380" s="22"/>
      <c r="U4380" s="24"/>
      <c r="V4380" s="15"/>
      <c r="W4380" s="16"/>
      <c r="X4380" s="16"/>
      <c r="Y4380" s="16"/>
    </row>
    <row r="4381" customFormat="false" ht="15.75" hidden="false" customHeight="false" outlineLevel="0" collapsed="false">
      <c r="A4381" s="9"/>
      <c r="B4381" s="10"/>
      <c r="C4381" s="10"/>
      <c r="D4381" s="10"/>
      <c r="E4381" s="10"/>
      <c r="F4381" s="10"/>
      <c r="G4381" s="10"/>
      <c r="H4381" s="10"/>
      <c r="I4381" s="25" t="n">
        <v>4</v>
      </c>
      <c r="J4381" s="25"/>
      <c r="K4381" s="26"/>
      <c r="L4381" s="26"/>
      <c r="M4381" s="25"/>
      <c r="N4381" s="25"/>
      <c r="O4381" s="25"/>
      <c r="P4381" s="26"/>
      <c r="Q4381" s="26"/>
      <c r="R4381" s="25"/>
      <c r="S4381" s="25"/>
      <c r="T4381" s="25"/>
      <c r="U4381" s="27"/>
      <c r="V4381" s="21"/>
      <c r="W4381" s="16"/>
      <c r="X4381" s="16"/>
      <c r="Y4381" s="16"/>
    </row>
    <row r="4382" customFormat="false" ht="15.75" hidden="false" customHeight="false" outlineLevel="0" collapsed="false">
      <c r="A4382" s="9"/>
      <c r="B4382" s="10"/>
      <c r="C4382" s="11"/>
      <c r="D4382" s="10"/>
      <c r="E4382" s="10"/>
      <c r="F4382" s="10"/>
      <c r="G4382" s="10"/>
      <c r="H4382" s="10"/>
      <c r="I4382" s="12" t="n">
        <v>1</v>
      </c>
      <c r="J4382" s="12"/>
      <c r="K4382" s="13"/>
      <c r="L4382" s="13"/>
      <c r="M4382" s="12"/>
      <c r="N4382" s="12"/>
      <c r="O4382" s="12"/>
      <c r="P4382" s="13"/>
      <c r="Q4382" s="13"/>
      <c r="R4382" s="12"/>
      <c r="S4382" s="12"/>
      <c r="T4382" s="12"/>
      <c r="U4382" s="14"/>
      <c r="V4382" s="15"/>
      <c r="W4382" s="16" t="n">
        <f aca="false">A4382</f>
        <v>0</v>
      </c>
      <c r="X4382" s="17" t="e">
        <f aca="false">ifs(C4382="","",X4382="",NOW(),TRUE(),X4382)</f>
        <v>#VALUE!</v>
      </c>
      <c r="Y4382" s="17" t="e">
        <f aca="false">ifs(COUNTA(K4382:U4385)&lt;44,"",Y4382="",NOW(),TRUE(),Y4382)</f>
        <v>#VALUE!</v>
      </c>
    </row>
    <row r="4383" customFormat="false" ht="15.75" hidden="false" customHeight="false" outlineLevel="0" collapsed="false">
      <c r="A4383" s="9"/>
      <c r="B4383" s="10"/>
      <c r="C4383" s="10"/>
      <c r="D4383" s="10"/>
      <c r="E4383" s="10"/>
      <c r="F4383" s="10"/>
      <c r="G4383" s="10"/>
      <c r="H4383" s="10"/>
      <c r="I4383" s="18" t="n">
        <v>2</v>
      </c>
      <c r="J4383" s="18"/>
      <c r="K4383" s="19"/>
      <c r="L4383" s="19"/>
      <c r="M4383" s="18"/>
      <c r="N4383" s="18"/>
      <c r="O4383" s="18"/>
      <c r="P4383" s="19"/>
      <c r="Q4383" s="19"/>
      <c r="R4383" s="18"/>
      <c r="S4383" s="18"/>
      <c r="T4383" s="18"/>
      <c r="U4383" s="20"/>
      <c r="V4383" s="21"/>
      <c r="W4383" s="16"/>
      <c r="X4383" s="16"/>
      <c r="Y4383" s="16"/>
    </row>
    <row r="4384" customFormat="false" ht="15.75" hidden="false" customHeight="false" outlineLevel="0" collapsed="false">
      <c r="A4384" s="9"/>
      <c r="B4384" s="10"/>
      <c r="C4384" s="10"/>
      <c r="D4384" s="10"/>
      <c r="E4384" s="10"/>
      <c r="F4384" s="10"/>
      <c r="G4384" s="10"/>
      <c r="H4384" s="10"/>
      <c r="I4384" s="22" t="n">
        <v>3</v>
      </c>
      <c r="J4384" s="22"/>
      <c r="K4384" s="23"/>
      <c r="L4384" s="23"/>
      <c r="M4384" s="22"/>
      <c r="N4384" s="22"/>
      <c r="O4384" s="22"/>
      <c r="P4384" s="23"/>
      <c r="Q4384" s="23"/>
      <c r="R4384" s="22"/>
      <c r="S4384" s="22"/>
      <c r="T4384" s="22"/>
      <c r="U4384" s="24"/>
      <c r="V4384" s="15"/>
      <c r="W4384" s="16"/>
      <c r="X4384" s="16"/>
      <c r="Y4384" s="16"/>
    </row>
    <row r="4385" customFormat="false" ht="15.75" hidden="false" customHeight="false" outlineLevel="0" collapsed="false">
      <c r="A4385" s="9"/>
      <c r="B4385" s="10"/>
      <c r="C4385" s="10"/>
      <c r="D4385" s="10"/>
      <c r="E4385" s="10"/>
      <c r="F4385" s="10"/>
      <c r="G4385" s="10"/>
      <c r="H4385" s="10"/>
      <c r="I4385" s="25" t="n">
        <v>4</v>
      </c>
      <c r="J4385" s="25"/>
      <c r="K4385" s="26"/>
      <c r="L4385" s="26"/>
      <c r="M4385" s="25"/>
      <c r="N4385" s="25"/>
      <c r="O4385" s="25"/>
      <c r="P4385" s="26"/>
      <c r="Q4385" s="26"/>
      <c r="R4385" s="25"/>
      <c r="S4385" s="25"/>
      <c r="T4385" s="25"/>
      <c r="U4385" s="27"/>
      <c r="V4385" s="21"/>
      <c r="W4385" s="16"/>
      <c r="X4385" s="16"/>
      <c r="Y4385" s="16"/>
    </row>
    <row r="4386" customFormat="false" ht="15.75" hidden="false" customHeight="false" outlineLevel="0" collapsed="false">
      <c r="A4386" s="9"/>
      <c r="B4386" s="10"/>
      <c r="C4386" s="11"/>
      <c r="D4386" s="10"/>
      <c r="E4386" s="10"/>
      <c r="F4386" s="10"/>
      <c r="G4386" s="10"/>
      <c r="H4386" s="10"/>
      <c r="I4386" s="12" t="n">
        <v>1</v>
      </c>
      <c r="J4386" s="12"/>
      <c r="K4386" s="13"/>
      <c r="L4386" s="13"/>
      <c r="M4386" s="12"/>
      <c r="N4386" s="12"/>
      <c r="O4386" s="12"/>
      <c r="P4386" s="13"/>
      <c r="Q4386" s="13"/>
      <c r="R4386" s="12"/>
      <c r="S4386" s="12"/>
      <c r="T4386" s="12"/>
      <c r="U4386" s="14"/>
      <c r="V4386" s="15"/>
      <c r="W4386" s="16" t="n">
        <f aca="false">A4386</f>
        <v>0</v>
      </c>
      <c r="X4386" s="17" t="e">
        <f aca="false">ifs(C4386="","",X4386="",NOW(),TRUE(),X4386)</f>
        <v>#VALUE!</v>
      </c>
      <c r="Y4386" s="17" t="e">
        <f aca="false">ifs(COUNTA(K4386:U4389)&lt;44,"",Y4386="",NOW(),TRUE(),Y4386)</f>
        <v>#VALUE!</v>
      </c>
    </row>
    <row r="4387" customFormat="false" ht="15.75" hidden="false" customHeight="false" outlineLevel="0" collapsed="false">
      <c r="A4387" s="9"/>
      <c r="B4387" s="10"/>
      <c r="C4387" s="10"/>
      <c r="D4387" s="10"/>
      <c r="E4387" s="10"/>
      <c r="F4387" s="10"/>
      <c r="G4387" s="10"/>
      <c r="H4387" s="10"/>
      <c r="I4387" s="18" t="n">
        <v>2</v>
      </c>
      <c r="J4387" s="18"/>
      <c r="K4387" s="19"/>
      <c r="L4387" s="19"/>
      <c r="M4387" s="18"/>
      <c r="N4387" s="18"/>
      <c r="O4387" s="18"/>
      <c r="P4387" s="19"/>
      <c r="Q4387" s="19"/>
      <c r="R4387" s="18"/>
      <c r="S4387" s="18"/>
      <c r="T4387" s="18"/>
      <c r="U4387" s="20"/>
      <c r="V4387" s="21"/>
      <c r="W4387" s="16"/>
      <c r="X4387" s="16"/>
      <c r="Y4387" s="16"/>
    </row>
    <row r="4388" customFormat="false" ht="15.75" hidden="false" customHeight="false" outlineLevel="0" collapsed="false">
      <c r="A4388" s="9"/>
      <c r="B4388" s="10"/>
      <c r="C4388" s="10"/>
      <c r="D4388" s="10"/>
      <c r="E4388" s="10"/>
      <c r="F4388" s="10"/>
      <c r="G4388" s="10"/>
      <c r="H4388" s="10"/>
      <c r="I4388" s="22" t="n">
        <v>3</v>
      </c>
      <c r="J4388" s="22"/>
      <c r="K4388" s="23"/>
      <c r="L4388" s="23"/>
      <c r="M4388" s="22"/>
      <c r="N4388" s="22"/>
      <c r="O4388" s="22"/>
      <c r="P4388" s="23"/>
      <c r="Q4388" s="23"/>
      <c r="R4388" s="22"/>
      <c r="S4388" s="22"/>
      <c r="T4388" s="22"/>
      <c r="U4388" s="24"/>
      <c r="V4388" s="15"/>
      <c r="W4388" s="16"/>
      <c r="X4388" s="16"/>
      <c r="Y4388" s="16"/>
    </row>
    <row r="4389" customFormat="false" ht="15.75" hidden="false" customHeight="false" outlineLevel="0" collapsed="false">
      <c r="A4389" s="9"/>
      <c r="B4389" s="10"/>
      <c r="C4389" s="10"/>
      <c r="D4389" s="10"/>
      <c r="E4389" s="10"/>
      <c r="F4389" s="10"/>
      <c r="G4389" s="10"/>
      <c r="H4389" s="10"/>
      <c r="I4389" s="25" t="n">
        <v>4</v>
      </c>
      <c r="J4389" s="25"/>
      <c r="K4389" s="26"/>
      <c r="L4389" s="26"/>
      <c r="M4389" s="25"/>
      <c r="N4389" s="25"/>
      <c r="O4389" s="25"/>
      <c r="P4389" s="26"/>
      <c r="Q4389" s="26"/>
      <c r="R4389" s="25"/>
      <c r="S4389" s="25"/>
      <c r="T4389" s="25"/>
      <c r="U4389" s="27"/>
      <c r="V4389" s="21"/>
      <c r="W4389" s="16"/>
      <c r="X4389" s="16"/>
      <c r="Y4389" s="16"/>
    </row>
    <row r="4390" customFormat="false" ht="15.75" hidden="false" customHeight="false" outlineLevel="0" collapsed="false">
      <c r="A4390" s="9"/>
      <c r="B4390" s="10"/>
      <c r="C4390" s="11"/>
      <c r="D4390" s="10"/>
      <c r="E4390" s="10"/>
      <c r="F4390" s="10"/>
      <c r="G4390" s="10"/>
      <c r="H4390" s="10"/>
      <c r="I4390" s="12" t="n">
        <v>1</v>
      </c>
      <c r="J4390" s="12"/>
      <c r="K4390" s="13"/>
      <c r="L4390" s="13"/>
      <c r="M4390" s="12"/>
      <c r="N4390" s="12"/>
      <c r="O4390" s="12"/>
      <c r="P4390" s="13"/>
      <c r="Q4390" s="13"/>
      <c r="R4390" s="12"/>
      <c r="S4390" s="12"/>
      <c r="T4390" s="12"/>
      <c r="U4390" s="14"/>
      <c r="V4390" s="15"/>
      <c r="W4390" s="16" t="n">
        <f aca="false">A4390</f>
        <v>0</v>
      </c>
      <c r="X4390" s="17" t="e">
        <f aca="false">ifs(C4390="","",X4390="",NOW(),TRUE(),X4390)</f>
        <v>#VALUE!</v>
      </c>
      <c r="Y4390" s="17" t="e">
        <f aca="false">ifs(COUNTA(K4390:U4393)&lt;44,"",Y4390="",NOW(),TRUE(),Y4390)</f>
        <v>#VALUE!</v>
      </c>
    </row>
    <row r="4391" customFormat="false" ht="15.75" hidden="false" customHeight="false" outlineLevel="0" collapsed="false">
      <c r="A4391" s="9"/>
      <c r="B4391" s="10"/>
      <c r="C4391" s="10"/>
      <c r="D4391" s="10"/>
      <c r="E4391" s="10"/>
      <c r="F4391" s="10"/>
      <c r="G4391" s="10"/>
      <c r="H4391" s="10"/>
      <c r="I4391" s="18" t="n">
        <v>2</v>
      </c>
      <c r="J4391" s="18"/>
      <c r="K4391" s="19"/>
      <c r="L4391" s="19"/>
      <c r="M4391" s="18"/>
      <c r="N4391" s="18"/>
      <c r="O4391" s="18"/>
      <c r="P4391" s="19"/>
      <c r="Q4391" s="19"/>
      <c r="R4391" s="18"/>
      <c r="S4391" s="18"/>
      <c r="T4391" s="18"/>
      <c r="U4391" s="20"/>
      <c r="V4391" s="21"/>
      <c r="W4391" s="16"/>
      <c r="X4391" s="16"/>
      <c r="Y4391" s="16"/>
    </row>
    <row r="4392" customFormat="false" ht="15.75" hidden="false" customHeight="false" outlineLevel="0" collapsed="false">
      <c r="A4392" s="9"/>
      <c r="B4392" s="10"/>
      <c r="C4392" s="10"/>
      <c r="D4392" s="10"/>
      <c r="E4392" s="10"/>
      <c r="F4392" s="10"/>
      <c r="G4392" s="10"/>
      <c r="H4392" s="10"/>
      <c r="I4392" s="22" t="n">
        <v>3</v>
      </c>
      <c r="J4392" s="22"/>
      <c r="K4392" s="23"/>
      <c r="L4392" s="23"/>
      <c r="M4392" s="22"/>
      <c r="N4392" s="22"/>
      <c r="O4392" s="22"/>
      <c r="P4392" s="23"/>
      <c r="Q4392" s="23"/>
      <c r="R4392" s="22"/>
      <c r="S4392" s="22"/>
      <c r="T4392" s="22"/>
      <c r="U4392" s="24"/>
      <c r="V4392" s="15"/>
      <c r="W4392" s="16"/>
      <c r="X4392" s="16"/>
      <c r="Y4392" s="16"/>
    </row>
    <row r="4393" customFormat="false" ht="15.75" hidden="false" customHeight="false" outlineLevel="0" collapsed="false">
      <c r="A4393" s="9"/>
      <c r="B4393" s="10"/>
      <c r="C4393" s="10"/>
      <c r="D4393" s="10"/>
      <c r="E4393" s="10"/>
      <c r="F4393" s="10"/>
      <c r="G4393" s="10"/>
      <c r="H4393" s="10"/>
      <c r="I4393" s="25" t="n">
        <v>4</v>
      </c>
      <c r="J4393" s="25"/>
      <c r="K4393" s="26"/>
      <c r="L4393" s="26"/>
      <c r="M4393" s="25"/>
      <c r="N4393" s="25"/>
      <c r="O4393" s="25"/>
      <c r="P4393" s="26"/>
      <c r="Q4393" s="26"/>
      <c r="R4393" s="25"/>
      <c r="S4393" s="25"/>
      <c r="T4393" s="25"/>
      <c r="U4393" s="27"/>
      <c r="V4393" s="21"/>
      <c r="W4393" s="16"/>
      <c r="X4393" s="16"/>
      <c r="Y4393" s="16"/>
    </row>
    <row r="4394" customFormat="false" ht="15.75" hidden="false" customHeight="false" outlineLevel="0" collapsed="false">
      <c r="A4394" s="9"/>
      <c r="B4394" s="10"/>
      <c r="C4394" s="11"/>
      <c r="D4394" s="10"/>
      <c r="E4394" s="10"/>
      <c r="F4394" s="10"/>
      <c r="G4394" s="10"/>
      <c r="H4394" s="10"/>
      <c r="I4394" s="12" t="n">
        <v>1</v>
      </c>
      <c r="J4394" s="12"/>
      <c r="K4394" s="13"/>
      <c r="L4394" s="13"/>
      <c r="M4394" s="12"/>
      <c r="N4394" s="12"/>
      <c r="O4394" s="12"/>
      <c r="P4394" s="13"/>
      <c r="Q4394" s="13"/>
      <c r="R4394" s="12"/>
      <c r="S4394" s="12"/>
      <c r="T4394" s="12"/>
      <c r="U4394" s="14"/>
      <c r="V4394" s="15"/>
      <c r="W4394" s="16" t="n">
        <f aca="false">A4394</f>
        <v>0</v>
      </c>
      <c r="X4394" s="17" t="e">
        <f aca="false">ifs(C4394="","",X4394="",NOW(),TRUE(),X4394)</f>
        <v>#VALUE!</v>
      </c>
      <c r="Y4394" s="17" t="e">
        <f aca="false">ifs(COUNTA(K4394:U4397)&lt;44,"",Y4394="",NOW(),TRUE(),Y4394)</f>
        <v>#VALUE!</v>
      </c>
    </row>
    <row r="4395" customFormat="false" ht="15.75" hidden="false" customHeight="false" outlineLevel="0" collapsed="false">
      <c r="A4395" s="9"/>
      <c r="B4395" s="10"/>
      <c r="C4395" s="10"/>
      <c r="D4395" s="10"/>
      <c r="E4395" s="10"/>
      <c r="F4395" s="10"/>
      <c r="G4395" s="10"/>
      <c r="H4395" s="10"/>
      <c r="I4395" s="18" t="n">
        <v>2</v>
      </c>
      <c r="J4395" s="18"/>
      <c r="K4395" s="19"/>
      <c r="L4395" s="19"/>
      <c r="M4395" s="18"/>
      <c r="N4395" s="18"/>
      <c r="O4395" s="18"/>
      <c r="P4395" s="19"/>
      <c r="Q4395" s="19"/>
      <c r="R4395" s="18"/>
      <c r="S4395" s="18"/>
      <c r="T4395" s="18"/>
      <c r="U4395" s="20"/>
      <c r="V4395" s="21"/>
      <c r="W4395" s="16"/>
      <c r="X4395" s="16"/>
      <c r="Y4395" s="16"/>
    </row>
    <row r="4396" customFormat="false" ht="15.75" hidden="false" customHeight="false" outlineLevel="0" collapsed="false">
      <c r="A4396" s="9"/>
      <c r="B4396" s="10"/>
      <c r="C4396" s="10"/>
      <c r="D4396" s="10"/>
      <c r="E4396" s="10"/>
      <c r="F4396" s="10"/>
      <c r="G4396" s="10"/>
      <c r="H4396" s="10"/>
      <c r="I4396" s="22" t="n">
        <v>3</v>
      </c>
      <c r="J4396" s="22"/>
      <c r="K4396" s="23"/>
      <c r="L4396" s="23"/>
      <c r="M4396" s="22"/>
      <c r="N4396" s="22"/>
      <c r="O4396" s="22"/>
      <c r="P4396" s="23"/>
      <c r="Q4396" s="23"/>
      <c r="R4396" s="22"/>
      <c r="S4396" s="22"/>
      <c r="T4396" s="22"/>
      <c r="U4396" s="24"/>
      <c r="V4396" s="15"/>
      <c r="W4396" s="16"/>
      <c r="X4396" s="16"/>
      <c r="Y4396" s="16"/>
    </row>
    <row r="4397" customFormat="false" ht="15.75" hidden="false" customHeight="false" outlineLevel="0" collapsed="false">
      <c r="A4397" s="9"/>
      <c r="B4397" s="10"/>
      <c r="C4397" s="10"/>
      <c r="D4397" s="10"/>
      <c r="E4397" s="10"/>
      <c r="F4397" s="10"/>
      <c r="G4397" s="10"/>
      <c r="H4397" s="10"/>
      <c r="I4397" s="25" t="n">
        <v>4</v>
      </c>
      <c r="J4397" s="25"/>
      <c r="K4397" s="26"/>
      <c r="L4397" s="26"/>
      <c r="M4397" s="25"/>
      <c r="N4397" s="25"/>
      <c r="O4397" s="25"/>
      <c r="P4397" s="26"/>
      <c r="Q4397" s="26"/>
      <c r="R4397" s="25"/>
      <c r="S4397" s="25"/>
      <c r="T4397" s="25"/>
      <c r="U4397" s="27"/>
      <c r="V4397" s="21"/>
      <c r="W4397" s="16"/>
      <c r="X4397" s="16"/>
      <c r="Y4397" s="16"/>
    </row>
    <row r="4398" customFormat="false" ht="15.75" hidden="false" customHeight="false" outlineLevel="0" collapsed="false">
      <c r="A4398" s="9"/>
      <c r="B4398" s="10"/>
      <c r="C4398" s="11"/>
      <c r="D4398" s="10"/>
      <c r="E4398" s="10"/>
      <c r="F4398" s="10"/>
      <c r="G4398" s="10"/>
      <c r="H4398" s="10"/>
      <c r="I4398" s="12" t="n">
        <v>1</v>
      </c>
      <c r="J4398" s="12"/>
      <c r="K4398" s="13"/>
      <c r="L4398" s="13"/>
      <c r="M4398" s="12"/>
      <c r="N4398" s="12"/>
      <c r="O4398" s="12"/>
      <c r="P4398" s="13"/>
      <c r="Q4398" s="13"/>
      <c r="R4398" s="12"/>
      <c r="S4398" s="12"/>
      <c r="T4398" s="12"/>
      <c r="U4398" s="14"/>
      <c r="V4398" s="15"/>
      <c r="W4398" s="16" t="n">
        <f aca="false">A4398</f>
        <v>0</v>
      </c>
      <c r="X4398" s="17" t="e">
        <f aca="false">ifs(C4398="","",X4398="",NOW(),TRUE(),X4398)</f>
        <v>#VALUE!</v>
      </c>
      <c r="Y4398" s="17" t="e">
        <f aca="false">ifs(COUNTA(K4398:U4401)&lt;44,"",Y4398="",NOW(),TRUE(),Y4398)</f>
        <v>#VALUE!</v>
      </c>
    </row>
    <row r="4399" customFormat="false" ht="15.75" hidden="false" customHeight="false" outlineLevel="0" collapsed="false">
      <c r="A4399" s="9"/>
      <c r="B4399" s="10"/>
      <c r="C4399" s="10"/>
      <c r="D4399" s="10"/>
      <c r="E4399" s="10"/>
      <c r="F4399" s="10"/>
      <c r="G4399" s="10"/>
      <c r="H4399" s="10"/>
      <c r="I4399" s="18" t="n">
        <v>2</v>
      </c>
      <c r="J4399" s="18"/>
      <c r="K4399" s="19"/>
      <c r="L4399" s="19"/>
      <c r="M4399" s="18"/>
      <c r="N4399" s="18"/>
      <c r="O4399" s="18"/>
      <c r="P4399" s="19"/>
      <c r="Q4399" s="19"/>
      <c r="R4399" s="18"/>
      <c r="S4399" s="18"/>
      <c r="T4399" s="18"/>
      <c r="U4399" s="20"/>
      <c r="V4399" s="21"/>
      <c r="W4399" s="16"/>
      <c r="X4399" s="16"/>
      <c r="Y4399" s="16"/>
    </row>
    <row r="4400" customFormat="false" ht="15.75" hidden="false" customHeight="false" outlineLevel="0" collapsed="false">
      <c r="A4400" s="9"/>
      <c r="B4400" s="10"/>
      <c r="C4400" s="10"/>
      <c r="D4400" s="10"/>
      <c r="E4400" s="10"/>
      <c r="F4400" s="10"/>
      <c r="G4400" s="10"/>
      <c r="H4400" s="10"/>
      <c r="I4400" s="22" t="n">
        <v>3</v>
      </c>
      <c r="J4400" s="22"/>
      <c r="K4400" s="23"/>
      <c r="L4400" s="23"/>
      <c r="M4400" s="22"/>
      <c r="N4400" s="22"/>
      <c r="O4400" s="22"/>
      <c r="P4400" s="23"/>
      <c r="Q4400" s="23"/>
      <c r="R4400" s="22"/>
      <c r="S4400" s="22"/>
      <c r="T4400" s="22"/>
      <c r="U4400" s="24"/>
      <c r="V4400" s="15"/>
      <c r="W4400" s="16"/>
      <c r="X4400" s="16"/>
      <c r="Y4400" s="16"/>
    </row>
    <row r="4401" customFormat="false" ht="15.75" hidden="false" customHeight="false" outlineLevel="0" collapsed="false">
      <c r="A4401" s="9"/>
      <c r="B4401" s="10"/>
      <c r="C4401" s="10"/>
      <c r="D4401" s="10"/>
      <c r="E4401" s="10"/>
      <c r="F4401" s="10"/>
      <c r="G4401" s="10"/>
      <c r="H4401" s="10"/>
      <c r="I4401" s="25" t="n">
        <v>4</v>
      </c>
      <c r="J4401" s="25"/>
      <c r="K4401" s="26"/>
      <c r="L4401" s="26"/>
      <c r="M4401" s="25"/>
      <c r="N4401" s="25"/>
      <c r="O4401" s="25"/>
      <c r="P4401" s="26"/>
      <c r="Q4401" s="26"/>
      <c r="R4401" s="25"/>
      <c r="S4401" s="25"/>
      <c r="T4401" s="25"/>
      <c r="U4401" s="27"/>
      <c r="V4401" s="21"/>
      <c r="W4401" s="16"/>
      <c r="X4401" s="16"/>
      <c r="Y4401" s="16"/>
    </row>
    <row r="4402" customFormat="false" ht="15.75" hidden="false" customHeight="false" outlineLevel="0" collapsed="false">
      <c r="A4402" s="9"/>
      <c r="B4402" s="10"/>
      <c r="C4402" s="11"/>
      <c r="D4402" s="10"/>
      <c r="E4402" s="10"/>
      <c r="F4402" s="10"/>
      <c r="G4402" s="10"/>
      <c r="H4402" s="10"/>
      <c r="I4402" s="12" t="n">
        <v>1</v>
      </c>
      <c r="J4402" s="12"/>
      <c r="K4402" s="13"/>
      <c r="L4402" s="13"/>
      <c r="M4402" s="12"/>
      <c r="N4402" s="12"/>
      <c r="O4402" s="12"/>
      <c r="P4402" s="13"/>
      <c r="Q4402" s="13"/>
      <c r="R4402" s="12"/>
      <c r="S4402" s="12"/>
      <c r="T4402" s="12"/>
      <c r="U4402" s="14"/>
      <c r="V4402" s="15"/>
      <c r="W4402" s="16" t="n">
        <f aca="false">A4402</f>
        <v>0</v>
      </c>
      <c r="X4402" s="17" t="e">
        <f aca="false">ifs(C4402="","",X4402="",NOW(),TRUE(),X4402)</f>
        <v>#VALUE!</v>
      </c>
      <c r="Y4402" s="17" t="e">
        <f aca="false">ifs(COUNTA(K4402:U4405)&lt;44,"",Y4402="",NOW(),TRUE(),Y4402)</f>
        <v>#VALUE!</v>
      </c>
    </row>
    <row r="4403" customFormat="false" ht="15.75" hidden="false" customHeight="false" outlineLevel="0" collapsed="false">
      <c r="A4403" s="9"/>
      <c r="B4403" s="10"/>
      <c r="C4403" s="10"/>
      <c r="D4403" s="10"/>
      <c r="E4403" s="10"/>
      <c r="F4403" s="10"/>
      <c r="G4403" s="10"/>
      <c r="H4403" s="10"/>
      <c r="I4403" s="18" t="n">
        <v>2</v>
      </c>
      <c r="J4403" s="18"/>
      <c r="K4403" s="19"/>
      <c r="L4403" s="19"/>
      <c r="M4403" s="18"/>
      <c r="N4403" s="18"/>
      <c r="O4403" s="18"/>
      <c r="P4403" s="19"/>
      <c r="Q4403" s="19"/>
      <c r="R4403" s="18"/>
      <c r="S4403" s="18"/>
      <c r="T4403" s="18"/>
      <c r="U4403" s="20"/>
      <c r="V4403" s="21"/>
      <c r="W4403" s="16"/>
      <c r="X4403" s="16"/>
      <c r="Y4403" s="16"/>
    </row>
    <row r="4404" customFormat="false" ht="15.75" hidden="false" customHeight="false" outlineLevel="0" collapsed="false">
      <c r="A4404" s="9"/>
      <c r="B4404" s="10"/>
      <c r="C4404" s="10"/>
      <c r="D4404" s="10"/>
      <c r="E4404" s="10"/>
      <c r="F4404" s="10"/>
      <c r="G4404" s="10"/>
      <c r="H4404" s="10"/>
      <c r="I4404" s="22" t="n">
        <v>3</v>
      </c>
      <c r="J4404" s="22"/>
      <c r="K4404" s="23"/>
      <c r="L4404" s="23"/>
      <c r="M4404" s="22"/>
      <c r="N4404" s="22"/>
      <c r="O4404" s="22"/>
      <c r="P4404" s="23"/>
      <c r="Q4404" s="23"/>
      <c r="R4404" s="22"/>
      <c r="S4404" s="22"/>
      <c r="T4404" s="22"/>
      <c r="U4404" s="24"/>
      <c r="V4404" s="15"/>
      <c r="W4404" s="16"/>
      <c r="X4404" s="16"/>
      <c r="Y4404" s="16"/>
    </row>
    <row r="4405" customFormat="false" ht="15.75" hidden="false" customHeight="false" outlineLevel="0" collapsed="false">
      <c r="A4405" s="9"/>
      <c r="B4405" s="10"/>
      <c r="C4405" s="10"/>
      <c r="D4405" s="10"/>
      <c r="E4405" s="10"/>
      <c r="F4405" s="10"/>
      <c r="G4405" s="10"/>
      <c r="H4405" s="10"/>
      <c r="I4405" s="25" t="n">
        <v>4</v>
      </c>
      <c r="J4405" s="25"/>
      <c r="K4405" s="26"/>
      <c r="L4405" s="26"/>
      <c r="M4405" s="25"/>
      <c r="N4405" s="25"/>
      <c r="O4405" s="25"/>
      <c r="P4405" s="26"/>
      <c r="Q4405" s="26"/>
      <c r="R4405" s="25"/>
      <c r="S4405" s="25"/>
      <c r="T4405" s="25"/>
      <c r="U4405" s="27"/>
      <c r="V4405" s="21"/>
      <c r="W4405" s="16"/>
      <c r="X4405" s="16"/>
      <c r="Y4405" s="16"/>
    </row>
    <row r="4406" customFormat="false" ht="15.75" hidden="false" customHeight="false" outlineLevel="0" collapsed="false">
      <c r="A4406" s="9"/>
      <c r="B4406" s="10"/>
      <c r="C4406" s="11"/>
      <c r="D4406" s="10"/>
      <c r="E4406" s="10"/>
      <c r="F4406" s="10"/>
      <c r="G4406" s="10"/>
      <c r="H4406" s="10"/>
      <c r="I4406" s="12" t="n">
        <v>1</v>
      </c>
      <c r="J4406" s="12"/>
      <c r="K4406" s="13"/>
      <c r="L4406" s="13"/>
      <c r="M4406" s="12"/>
      <c r="N4406" s="12"/>
      <c r="O4406" s="12"/>
      <c r="P4406" s="13"/>
      <c r="Q4406" s="13"/>
      <c r="R4406" s="12"/>
      <c r="S4406" s="12"/>
      <c r="T4406" s="12"/>
      <c r="U4406" s="14"/>
      <c r="V4406" s="15"/>
      <c r="W4406" s="16" t="n">
        <f aca="false">A4406</f>
        <v>0</v>
      </c>
      <c r="X4406" s="17" t="e">
        <f aca="false">ifs(C4406="","",X4406="",NOW(),TRUE(),X4406)</f>
        <v>#VALUE!</v>
      </c>
      <c r="Y4406" s="17" t="e">
        <f aca="false">ifs(COUNTA(K4406:U4409)&lt;44,"",Y4406="",NOW(),TRUE(),Y4406)</f>
        <v>#VALUE!</v>
      </c>
    </row>
    <row r="4407" customFormat="false" ht="15.75" hidden="false" customHeight="false" outlineLevel="0" collapsed="false">
      <c r="A4407" s="9"/>
      <c r="B4407" s="10"/>
      <c r="C4407" s="10"/>
      <c r="D4407" s="10"/>
      <c r="E4407" s="10"/>
      <c r="F4407" s="10"/>
      <c r="G4407" s="10"/>
      <c r="H4407" s="10"/>
      <c r="I4407" s="18" t="n">
        <v>2</v>
      </c>
      <c r="J4407" s="18"/>
      <c r="K4407" s="19"/>
      <c r="L4407" s="19"/>
      <c r="M4407" s="18"/>
      <c r="N4407" s="18"/>
      <c r="O4407" s="18"/>
      <c r="P4407" s="19"/>
      <c r="Q4407" s="19"/>
      <c r="R4407" s="18"/>
      <c r="S4407" s="18"/>
      <c r="T4407" s="18"/>
      <c r="U4407" s="20"/>
      <c r="V4407" s="21"/>
      <c r="W4407" s="16"/>
      <c r="X4407" s="16"/>
      <c r="Y4407" s="16"/>
    </row>
    <row r="4408" customFormat="false" ht="15.75" hidden="false" customHeight="false" outlineLevel="0" collapsed="false">
      <c r="A4408" s="9"/>
      <c r="B4408" s="10"/>
      <c r="C4408" s="10"/>
      <c r="D4408" s="10"/>
      <c r="E4408" s="10"/>
      <c r="F4408" s="10"/>
      <c r="G4408" s="10"/>
      <c r="H4408" s="10"/>
      <c r="I4408" s="22" t="n">
        <v>3</v>
      </c>
      <c r="J4408" s="22"/>
      <c r="K4408" s="23"/>
      <c r="L4408" s="23"/>
      <c r="M4408" s="22"/>
      <c r="N4408" s="22"/>
      <c r="O4408" s="22"/>
      <c r="P4408" s="23"/>
      <c r="Q4408" s="23"/>
      <c r="R4408" s="22"/>
      <c r="S4408" s="22"/>
      <c r="T4408" s="22"/>
      <c r="U4408" s="24"/>
      <c r="V4408" s="15"/>
      <c r="W4408" s="16"/>
      <c r="X4408" s="16"/>
      <c r="Y4408" s="16"/>
    </row>
    <row r="4409" customFormat="false" ht="15.75" hidden="false" customHeight="false" outlineLevel="0" collapsed="false">
      <c r="A4409" s="9"/>
      <c r="B4409" s="10"/>
      <c r="C4409" s="10"/>
      <c r="D4409" s="10"/>
      <c r="E4409" s="10"/>
      <c r="F4409" s="10"/>
      <c r="G4409" s="10"/>
      <c r="H4409" s="10"/>
      <c r="I4409" s="25" t="n">
        <v>4</v>
      </c>
      <c r="J4409" s="25"/>
      <c r="K4409" s="26"/>
      <c r="L4409" s="26"/>
      <c r="M4409" s="25"/>
      <c r="N4409" s="25"/>
      <c r="O4409" s="25"/>
      <c r="P4409" s="26"/>
      <c r="Q4409" s="26"/>
      <c r="R4409" s="25"/>
      <c r="S4409" s="25"/>
      <c r="T4409" s="25"/>
      <c r="U4409" s="27"/>
      <c r="V4409" s="21"/>
      <c r="W4409" s="16"/>
      <c r="X4409" s="16"/>
      <c r="Y4409" s="16"/>
    </row>
    <row r="4410" customFormat="false" ht="15.75" hidden="false" customHeight="false" outlineLevel="0" collapsed="false">
      <c r="A4410" s="9"/>
      <c r="B4410" s="10"/>
      <c r="C4410" s="11"/>
      <c r="D4410" s="10"/>
      <c r="E4410" s="10"/>
      <c r="F4410" s="10"/>
      <c r="G4410" s="10"/>
      <c r="H4410" s="10"/>
      <c r="I4410" s="12" t="n">
        <v>1</v>
      </c>
      <c r="J4410" s="12"/>
      <c r="K4410" s="13"/>
      <c r="L4410" s="13"/>
      <c r="M4410" s="12"/>
      <c r="N4410" s="12"/>
      <c r="O4410" s="12"/>
      <c r="P4410" s="13"/>
      <c r="Q4410" s="13"/>
      <c r="R4410" s="12"/>
      <c r="S4410" s="12"/>
      <c r="T4410" s="12"/>
      <c r="U4410" s="14"/>
      <c r="V4410" s="15"/>
      <c r="W4410" s="16" t="n">
        <f aca="false">A4410</f>
        <v>0</v>
      </c>
      <c r="X4410" s="17" t="e">
        <f aca="false">ifs(C4410="","",X4410="",NOW(),TRUE(),X4410)</f>
        <v>#VALUE!</v>
      </c>
      <c r="Y4410" s="17" t="e">
        <f aca="false">ifs(COUNTA(K4410:U4413)&lt;44,"",Y4410="",NOW(),TRUE(),Y4410)</f>
        <v>#VALUE!</v>
      </c>
    </row>
    <row r="4411" customFormat="false" ht="15.75" hidden="false" customHeight="false" outlineLevel="0" collapsed="false">
      <c r="A4411" s="9"/>
      <c r="B4411" s="10"/>
      <c r="C4411" s="10"/>
      <c r="D4411" s="10"/>
      <c r="E4411" s="10"/>
      <c r="F4411" s="10"/>
      <c r="G4411" s="10"/>
      <c r="H4411" s="10"/>
      <c r="I4411" s="18" t="n">
        <v>2</v>
      </c>
      <c r="J4411" s="18"/>
      <c r="K4411" s="19"/>
      <c r="L4411" s="19"/>
      <c r="M4411" s="18"/>
      <c r="N4411" s="18"/>
      <c r="O4411" s="18"/>
      <c r="P4411" s="19"/>
      <c r="Q4411" s="19"/>
      <c r="R4411" s="18"/>
      <c r="S4411" s="18"/>
      <c r="T4411" s="18"/>
      <c r="U4411" s="20"/>
      <c r="V4411" s="21"/>
      <c r="W4411" s="16"/>
      <c r="X4411" s="16"/>
      <c r="Y4411" s="16"/>
    </row>
    <row r="4412" customFormat="false" ht="15.75" hidden="false" customHeight="false" outlineLevel="0" collapsed="false">
      <c r="A4412" s="9"/>
      <c r="B4412" s="10"/>
      <c r="C4412" s="10"/>
      <c r="D4412" s="10"/>
      <c r="E4412" s="10"/>
      <c r="F4412" s="10"/>
      <c r="G4412" s="10"/>
      <c r="H4412" s="10"/>
      <c r="I4412" s="22" t="n">
        <v>3</v>
      </c>
      <c r="J4412" s="22"/>
      <c r="K4412" s="23"/>
      <c r="L4412" s="23"/>
      <c r="M4412" s="22"/>
      <c r="N4412" s="22"/>
      <c r="O4412" s="22"/>
      <c r="P4412" s="23"/>
      <c r="Q4412" s="23"/>
      <c r="R4412" s="22"/>
      <c r="S4412" s="22"/>
      <c r="T4412" s="22"/>
      <c r="U4412" s="24"/>
      <c r="V4412" s="15"/>
      <c r="W4412" s="16"/>
      <c r="X4412" s="16"/>
      <c r="Y4412" s="16"/>
    </row>
    <row r="4413" customFormat="false" ht="15.75" hidden="false" customHeight="false" outlineLevel="0" collapsed="false">
      <c r="A4413" s="9"/>
      <c r="B4413" s="10"/>
      <c r="C4413" s="10"/>
      <c r="D4413" s="10"/>
      <c r="E4413" s="10"/>
      <c r="F4413" s="10"/>
      <c r="G4413" s="10"/>
      <c r="H4413" s="10"/>
      <c r="I4413" s="25" t="n">
        <v>4</v>
      </c>
      <c r="J4413" s="25"/>
      <c r="K4413" s="26"/>
      <c r="L4413" s="26"/>
      <c r="M4413" s="25"/>
      <c r="N4413" s="25"/>
      <c r="O4413" s="25"/>
      <c r="P4413" s="26"/>
      <c r="Q4413" s="26"/>
      <c r="R4413" s="25"/>
      <c r="S4413" s="25"/>
      <c r="T4413" s="25"/>
      <c r="U4413" s="27"/>
      <c r="V4413" s="21"/>
      <c r="W4413" s="16"/>
      <c r="X4413" s="16"/>
      <c r="Y4413" s="16"/>
    </row>
    <row r="4414" customFormat="false" ht="15.75" hidden="false" customHeight="false" outlineLevel="0" collapsed="false">
      <c r="A4414" s="9"/>
      <c r="B4414" s="10"/>
      <c r="C4414" s="11"/>
      <c r="D4414" s="10"/>
      <c r="E4414" s="10"/>
      <c r="F4414" s="10"/>
      <c r="G4414" s="10"/>
      <c r="H4414" s="10"/>
      <c r="I4414" s="12" t="n">
        <v>1</v>
      </c>
      <c r="J4414" s="12"/>
      <c r="K4414" s="13"/>
      <c r="L4414" s="13"/>
      <c r="M4414" s="12"/>
      <c r="N4414" s="12"/>
      <c r="O4414" s="12"/>
      <c r="P4414" s="13"/>
      <c r="Q4414" s="13"/>
      <c r="R4414" s="12"/>
      <c r="S4414" s="12"/>
      <c r="T4414" s="12"/>
      <c r="U4414" s="14"/>
      <c r="V4414" s="15"/>
      <c r="W4414" s="16" t="n">
        <f aca="false">A4414</f>
        <v>0</v>
      </c>
      <c r="X4414" s="17" t="e">
        <f aca="false">ifs(C4414="","",X4414="",NOW(),TRUE(),X4414)</f>
        <v>#VALUE!</v>
      </c>
      <c r="Y4414" s="17" t="e">
        <f aca="false">ifs(COUNTA(K4414:U4417)&lt;44,"",Y4414="",NOW(),TRUE(),Y4414)</f>
        <v>#VALUE!</v>
      </c>
    </row>
    <row r="4415" customFormat="false" ht="15.75" hidden="false" customHeight="false" outlineLevel="0" collapsed="false">
      <c r="A4415" s="9"/>
      <c r="B4415" s="10"/>
      <c r="C4415" s="10"/>
      <c r="D4415" s="10"/>
      <c r="E4415" s="10"/>
      <c r="F4415" s="10"/>
      <c r="G4415" s="10"/>
      <c r="H4415" s="10"/>
      <c r="I4415" s="18" t="n">
        <v>2</v>
      </c>
      <c r="J4415" s="18"/>
      <c r="K4415" s="19"/>
      <c r="L4415" s="19"/>
      <c r="M4415" s="18"/>
      <c r="N4415" s="18"/>
      <c r="O4415" s="18"/>
      <c r="P4415" s="19"/>
      <c r="Q4415" s="19"/>
      <c r="R4415" s="18"/>
      <c r="S4415" s="18"/>
      <c r="T4415" s="18"/>
      <c r="U4415" s="20"/>
      <c r="V4415" s="21"/>
      <c r="W4415" s="16"/>
      <c r="X4415" s="16"/>
      <c r="Y4415" s="16"/>
    </row>
    <row r="4416" customFormat="false" ht="15.75" hidden="false" customHeight="false" outlineLevel="0" collapsed="false">
      <c r="A4416" s="9"/>
      <c r="B4416" s="10"/>
      <c r="C4416" s="10"/>
      <c r="D4416" s="10"/>
      <c r="E4416" s="10"/>
      <c r="F4416" s="10"/>
      <c r="G4416" s="10"/>
      <c r="H4416" s="10"/>
      <c r="I4416" s="22" t="n">
        <v>3</v>
      </c>
      <c r="J4416" s="22"/>
      <c r="K4416" s="23"/>
      <c r="L4416" s="23"/>
      <c r="M4416" s="22"/>
      <c r="N4416" s="22"/>
      <c r="O4416" s="22"/>
      <c r="P4416" s="23"/>
      <c r="Q4416" s="23"/>
      <c r="R4416" s="22"/>
      <c r="S4416" s="22"/>
      <c r="T4416" s="22"/>
      <c r="U4416" s="24"/>
      <c r="V4416" s="15"/>
      <c r="W4416" s="16"/>
      <c r="X4416" s="16"/>
      <c r="Y4416" s="16"/>
    </row>
    <row r="4417" customFormat="false" ht="15.75" hidden="false" customHeight="false" outlineLevel="0" collapsed="false">
      <c r="A4417" s="9"/>
      <c r="B4417" s="10"/>
      <c r="C4417" s="10"/>
      <c r="D4417" s="10"/>
      <c r="E4417" s="10"/>
      <c r="F4417" s="10"/>
      <c r="G4417" s="10"/>
      <c r="H4417" s="10"/>
      <c r="I4417" s="25" t="n">
        <v>4</v>
      </c>
      <c r="J4417" s="25"/>
      <c r="K4417" s="26"/>
      <c r="L4417" s="26"/>
      <c r="M4417" s="25"/>
      <c r="N4417" s="25"/>
      <c r="O4417" s="25"/>
      <c r="P4417" s="26"/>
      <c r="Q4417" s="26"/>
      <c r="R4417" s="25"/>
      <c r="S4417" s="25"/>
      <c r="T4417" s="25"/>
      <c r="U4417" s="27"/>
      <c r="V4417" s="21"/>
      <c r="W4417" s="16"/>
      <c r="X4417" s="16"/>
      <c r="Y4417" s="16"/>
    </row>
    <row r="4418" customFormat="false" ht="15.75" hidden="false" customHeight="false" outlineLevel="0" collapsed="false">
      <c r="A4418" s="9"/>
      <c r="B4418" s="10"/>
      <c r="C4418" s="11"/>
      <c r="D4418" s="10"/>
      <c r="E4418" s="10"/>
      <c r="F4418" s="10"/>
      <c r="G4418" s="10"/>
      <c r="H4418" s="10"/>
      <c r="I4418" s="12" t="n">
        <v>1</v>
      </c>
      <c r="J4418" s="12"/>
      <c r="K4418" s="13"/>
      <c r="L4418" s="13"/>
      <c r="M4418" s="12"/>
      <c r="N4418" s="12"/>
      <c r="O4418" s="12"/>
      <c r="P4418" s="13"/>
      <c r="Q4418" s="13"/>
      <c r="R4418" s="12"/>
      <c r="S4418" s="12"/>
      <c r="T4418" s="12"/>
      <c r="U4418" s="14"/>
      <c r="V4418" s="15"/>
      <c r="W4418" s="16" t="n">
        <f aca="false">A4418</f>
        <v>0</v>
      </c>
      <c r="X4418" s="17" t="e">
        <f aca="false">ifs(C4418="","",X4418="",NOW(),TRUE(),X4418)</f>
        <v>#VALUE!</v>
      </c>
      <c r="Y4418" s="17" t="e">
        <f aca="false">ifs(COUNTA(K4418:U4421)&lt;44,"",Y4418="",NOW(),TRUE(),Y4418)</f>
        <v>#VALUE!</v>
      </c>
    </row>
    <row r="4419" customFormat="false" ht="15.75" hidden="false" customHeight="false" outlineLevel="0" collapsed="false">
      <c r="A4419" s="9"/>
      <c r="B4419" s="10"/>
      <c r="C4419" s="10"/>
      <c r="D4419" s="10"/>
      <c r="E4419" s="10"/>
      <c r="F4419" s="10"/>
      <c r="G4419" s="10"/>
      <c r="H4419" s="10"/>
      <c r="I4419" s="18" t="n">
        <v>2</v>
      </c>
      <c r="J4419" s="18"/>
      <c r="K4419" s="19"/>
      <c r="L4419" s="19"/>
      <c r="M4419" s="18"/>
      <c r="N4419" s="18"/>
      <c r="O4419" s="18"/>
      <c r="P4419" s="19"/>
      <c r="Q4419" s="19"/>
      <c r="R4419" s="18"/>
      <c r="S4419" s="18"/>
      <c r="T4419" s="18"/>
      <c r="U4419" s="20"/>
      <c r="V4419" s="21"/>
      <c r="W4419" s="16"/>
      <c r="X4419" s="16"/>
      <c r="Y4419" s="16"/>
    </row>
    <row r="4420" customFormat="false" ht="15.75" hidden="false" customHeight="false" outlineLevel="0" collapsed="false">
      <c r="A4420" s="9"/>
      <c r="B4420" s="10"/>
      <c r="C4420" s="10"/>
      <c r="D4420" s="10"/>
      <c r="E4420" s="10"/>
      <c r="F4420" s="10"/>
      <c r="G4420" s="10"/>
      <c r="H4420" s="10"/>
      <c r="I4420" s="22" t="n">
        <v>3</v>
      </c>
      <c r="J4420" s="22"/>
      <c r="K4420" s="23"/>
      <c r="L4420" s="23"/>
      <c r="M4420" s="22"/>
      <c r="N4420" s="22"/>
      <c r="O4420" s="22"/>
      <c r="P4420" s="23"/>
      <c r="Q4420" s="23"/>
      <c r="R4420" s="22"/>
      <c r="S4420" s="22"/>
      <c r="T4420" s="22"/>
      <c r="U4420" s="24"/>
      <c r="V4420" s="15"/>
      <c r="W4420" s="16"/>
      <c r="X4420" s="16"/>
      <c r="Y4420" s="16"/>
    </row>
    <row r="4421" customFormat="false" ht="15.75" hidden="false" customHeight="false" outlineLevel="0" collapsed="false">
      <c r="A4421" s="9"/>
      <c r="B4421" s="10"/>
      <c r="C4421" s="10"/>
      <c r="D4421" s="10"/>
      <c r="E4421" s="10"/>
      <c r="F4421" s="10"/>
      <c r="G4421" s="10"/>
      <c r="H4421" s="10"/>
      <c r="I4421" s="25" t="n">
        <v>4</v>
      </c>
      <c r="J4421" s="25"/>
      <c r="K4421" s="26"/>
      <c r="L4421" s="26"/>
      <c r="M4421" s="25"/>
      <c r="N4421" s="25"/>
      <c r="O4421" s="25"/>
      <c r="P4421" s="26"/>
      <c r="Q4421" s="26"/>
      <c r="R4421" s="25"/>
      <c r="S4421" s="25"/>
      <c r="T4421" s="25"/>
      <c r="U4421" s="27"/>
      <c r="V4421" s="21"/>
      <c r="W4421" s="16"/>
      <c r="X4421" s="16"/>
      <c r="Y4421" s="16"/>
    </row>
    <row r="4422" customFormat="false" ht="15.75" hidden="false" customHeight="false" outlineLevel="0" collapsed="false">
      <c r="A4422" s="9"/>
      <c r="B4422" s="10"/>
      <c r="C4422" s="11"/>
      <c r="D4422" s="10"/>
      <c r="E4422" s="10"/>
      <c r="F4422" s="10"/>
      <c r="G4422" s="10"/>
      <c r="H4422" s="10"/>
      <c r="I4422" s="12" t="n">
        <v>1</v>
      </c>
      <c r="J4422" s="12"/>
      <c r="K4422" s="13"/>
      <c r="L4422" s="13"/>
      <c r="M4422" s="12"/>
      <c r="N4422" s="12"/>
      <c r="O4422" s="12"/>
      <c r="P4422" s="13"/>
      <c r="Q4422" s="13"/>
      <c r="R4422" s="12"/>
      <c r="S4422" s="12"/>
      <c r="T4422" s="12"/>
      <c r="U4422" s="14"/>
      <c r="V4422" s="15"/>
      <c r="W4422" s="16" t="n">
        <f aca="false">A4422</f>
        <v>0</v>
      </c>
      <c r="X4422" s="17" t="e">
        <f aca="false">ifs(C4422="","",X4422="",NOW(),TRUE(),X4422)</f>
        <v>#VALUE!</v>
      </c>
      <c r="Y4422" s="17" t="e">
        <f aca="false">ifs(COUNTA(K4422:U4425)&lt;44,"",Y4422="",NOW(),TRUE(),Y4422)</f>
        <v>#VALUE!</v>
      </c>
    </row>
    <row r="4423" customFormat="false" ht="15.75" hidden="false" customHeight="false" outlineLevel="0" collapsed="false">
      <c r="A4423" s="9"/>
      <c r="B4423" s="10"/>
      <c r="C4423" s="10"/>
      <c r="D4423" s="10"/>
      <c r="E4423" s="10"/>
      <c r="F4423" s="10"/>
      <c r="G4423" s="10"/>
      <c r="H4423" s="10"/>
      <c r="I4423" s="18" t="n">
        <v>2</v>
      </c>
      <c r="J4423" s="18"/>
      <c r="K4423" s="19"/>
      <c r="L4423" s="19"/>
      <c r="M4423" s="18"/>
      <c r="N4423" s="18"/>
      <c r="O4423" s="18"/>
      <c r="P4423" s="19"/>
      <c r="Q4423" s="19"/>
      <c r="R4423" s="18"/>
      <c r="S4423" s="18"/>
      <c r="T4423" s="18"/>
      <c r="U4423" s="20"/>
      <c r="V4423" s="21"/>
      <c r="W4423" s="16"/>
      <c r="X4423" s="16"/>
      <c r="Y4423" s="16"/>
    </row>
    <row r="4424" customFormat="false" ht="15.75" hidden="false" customHeight="false" outlineLevel="0" collapsed="false">
      <c r="A4424" s="9"/>
      <c r="B4424" s="10"/>
      <c r="C4424" s="10"/>
      <c r="D4424" s="10"/>
      <c r="E4424" s="10"/>
      <c r="F4424" s="10"/>
      <c r="G4424" s="10"/>
      <c r="H4424" s="10"/>
      <c r="I4424" s="22" t="n">
        <v>3</v>
      </c>
      <c r="J4424" s="22"/>
      <c r="K4424" s="23"/>
      <c r="L4424" s="23"/>
      <c r="M4424" s="22"/>
      <c r="N4424" s="22"/>
      <c r="O4424" s="22"/>
      <c r="P4424" s="23"/>
      <c r="Q4424" s="23"/>
      <c r="R4424" s="22"/>
      <c r="S4424" s="22"/>
      <c r="T4424" s="22"/>
      <c r="U4424" s="24"/>
      <c r="V4424" s="15"/>
      <c r="W4424" s="16"/>
      <c r="X4424" s="16"/>
      <c r="Y4424" s="16"/>
    </row>
    <row r="4425" customFormat="false" ht="15.75" hidden="false" customHeight="false" outlineLevel="0" collapsed="false">
      <c r="A4425" s="9"/>
      <c r="B4425" s="10"/>
      <c r="C4425" s="10"/>
      <c r="D4425" s="10"/>
      <c r="E4425" s="10"/>
      <c r="F4425" s="10"/>
      <c r="G4425" s="10"/>
      <c r="H4425" s="10"/>
      <c r="I4425" s="25" t="n">
        <v>4</v>
      </c>
      <c r="J4425" s="25"/>
      <c r="K4425" s="26"/>
      <c r="L4425" s="26"/>
      <c r="M4425" s="25"/>
      <c r="N4425" s="25"/>
      <c r="O4425" s="25"/>
      <c r="P4425" s="26"/>
      <c r="Q4425" s="26"/>
      <c r="R4425" s="25"/>
      <c r="S4425" s="25"/>
      <c r="T4425" s="25"/>
      <c r="U4425" s="27"/>
      <c r="V4425" s="21"/>
      <c r="W4425" s="16"/>
      <c r="X4425" s="16"/>
      <c r="Y4425" s="16"/>
    </row>
    <row r="4426" customFormat="false" ht="15.75" hidden="false" customHeight="false" outlineLevel="0" collapsed="false">
      <c r="A4426" s="9"/>
      <c r="B4426" s="10"/>
      <c r="C4426" s="11"/>
      <c r="D4426" s="10"/>
      <c r="E4426" s="10"/>
      <c r="F4426" s="10"/>
      <c r="G4426" s="10"/>
      <c r="H4426" s="10"/>
      <c r="I4426" s="12" t="n">
        <v>1</v>
      </c>
      <c r="J4426" s="12"/>
      <c r="K4426" s="13"/>
      <c r="L4426" s="13"/>
      <c r="M4426" s="12"/>
      <c r="N4426" s="12"/>
      <c r="O4426" s="12"/>
      <c r="P4426" s="13"/>
      <c r="Q4426" s="13"/>
      <c r="R4426" s="12"/>
      <c r="S4426" s="12"/>
      <c r="T4426" s="12"/>
      <c r="U4426" s="14"/>
      <c r="V4426" s="15"/>
      <c r="W4426" s="16" t="n">
        <f aca="false">A4426</f>
        <v>0</v>
      </c>
      <c r="X4426" s="17" t="e">
        <f aca="false">ifs(C4426="","",X4426="",NOW(),TRUE(),X4426)</f>
        <v>#VALUE!</v>
      </c>
      <c r="Y4426" s="17" t="e">
        <f aca="false">ifs(COUNTA(K4426:U4429)&lt;44,"",Y4426="",NOW(),TRUE(),Y4426)</f>
        <v>#VALUE!</v>
      </c>
    </row>
    <row r="4427" customFormat="false" ht="15.75" hidden="false" customHeight="false" outlineLevel="0" collapsed="false">
      <c r="A4427" s="9"/>
      <c r="B4427" s="10"/>
      <c r="C4427" s="10"/>
      <c r="D4427" s="10"/>
      <c r="E4427" s="10"/>
      <c r="F4427" s="10"/>
      <c r="G4427" s="10"/>
      <c r="H4427" s="10"/>
      <c r="I4427" s="18" t="n">
        <v>2</v>
      </c>
      <c r="J4427" s="18"/>
      <c r="K4427" s="19"/>
      <c r="L4427" s="19"/>
      <c r="M4427" s="18"/>
      <c r="N4427" s="18"/>
      <c r="O4427" s="18"/>
      <c r="P4427" s="19"/>
      <c r="Q4427" s="19"/>
      <c r="R4427" s="18"/>
      <c r="S4427" s="18"/>
      <c r="T4427" s="18"/>
      <c r="U4427" s="20"/>
      <c r="V4427" s="21"/>
      <c r="W4427" s="16"/>
      <c r="X4427" s="16"/>
      <c r="Y4427" s="16"/>
    </row>
    <row r="4428" customFormat="false" ht="15.75" hidden="false" customHeight="false" outlineLevel="0" collapsed="false">
      <c r="A4428" s="9"/>
      <c r="B4428" s="10"/>
      <c r="C4428" s="10"/>
      <c r="D4428" s="10"/>
      <c r="E4428" s="10"/>
      <c r="F4428" s="10"/>
      <c r="G4428" s="10"/>
      <c r="H4428" s="10"/>
      <c r="I4428" s="22" t="n">
        <v>3</v>
      </c>
      <c r="J4428" s="22"/>
      <c r="K4428" s="23"/>
      <c r="L4428" s="23"/>
      <c r="M4428" s="22"/>
      <c r="N4428" s="22"/>
      <c r="O4428" s="22"/>
      <c r="P4428" s="23"/>
      <c r="Q4428" s="23"/>
      <c r="R4428" s="22"/>
      <c r="S4428" s="22"/>
      <c r="T4428" s="22"/>
      <c r="U4428" s="24"/>
      <c r="V4428" s="15"/>
      <c r="W4428" s="16"/>
      <c r="X4428" s="16"/>
      <c r="Y4428" s="16"/>
    </row>
    <row r="4429" customFormat="false" ht="15.75" hidden="false" customHeight="false" outlineLevel="0" collapsed="false">
      <c r="A4429" s="9"/>
      <c r="B4429" s="10"/>
      <c r="C4429" s="10"/>
      <c r="D4429" s="10"/>
      <c r="E4429" s="10"/>
      <c r="F4429" s="10"/>
      <c r="G4429" s="10"/>
      <c r="H4429" s="10"/>
      <c r="I4429" s="25" t="n">
        <v>4</v>
      </c>
      <c r="J4429" s="25"/>
      <c r="K4429" s="26"/>
      <c r="L4429" s="26"/>
      <c r="M4429" s="25"/>
      <c r="N4429" s="25"/>
      <c r="O4429" s="25"/>
      <c r="P4429" s="26"/>
      <c r="Q4429" s="26"/>
      <c r="R4429" s="25"/>
      <c r="S4429" s="25"/>
      <c r="T4429" s="25"/>
      <c r="U4429" s="27"/>
      <c r="V4429" s="21"/>
      <c r="W4429" s="16"/>
      <c r="X4429" s="16"/>
      <c r="Y4429" s="16"/>
    </row>
    <row r="4430" customFormat="false" ht="15.75" hidden="false" customHeight="false" outlineLevel="0" collapsed="false">
      <c r="A4430" s="9"/>
      <c r="B4430" s="10"/>
      <c r="C4430" s="11"/>
      <c r="D4430" s="10"/>
      <c r="E4430" s="10"/>
      <c r="F4430" s="10"/>
      <c r="G4430" s="10"/>
      <c r="H4430" s="10"/>
      <c r="I4430" s="12" t="n">
        <v>1</v>
      </c>
      <c r="J4430" s="12"/>
      <c r="K4430" s="13"/>
      <c r="L4430" s="13"/>
      <c r="M4430" s="12"/>
      <c r="N4430" s="12"/>
      <c r="O4430" s="12"/>
      <c r="P4430" s="13"/>
      <c r="Q4430" s="13"/>
      <c r="R4430" s="12"/>
      <c r="S4430" s="12"/>
      <c r="T4430" s="12"/>
      <c r="U4430" s="14"/>
      <c r="V4430" s="15"/>
      <c r="W4430" s="16" t="n">
        <f aca="false">A4430</f>
        <v>0</v>
      </c>
      <c r="X4430" s="17" t="e">
        <f aca="false">ifs(C4430="","",X4430="",NOW(),TRUE(),X4430)</f>
        <v>#VALUE!</v>
      </c>
      <c r="Y4430" s="17" t="e">
        <f aca="false">ifs(COUNTA(K4430:U4433)&lt;44,"",Y4430="",NOW(),TRUE(),Y4430)</f>
        <v>#VALUE!</v>
      </c>
    </row>
    <row r="4431" customFormat="false" ht="15.75" hidden="false" customHeight="false" outlineLevel="0" collapsed="false">
      <c r="A4431" s="9"/>
      <c r="B4431" s="10"/>
      <c r="C4431" s="10"/>
      <c r="D4431" s="10"/>
      <c r="E4431" s="10"/>
      <c r="F4431" s="10"/>
      <c r="G4431" s="10"/>
      <c r="H4431" s="10"/>
      <c r="I4431" s="18" t="n">
        <v>2</v>
      </c>
      <c r="J4431" s="18"/>
      <c r="K4431" s="19"/>
      <c r="L4431" s="19"/>
      <c r="M4431" s="18"/>
      <c r="N4431" s="18"/>
      <c r="O4431" s="18"/>
      <c r="P4431" s="19"/>
      <c r="Q4431" s="19"/>
      <c r="R4431" s="18"/>
      <c r="S4431" s="18"/>
      <c r="T4431" s="18"/>
      <c r="U4431" s="20"/>
      <c r="V4431" s="21"/>
      <c r="W4431" s="16"/>
      <c r="X4431" s="16"/>
      <c r="Y4431" s="16"/>
    </row>
    <row r="4432" customFormat="false" ht="15.75" hidden="false" customHeight="false" outlineLevel="0" collapsed="false">
      <c r="A4432" s="9"/>
      <c r="B4432" s="10"/>
      <c r="C4432" s="10"/>
      <c r="D4432" s="10"/>
      <c r="E4432" s="10"/>
      <c r="F4432" s="10"/>
      <c r="G4432" s="10"/>
      <c r="H4432" s="10"/>
      <c r="I4432" s="22" t="n">
        <v>3</v>
      </c>
      <c r="J4432" s="22"/>
      <c r="K4432" s="23"/>
      <c r="L4432" s="23"/>
      <c r="M4432" s="22"/>
      <c r="N4432" s="22"/>
      <c r="O4432" s="22"/>
      <c r="P4432" s="23"/>
      <c r="Q4432" s="23"/>
      <c r="R4432" s="22"/>
      <c r="S4432" s="22"/>
      <c r="T4432" s="22"/>
      <c r="U4432" s="24"/>
      <c r="V4432" s="15"/>
      <c r="W4432" s="16"/>
      <c r="X4432" s="16"/>
      <c r="Y4432" s="16"/>
    </row>
    <row r="4433" customFormat="false" ht="15.75" hidden="false" customHeight="false" outlineLevel="0" collapsed="false">
      <c r="A4433" s="9"/>
      <c r="B4433" s="10"/>
      <c r="C4433" s="10"/>
      <c r="D4433" s="10"/>
      <c r="E4433" s="10"/>
      <c r="F4433" s="10"/>
      <c r="G4433" s="10"/>
      <c r="H4433" s="10"/>
      <c r="I4433" s="25" t="n">
        <v>4</v>
      </c>
      <c r="J4433" s="25"/>
      <c r="K4433" s="26"/>
      <c r="L4433" s="26"/>
      <c r="M4433" s="25"/>
      <c r="N4433" s="25"/>
      <c r="O4433" s="25"/>
      <c r="P4433" s="26"/>
      <c r="Q4433" s="26"/>
      <c r="R4433" s="25"/>
      <c r="S4433" s="25"/>
      <c r="T4433" s="25"/>
      <c r="U4433" s="27"/>
      <c r="V4433" s="21"/>
      <c r="W4433" s="16"/>
      <c r="X4433" s="16"/>
      <c r="Y4433" s="16"/>
    </row>
    <row r="4434" customFormat="false" ht="15.75" hidden="false" customHeight="false" outlineLevel="0" collapsed="false">
      <c r="A4434" s="9"/>
      <c r="B4434" s="10"/>
      <c r="C4434" s="11"/>
      <c r="D4434" s="10"/>
      <c r="E4434" s="10"/>
      <c r="F4434" s="10"/>
      <c r="G4434" s="10"/>
      <c r="H4434" s="10"/>
      <c r="I4434" s="12" t="n">
        <v>1</v>
      </c>
      <c r="J4434" s="12"/>
      <c r="K4434" s="13"/>
      <c r="L4434" s="13"/>
      <c r="M4434" s="12"/>
      <c r="N4434" s="12"/>
      <c r="O4434" s="12"/>
      <c r="P4434" s="13"/>
      <c r="Q4434" s="13"/>
      <c r="R4434" s="12"/>
      <c r="S4434" s="12"/>
      <c r="T4434" s="12"/>
      <c r="U4434" s="14"/>
      <c r="V4434" s="15"/>
      <c r="W4434" s="16" t="n">
        <f aca="false">A4434</f>
        <v>0</v>
      </c>
      <c r="X4434" s="17" t="e">
        <f aca="false">ifs(C4434="","",X4434="",NOW(),TRUE(),X4434)</f>
        <v>#VALUE!</v>
      </c>
      <c r="Y4434" s="17" t="e">
        <f aca="false">ifs(COUNTA(K4434:U4437)&lt;44,"",Y4434="",NOW(),TRUE(),Y4434)</f>
        <v>#VALUE!</v>
      </c>
    </row>
    <row r="4435" customFormat="false" ht="15.75" hidden="false" customHeight="false" outlineLevel="0" collapsed="false">
      <c r="A4435" s="9"/>
      <c r="B4435" s="10"/>
      <c r="C4435" s="10"/>
      <c r="D4435" s="10"/>
      <c r="E4435" s="10"/>
      <c r="F4435" s="10"/>
      <c r="G4435" s="10"/>
      <c r="H4435" s="10"/>
      <c r="I4435" s="18" t="n">
        <v>2</v>
      </c>
      <c r="J4435" s="18"/>
      <c r="K4435" s="19"/>
      <c r="L4435" s="19"/>
      <c r="M4435" s="18"/>
      <c r="N4435" s="18"/>
      <c r="O4435" s="18"/>
      <c r="P4435" s="19"/>
      <c r="Q4435" s="19"/>
      <c r="R4435" s="18"/>
      <c r="S4435" s="18"/>
      <c r="T4435" s="18"/>
      <c r="U4435" s="20"/>
      <c r="V4435" s="21"/>
      <c r="W4435" s="16"/>
      <c r="X4435" s="16"/>
      <c r="Y4435" s="16"/>
    </row>
    <row r="4436" customFormat="false" ht="15.75" hidden="false" customHeight="false" outlineLevel="0" collapsed="false">
      <c r="A4436" s="9"/>
      <c r="B4436" s="10"/>
      <c r="C4436" s="10"/>
      <c r="D4436" s="10"/>
      <c r="E4436" s="10"/>
      <c r="F4436" s="10"/>
      <c r="G4436" s="10"/>
      <c r="H4436" s="10"/>
      <c r="I4436" s="22" t="n">
        <v>3</v>
      </c>
      <c r="J4436" s="22"/>
      <c r="K4436" s="23"/>
      <c r="L4436" s="23"/>
      <c r="M4436" s="22"/>
      <c r="N4436" s="22"/>
      <c r="O4436" s="22"/>
      <c r="P4436" s="23"/>
      <c r="Q4436" s="23"/>
      <c r="R4436" s="22"/>
      <c r="S4436" s="22"/>
      <c r="T4436" s="22"/>
      <c r="U4436" s="24"/>
      <c r="V4436" s="15"/>
      <c r="W4436" s="16"/>
      <c r="X4436" s="16"/>
      <c r="Y4436" s="16"/>
    </row>
    <row r="4437" customFormat="false" ht="15.75" hidden="false" customHeight="false" outlineLevel="0" collapsed="false">
      <c r="A4437" s="9"/>
      <c r="B4437" s="10"/>
      <c r="C4437" s="10"/>
      <c r="D4437" s="10"/>
      <c r="E4437" s="10"/>
      <c r="F4437" s="10"/>
      <c r="G4437" s="10"/>
      <c r="H4437" s="10"/>
      <c r="I4437" s="25" t="n">
        <v>4</v>
      </c>
      <c r="J4437" s="25"/>
      <c r="K4437" s="26"/>
      <c r="L4437" s="26"/>
      <c r="M4437" s="25"/>
      <c r="N4437" s="25"/>
      <c r="O4437" s="25"/>
      <c r="P4437" s="26"/>
      <c r="Q4437" s="26"/>
      <c r="R4437" s="25"/>
      <c r="S4437" s="25"/>
      <c r="T4437" s="25"/>
      <c r="U4437" s="27"/>
      <c r="V4437" s="21"/>
      <c r="W4437" s="16"/>
      <c r="X4437" s="16"/>
      <c r="Y4437" s="16"/>
    </row>
    <row r="4438" customFormat="false" ht="15.75" hidden="false" customHeight="false" outlineLevel="0" collapsed="false">
      <c r="A4438" s="9"/>
      <c r="B4438" s="10"/>
      <c r="C4438" s="11"/>
      <c r="D4438" s="10"/>
      <c r="E4438" s="10"/>
      <c r="F4438" s="10"/>
      <c r="G4438" s="10"/>
      <c r="H4438" s="10"/>
      <c r="I4438" s="12" t="n">
        <v>1</v>
      </c>
      <c r="J4438" s="12"/>
      <c r="K4438" s="13"/>
      <c r="L4438" s="13"/>
      <c r="M4438" s="12"/>
      <c r="N4438" s="12"/>
      <c r="O4438" s="12"/>
      <c r="P4438" s="13"/>
      <c r="Q4438" s="13"/>
      <c r="R4438" s="12"/>
      <c r="S4438" s="12"/>
      <c r="T4438" s="12"/>
      <c r="U4438" s="14"/>
      <c r="V4438" s="15"/>
      <c r="W4438" s="16" t="n">
        <f aca="false">A4438</f>
        <v>0</v>
      </c>
      <c r="X4438" s="17" t="e">
        <f aca="false">ifs(C4438="","",X4438="",NOW(),TRUE(),X4438)</f>
        <v>#VALUE!</v>
      </c>
      <c r="Y4438" s="17" t="e">
        <f aca="false">ifs(COUNTA(K4438:U4441)&lt;44,"",Y4438="",NOW(),TRUE(),Y4438)</f>
        <v>#VALUE!</v>
      </c>
    </row>
    <row r="4439" customFormat="false" ht="15.75" hidden="false" customHeight="false" outlineLevel="0" collapsed="false">
      <c r="A4439" s="9"/>
      <c r="B4439" s="10"/>
      <c r="C4439" s="10"/>
      <c r="D4439" s="10"/>
      <c r="E4439" s="10"/>
      <c r="F4439" s="10"/>
      <c r="G4439" s="10"/>
      <c r="H4439" s="10"/>
      <c r="I4439" s="18" t="n">
        <v>2</v>
      </c>
      <c r="J4439" s="18"/>
      <c r="K4439" s="19"/>
      <c r="L4439" s="19"/>
      <c r="M4439" s="18"/>
      <c r="N4439" s="18"/>
      <c r="O4439" s="18"/>
      <c r="P4439" s="19"/>
      <c r="Q4439" s="19"/>
      <c r="R4439" s="18"/>
      <c r="S4439" s="18"/>
      <c r="T4439" s="18"/>
      <c r="U4439" s="20"/>
      <c r="V4439" s="21"/>
      <c r="W4439" s="16"/>
      <c r="X4439" s="16"/>
      <c r="Y4439" s="16"/>
    </row>
    <row r="4440" customFormat="false" ht="15.75" hidden="false" customHeight="false" outlineLevel="0" collapsed="false">
      <c r="A4440" s="9"/>
      <c r="B4440" s="10"/>
      <c r="C4440" s="10"/>
      <c r="D4440" s="10"/>
      <c r="E4440" s="10"/>
      <c r="F4440" s="10"/>
      <c r="G4440" s="10"/>
      <c r="H4440" s="10"/>
      <c r="I4440" s="22" t="n">
        <v>3</v>
      </c>
      <c r="J4440" s="22"/>
      <c r="K4440" s="23"/>
      <c r="L4440" s="23"/>
      <c r="M4440" s="22"/>
      <c r="N4440" s="22"/>
      <c r="O4440" s="22"/>
      <c r="P4440" s="23"/>
      <c r="Q4440" s="23"/>
      <c r="R4440" s="22"/>
      <c r="S4440" s="22"/>
      <c r="T4440" s="22"/>
      <c r="U4440" s="24"/>
      <c r="V4440" s="15"/>
      <c r="W4440" s="16"/>
      <c r="X4440" s="16"/>
      <c r="Y4440" s="16"/>
    </row>
    <row r="4441" customFormat="false" ht="15.75" hidden="false" customHeight="false" outlineLevel="0" collapsed="false">
      <c r="A4441" s="9"/>
      <c r="B4441" s="10"/>
      <c r="C4441" s="10"/>
      <c r="D4441" s="10"/>
      <c r="E4441" s="10"/>
      <c r="F4441" s="10"/>
      <c r="G4441" s="10"/>
      <c r="H4441" s="10"/>
      <c r="I4441" s="25" t="n">
        <v>4</v>
      </c>
      <c r="J4441" s="25"/>
      <c r="K4441" s="26"/>
      <c r="L4441" s="26"/>
      <c r="M4441" s="25"/>
      <c r="N4441" s="25"/>
      <c r="O4441" s="25"/>
      <c r="P4441" s="26"/>
      <c r="Q4441" s="26"/>
      <c r="R4441" s="25"/>
      <c r="S4441" s="25"/>
      <c r="T4441" s="25"/>
      <c r="U4441" s="27"/>
      <c r="V4441" s="21"/>
      <c r="W4441" s="16"/>
      <c r="X4441" s="16"/>
      <c r="Y4441" s="16"/>
    </row>
    <row r="4442" customFormat="false" ht="15.75" hidden="false" customHeight="false" outlineLevel="0" collapsed="false">
      <c r="A4442" s="9"/>
      <c r="B4442" s="10"/>
      <c r="C4442" s="11"/>
      <c r="D4442" s="10"/>
      <c r="E4442" s="10"/>
      <c r="F4442" s="10"/>
      <c r="G4442" s="10"/>
      <c r="H4442" s="10"/>
      <c r="I4442" s="12" t="n">
        <v>1</v>
      </c>
      <c r="J4442" s="12"/>
      <c r="K4442" s="13"/>
      <c r="L4442" s="13"/>
      <c r="M4442" s="12"/>
      <c r="N4442" s="12"/>
      <c r="O4442" s="12"/>
      <c r="P4442" s="13"/>
      <c r="Q4442" s="13"/>
      <c r="R4442" s="12"/>
      <c r="S4442" s="12"/>
      <c r="T4442" s="12"/>
      <c r="U4442" s="14"/>
      <c r="V4442" s="15"/>
      <c r="W4442" s="16" t="n">
        <f aca="false">A4442</f>
        <v>0</v>
      </c>
      <c r="X4442" s="17" t="e">
        <f aca="false">ifs(C4442="","",X4442="",NOW(),TRUE(),X4442)</f>
        <v>#VALUE!</v>
      </c>
      <c r="Y4442" s="17" t="e">
        <f aca="false">ifs(COUNTA(K4442:U4445)&lt;44,"",Y4442="",NOW(),TRUE(),Y4442)</f>
        <v>#VALUE!</v>
      </c>
    </row>
    <row r="4443" customFormat="false" ht="15.75" hidden="false" customHeight="false" outlineLevel="0" collapsed="false">
      <c r="A4443" s="9"/>
      <c r="B4443" s="10"/>
      <c r="C4443" s="10"/>
      <c r="D4443" s="10"/>
      <c r="E4443" s="10"/>
      <c r="F4443" s="10"/>
      <c r="G4443" s="10"/>
      <c r="H4443" s="10"/>
      <c r="I4443" s="18" t="n">
        <v>2</v>
      </c>
      <c r="J4443" s="18"/>
      <c r="K4443" s="19"/>
      <c r="L4443" s="19"/>
      <c r="M4443" s="18"/>
      <c r="N4443" s="18"/>
      <c r="O4443" s="18"/>
      <c r="P4443" s="19"/>
      <c r="Q4443" s="19"/>
      <c r="R4443" s="18"/>
      <c r="S4443" s="18"/>
      <c r="T4443" s="18"/>
      <c r="U4443" s="20"/>
      <c r="V4443" s="21"/>
      <c r="W4443" s="16"/>
      <c r="X4443" s="16"/>
      <c r="Y4443" s="16"/>
    </row>
    <row r="4444" customFormat="false" ht="15.75" hidden="false" customHeight="false" outlineLevel="0" collapsed="false">
      <c r="A4444" s="9"/>
      <c r="B4444" s="10"/>
      <c r="C4444" s="10"/>
      <c r="D4444" s="10"/>
      <c r="E4444" s="10"/>
      <c r="F4444" s="10"/>
      <c r="G4444" s="10"/>
      <c r="H4444" s="10"/>
      <c r="I4444" s="22" t="n">
        <v>3</v>
      </c>
      <c r="J4444" s="22"/>
      <c r="K4444" s="23"/>
      <c r="L4444" s="23"/>
      <c r="M4444" s="22"/>
      <c r="N4444" s="22"/>
      <c r="O4444" s="22"/>
      <c r="P4444" s="23"/>
      <c r="Q4444" s="23"/>
      <c r="R4444" s="22"/>
      <c r="S4444" s="22"/>
      <c r="T4444" s="22"/>
      <c r="U4444" s="24"/>
      <c r="V4444" s="15"/>
      <c r="W4444" s="16"/>
      <c r="X4444" s="16"/>
      <c r="Y4444" s="16"/>
    </row>
    <row r="4445" customFormat="false" ht="15.75" hidden="false" customHeight="false" outlineLevel="0" collapsed="false">
      <c r="A4445" s="9"/>
      <c r="B4445" s="10"/>
      <c r="C4445" s="10"/>
      <c r="D4445" s="10"/>
      <c r="E4445" s="10"/>
      <c r="F4445" s="10"/>
      <c r="G4445" s="10"/>
      <c r="H4445" s="10"/>
      <c r="I4445" s="25" t="n">
        <v>4</v>
      </c>
      <c r="J4445" s="25"/>
      <c r="K4445" s="26"/>
      <c r="L4445" s="26"/>
      <c r="M4445" s="25"/>
      <c r="N4445" s="25"/>
      <c r="O4445" s="25"/>
      <c r="P4445" s="26"/>
      <c r="Q4445" s="26"/>
      <c r="R4445" s="25"/>
      <c r="S4445" s="25"/>
      <c r="T4445" s="25"/>
      <c r="U4445" s="27"/>
      <c r="V4445" s="21"/>
      <c r="W4445" s="16"/>
      <c r="X4445" s="16"/>
      <c r="Y4445" s="16"/>
    </row>
    <row r="4446" customFormat="false" ht="15.75" hidden="false" customHeight="false" outlineLevel="0" collapsed="false">
      <c r="A4446" s="9"/>
      <c r="B4446" s="10"/>
      <c r="C4446" s="11"/>
      <c r="D4446" s="10"/>
      <c r="E4446" s="10"/>
      <c r="F4446" s="10"/>
      <c r="G4446" s="10"/>
      <c r="H4446" s="10"/>
      <c r="I4446" s="12" t="n">
        <v>1</v>
      </c>
      <c r="J4446" s="12"/>
      <c r="K4446" s="13"/>
      <c r="L4446" s="13"/>
      <c r="M4446" s="12"/>
      <c r="N4446" s="12"/>
      <c r="O4446" s="12"/>
      <c r="P4446" s="13"/>
      <c r="Q4446" s="13"/>
      <c r="R4446" s="12"/>
      <c r="S4446" s="12"/>
      <c r="T4446" s="12"/>
      <c r="U4446" s="14"/>
      <c r="V4446" s="15"/>
      <c r="W4446" s="16" t="n">
        <f aca="false">A4446</f>
        <v>0</v>
      </c>
      <c r="X4446" s="17" t="e">
        <f aca="false">ifs(C4446="","",X4446="",NOW(),TRUE(),X4446)</f>
        <v>#VALUE!</v>
      </c>
      <c r="Y4446" s="17" t="e">
        <f aca="false">ifs(COUNTA(K4446:U4449)&lt;44,"",Y4446="",NOW(),TRUE(),Y4446)</f>
        <v>#VALUE!</v>
      </c>
    </row>
    <row r="4447" customFormat="false" ht="15.75" hidden="false" customHeight="false" outlineLevel="0" collapsed="false">
      <c r="A4447" s="9"/>
      <c r="B4447" s="10"/>
      <c r="C4447" s="10"/>
      <c r="D4447" s="10"/>
      <c r="E4447" s="10"/>
      <c r="F4447" s="10"/>
      <c r="G4447" s="10"/>
      <c r="H4447" s="10"/>
      <c r="I4447" s="18" t="n">
        <v>2</v>
      </c>
      <c r="J4447" s="18"/>
      <c r="K4447" s="19"/>
      <c r="L4447" s="19"/>
      <c r="M4447" s="18"/>
      <c r="N4447" s="18"/>
      <c r="O4447" s="18"/>
      <c r="P4447" s="19"/>
      <c r="Q4447" s="19"/>
      <c r="R4447" s="18"/>
      <c r="S4447" s="18"/>
      <c r="T4447" s="18"/>
      <c r="U4447" s="20"/>
      <c r="V4447" s="21"/>
      <c r="W4447" s="16"/>
      <c r="X4447" s="16"/>
      <c r="Y4447" s="16"/>
    </row>
    <row r="4448" customFormat="false" ht="15.75" hidden="false" customHeight="false" outlineLevel="0" collapsed="false">
      <c r="A4448" s="9"/>
      <c r="B4448" s="10"/>
      <c r="C4448" s="10"/>
      <c r="D4448" s="10"/>
      <c r="E4448" s="10"/>
      <c r="F4448" s="10"/>
      <c r="G4448" s="10"/>
      <c r="H4448" s="10"/>
      <c r="I4448" s="22" t="n">
        <v>3</v>
      </c>
      <c r="J4448" s="22"/>
      <c r="K4448" s="23"/>
      <c r="L4448" s="23"/>
      <c r="M4448" s="22"/>
      <c r="N4448" s="22"/>
      <c r="O4448" s="22"/>
      <c r="P4448" s="23"/>
      <c r="Q4448" s="23"/>
      <c r="R4448" s="22"/>
      <c r="S4448" s="22"/>
      <c r="T4448" s="22"/>
      <c r="U4448" s="24"/>
      <c r="V4448" s="15"/>
      <c r="W4448" s="16"/>
      <c r="X4448" s="16"/>
      <c r="Y4448" s="16"/>
    </row>
    <row r="4449" customFormat="false" ht="15.75" hidden="false" customHeight="false" outlineLevel="0" collapsed="false">
      <c r="A4449" s="9"/>
      <c r="B4449" s="10"/>
      <c r="C4449" s="10"/>
      <c r="D4449" s="10"/>
      <c r="E4449" s="10"/>
      <c r="F4449" s="10"/>
      <c r="G4449" s="10"/>
      <c r="H4449" s="10"/>
      <c r="I4449" s="25" t="n">
        <v>4</v>
      </c>
      <c r="J4449" s="25"/>
      <c r="K4449" s="26"/>
      <c r="L4449" s="26"/>
      <c r="M4449" s="25"/>
      <c r="N4449" s="25"/>
      <c r="O4449" s="25"/>
      <c r="P4449" s="26"/>
      <c r="Q4449" s="26"/>
      <c r="R4449" s="25"/>
      <c r="S4449" s="25"/>
      <c r="T4449" s="25"/>
      <c r="U4449" s="27"/>
      <c r="V4449" s="21"/>
      <c r="W4449" s="16"/>
      <c r="X4449" s="16"/>
      <c r="Y4449" s="16"/>
    </row>
    <row r="4450" customFormat="false" ht="15.75" hidden="false" customHeight="false" outlineLevel="0" collapsed="false">
      <c r="A4450" s="9"/>
      <c r="B4450" s="10"/>
      <c r="C4450" s="11"/>
      <c r="D4450" s="10"/>
      <c r="E4450" s="10"/>
      <c r="F4450" s="10"/>
      <c r="G4450" s="10"/>
      <c r="H4450" s="10"/>
      <c r="I4450" s="12" t="n">
        <v>1</v>
      </c>
      <c r="J4450" s="12"/>
      <c r="K4450" s="13"/>
      <c r="L4450" s="13"/>
      <c r="M4450" s="12"/>
      <c r="N4450" s="12"/>
      <c r="O4450" s="12"/>
      <c r="P4450" s="13"/>
      <c r="Q4450" s="13"/>
      <c r="R4450" s="12"/>
      <c r="S4450" s="12"/>
      <c r="T4450" s="12"/>
      <c r="U4450" s="14"/>
      <c r="V4450" s="15"/>
      <c r="W4450" s="16" t="n">
        <f aca="false">A4450</f>
        <v>0</v>
      </c>
      <c r="X4450" s="17" t="e">
        <f aca="false">ifs(C4450="","",X4450="",NOW(),TRUE(),X4450)</f>
        <v>#VALUE!</v>
      </c>
      <c r="Y4450" s="17" t="e">
        <f aca="false">ifs(COUNTA(K4450:U4453)&lt;44,"",Y4450="",NOW(),TRUE(),Y4450)</f>
        <v>#VALUE!</v>
      </c>
    </row>
    <row r="4451" customFormat="false" ht="15.75" hidden="false" customHeight="false" outlineLevel="0" collapsed="false">
      <c r="A4451" s="9"/>
      <c r="B4451" s="10"/>
      <c r="C4451" s="10"/>
      <c r="D4451" s="10"/>
      <c r="E4451" s="10"/>
      <c r="F4451" s="10"/>
      <c r="G4451" s="10"/>
      <c r="H4451" s="10"/>
      <c r="I4451" s="18" t="n">
        <v>2</v>
      </c>
      <c r="J4451" s="18"/>
      <c r="K4451" s="19"/>
      <c r="L4451" s="19"/>
      <c r="M4451" s="18"/>
      <c r="N4451" s="18"/>
      <c r="O4451" s="18"/>
      <c r="P4451" s="19"/>
      <c r="Q4451" s="19"/>
      <c r="R4451" s="18"/>
      <c r="S4451" s="18"/>
      <c r="T4451" s="18"/>
      <c r="U4451" s="20"/>
      <c r="V4451" s="21"/>
      <c r="W4451" s="16"/>
      <c r="X4451" s="16"/>
      <c r="Y4451" s="16"/>
    </row>
    <row r="4452" customFormat="false" ht="15.75" hidden="false" customHeight="false" outlineLevel="0" collapsed="false">
      <c r="A4452" s="9"/>
      <c r="B4452" s="10"/>
      <c r="C4452" s="10"/>
      <c r="D4452" s="10"/>
      <c r="E4452" s="10"/>
      <c r="F4452" s="10"/>
      <c r="G4452" s="10"/>
      <c r="H4452" s="10"/>
      <c r="I4452" s="22" t="n">
        <v>3</v>
      </c>
      <c r="J4452" s="22"/>
      <c r="K4452" s="23"/>
      <c r="L4452" s="23"/>
      <c r="M4452" s="22"/>
      <c r="N4452" s="22"/>
      <c r="O4452" s="22"/>
      <c r="P4452" s="23"/>
      <c r="Q4452" s="23"/>
      <c r="R4452" s="22"/>
      <c r="S4452" s="22"/>
      <c r="T4452" s="22"/>
      <c r="U4452" s="24"/>
      <c r="V4452" s="15"/>
      <c r="W4452" s="16"/>
      <c r="X4452" s="16"/>
      <c r="Y4452" s="16"/>
    </row>
    <row r="4453" customFormat="false" ht="15.75" hidden="false" customHeight="false" outlineLevel="0" collapsed="false">
      <c r="A4453" s="9"/>
      <c r="B4453" s="10"/>
      <c r="C4453" s="10"/>
      <c r="D4453" s="10"/>
      <c r="E4453" s="10"/>
      <c r="F4453" s="10"/>
      <c r="G4453" s="10"/>
      <c r="H4453" s="10"/>
      <c r="I4453" s="25" t="n">
        <v>4</v>
      </c>
      <c r="J4453" s="25"/>
      <c r="K4453" s="26"/>
      <c r="L4453" s="26"/>
      <c r="M4453" s="25"/>
      <c r="N4453" s="25"/>
      <c r="O4453" s="25"/>
      <c r="P4453" s="26"/>
      <c r="Q4453" s="26"/>
      <c r="R4453" s="25"/>
      <c r="S4453" s="25"/>
      <c r="T4453" s="25"/>
      <c r="U4453" s="27"/>
      <c r="V4453" s="21"/>
      <c r="W4453" s="16"/>
      <c r="X4453" s="16"/>
      <c r="Y4453" s="16"/>
    </row>
    <row r="4454" customFormat="false" ht="15.75" hidden="false" customHeight="false" outlineLevel="0" collapsed="false">
      <c r="A4454" s="9"/>
      <c r="B4454" s="10"/>
      <c r="C4454" s="11"/>
      <c r="D4454" s="10"/>
      <c r="E4454" s="10"/>
      <c r="F4454" s="10"/>
      <c r="G4454" s="10"/>
      <c r="H4454" s="10"/>
      <c r="I4454" s="12" t="n">
        <v>1</v>
      </c>
      <c r="J4454" s="12"/>
      <c r="K4454" s="13"/>
      <c r="L4454" s="13"/>
      <c r="M4454" s="12"/>
      <c r="N4454" s="12"/>
      <c r="O4454" s="12"/>
      <c r="P4454" s="13"/>
      <c r="Q4454" s="13"/>
      <c r="R4454" s="12"/>
      <c r="S4454" s="12"/>
      <c r="T4454" s="12"/>
      <c r="U4454" s="14"/>
      <c r="V4454" s="15"/>
      <c r="W4454" s="16" t="n">
        <f aca="false">A4454</f>
        <v>0</v>
      </c>
      <c r="X4454" s="17" t="e">
        <f aca="false">ifs(C4454="","",X4454="",NOW(),TRUE(),X4454)</f>
        <v>#VALUE!</v>
      </c>
      <c r="Y4454" s="17" t="e">
        <f aca="false">ifs(COUNTA(K4454:U4457)&lt;44,"",Y4454="",NOW(),TRUE(),Y4454)</f>
        <v>#VALUE!</v>
      </c>
    </row>
    <row r="4455" customFormat="false" ht="15.75" hidden="false" customHeight="false" outlineLevel="0" collapsed="false">
      <c r="A4455" s="9"/>
      <c r="B4455" s="10"/>
      <c r="C4455" s="10"/>
      <c r="D4455" s="10"/>
      <c r="E4455" s="10"/>
      <c r="F4455" s="10"/>
      <c r="G4455" s="10"/>
      <c r="H4455" s="10"/>
      <c r="I4455" s="18" t="n">
        <v>2</v>
      </c>
      <c r="J4455" s="18"/>
      <c r="K4455" s="19"/>
      <c r="L4455" s="19"/>
      <c r="M4455" s="18"/>
      <c r="N4455" s="18"/>
      <c r="O4455" s="18"/>
      <c r="P4455" s="19"/>
      <c r="Q4455" s="19"/>
      <c r="R4455" s="18"/>
      <c r="S4455" s="18"/>
      <c r="T4455" s="18"/>
      <c r="U4455" s="20"/>
      <c r="V4455" s="21"/>
      <c r="W4455" s="16"/>
      <c r="X4455" s="16"/>
      <c r="Y4455" s="16"/>
    </row>
    <row r="4456" customFormat="false" ht="15.75" hidden="false" customHeight="false" outlineLevel="0" collapsed="false">
      <c r="A4456" s="9"/>
      <c r="B4456" s="10"/>
      <c r="C4456" s="10"/>
      <c r="D4456" s="10"/>
      <c r="E4456" s="10"/>
      <c r="F4456" s="10"/>
      <c r="G4456" s="10"/>
      <c r="H4456" s="10"/>
      <c r="I4456" s="22" t="n">
        <v>3</v>
      </c>
      <c r="J4456" s="22"/>
      <c r="K4456" s="23"/>
      <c r="L4456" s="23"/>
      <c r="M4456" s="22"/>
      <c r="N4456" s="22"/>
      <c r="O4456" s="22"/>
      <c r="P4456" s="23"/>
      <c r="Q4456" s="23"/>
      <c r="R4456" s="22"/>
      <c r="S4456" s="22"/>
      <c r="T4456" s="22"/>
      <c r="U4456" s="24"/>
      <c r="V4456" s="15"/>
      <c r="W4456" s="16"/>
      <c r="X4456" s="16"/>
      <c r="Y4456" s="16"/>
    </row>
    <row r="4457" customFormat="false" ht="15.75" hidden="false" customHeight="false" outlineLevel="0" collapsed="false">
      <c r="A4457" s="9"/>
      <c r="B4457" s="10"/>
      <c r="C4457" s="10"/>
      <c r="D4457" s="10"/>
      <c r="E4457" s="10"/>
      <c r="F4457" s="10"/>
      <c r="G4457" s="10"/>
      <c r="H4457" s="10"/>
      <c r="I4457" s="25" t="n">
        <v>4</v>
      </c>
      <c r="J4457" s="25"/>
      <c r="K4457" s="26"/>
      <c r="L4457" s="26"/>
      <c r="M4457" s="25"/>
      <c r="N4457" s="25"/>
      <c r="O4457" s="25"/>
      <c r="P4457" s="26"/>
      <c r="Q4457" s="26"/>
      <c r="R4457" s="25"/>
      <c r="S4457" s="25"/>
      <c r="T4457" s="25"/>
      <c r="U4457" s="27"/>
      <c r="V4457" s="21"/>
      <c r="W4457" s="16"/>
      <c r="X4457" s="16"/>
      <c r="Y4457" s="16"/>
    </row>
    <row r="4458" customFormat="false" ht="15.75" hidden="false" customHeight="false" outlineLevel="0" collapsed="false">
      <c r="A4458" s="9"/>
      <c r="B4458" s="10"/>
      <c r="C4458" s="11"/>
      <c r="D4458" s="10"/>
      <c r="E4458" s="10"/>
      <c r="F4458" s="10"/>
      <c r="G4458" s="10"/>
      <c r="H4458" s="10"/>
      <c r="I4458" s="12" t="n">
        <v>1</v>
      </c>
      <c r="J4458" s="12"/>
      <c r="K4458" s="13"/>
      <c r="L4458" s="13"/>
      <c r="M4458" s="12"/>
      <c r="N4458" s="12"/>
      <c r="O4458" s="12"/>
      <c r="P4458" s="13"/>
      <c r="Q4458" s="13"/>
      <c r="R4458" s="12"/>
      <c r="S4458" s="12"/>
      <c r="T4458" s="12"/>
      <c r="U4458" s="14"/>
      <c r="V4458" s="15"/>
      <c r="W4458" s="16" t="n">
        <f aca="false">A4458</f>
        <v>0</v>
      </c>
      <c r="X4458" s="17" t="e">
        <f aca="false">ifs(C4458="","",X4458="",NOW(),TRUE(),X4458)</f>
        <v>#VALUE!</v>
      </c>
      <c r="Y4458" s="17" t="e">
        <f aca="false">ifs(COUNTA(K4458:U4461)&lt;44,"",Y4458="",NOW(),TRUE(),Y4458)</f>
        <v>#VALUE!</v>
      </c>
    </row>
    <row r="4459" customFormat="false" ht="15.75" hidden="false" customHeight="false" outlineLevel="0" collapsed="false">
      <c r="A4459" s="9"/>
      <c r="B4459" s="10"/>
      <c r="C4459" s="10"/>
      <c r="D4459" s="10"/>
      <c r="E4459" s="10"/>
      <c r="F4459" s="10"/>
      <c r="G4459" s="10"/>
      <c r="H4459" s="10"/>
      <c r="I4459" s="18" t="n">
        <v>2</v>
      </c>
      <c r="J4459" s="18"/>
      <c r="K4459" s="19"/>
      <c r="L4459" s="19"/>
      <c r="M4459" s="18"/>
      <c r="N4459" s="18"/>
      <c r="O4459" s="18"/>
      <c r="P4459" s="19"/>
      <c r="Q4459" s="19"/>
      <c r="R4459" s="18"/>
      <c r="S4459" s="18"/>
      <c r="T4459" s="18"/>
      <c r="U4459" s="20"/>
      <c r="V4459" s="21"/>
      <c r="W4459" s="16"/>
      <c r="X4459" s="16"/>
      <c r="Y4459" s="16"/>
    </row>
    <row r="4460" customFormat="false" ht="15.75" hidden="false" customHeight="false" outlineLevel="0" collapsed="false">
      <c r="A4460" s="9"/>
      <c r="B4460" s="10"/>
      <c r="C4460" s="10"/>
      <c r="D4460" s="10"/>
      <c r="E4460" s="10"/>
      <c r="F4460" s="10"/>
      <c r="G4460" s="10"/>
      <c r="H4460" s="10"/>
      <c r="I4460" s="22" t="n">
        <v>3</v>
      </c>
      <c r="J4460" s="22"/>
      <c r="K4460" s="23"/>
      <c r="L4460" s="23"/>
      <c r="M4460" s="22"/>
      <c r="N4460" s="22"/>
      <c r="O4460" s="22"/>
      <c r="P4460" s="23"/>
      <c r="Q4460" s="23"/>
      <c r="R4460" s="22"/>
      <c r="S4460" s="22"/>
      <c r="T4460" s="22"/>
      <c r="U4460" s="24"/>
      <c r="V4460" s="15"/>
      <c r="W4460" s="16"/>
      <c r="X4460" s="16"/>
      <c r="Y4460" s="16"/>
    </row>
    <row r="4461" customFormat="false" ht="15.75" hidden="false" customHeight="false" outlineLevel="0" collapsed="false">
      <c r="A4461" s="9"/>
      <c r="B4461" s="10"/>
      <c r="C4461" s="10"/>
      <c r="D4461" s="10"/>
      <c r="E4461" s="10"/>
      <c r="F4461" s="10"/>
      <c r="G4461" s="10"/>
      <c r="H4461" s="10"/>
      <c r="I4461" s="25" t="n">
        <v>4</v>
      </c>
      <c r="J4461" s="25"/>
      <c r="K4461" s="26"/>
      <c r="L4461" s="26"/>
      <c r="M4461" s="25"/>
      <c r="N4461" s="25"/>
      <c r="O4461" s="25"/>
      <c r="P4461" s="26"/>
      <c r="Q4461" s="26"/>
      <c r="R4461" s="25"/>
      <c r="S4461" s="25"/>
      <c r="T4461" s="25"/>
      <c r="U4461" s="27"/>
      <c r="V4461" s="21"/>
      <c r="W4461" s="16"/>
      <c r="X4461" s="16"/>
      <c r="Y4461" s="16"/>
    </row>
    <row r="4462" customFormat="false" ht="15.75" hidden="false" customHeight="false" outlineLevel="0" collapsed="false">
      <c r="A4462" s="9"/>
      <c r="B4462" s="10"/>
      <c r="C4462" s="11"/>
      <c r="D4462" s="10"/>
      <c r="E4462" s="10"/>
      <c r="F4462" s="10"/>
      <c r="G4462" s="10"/>
      <c r="H4462" s="10"/>
      <c r="I4462" s="12" t="n">
        <v>1</v>
      </c>
      <c r="J4462" s="12"/>
      <c r="K4462" s="13"/>
      <c r="L4462" s="13"/>
      <c r="M4462" s="12"/>
      <c r="N4462" s="12"/>
      <c r="O4462" s="12"/>
      <c r="P4462" s="13"/>
      <c r="Q4462" s="13"/>
      <c r="R4462" s="12"/>
      <c r="S4462" s="12"/>
      <c r="T4462" s="12"/>
      <c r="U4462" s="14"/>
      <c r="V4462" s="15"/>
      <c r="W4462" s="16" t="n">
        <f aca="false">A4462</f>
        <v>0</v>
      </c>
      <c r="X4462" s="17" t="e">
        <f aca="false">ifs(C4462="","",X4462="",NOW(),TRUE(),X4462)</f>
        <v>#VALUE!</v>
      </c>
      <c r="Y4462" s="17" t="e">
        <f aca="false">ifs(COUNTA(K4462:U4465)&lt;44,"",Y4462="",NOW(),TRUE(),Y4462)</f>
        <v>#VALUE!</v>
      </c>
    </row>
    <row r="4463" customFormat="false" ht="15.75" hidden="false" customHeight="false" outlineLevel="0" collapsed="false">
      <c r="A4463" s="9"/>
      <c r="B4463" s="10"/>
      <c r="C4463" s="10"/>
      <c r="D4463" s="10"/>
      <c r="E4463" s="10"/>
      <c r="F4463" s="10"/>
      <c r="G4463" s="10"/>
      <c r="H4463" s="10"/>
      <c r="I4463" s="18" t="n">
        <v>2</v>
      </c>
      <c r="J4463" s="18"/>
      <c r="K4463" s="19"/>
      <c r="L4463" s="19"/>
      <c r="M4463" s="18"/>
      <c r="N4463" s="18"/>
      <c r="O4463" s="18"/>
      <c r="P4463" s="19"/>
      <c r="Q4463" s="19"/>
      <c r="R4463" s="18"/>
      <c r="S4463" s="18"/>
      <c r="T4463" s="18"/>
      <c r="U4463" s="20"/>
      <c r="V4463" s="21"/>
      <c r="W4463" s="16"/>
      <c r="X4463" s="16"/>
      <c r="Y4463" s="16"/>
    </row>
    <row r="4464" customFormat="false" ht="15.75" hidden="false" customHeight="false" outlineLevel="0" collapsed="false">
      <c r="A4464" s="9"/>
      <c r="B4464" s="10"/>
      <c r="C4464" s="10"/>
      <c r="D4464" s="10"/>
      <c r="E4464" s="10"/>
      <c r="F4464" s="10"/>
      <c r="G4464" s="10"/>
      <c r="H4464" s="10"/>
      <c r="I4464" s="22" t="n">
        <v>3</v>
      </c>
      <c r="J4464" s="22"/>
      <c r="K4464" s="23"/>
      <c r="L4464" s="23"/>
      <c r="M4464" s="22"/>
      <c r="N4464" s="22"/>
      <c r="O4464" s="22"/>
      <c r="P4464" s="23"/>
      <c r="Q4464" s="23"/>
      <c r="R4464" s="22"/>
      <c r="S4464" s="22"/>
      <c r="T4464" s="22"/>
      <c r="U4464" s="24"/>
      <c r="V4464" s="15"/>
      <c r="W4464" s="16"/>
      <c r="X4464" s="16"/>
      <c r="Y4464" s="16"/>
    </row>
    <row r="4465" customFormat="false" ht="15.75" hidden="false" customHeight="false" outlineLevel="0" collapsed="false">
      <c r="A4465" s="9"/>
      <c r="B4465" s="10"/>
      <c r="C4465" s="10"/>
      <c r="D4465" s="10"/>
      <c r="E4465" s="10"/>
      <c r="F4465" s="10"/>
      <c r="G4465" s="10"/>
      <c r="H4465" s="10"/>
      <c r="I4465" s="25" t="n">
        <v>4</v>
      </c>
      <c r="J4465" s="25"/>
      <c r="K4465" s="26"/>
      <c r="L4465" s="26"/>
      <c r="M4465" s="25"/>
      <c r="N4465" s="25"/>
      <c r="O4465" s="25"/>
      <c r="P4465" s="26"/>
      <c r="Q4465" s="26"/>
      <c r="R4465" s="25"/>
      <c r="S4465" s="25"/>
      <c r="T4465" s="25"/>
      <c r="U4465" s="27"/>
      <c r="V4465" s="21"/>
      <c r="W4465" s="16"/>
      <c r="X4465" s="16"/>
      <c r="Y4465" s="16"/>
    </row>
    <row r="4466" customFormat="false" ht="15.75" hidden="false" customHeight="false" outlineLevel="0" collapsed="false">
      <c r="A4466" s="9"/>
      <c r="B4466" s="10"/>
      <c r="C4466" s="11"/>
      <c r="D4466" s="10"/>
      <c r="E4466" s="10"/>
      <c r="F4466" s="10"/>
      <c r="G4466" s="10"/>
      <c r="H4466" s="10"/>
      <c r="I4466" s="12" t="n">
        <v>1</v>
      </c>
      <c r="J4466" s="12"/>
      <c r="K4466" s="13"/>
      <c r="L4466" s="13"/>
      <c r="M4466" s="12"/>
      <c r="N4466" s="12"/>
      <c r="O4466" s="12"/>
      <c r="P4466" s="13"/>
      <c r="Q4466" s="13"/>
      <c r="R4466" s="12"/>
      <c r="S4466" s="12"/>
      <c r="T4466" s="12"/>
      <c r="U4466" s="14"/>
      <c r="V4466" s="15"/>
      <c r="W4466" s="16" t="n">
        <f aca="false">A4466</f>
        <v>0</v>
      </c>
      <c r="X4466" s="17" t="e">
        <f aca="false">ifs(C4466="","",X4466="",NOW(),TRUE(),X4466)</f>
        <v>#VALUE!</v>
      </c>
      <c r="Y4466" s="17" t="e">
        <f aca="false">ifs(COUNTA(K4466:U4469)&lt;44,"",Y4466="",NOW(),TRUE(),Y4466)</f>
        <v>#VALUE!</v>
      </c>
    </row>
    <row r="4467" customFormat="false" ht="15.75" hidden="false" customHeight="false" outlineLevel="0" collapsed="false">
      <c r="A4467" s="9"/>
      <c r="B4467" s="10"/>
      <c r="C4467" s="10"/>
      <c r="D4467" s="10"/>
      <c r="E4467" s="10"/>
      <c r="F4467" s="10"/>
      <c r="G4467" s="10"/>
      <c r="H4467" s="10"/>
      <c r="I4467" s="18" t="n">
        <v>2</v>
      </c>
      <c r="J4467" s="18"/>
      <c r="K4467" s="19"/>
      <c r="L4467" s="19"/>
      <c r="M4467" s="18"/>
      <c r="N4467" s="18"/>
      <c r="O4467" s="18"/>
      <c r="P4467" s="19"/>
      <c r="Q4467" s="19"/>
      <c r="R4467" s="18"/>
      <c r="S4467" s="18"/>
      <c r="T4467" s="18"/>
      <c r="U4467" s="20"/>
      <c r="V4467" s="21"/>
      <c r="W4467" s="16"/>
      <c r="X4467" s="16"/>
      <c r="Y4467" s="16"/>
    </row>
    <row r="4468" customFormat="false" ht="15.75" hidden="false" customHeight="false" outlineLevel="0" collapsed="false">
      <c r="A4468" s="9"/>
      <c r="B4468" s="10"/>
      <c r="C4468" s="10"/>
      <c r="D4468" s="10"/>
      <c r="E4468" s="10"/>
      <c r="F4468" s="10"/>
      <c r="G4468" s="10"/>
      <c r="H4468" s="10"/>
      <c r="I4468" s="22" t="n">
        <v>3</v>
      </c>
      <c r="J4468" s="22"/>
      <c r="K4468" s="23"/>
      <c r="L4468" s="23"/>
      <c r="M4468" s="22"/>
      <c r="N4468" s="22"/>
      <c r="O4468" s="22"/>
      <c r="P4468" s="23"/>
      <c r="Q4468" s="23"/>
      <c r="R4468" s="22"/>
      <c r="S4468" s="22"/>
      <c r="T4468" s="22"/>
      <c r="U4468" s="24"/>
      <c r="V4468" s="15"/>
      <c r="W4468" s="16"/>
      <c r="X4468" s="16"/>
      <c r="Y4468" s="16"/>
    </row>
    <row r="4469" customFormat="false" ht="15.75" hidden="false" customHeight="false" outlineLevel="0" collapsed="false">
      <c r="A4469" s="9"/>
      <c r="B4469" s="10"/>
      <c r="C4469" s="10"/>
      <c r="D4469" s="10"/>
      <c r="E4469" s="10"/>
      <c r="F4469" s="10"/>
      <c r="G4469" s="10"/>
      <c r="H4469" s="10"/>
      <c r="I4469" s="25" t="n">
        <v>4</v>
      </c>
      <c r="J4469" s="25"/>
      <c r="K4469" s="26"/>
      <c r="L4469" s="26"/>
      <c r="M4469" s="25"/>
      <c r="N4469" s="25"/>
      <c r="O4469" s="25"/>
      <c r="P4469" s="26"/>
      <c r="Q4469" s="26"/>
      <c r="R4469" s="25"/>
      <c r="S4469" s="25"/>
      <c r="T4469" s="25"/>
      <c r="U4469" s="27"/>
      <c r="V4469" s="21"/>
      <c r="W4469" s="16"/>
      <c r="X4469" s="16"/>
      <c r="Y4469" s="16"/>
    </row>
    <row r="4470" customFormat="false" ht="15.75" hidden="false" customHeight="false" outlineLevel="0" collapsed="false">
      <c r="A4470" s="9"/>
      <c r="B4470" s="10"/>
      <c r="C4470" s="11"/>
      <c r="D4470" s="10"/>
      <c r="E4470" s="10"/>
      <c r="F4470" s="10"/>
      <c r="G4470" s="10"/>
      <c r="H4470" s="10"/>
      <c r="I4470" s="12" t="n">
        <v>1</v>
      </c>
      <c r="J4470" s="12"/>
      <c r="K4470" s="13"/>
      <c r="L4470" s="13"/>
      <c r="M4470" s="12"/>
      <c r="N4470" s="12"/>
      <c r="O4470" s="12"/>
      <c r="P4470" s="13"/>
      <c r="Q4470" s="13"/>
      <c r="R4470" s="12"/>
      <c r="S4470" s="12"/>
      <c r="T4470" s="12"/>
      <c r="U4470" s="14"/>
      <c r="V4470" s="15"/>
      <c r="W4470" s="16" t="n">
        <f aca="false">A4470</f>
        <v>0</v>
      </c>
      <c r="X4470" s="17" t="e">
        <f aca="false">ifs(C4470="","",X4470="",NOW(),TRUE(),X4470)</f>
        <v>#VALUE!</v>
      </c>
      <c r="Y4470" s="17" t="e">
        <f aca="false">ifs(COUNTA(K4470:U4473)&lt;44,"",Y4470="",NOW(),TRUE(),Y4470)</f>
        <v>#VALUE!</v>
      </c>
    </row>
    <row r="4471" customFormat="false" ht="15.75" hidden="false" customHeight="false" outlineLevel="0" collapsed="false">
      <c r="A4471" s="9"/>
      <c r="B4471" s="10"/>
      <c r="C4471" s="10"/>
      <c r="D4471" s="10"/>
      <c r="E4471" s="10"/>
      <c r="F4471" s="10"/>
      <c r="G4471" s="10"/>
      <c r="H4471" s="10"/>
      <c r="I4471" s="18" t="n">
        <v>2</v>
      </c>
      <c r="J4471" s="18"/>
      <c r="K4471" s="19"/>
      <c r="L4471" s="19"/>
      <c r="M4471" s="18"/>
      <c r="N4471" s="18"/>
      <c r="O4471" s="18"/>
      <c r="P4471" s="19"/>
      <c r="Q4471" s="19"/>
      <c r="R4471" s="18"/>
      <c r="S4471" s="18"/>
      <c r="T4471" s="18"/>
      <c r="U4471" s="20"/>
      <c r="V4471" s="21"/>
      <c r="W4471" s="16"/>
      <c r="X4471" s="16"/>
      <c r="Y4471" s="16"/>
    </row>
    <row r="4472" customFormat="false" ht="15.75" hidden="false" customHeight="false" outlineLevel="0" collapsed="false">
      <c r="A4472" s="9"/>
      <c r="B4472" s="10"/>
      <c r="C4472" s="10"/>
      <c r="D4472" s="10"/>
      <c r="E4472" s="10"/>
      <c r="F4472" s="10"/>
      <c r="G4472" s="10"/>
      <c r="H4472" s="10"/>
      <c r="I4472" s="22" t="n">
        <v>3</v>
      </c>
      <c r="J4472" s="22"/>
      <c r="K4472" s="23"/>
      <c r="L4472" s="23"/>
      <c r="M4472" s="22"/>
      <c r="N4472" s="22"/>
      <c r="O4472" s="22"/>
      <c r="P4472" s="23"/>
      <c r="Q4472" s="23"/>
      <c r="R4472" s="22"/>
      <c r="S4472" s="22"/>
      <c r="T4472" s="22"/>
      <c r="U4472" s="24"/>
      <c r="V4472" s="15"/>
      <c r="W4472" s="16"/>
      <c r="X4472" s="16"/>
      <c r="Y4472" s="16"/>
    </row>
    <row r="4473" customFormat="false" ht="15.75" hidden="false" customHeight="false" outlineLevel="0" collapsed="false">
      <c r="A4473" s="9"/>
      <c r="B4473" s="10"/>
      <c r="C4473" s="10"/>
      <c r="D4473" s="10"/>
      <c r="E4473" s="10"/>
      <c r="F4473" s="10"/>
      <c r="G4473" s="10"/>
      <c r="H4473" s="10"/>
      <c r="I4473" s="25" t="n">
        <v>4</v>
      </c>
      <c r="J4473" s="25"/>
      <c r="K4473" s="26"/>
      <c r="L4473" s="26"/>
      <c r="M4473" s="25"/>
      <c r="N4473" s="25"/>
      <c r="O4473" s="25"/>
      <c r="P4473" s="26"/>
      <c r="Q4473" s="26"/>
      <c r="R4473" s="25"/>
      <c r="S4473" s="25"/>
      <c r="T4473" s="25"/>
      <c r="U4473" s="27"/>
      <c r="V4473" s="21"/>
      <c r="W4473" s="16"/>
      <c r="X4473" s="16"/>
      <c r="Y4473" s="16"/>
    </row>
    <row r="4474" customFormat="false" ht="15.75" hidden="false" customHeight="false" outlineLevel="0" collapsed="false">
      <c r="A4474" s="9"/>
      <c r="B4474" s="10"/>
      <c r="C4474" s="11"/>
      <c r="D4474" s="10"/>
      <c r="E4474" s="10"/>
      <c r="F4474" s="10"/>
      <c r="G4474" s="10"/>
      <c r="H4474" s="10"/>
      <c r="I4474" s="12" t="n">
        <v>1</v>
      </c>
      <c r="J4474" s="12"/>
      <c r="K4474" s="13"/>
      <c r="L4474" s="13"/>
      <c r="M4474" s="12"/>
      <c r="N4474" s="12"/>
      <c r="O4474" s="12"/>
      <c r="P4474" s="13"/>
      <c r="Q4474" s="13"/>
      <c r="R4474" s="12"/>
      <c r="S4474" s="12"/>
      <c r="T4474" s="12"/>
      <c r="U4474" s="14"/>
      <c r="V4474" s="15"/>
      <c r="W4474" s="16" t="n">
        <f aca="false">A4474</f>
        <v>0</v>
      </c>
      <c r="X4474" s="17" t="e">
        <f aca="false">ifs(C4474="","",X4474="",NOW(),TRUE(),X4474)</f>
        <v>#VALUE!</v>
      </c>
      <c r="Y4474" s="17" t="e">
        <f aca="false">ifs(COUNTA(K4474:U4477)&lt;44,"",Y4474="",NOW(),TRUE(),Y4474)</f>
        <v>#VALUE!</v>
      </c>
    </row>
    <row r="4475" customFormat="false" ht="15.75" hidden="false" customHeight="false" outlineLevel="0" collapsed="false">
      <c r="A4475" s="9"/>
      <c r="B4475" s="10"/>
      <c r="C4475" s="10"/>
      <c r="D4475" s="10"/>
      <c r="E4475" s="10"/>
      <c r="F4475" s="10"/>
      <c r="G4475" s="10"/>
      <c r="H4475" s="10"/>
      <c r="I4475" s="18" t="n">
        <v>2</v>
      </c>
      <c r="J4475" s="18"/>
      <c r="K4475" s="19"/>
      <c r="L4475" s="19"/>
      <c r="M4475" s="18"/>
      <c r="N4475" s="18"/>
      <c r="O4475" s="18"/>
      <c r="P4475" s="19"/>
      <c r="Q4475" s="19"/>
      <c r="R4475" s="18"/>
      <c r="S4475" s="18"/>
      <c r="T4475" s="18"/>
      <c r="U4475" s="20"/>
      <c r="V4475" s="21"/>
      <c r="W4475" s="16"/>
      <c r="X4475" s="16"/>
      <c r="Y4475" s="16"/>
    </row>
    <row r="4476" customFormat="false" ht="15.75" hidden="false" customHeight="false" outlineLevel="0" collapsed="false">
      <c r="A4476" s="9"/>
      <c r="B4476" s="10"/>
      <c r="C4476" s="10"/>
      <c r="D4476" s="10"/>
      <c r="E4476" s="10"/>
      <c r="F4476" s="10"/>
      <c r="G4476" s="10"/>
      <c r="H4476" s="10"/>
      <c r="I4476" s="22" t="n">
        <v>3</v>
      </c>
      <c r="J4476" s="22"/>
      <c r="K4476" s="23"/>
      <c r="L4476" s="23"/>
      <c r="M4476" s="22"/>
      <c r="N4476" s="22"/>
      <c r="O4476" s="22"/>
      <c r="P4476" s="23"/>
      <c r="Q4476" s="23"/>
      <c r="R4476" s="22"/>
      <c r="S4476" s="22"/>
      <c r="T4476" s="22"/>
      <c r="U4476" s="24"/>
      <c r="V4476" s="15"/>
      <c r="W4476" s="16"/>
      <c r="X4476" s="16"/>
      <c r="Y4476" s="16"/>
    </row>
    <row r="4477" customFormat="false" ht="15.75" hidden="false" customHeight="false" outlineLevel="0" collapsed="false">
      <c r="A4477" s="9"/>
      <c r="B4477" s="10"/>
      <c r="C4477" s="10"/>
      <c r="D4477" s="10"/>
      <c r="E4477" s="10"/>
      <c r="F4477" s="10"/>
      <c r="G4477" s="10"/>
      <c r="H4477" s="10"/>
      <c r="I4477" s="25" t="n">
        <v>4</v>
      </c>
      <c r="J4477" s="25"/>
      <c r="K4477" s="26"/>
      <c r="L4477" s="26"/>
      <c r="M4477" s="25"/>
      <c r="N4477" s="25"/>
      <c r="O4477" s="25"/>
      <c r="P4477" s="26"/>
      <c r="Q4477" s="26"/>
      <c r="R4477" s="25"/>
      <c r="S4477" s="25"/>
      <c r="T4477" s="25"/>
      <c r="U4477" s="27"/>
      <c r="V4477" s="21"/>
      <c r="W4477" s="16"/>
      <c r="X4477" s="16"/>
      <c r="Y4477" s="16"/>
    </row>
    <row r="4478" customFormat="false" ht="15.75" hidden="false" customHeight="false" outlineLevel="0" collapsed="false">
      <c r="A4478" s="9"/>
      <c r="B4478" s="10"/>
      <c r="C4478" s="11"/>
      <c r="D4478" s="10"/>
      <c r="E4478" s="10"/>
      <c r="F4478" s="10"/>
      <c r="G4478" s="10"/>
      <c r="H4478" s="10"/>
      <c r="I4478" s="12" t="n">
        <v>1</v>
      </c>
      <c r="J4478" s="12"/>
      <c r="K4478" s="13"/>
      <c r="L4478" s="13"/>
      <c r="M4478" s="12"/>
      <c r="N4478" s="12"/>
      <c r="O4478" s="12"/>
      <c r="P4478" s="13"/>
      <c r="Q4478" s="13"/>
      <c r="R4478" s="12"/>
      <c r="S4478" s="12"/>
      <c r="T4478" s="12"/>
      <c r="U4478" s="14"/>
      <c r="V4478" s="15"/>
      <c r="W4478" s="16" t="n">
        <f aca="false">A4478</f>
        <v>0</v>
      </c>
      <c r="X4478" s="17" t="e">
        <f aca="false">ifs(C4478="","",X4478="",NOW(),TRUE(),X4478)</f>
        <v>#VALUE!</v>
      </c>
      <c r="Y4478" s="17" t="e">
        <f aca="false">ifs(COUNTA(K4478:U4481)&lt;44,"",Y4478="",NOW(),TRUE(),Y4478)</f>
        <v>#VALUE!</v>
      </c>
    </row>
    <row r="4479" customFormat="false" ht="15.75" hidden="false" customHeight="false" outlineLevel="0" collapsed="false">
      <c r="A4479" s="9"/>
      <c r="B4479" s="10"/>
      <c r="C4479" s="10"/>
      <c r="D4479" s="10"/>
      <c r="E4479" s="10"/>
      <c r="F4479" s="10"/>
      <c r="G4479" s="10"/>
      <c r="H4479" s="10"/>
      <c r="I4479" s="18" t="n">
        <v>2</v>
      </c>
      <c r="J4479" s="18"/>
      <c r="K4479" s="19"/>
      <c r="L4479" s="19"/>
      <c r="M4479" s="18"/>
      <c r="N4479" s="18"/>
      <c r="O4479" s="18"/>
      <c r="P4479" s="19"/>
      <c r="Q4479" s="19"/>
      <c r="R4479" s="18"/>
      <c r="S4479" s="18"/>
      <c r="T4479" s="18"/>
      <c r="U4479" s="20"/>
      <c r="V4479" s="21"/>
      <c r="W4479" s="16"/>
      <c r="X4479" s="16"/>
      <c r="Y4479" s="16"/>
    </row>
    <row r="4480" customFormat="false" ht="15.75" hidden="false" customHeight="false" outlineLevel="0" collapsed="false">
      <c r="A4480" s="9"/>
      <c r="B4480" s="10"/>
      <c r="C4480" s="10"/>
      <c r="D4480" s="10"/>
      <c r="E4480" s="10"/>
      <c r="F4480" s="10"/>
      <c r="G4480" s="10"/>
      <c r="H4480" s="10"/>
      <c r="I4480" s="22" t="n">
        <v>3</v>
      </c>
      <c r="J4480" s="22"/>
      <c r="K4480" s="23"/>
      <c r="L4480" s="23"/>
      <c r="M4480" s="22"/>
      <c r="N4480" s="22"/>
      <c r="O4480" s="22"/>
      <c r="P4480" s="23"/>
      <c r="Q4480" s="23"/>
      <c r="R4480" s="22"/>
      <c r="S4480" s="22"/>
      <c r="T4480" s="22"/>
      <c r="U4480" s="24"/>
      <c r="V4480" s="15"/>
      <c r="W4480" s="16"/>
      <c r="X4480" s="16"/>
      <c r="Y4480" s="16"/>
    </row>
    <row r="4481" customFormat="false" ht="15.75" hidden="false" customHeight="false" outlineLevel="0" collapsed="false">
      <c r="A4481" s="9"/>
      <c r="B4481" s="10"/>
      <c r="C4481" s="10"/>
      <c r="D4481" s="10"/>
      <c r="E4481" s="10"/>
      <c r="F4481" s="10"/>
      <c r="G4481" s="10"/>
      <c r="H4481" s="10"/>
      <c r="I4481" s="25" t="n">
        <v>4</v>
      </c>
      <c r="J4481" s="25"/>
      <c r="K4481" s="26"/>
      <c r="L4481" s="26"/>
      <c r="M4481" s="25"/>
      <c r="N4481" s="25"/>
      <c r="O4481" s="25"/>
      <c r="P4481" s="26"/>
      <c r="Q4481" s="26"/>
      <c r="R4481" s="25"/>
      <c r="S4481" s="25"/>
      <c r="T4481" s="25"/>
      <c r="U4481" s="27"/>
      <c r="V4481" s="21"/>
      <c r="W4481" s="16"/>
      <c r="X4481" s="16"/>
      <c r="Y4481" s="16"/>
    </row>
    <row r="4482" customFormat="false" ht="15.75" hidden="false" customHeight="false" outlineLevel="0" collapsed="false">
      <c r="A4482" s="9"/>
      <c r="B4482" s="10"/>
      <c r="C4482" s="11"/>
      <c r="D4482" s="10"/>
      <c r="E4482" s="10"/>
      <c r="F4482" s="10"/>
      <c r="G4482" s="10"/>
      <c r="H4482" s="10"/>
      <c r="I4482" s="12" t="n">
        <v>1</v>
      </c>
      <c r="J4482" s="12"/>
      <c r="K4482" s="13"/>
      <c r="L4482" s="13"/>
      <c r="M4482" s="12"/>
      <c r="N4482" s="12"/>
      <c r="O4482" s="12"/>
      <c r="P4482" s="13"/>
      <c r="Q4482" s="13"/>
      <c r="R4482" s="12"/>
      <c r="S4482" s="12"/>
      <c r="T4482" s="12"/>
      <c r="U4482" s="14"/>
      <c r="V4482" s="15"/>
      <c r="W4482" s="16" t="n">
        <f aca="false">A4482</f>
        <v>0</v>
      </c>
      <c r="X4482" s="17" t="e">
        <f aca="false">ifs(C4482="","",X4482="",NOW(),TRUE(),X4482)</f>
        <v>#VALUE!</v>
      </c>
      <c r="Y4482" s="17" t="e">
        <f aca="false">ifs(COUNTA(K4482:U4485)&lt;44,"",Y4482="",NOW(),TRUE(),Y4482)</f>
        <v>#VALUE!</v>
      </c>
    </row>
    <row r="4483" customFormat="false" ht="15.75" hidden="false" customHeight="false" outlineLevel="0" collapsed="false">
      <c r="A4483" s="9"/>
      <c r="B4483" s="10"/>
      <c r="C4483" s="10"/>
      <c r="D4483" s="10"/>
      <c r="E4483" s="10"/>
      <c r="F4483" s="10"/>
      <c r="G4483" s="10"/>
      <c r="H4483" s="10"/>
      <c r="I4483" s="18" t="n">
        <v>2</v>
      </c>
      <c r="J4483" s="18"/>
      <c r="K4483" s="19"/>
      <c r="L4483" s="19"/>
      <c r="M4483" s="18"/>
      <c r="N4483" s="18"/>
      <c r="O4483" s="18"/>
      <c r="P4483" s="19"/>
      <c r="Q4483" s="19"/>
      <c r="R4483" s="18"/>
      <c r="S4483" s="18"/>
      <c r="T4483" s="18"/>
      <c r="U4483" s="20"/>
      <c r="V4483" s="21"/>
      <c r="W4483" s="16"/>
      <c r="X4483" s="16"/>
      <c r="Y4483" s="16"/>
    </row>
    <row r="4484" customFormat="false" ht="15.75" hidden="false" customHeight="false" outlineLevel="0" collapsed="false">
      <c r="A4484" s="9"/>
      <c r="B4484" s="10"/>
      <c r="C4484" s="10"/>
      <c r="D4484" s="10"/>
      <c r="E4484" s="10"/>
      <c r="F4484" s="10"/>
      <c r="G4484" s="10"/>
      <c r="H4484" s="10"/>
      <c r="I4484" s="22" t="n">
        <v>3</v>
      </c>
      <c r="J4484" s="22"/>
      <c r="K4484" s="23"/>
      <c r="L4484" s="23"/>
      <c r="M4484" s="22"/>
      <c r="N4484" s="22"/>
      <c r="O4484" s="22"/>
      <c r="P4484" s="23"/>
      <c r="Q4484" s="23"/>
      <c r="R4484" s="22"/>
      <c r="S4484" s="22"/>
      <c r="T4484" s="22"/>
      <c r="U4484" s="24"/>
      <c r="V4484" s="15"/>
      <c r="W4484" s="16"/>
      <c r="X4484" s="16"/>
      <c r="Y4484" s="16"/>
    </row>
    <row r="4485" customFormat="false" ht="15.75" hidden="false" customHeight="false" outlineLevel="0" collapsed="false">
      <c r="A4485" s="9"/>
      <c r="B4485" s="10"/>
      <c r="C4485" s="10"/>
      <c r="D4485" s="10"/>
      <c r="E4485" s="10"/>
      <c r="F4485" s="10"/>
      <c r="G4485" s="10"/>
      <c r="H4485" s="10"/>
      <c r="I4485" s="25" t="n">
        <v>4</v>
      </c>
      <c r="J4485" s="25"/>
      <c r="K4485" s="26"/>
      <c r="L4485" s="26"/>
      <c r="M4485" s="25"/>
      <c r="N4485" s="25"/>
      <c r="O4485" s="25"/>
      <c r="P4485" s="26"/>
      <c r="Q4485" s="26"/>
      <c r="R4485" s="25"/>
      <c r="S4485" s="25"/>
      <c r="T4485" s="25"/>
      <c r="U4485" s="27"/>
      <c r="V4485" s="21"/>
      <c r="W4485" s="16"/>
      <c r="X4485" s="16"/>
      <c r="Y4485" s="16"/>
    </row>
    <row r="4486" customFormat="false" ht="15.75" hidden="false" customHeight="false" outlineLevel="0" collapsed="false">
      <c r="A4486" s="9"/>
      <c r="B4486" s="10"/>
      <c r="C4486" s="11"/>
      <c r="D4486" s="10"/>
      <c r="E4486" s="10"/>
      <c r="F4486" s="10"/>
      <c r="G4486" s="10"/>
      <c r="H4486" s="10"/>
      <c r="I4486" s="12" t="n">
        <v>1</v>
      </c>
      <c r="J4486" s="12"/>
      <c r="K4486" s="13"/>
      <c r="L4486" s="13"/>
      <c r="M4486" s="12"/>
      <c r="N4486" s="12"/>
      <c r="O4486" s="12"/>
      <c r="P4486" s="13"/>
      <c r="Q4486" s="13"/>
      <c r="R4486" s="12"/>
      <c r="S4486" s="12"/>
      <c r="T4486" s="12"/>
      <c r="U4486" s="14"/>
      <c r="V4486" s="15"/>
      <c r="W4486" s="16" t="n">
        <f aca="false">A4486</f>
        <v>0</v>
      </c>
      <c r="X4486" s="17" t="e">
        <f aca="false">ifs(C4486="","",X4486="",NOW(),TRUE(),X4486)</f>
        <v>#VALUE!</v>
      </c>
      <c r="Y4486" s="17" t="e">
        <f aca="false">ifs(COUNTA(K4486:U4489)&lt;44,"",Y4486="",NOW(),TRUE(),Y4486)</f>
        <v>#VALUE!</v>
      </c>
    </row>
    <row r="4487" customFormat="false" ht="15.75" hidden="false" customHeight="false" outlineLevel="0" collapsed="false">
      <c r="A4487" s="9"/>
      <c r="B4487" s="10"/>
      <c r="C4487" s="10"/>
      <c r="D4487" s="10"/>
      <c r="E4487" s="10"/>
      <c r="F4487" s="10"/>
      <c r="G4487" s="10"/>
      <c r="H4487" s="10"/>
      <c r="I4487" s="18" t="n">
        <v>2</v>
      </c>
      <c r="J4487" s="18"/>
      <c r="K4487" s="19"/>
      <c r="L4487" s="19"/>
      <c r="M4487" s="18"/>
      <c r="N4487" s="18"/>
      <c r="O4487" s="18"/>
      <c r="P4487" s="19"/>
      <c r="Q4487" s="19"/>
      <c r="R4487" s="18"/>
      <c r="S4487" s="18"/>
      <c r="T4487" s="18"/>
      <c r="U4487" s="20"/>
      <c r="V4487" s="21"/>
      <c r="W4487" s="16"/>
      <c r="X4487" s="16"/>
      <c r="Y4487" s="16"/>
    </row>
    <row r="4488" customFormat="false" ht="15.75" hidden="false" customHeight="false" outlineLevel="0" collapsed="false">
      <c r="A4488" s="9"/>
      <c r="B4488" s="10"/>
      <c r="C4488" s="10"/>
      <c r="D4488" s="10"/>
      <c r="E4488" s="10"/>
      <c r="F4488" s="10"/>
      <c r="G4488" s="10"/>
      <c r="H4488" s="10"/>
      <c r="I4488" s="22" t="n">
        <v>3</v>
      </c>
      <c r="J4488" s="22"/>
      <c r="K4488" s="23"/>
      <c r="L4488" s="23"/>
      <c r="M4488" s="22"/>
      <c r="N4488" s="22"/>
      <c r="O4488" s="22"/>
      <c r="P4488" s="23"/>
      <c r="Q4488" s="23"/>
      <c r="R4488" s="22"/>
      <c r="S4488" s="22"/>
      <c r="T4488" s="22"/>
      <c r="U4488" s="24"/>
      <c r="V4488" s="15"/>
      <c r="W4488" s="16"/>
      <c r="X4488" s="16"/>
      <c r="Y4488" s="16"/>
    </row>
    <row r="4489" customFormat="false" ht="15.75" hidden="false" customHeight="false" outlineLevel="0" collapsed="false">
      <c r="A4489" s="9"/>
      <c r="B4489" s="10"/>
      <c r="C4489" s="10"/>
      <c r="D4489" s="10"/>
      <c r="E4489" s="10"/>
      <c r="F4489" s="10"/>
      <c r="G4489" s="10"/>
      <c r="H4489" s="10"/>
      <c r="I4489" s="25" t="n">
        <v>4</v>
      </c>
      <c r="J4489" s="25"/>
      <c r="K4489" s="26"/>
      <c r="L4489" s="26"/>
      <c r="M4489" s="25"/>
      <c r="N4489" s="25"/>
      <c r="O4489" s="25"/>
      <c r="P4489" s="26"/>
      <c r="Q4489" s="26"/>
      <c r="R4489" s="25"/>
      <c r="S4489" s="25"/>
      <c r="T4489" s="25"/>
      <c r="U4489" s="27"/>
      <c r="V4489" s="21"/>
      <c r="W4489" s="16"/>
      <c r="X4489" s="16"/>
      <c r="Y4489" s="16"/>
    </row>
    <row r="4490" customFormat="false" ht="15.75" hidden="false" customHeight="false" outlineLevel="0" collapsed="false">
      <c r="A4490" s="9"/>
      <c r="B4490" s="10"/>
      <c r="C4490" s="11"/>
      <c r="D4490" s="10"/>
      <c r="E4490" s="10"/>
      <c r="F4490" s="10"/>
      <c r="G4490" s="10"/>
      <c r="H4490" s="10"/>
      <c r="I4490" s="12" t="n">
        <v>1</v>
      </c>
      <c r="J4490" s="12"/>
      <c r="K4490" s="13"/>
      <c r="L4490" s="13"/>
      <c r="M4490" s="12"/>
      <c r="N4490" s="12"/>
      <c r="O4490" s="12"/>
      <c r="P4490" s="13"/>
      <c r="Q4490" s="13"/>
      <c r="R4490" s="12"/>
      <c r="S4490" s="12"/>
      <c r="T4490" s="12"/>
      <c r="U4490" s="14"/>
      <c r="V4490" s="15"/>
      <c r="W4490" s="16" t="n">
        <f aca="false">A4490</f>
        <v>0</v>
      </c>
      <c r="X4490" s="17" t="e">
        <f aca="false">ifs(C4490="","",X4490="",NOW(),TRUE(),X4490)</f>
        <v>#VALUE!</v>
      </c>
      <c r="Y4490" s="17" t="e">
        <f aca="false">ifs(COUNTA(K4490:U4493)&lt;44,"",Y4490="",NOW(),TRUE(),Y4490)</f>
        <v>#VALUE!</v>
      </c>
    </row>
    <row r="4491" customFormat="false" ht="15.75" hidden="false" customHeight="false" outlineLevel="0" collapsed="false">
      <c r="A4491" s="9"/>
      <c r="B4491" s="10"/>
      <c r="C4491" s="10"/>
      <c r="D4491" s="10"/>
      <c r="E4491" s="10"/>
      <c r="F4491" s="10"/>
      <c r="G4491" s="10"/>
      <c r="H4491" s="10"/>
      <c r="I4491" s="18" t="n">
        <v>2</v>
      </c>
      <c r="J4491" s="18"/>
      <c r="K4491" s="19"/>
      <c r="L4491" s="19"/>
      <c r="M4491" s="18"/>
      <c r="N4491" s="18"/>
      <c r="O4491" s="18"/>
      <c r="P4491" s="19"/>
      <c r="Q4491" s="19"/>
      <c r="R4491" s="18"/>
      <c r="S4491" s="18"/>
      <c r="T4491" s="18"/>
      <c r="U4491" s="20"/>
      <c r="V4491" s="21"/>
      <c r="W4491" s="16"/>
      <c r="X4491" s="16"/>
      <c r="Y4491" s="16"/>
    </row>
    <row r="4492" customFormat="false" ht="15.75" hidden="false" customHeight="false" outlineLevel="0" collapsed="false">
      <c r="A4492" s="9"/>
      <c r="B4492" s="10"/>
      <c r="C4492" s="10"/>
      <c r="D4492" s="10"/>
      <c r="E4492" s="10"/>
      <c r="F4492" s="10"/>
      <c r="G4492" s="10"/>
      <c r="H4492" s="10"/>
      <c r="I4492" s="22" t="n">
        <v>3</v>
      </c>
      <c r="J4492" s="22"/>
      <c r="K4492" s="23"/>
      <c r="L4492" s="23"/>
      <c r="M4492" s="22"/>
      <c r="N4492" s="22"/>
      <c r="O4492" s="22"/>
      <c r="P4492" s="23"/>
      <c r="Q4492" s="23"/>
      <c r="R4492" s="22"/>
      <c r="S4492" s="22"/>
      <c r="T4492" s="22"/>
      <c r="U4492" s="24"/>
      <c r="V4492" s="15"/>
      <c r="W4492" s="16"/>
      <c r="X4492" s="16"/>
      <c r="Y4492" s="16"/>
    </row>
    <row r="4493" customFormat="false" ht="15.75" hidden="false" customHeight="false" outlineLevel="0" collapsed="false">
      <c r="A4493" s="9"/>
      <c r="B4493" s="10"/>
      <c r="C4493" s="10"/>
      <c r="D4493" s="10"/>
      <c r="E4493" s="10"/>
      <c r="F4493" s="10"/>
      <c r="G4493" s="10"/>
      <c r="H4493" s="10"/>
      <c r="I4493" s="25" t="n">
        <v>4</v>
      </c>
      <c r="J4493" s="25"/>
      <c r="K4493" s="26"/>
      <c r="L4493" s="26"/>
      <c r="M4493" s="25"/>
      <c r="N4493" s="25"/>
      <c r="O4493" s="25"/>
      <c r="P4493" s="26"/>
      <c r="Q4493" s="26"/>
      <c r="R4493" s="25"/>
      <c r="S4493" s="25"/>
      <c r="T4493" s="25"/>
      <c r="U4493" s="27"/>
      <c r="V4493" s="21"/>
      <c r="W4493" s="16"/>
      <c r="X4493" s="16"/>
      <c r="Y4493" s="16"/>
    </row>
    <row r="4494" customFormat="false" ht="15.75" hidden="false" customHeight="false" outlineLevel="0" collapsed="false">
      <c r="A4494" s="9"/>
      <c r="B4494" s="10"/>
      <c r="C4494" s="11"/>
      <c r="D4494" s="10"/>
      <c r="E4494" s="10"/>
      <c r="F4494" s="10"/>
      <c r="G4494" s="10"/>
      <c r="H4494" s="10"/>
      <c r="I4494" s="12" t="n">
        <v>1</v>
      </c>
      <c r="J4494" s="12"/>
      <c r="K4494" s="13"/>
      <c r="L4494" s="13"/>
      <c r="M4494" s="12"/>
      <c r="N4494" s="12"/>
      <c r="O4494" s="12"/>
      <c r="P4494" s="13"/>
      <c r="Q4494" s="13"/>
      <c r="R4494" s="12"/>
      <c r="S4494" s="12"/>
      <c r="T4494" s="12"/>
      <c r="U4494" s="14"/>
      <c r="V4494" s="15"/>
      <c r="W4494" s="16" t="n">
        <f aca="false">A4494</f>
        <v>0</v>
      </c>
      <c r="X4494" s="17" t="e">
        <f aca="false">ifs(C4494="","",X4494="",NOW(),TRUE(),X4494)</f>
        <v>#VALUE!</v>
      </c>
      <c r="Y4494" s="17" t="e">
        <f aca="false">ifs(COUNTA(K4494:U4497)&lt;44,"",Y4494="",NOW(),TRUE(),Y4494)</f>
        <v>#VALUE!</v>
      </c>
    </row>
    <row r="4495" customFormat="false" ht="15.75" hidden="false" customHeight="false" outlineLevel="0" collapsed="false">
      <c r="A4495" s="9"/>
      <c r="B4495" s="10"/>
      <c r="C4495" s="10"/>
      <c r="D4495" s="10"/>
      <c r="E4495" s="10"/>
      <c r="F4495" s="10"/>
      <c r="G4495" s="10"/>
      <c r="H4495" s="10"/>
      <c r="I4495" s="18" t="n">
        <v>2</v>
      </c>
      <c r="J4495" s="18"/>
      <c r="K4495" s="19"/>
      <c r="L4495" s="19"/>
      <c r="M4495" s="18"/>
      <c r="N4495" s="18"/>
      <c r="O4495" s="18"/>
      <c r="P4495" s="19"/>
      <c r="Q4495" s="19"/>
      <c r="R4495" s="18"/>
      <c r="S4495" s="18"/>
      <c r="T4495" s="18"/>
      <c r="U4495" s="20"/>
      <c r="V4495" s="21"/>
      <c r="W4495" s="16"/>
      <c r="X4495" s="16"/>
      <c r="Y4495" s="16"/>
    </row>
    <row r="4496" customFormat="false" ht="15.75" hidden="false" customHeight="false" outlineLevel="0" collapsed="false">
      <c r="A4496" s="9"/>
      <c r="B4496" s="10"/>
      <c r="C4496" s="10"/>
      <c r="D4496" s="10"/>
      <c r="E4496" s="10"/>
      <c r="F4496" s="10"/>
      <c r="G4496" s="10"/>
      <c r="H4496" s="10"/>
      <c r="I4496" s="22" t="n">
        <v>3</v>
      </c>
      <c r="J4496" s="22"/>
      <c r="K4496" s="23"/>
      <c r="L4496" s="23"/>
      <c r="M4496" s="22"/>
      <c r="N4496" s="22"/>
      <c r="O4496" s="22"/>
      <c r="P4496" s="23"/>
      <c r="Q4496" s="23"/>
      <c r="R4496" s="22"/>
      <c r="S4496" s="22"/>
      <c r="T4496" s="22"/>
      <c r="U4496" s="24"/>
      <c r="V4496" s="15"/>
      <c r="W4496" s="16"/>
      <c r="X4496" s="16"/>
      <c r="Y4496" s="16"/>
    </row>
    <row r="4497" customFormat="false" ht="15.75" hidden="false" customHeight="false" outlineLevel="0" collapsed="false">
      <c r="A4497" s="9"/>
      <c r="B4497" s="10"/>
      <c r="C4497" s="10"/>
      <c r="D4497" s="10"/>
      <c r="E4497" s="10"/>
      <c r="F4497" s="10"/>
      <c r="G4497" s="10"/>
      <c r="H4497" s="10"/>
      <c r="I4497" s="25" t="n">
        <v>4</v>
      </c>
      <c r="J4497" s="25"/>
      <c r="K4497" s="26"/>
      <c r="L4497" s="26"/>
      <c r="M4497" s="25"/>
      <c r="N4497" s="25"/>
      <c r="O4497" s="25"/>
      <c r="P4497" s="26"/>
      <c r="Q4497" s="26"/>
      <c r="R4497" s="25"/>
      <c r="S4497" s="25"/>
      <c r="T4497" s="25"/>
      <c r="U4497" s="27"/>
      <c r="V4497" s="21"/>
      <c r="W4497" s="16"/>
      <c r="X4497" s="16"/>
      <c r="Y4497" s="16"/>
    </row>
    <row r="4498" customFormat="false" ht="15.75" hidden="false" customHeight="false" outlineLevel="0" collapsed="false">
      <c r="A4498" s="9"/>
      <c r="B4498" s="10"/>
      <c r="C4498" s="11"/>
      <c r="D4498" s="10"/>
      <c r="E4498" s="10"/>
      <c r="F4498" s="10"/>
      <c r="G4498" s="10"/>
      <c r="H4498" s="10"/>
      <c r="I4498" s="12" t="n">
        <v>1</v>
      </c>
      <c r="J4498" s="12"/>
      <c r="K4498" s="13"/>
      <c r="L4498" s="13"/>
      <c r="M4498" s="12"/>
      <c r="N4498" s="12"/>
      <c r="O4498" s="12"/>
      <c r="P4498" s="13"/>
      <c r="Q4498" s="13"/>
      <c r="R4498" s="12"/>
      <c r="S4498" s="12"/>
      <c r="T4498" s="12"/>
      <c r="U4498" s="14"/>
      <c r="V4498" s="15"/>
      <c r="W4498" s="16" t="n">
        <f aca="false">A4498</f>
        <v>0</v>
      </c>
      <c r="X4498" s="17" t="e">
        <f aca="false">ifs(C4498="","",X4498="",NOW(),TRUE(),X4498)</f>
        <v>#VALUE!</v>
      </c>
      <c r="Y4498" s="17" t="e">
        <f aca="false">ifs(COUNTA(K4498:U4501)&lt;44,"",Y4498="",NOW(),TRUE(),Y4498)</f>
        <v>#VALUE!</v>
      </c>
    </row>
    <row r="4499" customFormat="false" ht="15.75" hidden="false" customHeight="false" outlineLevel="0" collapsed="false">
      <c r="A4499" s="9"/>
      <c r="B4499" s="10"/>
      <c r="C4499" s="10"/>
      <c r="D4499" s="10"/>
      <c r="E4499" s="10"/>
      <c r="F4499" s="10"/>
      <c r="G4499" s="10"/>
      <c r="H4499" s="10"/>
      <c r="I4499" s="18" t="n">
        <v>2</v>
      </c>
      <c r="J4499" s="18"/>
      <c r="K4499" s="19"/>
      <c r="L4499" s="19"/>
      <c r="M4499" s="18"/>
      <c r="N4499" s="18"/>
      <c r="O4499" s="18"/>
      <c r="P4499" s="19"/>
      <c r="Q4499" s="19"/>
      <c r="R4499" s="18"/>
      <c r="S4499" s="18"/>
      <c r="T4499" s="18"/>
      <c r="U4499" s="20"/>
      <c r="V4499" s="21"/>
      <c r="W4499" s="16"/>
      <c r="X4499" s="16"/>
      <c r="Y4499" s="16"/>
    </row>
    <row r="4500" customFormat="false" ht="15.75" hidden="false" customHeight="false" outlineLevel="0" collapsed="false">
      <c r="A4500" s="9"/>
      <c r="B4500" s="10"/>
      <c r="C4500" s="10"/>
      <c r="D4500" s="10"/>
      <c r="E4500" s="10"/>
      <c r="F4500" s="10"/>
      <c r="G4500" s="10"/>
      <c r="H4500" s="10"/>
      <c r="I4500" s="22" t="n">
        <v>3</v>
      </c>
      <c r="J4500" s="22"/>
      <c r="K4500" s="23"/>
      <c r="L4500" s="23"/>
      <c r="M4500" s="22"/>
      <c r="N4500" s="22"/>
      <c r="O4500" s="22"/>
      <c r="P4500" s="23"/>
      <c r="Q4500" s="23"/>
      <c r="R4500" s="22"/>
      <c r="S4500" s="22"/>
      <c r="T4500" s="22"/>
      <c r="U4500" s="24"/>
      <c r="V4500" s="15"/>
      <c r="W4500" s="16"/>
      <c r="X4500" s="16"/>
      <c r="Y4500" s="16"/>
    </row>
    <row r="4501" customFormat="false" ht="15.75" hidden="false" customHeight="false" outlineLevel="0" collapsed="false">
      <c r="A4501" s="9"/>
      <c r="B4501" s="10"/>
      <c r="C4501" s="10"/>
      <c r="D4501" s="10"/>
      <c r="E4501" s="10"/>
      <c r="F4501" s="10"/>
      <c r="G4501" s="10"/>
      <c r="H4501" s="10"/>
      <c r="I4501" s="25" t="n">
        <v>4</v>
      </c>
      <c r="J4501" s="25"/>
      <c r="K4501" s="26"/>
      <c r="L4501" s="26"/>
      <c r="M4501" s="25"/>
      <c r="N4501" s="25"/>
      <c r="O4501" s="25"/>
      <c r="P4501" s="26"/>
      <c r="Q4501" s="26"/>
      <c r="R4501" s="25"/>
      <c r="S4501" s="25"/>
      <c r="T4501" s="25"/>
      <c r="U4501" s="27"/>
      <c r="V4501" s="21"/>
      <c r="W4501" s="16"/>
      <c r="X4501" s="16"/>
      <c r="Y4501" s="16"/>
    </row>
    <row r="4502" customFormat="false" ht="15.75" hidden="false" customHeight="false" outlineLevel="0" collapsed="false">
      <c r="A4502" s="9"/>
      <c r="B4502" s="10"/>
      <c r="C4502" s="11"/>
      <c r="D4502" s="10"/>
      <c r="E4502" s="10"/>
      <c r="F4502" s="10"/>
      <c r="G4502" s="10"/>
      <c r="H4502" s="10"/>
      <c r="I4502" s="12" t="n">
        <v>1</v>
      </c>
      <c r="J4502" s="12"/>
      <c r="K4502" s="13"/>
      <c r="L4502" s="13"/>
      <c r="M4502" s="12"/>
      <c r="N4502" s="12"/>
      <c r="O4502" s="12"/>
      <c r="P4502" s="13"/>
      <c r="Q4502" s="13"/>
      <c r="R4502" s="12"/>
      <c r="S4502" s="12"/>
      <c r="T4502" s="12"/>
      <c r="U4502" s="14"/>
      <c r="V4502" s="15"/>
      <c r="W4502" s="16" t="n">
        <f aca="false">A4502</f>
        <v>0</v>
      </c>
      <c r="X4502" s="17" t="e">
        <f aca="false">ifs(C4502="","",X4502="",NOW(),TRUE(),X4502)</f>
        <v>#VALUE!</v>
      </c>
      <c r="Y4502" s="17" t="e">
        <f aca="false">ifs(COUNTA(K4502:U4505)&lt;44,"",Y4502="",NOW(),TRUE(),Y4502)</f>
        <v>#VALUE!</v>
      </c>
    </row>
    <row r="4503" customFormat="false" ht="15.75" hidden="false" customHeight="false" outlineLevel="0" collapsed="false">
      <c r="A4503" s="9"/>
      <c r="B4503" s="10"/>
      <c r="C4503" s="10"/>
      <c r="D4503" s="10"/>
      <c r="E4503" s="10"/>
      <c r="F4503" s="10"/>
      <c r="G4503" s="10"/>
      <c r="H4503" s="10"/>
      <c r="I4503" s="18" t="n">
        <v>2</v>
      </c>
      <c r="J4503" s="18"/>
      <c r="K4503" s="19"/>
      <c r="L4503" s="19"/>
      <c r="M4503" s="18"/>
      <c r="N4503" s="18"/>
      <c r="O4503" s="18"/>
      <c r="P4503" s="19"/>
      <c r="Q4503" s="19"/>
      <c r="R4503" s="18"/>
      <c r="S4503" s="18"/>
      <c r="T4503" s="18"/>
      <c r="U4503" s="20"/>
      <c r="V4503" s="21"/>
      <c r="W4503" s="16"/>
      <c r="X4503" s="16"/>
      <c r="Y4503" s="16"/>
    </row>
    <row r="4504" customFormat="false" ht="15.75" hidden="false" customHeight="false" outlineLevel="0" collapsed="false">
      <c r="A4504" s="9"/>
      <c r="B4504" s="10"/>
      <c r="C4504" s="10"/>
      <c r="D4504" s="10"/>
      <c r="E4504" s="10"/>
      <c r="F4504" s="10"/>
      <c r="G4504" s="10"/>
      <c r="H4504" s="10"/>
      <c r="I4504" s="22" t="n">
        <v>3</v>
      </c>
      <c r="J4504" s="22"/>
      <c r="K4504" s="23"/>
      <c r="L4504" s="23"/>
      <c r="M4504" s="22"/>
      <c r="N4504" s="22"/>
      <c r="O4504" s="22"/>
      <c r="P4504" s="23"/>
      <c r="Q4504" s="23"/>
      <c r="R4504" s="22"/>
      <c r="S4504" s="22"/>
      <c r="T4504" s="22"/>
      <c r="U4504" s="24"/>
      <c r="V4504" s="15"/>
      <c r="W4504" s="16"/>
      <c r="X4504" s="16"/>
      <c r="Y4504" s="16"/>
    </row>
    <row r="4505" customFormat="false" ht="15.75" hidden="false" customHeight="false" outlineLevel="0" collapsed="false">
      <c r="A4505" s="9"/>
      <c r="B4505" s="10"/>
      <c r="C4505" s="10"/>
      <c r="D4505" s="10"/>
      <c r="E4505" s="10"/>
      <c r="F4505" s="10"/>
      <c r="G4505" s="10"/>
      <c r="H4505" s="10"/>
      <c r="I4505" s="25" t="n">
        <v>4</v>
      </c>
      <c r="J4505" s="25"/>
      <c r="K4505" s="26"/>
      <c r="L4505" s="26"/>
      <c r="M4505" s="25"/>
      <c r="N4505" s="25"/>
      <c r="O4505" s="25"/>
      <c r="P4505" s="26"/>
      <c r="Q4505" s="26"/>
      <c r="R4505" s="25"/>
      <c r="S4505" s="25"/>
      <c r="T4505" s="25"/>
      <c r="U4505" s="27"/>
      <c r="V4505" s="21"/>
      <c r="W4505" s="16"/>
      <c r="X4505" s="16"/>
      <c r="Y4505" s="16"/>
    </row>
    <row r="4506" customFormat="false" ht="15.75" hidden="false" customHeight="false" outlineLevel="0" collapsed="false">
      <c r="A4506" s="9"/>
      <c r="B4506" s="10"/>
      <c r="C4506" s="11"/>
      <c r="D4506" s="10"/>
      <c r="E4506" s="10"/>
      <c r="F4506" s="10"/>
      <c r="G4506" s="10"/>
      <c r="H4506" s="10"/>
      <c r="I4506" s="12" t="n">
        <v>1</v>
      </c>
      <c r="J4506" s="12"/>
      <c r="K4506" s="13"/>
      <c r="L4506" s="13"/>
      <c r="M4506" s="12"/>
      <c r="N4506" s="12"/>
      <c r="O4506" s="12"/>
      <c r="P4506" s="13"/>
      <c r="Q4506" s="13"/>
      <c r="R4506" s="12"/>
      <c r="S4506" s="12"/>
      <c r="T4506" s="12"/>
      <c r="U4506" s="14"/>
      <c r="V4506" s="15"/>
      <c r="W4506" s="16" t="n">
        <f aca="false">A4506</f>
        <v>0</v>
      </c>
      <c r="X4506" s="17" t="e">
        <f aca="false">ifs(C4506="","",X4506="",NOW(),TRUE(),X4506)</f>
        <v>#VALUE!</v>
      </c>
      <c r="Y4506" s="17" t="e">
        <f aca="false">ifs(COUNTA(K4506:U4509)&lt;44,"",Y4506="",NOW(),TRUE(),Y4506)</f>
        <v>#VALUE!</v>
      </c>
    </row>
    <row r="4507" customFormat="false" ht="15.75" hidden="false" customHeight="false" outlineLevel="0" collapsed="false">
      <c r="A4507" s="9"/>
      <c r="B4507" s="10"/>
      <c r="C4507" s="10"/>
      <c r="D4507" s="10"/>
      <c r="E4507" s="10"/>
      <c r="F4507" s="10"/>
      <c r="G4507" s="10"/>
      <c r="H4507" s="10"/>
      <c r="I4507" s="18" t="n">
        <v>2</v>
      </c>
      <c r="J4507" s="18"/>
      <c r="K4507" s="19"/>
      <c r="L4507" s="19"/>
      <c r="M4507" s="18"/>
      <c r="N4507" s="18"/>
      <c r="O4507" s="18"/>
      <c r="P4507" s="19"/>
      <c r="Q4507" s="19"/>
      <c r="R4507" s="18"/>
      <c r="S4507" s="18"/>
      <c r="T4507" s="18"/>
      <c r="U4507" s="20"/>
      <c r="V4507" s="21"/>
      <c r="W4507" s="16"/>
      <c r="X4507" s="16"/>
      <c r="Y4507" s="16"/>
    </row>
    <row r="4508" customFormat="false" ht="15.75" hidden="false" customHeight="false" outlineLevel="0" collapsed="false">
      <c r="A4508" s="9"/>
      <c r="B4508" s="10"/>
      <c r="C4508" s="10"/>
      <c r="D4508" s="10"/>
      <c r="E4508" s="10"/>
      <c r="F4508" s="10"/>
      <c r="G4508" s="10"/>
      <c r="H4508" s="10"/>
      <c r="I4508" s="22" t="n">
        <v>3</v>
      </c>
      <c r="J4508" s="22"/>
      <c r="K4508" s="23"/>
      <c r="L4508" s="23"/>
      <c r="M4508" s="22"/>
      <c r="N4508" s="22"/>
      <c r="O4508" s="22"/>
      <c r="P4508" s="23"/>
      <c r="Q4508" s="23"/>
      <c r="R4508" s="22"/>
      <c r="S4508" s="22"/>
      <c r="T4508" s="22"/>
      <c r="U4508" s="24"/>
      <c r="V4508" s="15"/>
      <c r="W4508" s="16"/>
      <c r="X4508" s="16"/>
      <c r="Y4508" s="16"/>
    </row>
    <row r="4509" customFormat="false" ht="15.75" hidden="false" customHeight="false" outlineLevel="0" collapsed="false">
      <c r="A4509" s="9"/>
      <c r="B4509" s="10"/>
      <c r="C4509" s="10"/>
      <c r="D4509" s="10"/>
      <c r="E4509" s="10"/>
      <c r="F4509" s="10"/>
      <c r="G4509" s="10"/>
      <c r="H4509" s="10"/>
      <c r="I4509" s="25" t="n">
        <v>4</v>
      </c>
      <c r="J4509" s="25"/>
      <c r="K4509" s="26"/>
      <c r="L4509" s="26"/>
      <c r="M4509" s="25"/>
      <c r="N4509" s="25"/>
      <c r="O4509" s="25"/>
      <c r="P4509" s="26"/>
      <c r="Q4509" s="26"/>
      <c r="R4509" s="25"/>
      <c r="S4509" s="25"/>
      <c r="T4509" s="25"/>
      <c r="U4509" s="27"/>
      <c r="V4509" s="21"/>
      <c r="W4509" s="16"/>
      <c r="X4509" s="16"/>
      <c r="Y4509" s="16"/>
    </row>
    <row r="4510" customFormat="false" ht="15.75" hidden="false" customHeight="false" outlineLevel="0" collapsed="false">
      <c r="A4510" s="9"/>
      <c r="B4510" s="10"/>
      <c r="C4510" s="11"/>
      <c r="D4510" s="10"/>
      <c r="E4510" s="10"/>
      <c r="F4510" s="10"/>
      <c r="G4510" s="10"/>
      <c r="H4510" s="10"/>
      <c r="I4510" s="12" t="n">
        <v>1</v>
      </c>
      <c r="J4510" s="12"/>
      <c r="K4510" s="13"/>
      <c r="L4510" s="13"/>
      <c r="M4510" s="12"/>
      <c r="N4510" s="12"/>
      <c r="O4510" s="12"/>
      <c r="P4510" s="13"/>
      <c r="Q4510" s="13"/>
      <c r="R4510" s="12"/>
      <c r="S4510" s="12"/>
      <c r="T4510" s="12"/>
      <c r="U4510" s="14"/>
      <c r="V4510" s="15"/>
      <c r="W4510" s="16" t="n">
        <f aca="false">A4510</f>
        <v>0</v>
      </c>
      <c r="X4510" s="17" t="e">
        <f aca="false">ifs(C4510="","",X4510="",NOW(),TRUE(),X4510)</f>
        <v>#VALUE!</v>
      </c>
      <c r="Y4510" s="17" t="e">
        <f aca="false">ifs(COUNTA(K4510:U4513)&lt;44,"",Y4510="",NOW(),TRUE(),Y4510)</f>
        <v>#VALUE!</v>
      </c>
    </row>
    <row r="4511" customFormat="false" ht="15.75" hidden="false" customHeight="false" outlineLevel="0" collapsed="false">
      <c r="A4511" s="9"/>
      <c r="B4511" s="10"/>
      <c r="C4511" s="10"/>
      <c r="D4511" s="10"/>
      <c r="E4511" s="10"/>
      <c r="F4511" s="10"/>
      <c r="G4511" s="10"/>
      <c r="H4511" s="10"/>
      <c r="I4511" s="18" t="n">
        <v>2</v>
      </c>
      <c r="J4511" s="18"/>
      <c r="K4511" s="19"/>
      <c r="L4511" s="19"/>
      <c r="M4511" s="18"/>
      <c r="N4511" s="18"/>
      <c r="O4511" s="18"/>
      <c r="P4511" s="19"/>
      <c r="Q4511" s="19"/>
      <c r="R4511" s="18"/>
      <c r="S4511" s="18"/>
      <c r="T4511" s="18"/>
      <c r="U4511" s="20"/>
      <c r="V4511" s="21"/>
      <c r="W4511" s="16"/>
      <c r="X4511" s="16"/>
      <c r="Y4511" s="16"/>
    </row>
    <row r="4512" customFormat="false" ht="15.75" hidden="false" customHeight="false" outlineLevel="0" collapsed="false">
      <c r="A4512" s="9"/>
      <c r="B4512" s="10"/>
      <c r="C4512" s="10"/>
      <c r="D4512" s="10"/>
      <c r="E4512" s="10"/>
      <c r="F4512" s="10"/>
      <c r="G4512" s="10"/>
      <c r="H4512" s="10"/>
      <c r="I4512" s="22" t="n">
        <v>3</v>
      </c>
      <c r="J4512" s="22"/>
      <c r="K4512" s="23"/>
      <c r="L4512" s="23"/>
      <c r="M4512" s="22"/>
      <c r="N4512" s="22"/>
      <c r="O4512" s="22"/>
      <c r="P4512" s="23"/>
      <c r="Q4512" s="23"/>
      <c r="R4512" s="22"/>
      <c r="S4512" s="22"/>
      <c r="T4512" s="22"/>
      <c r="U4512" s="24"/>
      <c r="V4512" s="15"/>
      <c r="W4512" s="16"/>
      <c r="X4512" s="16"/>
      <c r="Y4512" s="16"/>
    </row>
    <row r="4513" customFormat="false" ht="15.75" hidden="false" customHeight="false" outlineLevel="0" collapsed="false">
      <c r="A4513" s="9"/>
      <c r="B4513" s="10"/>
      <c r="C4513" s="10"/>
      <c r="D4513" s="10"/>
      <c r="E4513" s="10"/>
      <c r="F4513" s="10"/>
      <c r="G4513" s="10"/>
      <c r="H4513" s="10"/>
      <c r="I4513" s="25" t="n">
        <v>4</v>
      </c>
      <c r="J4513" s="25"/>
      <c r="K4513" s="26"/>
      <c r="L4513" s="26"/>
      <c r="M4513" s="25"/>
      <c r="N4513" s="25"/>
      <c r="O4513" s="25"/>
      <c r="P4513" s="26"/>
      <c r="Q4513" s="26"/>
      <c r="R4513" s="25"/>
      <c r="S4513" s="25"/>
      <c r="T4513" s="25"/>
      <c r="U4513" s="27"/>
      <c r="V4513" s="21"/>
      <c r="W4513" s="16"/>
      <c r="X4513" s="16"/>
      <c r="Y4513" s="16"/>
    </row>
    <row r="4514" customFormat="false" ht="15.75" hidden="false" customHeight="false" outlineLevel="0" collapsed="false">
      <c r="A4514" s="9"/>
      <c r="B4514" s="10"/>
      <c r="C4514" s="11"/>
      <c r="D4514" s="10"/>
      <c r="E4514" s="10"/>
      <c r="F4514" s="10"/>
      <c r="G4514" s="10"/>
      <c r="H4514" s="10"/>
      <c r="I4514" s="12" t="n">
        <v>1</v>
      </c>
      <c r="J4514" s="12"/>
      <c r="K4514" s="13"/>
      <c r="L4514" s="13"/>
      <c r="M4514" s="12"/>
      <c r="N4514" s="12"/>
      <c r="O4514" s="12"/>
      <c r="P4514" s="13"/>
      <c r="Q4514" s="13"/>
      <c r="R4514" s="12"/>
      <c r="S4514" s="12"/>
      <c r="T4514" s="12"/>
      <c r="U4514" s="14"/>
      <c r="V4514" s="15"/>
      <c r="W4514" s="16" t="n">
        <f aca="false">A4514</f>
        <v>0</v>
      </c>
      <c r="X4514" s="17" t="e">
        <f aca="false">ifs(C4514="","",X4514="",NOW(),TRUE(),X4514)</f>
        <v>#VALUE!</v>
      </c>
      <c r="Y4514" s="17" t="e">
        <f aca="false">ifs(COUNTA(K4514:U4517)&lt;44,"",Y4514="",NOW(),TRUE(),Y4514)</f>
        <v>#VALUE!</v>
      </c>
    </row>
    <row r="4515" customFormat="false" ht="15.75" hidden="false" customHeight="false" outlineLevel="0" collapsed="false">
      <c r="A4515" s="9"/>
      <c r="B4515" s="10"/>
      <c r="C4515" s="10"/>
      <c r="D4515" s="10"/>
      <c r="E4515" s="10"/>
      <c r="F4515" s="10"/>
      <c r="G4515" s="10"/>
      <c r="H4515" s="10"/>
      <c r="I4515" s="18" t="n">
        <v>2</v>
      </c>
      <c r="J4515" s="18"/>
      <c r="K4515" s="19"/>
      <c r="L4515" s="19"/>
      <c r="M4515" s="18"/>
      <c r="N4515" s="18"/>
      <c r="O4515" s="18"/>
      <c r="P4515" s="19"/>
      <c r="Q4515" s="19"/>
      <c r="R4515" s="18"/>
      <c r="S4515" s="18"/>
      <c r="T4515" s="18"/>
      <c r="U4515" s="20"/>
      <c r="V4515" s="21"/>
      <c r="W4515" s="16"/>
      <c r="X4515" s="16"/>
      <c r="Y4515" s="16"/>
    </row>
    <row r="4516" customFormat="false" ht="15.75" hidden="false" customHeight="false" outlineLevel="0" collapsed="false">
      <c r="A4516" s="9"/>
      <c r="B4516" s="10"/>
      <c r="C4516" s="10"/>
      <c r="D4516" s="10"/>
      <c r="E4516" s="10"/>
      <c r="F4516" s="10"/>
      <c r="G4516" s="10"/>
      <c r="H4516" s="10"/>
      <c r="I4516" s="22" t="n">
        <v>3</v>
      </c>
      <c r="J4516" s="22"/>
      <c r="K4516" s="23"/>
      <c r="L4516" s="23"/>
      <c r="M4516" s="22"/>
      <c r="N4516" s="22"/>
      <c r="O4516" s="22"/>
      <c r="P4516" s="23"/>
      <c r="Q4516" s="23"/>
      <c r="R4516" s="22"/>
      <c r="S4516" s="22"/>
      <c r="T4516" s="22"/>
      <c r="U4516" s="24"/>
      <c r="V4516" s="15"/>
      <c r="W4516" s="16"/>
      <c r="X4516" s="16"/>
      <c r="Y4516" s="16"/>
    </row>
    <row r="4517" customFormat="false" ht="15.75" hidden="false" customHeight="false" outlineLevel="0" collapsed="false">
      <c r="A4517" s="9"/>
      <c r="B4517" s="10"/>
      <c r="C4517" s="10"/>
      <c r="D4517" s="10"/>
      <c r="E4517" s="10"/>
      <c r="F4517" s="10"/>
      <c r="G4517" s="10"/>
      <c r="H4517" s="10"/>
      <c r="I4517" s="25" t="n">
        <v>4</v>
      </c>
      <c r="J4517" s="25"/>
      <c r="K4517" s="26"/>
      <c r="L4517" s="26"/>
      <c r="M4517" s="25"/>
      <c r="N4517" s="25"/>
      <c r="O4517" s="25"/>
      <c r="P4517" s="26"/>
      <c r="Q4517" s="26"/>
      <c r="R4517" s="25"/>
      <c r="S4517" s="25"/>
      <c r="T4517" s="25"/>
      <c r="U4517" s="27"/>
      <c r="V4517" s="21"/>
      <c r="W4517" s="16"/>
      <c r="X4517" s="16"/>
      <c r="Y4517" s="16"/>
    </row>
    <row r="4518" customFormat="false" ht="15.75" hidden="false" customHeight="false" outlineLevel="0" collapsed="false">
      <c r="A4518" s="9"/>
      <c r="B4518" s="10"/>
      <c r="C4518" s="11"/>
      <c r="D4518" s="10"/>
      <c r="E4518" s="10"/>
      <c r="F4518" s="10"/>
      <c r="G4518" s="10"/>
      <c r="H4518" s="10"/>
      <c r="I4518" s="12" t="n">
        <v>1</v>
      </c>
      <c r="J4518" s="12"/>
      <c r="K4518" s="13"/>
      <c r="L4518" s="13"/>
      <c r="M4518" s="12"/>
      <c r="N4518" s="12"/>
      <c r="O4518" s="12"/>
      <c r="P4518" s="13"/>
      <c r="Q4518" s="13"/>
      <c r="R4518" s="12"/>
      <c r="S4518" s="12"/>
      <c r="T4518" s="12"/>
      <c r="U4518" s="14"/>
      <c r="V4518" s="15"/>
      <c r="W4518" s="16" t="n">
        <f aca="false">A4518</f>
        <v>0</v>
      </c>
      <c r="X4518" s="17" t="e">
        <f aca="false">ifs(C4518="","",X4518="",NOW(),TRUE(),X4518)</f>
        <v>#VALUE!</v>
      </c>
      <c r="Y4518" s="17" t="e">
        <f aca="false">ifs(COUNTA(K4518:U4521)&lt;44,"",Y4518="",NOW(),TRUE(),Y4518)</f>
        <v>#VALUE!</v>
      </c>
    </row>
    <row r="4519" customFormat="false" ht="15.75" hidden="false" customHeight="false" outlineLevel="0" collapsed="false">
      <c r="A4519" s="9"/>
      <c r="B4519" s="10"/>
      <c r="C4519" s="10"/>
      <c r="D4519" s="10"/>
      <c r="E4519" s="10"/>
      <c r="F4519" s="10"/>
      <c r="G4519" s="10"/>
      <c r="H4519" s="10"/>
      <c r="I4519" s="18" t="n">
        <v>2</v>
      </c>
      <c r="J4519" s="18"/>
      <c r="K4519" s="19"/>
      <c r="L4519" s="19"/>
      <c r="M4519" s="18"/>
      <c r="N4519" s="18"/>
      <c r="O4519" s="18"/>
      <c r="P4519" s="19"/>
      <c r="Q4519" s="19"/>
      <c r="R4519" s="18"/>
      <c r="S4519" s="18"/>
      <c r="T4519" s="18"/>
      <c r="U4519" s="20"/>
      <c r="V4519" s="21"/>
      <c r="W4519" s="16"/>
      <c r="X4519" s="16"/>
      <c r="Y4519" s="16"/>
    </row>
    <row r="4520" customFormat="false" ht="15.75" hidden="false" customHeight="false" outlineLevel="0" collapsed="false">
      <c r="A4520" s="9"/>
      <c r="B4520" s="10"/>
      <c r="C4520" s="10"/>
      <c r="D4520" s="10"/>
      <c r="E4520" s="10"/>
      <c r="F4520" s="10"/>
      <c r="G4520" s="10"/>
      <c r="H4520" s="10"/>
      <c r="I4520" s="22" t="n">
        <v>3</v>
      </c>
      <c r="J4520" s="22"/>
      <c r="K4520" s="23"/>
      <c r="L4520" s="23"/>
      <c r="M4520" s="22"/>
      <c r="N4520" s="22"/>
      <c r="O4520" s="22"/>
      <c r="P4520" s="23"/>
      <c r="Q4520" s="23"/>
      <c r="R4520" s="22"/>
      <c r="S4520" s="22"/>
      <c r="T4520" s="22"/>
      <c r="U4520" s="24"/>
      <c r="V4520" s="15"/>
      <c r="W4520" s="16"/>
      <c r="X4520" s="16"/>
      <c r="Y4520" s="16"/>
    </row>
    <row r="4521" customFormat="false" ht="15.75" hidden="false" customHeight="false" outlineLevel="0" collapsed="false">
      <c r="A4521" s="9"/>
      <c r="B4521" s="10"/>
      <c r="C4521" s="10"/>
      <c r="D4521" s="10"/>
      <c r="E4521" s="10"/>
      <c r="F4521" s="10"/>
      <c r="G4521" s="10"/>
      <c r="H4521" s="10"/>
      <c r="I4521" s="25" t="n">
        <v>4</v>
      </c>
      <c r="J4521" s="25"/>
      <c r="K4521" s="26"/>
      <c r="L4521" s="26"/>
      <c r="M4521" s="25"/>
      <c r="N4521" s="25"/>
      <c r="O4521" s="25"/>
      <c r="P4521" s="26"/>
      <c r="Q4521" s="26"/>
      <c r="R4521" s="25"/>
      <c r="S4521" s="25"/>
      <c r="T4521" s="25"/>
      <c r="U4521" s="27"/>
      <c r="V4521" s="21"/>
      <c r="W4521" s="16"/>
      <c r="X4521" s="16"/>
      <c r="Y4521" s="16"/>
    </row>
    <row r="4522" customFormat="false" ht="15.75" hidden="false" customHeight="false" outlineLevel="0" collapsed="false">
      <c r="A4522" s="9"/>
      <c r="B4522" s="10"/>
      <c r="C4522" s="11"/>
      <c r="D4522" s="10"/>
      <c r="E4522" s="10"/>
      <c r="F4522" s="10"/>
      <c r="G4522" s="10"/>
      <c r="H4522" s="10"/>
      <c r="I4522" s="12" t="n">
        <v>1</v>
      </c>
      <c r="J4522" s="12"/>
      <c r="K4522" s="13"/>
      <c r="L4522" s="13"/>
      <c r="M4522" s="12"/>
      <c r="N4522" s="12"/>
      <c r="O4522" s="12"/>
      <c r="P4522" s="13"/>
      <c r="Q4522" s="13"/>
      <c r="R4522" s="12"/>
      <c r="S4522" s="12"/>
      <c r="T4522" s="12"/>
      <c r="U4522" s="14"/>
      <c r="V4522" s="15"/>
      <c r="W4522" s="16" t="n">
        <f aca="false">A4522</f>
        <v>0</v>
      </c>
      <c r="X4522" s="17" t="e">
        <f aca="false">ifs(C4522="","",X4522="",NOW(),TRUE(),X4522)</f>
        <v>#VALUE!</v>
      </c>
      <c r="Y4522" s="17" t="e">
        <f aca="false">ifs(COUNTA(K4522:U4525)&lt;44,"",Y4522="",NOW(),TRUE(),Y4522)</f>
        <v>#VALUE!</v>
      </c>
    </row>
    <row r="4523" customFormat="false" ht="15.75" hidden="false" customHeight="false" outlineLevel="0" collapsed="false">
      <c r="A4523" s="9"/>
      <c r="B4523" s="10"/>
      <c r="C4523" s="10"/>
      <c r="D4523" s="10"/>
      <c r="E4523" s="10"/>
      <c r="F4523" s="10"/>
      <c r="G4523" s="10"/>
      <c r="H4523" s="10"/>
      <c r="I4523" s="18" t="n">
        <v>2</v>
      </c>
      <c r="J4523" s="18"/>
      <c r="K4523" s="19"/>
      <c r="L4523" s="19"/>
      <c r="M4523" s="18"/>
      <c r="N4523" s="18"/>
      <c r="O4523" s="18"/>
      <c r="P4523" s="19"/>
      <c r="Q4523" s="19"/>
      <c r="R4523" s="18"/>
      <c r="S4523" s="18"/>
      <c r="T4523" s="18"/>
      <c r="U4523" s="20"/>
      <c r="V4523" s="21"/>
      <c r="W4523" s="16"/>
      <c r="X4523" s="16"/>
      <c r="Y4523" s="16"/>
    </row>
    <row r="4524" customFormat="false" ht="15.75" hidden="false" customHeight="false" outlineLevel="0" collapsed="false">
      <c r="A4524" s="9"/>
      <c r="B4524" s="10"/>
      <c r="C4524" s="10"/>
      <c r="D4524" s="10"/>
      <c r="E4524" s="10"/>
      <c r="F4524" s="10"/>
      <c r="G4524" s="10"/>
      <c r="H4524" s="10"/>
      <c r="I4524" s="22" t="n">
        <v>3</v>
      </c>
      <c r="J4524" s="22"/>
      <c r="K4524" s="23"/>
      <c r="L4524" s="23"/>
      <c r="M4524" s="22"/>
      <c r="N4524" s="22"/>
      <c r="O4524" s="22"/>
      <c r="P4524" s="23"/>
      <c r="Q4524" s="23"/>
      <c r="R4524" s="22"/>
      <c r="S4524" s="22"/>
      <c r="T4524" s="22"/>
      <c r="U4524" s="24"/>
      <c r="V4524" s="15"/>
      <c r="W4524" s="16"/>
      <c r="X4524" s="16"/>
      <c r="Y4524" s="16"/>
    </row>
    <row r="4525" customFormat="false" ht="15.75" hidden="false" customHeight="false" outlineLevel="0" collapsed="false">
      <c r="A4525" s="9"/>
      <c r="B4525" s="10"/>
      <c r="C4525" s="10"/>
      <c r="D4525" s="10"/>
      <c r="E4525" s="10"/>
      <c r="F4525" s="10"/>
      <c r="G4525" s="10"/>
      <c r="H4525" s="10"/>
      <c r="I4525" s="25" t="n">
        <v>4</v>
      </c>
      <c r="J4525" s="25"/>
      <c r="K4525" s="26"/>
      <c r="L4525" s="26"/>
      <c r="M4525" s="25"/>
      <c r="N4525" s="25"/>
      <c r="O4525" s="25"/>
      <c r="P4525" s="26"/>
      <c r="Q4525" s="26"/>
      <c r="R4525" s="25"/>
      <c r="S4525" s="25"/>
      <c r="T4525" s="25"/>
      <c r="U4525" s="27"/>
      <c r="V4525" s="21"/>
      <c r="W4525" s="16"/>
      <c r="X4525" s="16"/>
      <c r="Y4525" s="16"/>
    </row>
    <row r="4526" customFormat="false" ht="15.75" hidden="false" customHeight="false" outlineLevel="0" collapsed="false">
      <c r="A4526" s="9"/>
      <c r="B4526" s="10"/>
      <c r="C4526" s="11"/>
      <c r="D4526" s="10"/>
      <c r="E4526" s="10"/>
      <c r="F4526" s="10"/>
      <c r="G4526" s="10"/>
      <c r="H4526" s="10"/>
      <c r="I4526" s="12" t="n">
        <v>1</v>
      </c>
      <c r="J4526" s="12"/>
      <c r="K4526" s="13"/>
      <c r="L4526" s="13"/>
      <c r="M4526" s="12"/>
      <c r="N4526" s="12"/>
      <c r="O4526" s="12"/>
      <c r="P4526" s="13"/>
      <c r="Q4526" s="13"/>
      <c r="R4526" s="12"/>
      <c r="S4526" s="12"/>
      <c r="T4526" s="12"/>
      <c r="U4526" s="14"/>
      <c r="V4526" s="15"/>
      <c r="W4526" s="16" t="n">
        <f aca="false">A4526</f>
        <v>0</v>
      </c>
      <c r="X4526" s="17" t="e">
        <f aca="false">ifs(C4526="","",X4526="",NOW(),TRUE(),X4526)</f>
        <v>#VALUE!</v>
      </c>
      <c r="Y4526" s="17" t="e">
        <f aca="false">ifs(COUNTA(K4526:U4529)&lt;44,"",Y4526="",NOW(),TRUE(),Y4526)</f>
        <v>#VALUE!</v>
      </c>
    </row>
    <row r="4527" customFormat="false" ht="15.75" hidden="false" customHeight="false" outlineLevel="0" collapsed="false">
      <c r="A4527" s="9"/>
      <c r="B4527" s="10"/>
      <c r="C4527" s="10"/>
      <c r="D4527" s="10"/>
      <c r="E4527" s="10"/>
      <c r="F4527" s="10"/>
      <c r="G4527" s="10"/>
      <c r="H4527" s="10"/>
      <c r="I4527" s="18" t="n">
        <v>2</v>
      </c>
      <c r="J4527" s="18"/>
      <c r="K4527" s="19"/>
      <c r="L4527" s="19"/>
      <c r="M4527" s="18"/>
      <c r="N4527" s="18"/>
      <c r="O4527" s="18"/>
      <c r="P4527" s="19"/>
      <c r="Q4527" s="19"/>
      <c r="R4527" s="18"/>
      <c r="S4527" s="18"/>
      <c r="T4527" s="18"/>
      <c r="U4527" s="20"/>
      <c r="V4527" s="21"/>
      <c r="W4527" s="16"/>
      <c r="X4527" s="16"/>
      <c r="Y4527" s="16"/>
    </row>
    <row r="4528" customFormat="false" ht="15.75" hidden="false" customHeight="false" outlineLevel="0" collapsed="false">
      <c r="A4528" s="9"/>
      <c r="B4528" s="10"/>
      <c r="C4528" s="10"/>
      <c r="D4528" s="10"/>
      <c r="E4528" s="10"/>
      <c r="F4528" s="10"/>
      <c r="G4528" s="10"/>
      <c r="H4528" s="10"/>
      <c r="I4528" s="22" t="n">
        <v>3</v>
      </c>
      <c r="J4528" s="22"/>
      <c r="K4528" s="23"/>
      <c r="L4528" s="23"/>
      <c r="M4528" s="22"/>
      <c r="N4528" s="22"/>
      <c r="O4528" s="22"/>
      <c r="P4528" s="23"/>
      <c r="Q4528" s="23"/>
      <c r="R4528" s="22"/>
      <c r="S4528" s="22"/>
      <c r="T4528" s="22"/>
      <c r="U4528" s="24"/>
      <c r="V4528" s="15"/>
      <c r="W4528" s="16"/>
      <c r="X4528" s="16"/>
      <c r="Y4528" s="16"/>
    </row>
    <row r="4529" customFormat="false" ht="15.75" hidden="false" customHeight="false" outlineLevel="0" collapsed="false">
      <c r="A4529" s="9"/>
      <c r="B4529" s="10"/>
      <c r="C4529" s="10"/>
      <c r="D4529" s="10"/>
      <c r="E4529" s="10"/>
      <c r="F4529" s="10"/>
      <c r="G4529" s="10"/>
      <c r="H4529" s="10"/>
      <c r="I4529" s="25" t="n">
        <v>4</v>
      </c>
      <c r="J4529" s="25"/>
      <c r="K4529" s="26"/>
      <c r="L4529" s="26"/>
      <c r="M4529" s="25"/>
      <c r="N4529" s="25"/>
      <c r="O4529" s="25"/>
      <c r="P4529" s="26"/>
      <c r="Q4529" s="26"/>
      <c r="R4529" s="25"/>
      <c r="S4529" s="25"/>
      <c r="T4529" s="25"/>
      <c r="U4529" s="27"/>
      <c r="V4529" s="21"/>
      <c r="W4529" s="16"/>
      <c r="X4529" s="16"/>
      <c r="Y4529" s="16"/>
    </row>
    <row r="4530" customFormat="false" ht="15.75" hidden="false" customHeight="false" outlineLevel="0" collapsed="false">
      <c r="A4530" s="9"/>
      <c r="B4530" s="10"/>
      <c r="C4530" s="11"/>
      <c r="D4530" s="10"/>
      <c r="E4530" s="10"/>
      <c r="F4530" s="10"/>
      <c r="G4530" s="10"/>
      <c r="H4530" s="10"/>
      <c r="I4530" s="12" t="n">
        <v>1</v>
      </c>
      <c r="J4530" s="12"/>
      <c r="K4530" s="13"/>
      <c r="L4530" s="13"/>
      <c r="M4530" s="12"/>
      <c r="N4530" s="12"/>
      <c r="O4530" s="12"/>
      <c r="P4530" s="13"/>
      <c r="Q4530" s="13"/>
      <c r="R4530" s="12"/>
      <c r="S4530" s="12"/>
      <c r="T4530" s="12"/>
      <c r="U4530" s="14"/>
      <c r="V4530" s="15"/>
      <c r="W4530" s="16" t="n">
        <f aca="false">A4530</f>
        <v>0</v>
      </c>
      <c r="X4530" s="17" t="e">
        <f aca="false">ifs(C4530="","",X4530="",NOW(),TRUE(),X4530)</f>
        <v>#VALUE!</v>
      </c>
      <c r="Y4530" s="17" t="e">
        <f aca="false">ifs(COUNTA(K4530:U4533)&lt;44,"",Y4530="",NOW(),TRUE(),Y4530)</f>
        <v>#VALUE!</v>
      </c>
    </row>
    <row r="4531" customFormat="false" ht="15.75" hidden="false" customHeight="false" outlineLevel="0" collapsed="false">
      <c r="A4531" s="9"/>
      <c r="B4531" s="10"/>
      <c r="C4531" s="10"/>
      <c r="D4531" s="10"/>
      <c r="E4531" s="10"/>
      <c r="F4531" s="10"/>
      <c r="G4531" s="10"/>
      <c r="H4531" s="10"/>
      <c r="I4531" s="18" t="n">
        <v>2</v>
      </c>
      <c r="J4531" s="18"/>
      <c r="K4531" s="19"/>
      <c r="L4531" s="19"/>
      <c r="M4531" s="18"/>
      <c r="N4531" s="18"/>
      <c r="O4531" s="18"/>
      <c r="P4531" s="19"/>
      <c r="Q4531" s="19"/>
      <c r="R4531" s="18"/>
      <c r="S4531" s="18"/>
      <c r="T4531" s="18"/>
      <c r="U4531" s="20"/>
      <c r="V4531" s="21"/>
      <c r="W4531" s="16"/>
      <c r="X4531" s="16"/>
      <c r="Y4531" s="16"/>
    </row>
    <row r="4532" customFormat="false" ht="15.75" hidden="false" customHeight="false" outlineLevel="0" collapsed="false">
      <c r="A4532" s="9"/>
      <c r="B4532" s="10"/>
      <c r="C4532" s="10"/>
      <c r="D4532" s="10"/>
      <c r="E4532" s="10"/>
      <c r="F4532" s="10"/>
      <c r="G4532" s="10"/>
      <c r="H4532" s="10"/>
      <c r="I4532" s="22" t="n">
        <v>3</v>
      </c>
      <c r="J4532" s="22"/>
      <c r="K4532" s="23"/>
      <c r="L4532" s="23"/>
      <c r="M4532" s="22"/>
      <c r="N4532" s="22"/>
      <c r="O4532" s="22"/>
      <c r="P4532" s="23"/>
      <c r="Q4532" s="23"/>
      <c r="R4532" s="22"/>
      <c r="S4532" s="22"/>
      <c r="T4532" s="22"/>
      <c r="U4532" s="24"/>
      <c r="V4532" s="15"/>
      <c r="W4532" s="16"/>
      <c r="X4532" s="16"/>
      <c r="Y4532" s="16"/>
    </row>
    <row r="4533" customFormat="false" ht="15.75" hidden="false" customHeight="false" outlineLevel="0" collapsed="false">
      <c r="A4533" s="9"/>
      <c r="B4533" s="10"/>
      <c r="C4533" s="10"/>
      <c r="D4533" s="10"/>
      <c r="E4533" s="10"/>
      <c r="F4533" s="10"/>
      <c r="G4533" s="10"/>
      <c r="H4533" s="10"/>
      <c r="I4533" s="25" t="n">
        <v>4</v>
      </c>
      <c r="J4533" s="25"/>
      <c r="K4533" s="26"/>
      <c r="L4533" s="26"/>
      <c r="M4533" s="25"/>
      <c r="N4533" s="25"/>
      <c r="O4533" s="25"/>
      <c r="P4533" s="26"/>
      <c r="Q4533" s="26"/>
      <c r="R4533" s="25"/>
      <c r="S4533" s="25"/>
      <c r="T4533" s="25"/>
      <c r="U4533" s="27"/>
      <c r="V4533" s="21"/>
      <c r="W4533" s="16"/>
      <c r="X4533" s="16"/>
      <c r="Y4533" s="16"/>
    </row>
    <row r="4534" customFormat="false" ht="15.75" hidden="false" customHeight="false" outlineLevel="0" collapsed="false">
      <c r="A4534" s="9"/>
      <c r="B4534" s="10"/>
      <c r="C4534" s="11"/>
      <c r="D4534" s="10"/>
      <c r="E4534" s="10"/>
      <c r="F4534" s="10"/>
      <c r="G4534" s="10"/>
      <c r="H4534" s="10"/>
      <c r="I4534" s="12" t="n">
        <v>1</v>
      </c>
      <c r="J4534" s="12"/>
      <c r="K4534" s="13"/>
      <c r="L4534" s="13"/>
      <c r="M4534" s="12"/>
      <c r="N4534" s="12"/>
      <c r="O4534" s="12"/>
      <c r="P4534" s="13"/>
      <c r="Q4534" s="13"/>
      <c r="R4534" s="12"/>
      <c r="S4534" s="12"/>
      <c r="T4534" s="12"/>
      <c r="U4534" s="14"/>
      <c r="V4534" s="15"/>
      <c r="W4534" s="16" t="n">
        <f aca="false">A4534</f>
        <v>0</v>
      </c>
      <c r="X4534" s="17" t="e">
        <f aca="false">ifs(C4534="","",X4534="",NOW(),TRUE(),X4534)</f>
        <v>#VALUE!</v>
      </c>
      <c r="Y4534" s="17" t="e">
        <f aca="false">ifs(COUNTA(K4534:U4537)&lt;44,"",Y4534="",NOW(),TRUE(),Y4534)</f>
        <v>#VALUE!</v>
      </c>
    </row>
    <row r="4535" customFormat="false" ht="15.75" hidden="false" customHeight="false" outlineLevel="0" collapsed="false">
      <c r="A4535" s="9"/>
      <c r="B4535" s="10"/>
      <c r="C4535" s="10"/>
      <c r="D4535" s="10"/>
      <c r="E4535" s="10"/>
      <c r="F4535" s="10"/>
      <c r="G4535" s="10"/>
      <c r="H4535" s="10"/>
      <c r="I4535" s="18" t="n">
        <v>2</v>
      </c>
      <c r="J4535" s="18"/>
      <c r="K4535" s="19"/>
      <c r="L4535" s="19"/>
      <c r="M4535" s="18"/>
      <c r="N4535" s="18"/>
      <c r="O4535" s="18"/>
      <c r="P4535" s="19"/>
      <c r="Q4535" s="19"/>
      <c r="R4535" s="18"/>
      <c r="S4535" s="18"/>
      <c r="T4535" s="18"/>
      <c r="U4535" s="20"/>
      <c r="V4535" s="21"/>
      <c r="W4535" s="16"/>
      <c r="X4535" s="16"/>
      <c r="Y4535" s="16"/>
    </row>
    <row r="4536" customFormat="false" ht="15.75" hidden="false" customHeight="false" outlineLevel="0" collapsed="false">
      <c r="A4536" s="9"/>
      <c r="B4536" s="10"/>
      <c r="C4536" s="10"/>
      <c r="D4536" s="10"/>
      <c r="E4536" s="10"/>
      <c r="F4536" s="10"/>
      <c r="G4536" s="10"/>
      <c r="H4536" s="10"/>
      <c r="I4536" s="22" t="n">
        <v>3</v>
      </c>
      <c r="J4536" s="22"/>
      <c r="K4536" s="23"/>
      <c r="L4536" s="23"/>
      <c r="M4536" s="22"/>
      <c r="N4536" s="22"/>
      <c r="O4536" s="22"/>
      <c r="P4536" s="23"/>
      <c r="Q4536" s="23"/>
      <c r="R4536" s="22"/>
      <c r="S4536" s="22"/>
      <c r="T4536" s="22"/>
      <c r="U4536" s="24"/>
      <c r="V4536" s="15"/>
      <c r="W4536" s="16"/>
      <c r="X4536" s="16"/>
      <c r="Y4536" s="16"/>
    </row>
    <row r="4537" customFormat="false" ht="15.75" hidden="false" customHeight="false" outlineLevel="0" collapsed="false">
      <c r="A4537" s="9"/>
      <c r="B4537" s="10"/>
      <c r="C4537" s="10"/>
      <c r="D4537" s="10"/>
      <c r="E4537" s="10"/>
      <c r="F4537" s="10"/>
      <c r="G4537" s="10"/>
      <c r="H4537" s="10"/>
      <c r="I4537" s="25" t="n">
        <v>4</v>
      </c>
      <c r="J4537" s="25"/>
      <c r="K4537" s="26"/>
      <c r="L4537" s="26"/>
      <c r="M4537" s="25"/>
      <c r="N4537" s="25"/>
      <c r="O4537" s="25"/>
      <c r="P4537" s="26"/>
      <c r="Q4537" s="26"/>
      <c r="R4537" s="25"/>
      <c r="S4537" s="25"/>
      <c r="T4537" s="25"/>
      <c r="U4537" s="27"/>
      <c r="V4537" s="21"/>
      <c r="W4537" s="16"/>
      <c r="X4537" s="16"/>
      <c r="Y4537" s="16"/>
    </row>
    <row r="4538" customFormat="false" ht="15.75" hidden="false" customHeight="false" outlineLevel="0" collapsed="false">
      <c r="A4538" s="9"/>
      <c r="B4538" s="10"/>
      <c r="C4538" s="11"/>
      <c r="D4538" s="10"/>
      <c r="E4538" s="10"/>
      <c r="F4538" s="10"/>
      <c r="G4538" s="10"/>
      <c r="H4538" s="10"/>
      <c r="I4538" s="12" t="n">
        <v>1</v>
      </c>
      <c r="J4538" s="12"/>
      <c r="K4538" s="13"/>
      <c r="L4538" s="13"/>
      <c r="M4538" s="12"/>
      <c r="N4538" s="12"/>
      <c r="O4538" s="12"/>
      <c r="P4538" s="13"/>
      <c r="Q4538" s="13"/>
      <c r="R4538" s="12"/>
      <c r="S4538" s="12"/>
      <c r="T4538" s="12"/>
      <c r="U4538" s="14"/>
      <c r="V4538" s="15"/>
      <c r="W4538" s="16" t="n">
        <f aca="false">A4538</f>
        <v>0</v>
      </c>
      <c r="X4538" s="17" t="e">
        <f aca="false">ifs(C4538="","",X4538="",NOW(),TRUE(),X4538)</f>
        <v>#VALUE!</v>
      </c>
      <c r="Y4538" s="17" t="e">
        <f aca="false">ifs(COUNTA(K4538:U4541)&lt;44,"",Y4538="",NOW(),TRUE(),Y4538)</f>
        <v>#VALUE!</v>
      </c>
    </row>
    <row r="4539" customFormat="false" ht="15.75" hidden="false" customHeight="false" outlineLevel="0" collapsed="false">
      <c r="A4539" s="9"/>
      <c r="B4539" s="10"/>
      <c r="C4539" s="10"/>
      <c r="D4539" s="10"/>
      <c r="E4539" s="10"/>
      <c r="F4539" s="10"/>
      <c r="G4539" s="10"/>
      <c r="H4539" s="10"/>
      <c r="I4539" s="18" t="n">
        <v>2</v>
      </c>
      <c r="J4539" s="18"/>
      <c r="K4539" s="19"/>
      <c r="L4539" s="19"/>
      <c r="M4539" s="18"/>
      <c r="N4539" s="18"/>
      <c r="O4539" s="18"/>
      <c r="P4539" s="19"/>
      <c r="Q4539" s="19"/>
      <c r="R4539" s="18"/>
      <c r="S4539" s="18"/>
      <c r="T4539" s="18"/>
      <c r="U4539" s="20"/>
      <c r="V4539" s="21"/>
      <c r="W4539" s="16"/>
      <c r="X4539" s="16"/>
      <c r="Y4539" s="16"/>
    </row>
    <row r="4540" customFormat="false" ht="15.75" hidden="false" customHeight="false" outlineLevel="0" collapsed="false">
      <c r="A4540" s="9"/>
      <c r="B4540" s="10"/>
      <c r="C4540" s="10"/>
      <c r="D4540" s="10"/>
      <c r="E4540" s="10"/>
      <c r="F4540" s="10"/>
      <c r="G4540" s="10"/>
      <c r="H4540" s="10"/>
      <c r="I4540" s="22" t="n">
        <v>3</v>
      </c>
      <c r="J4540" s="22"/>
      <c r="K4540" s="23"/>
      <c r="L4540" s="23"/>
      <c r="M4540" s="22"/>
      <c r="N4540" s="22"/>
      <c r="O4540" s="22"/>
      <c r="P4540" s="23"/>
      <c r="Q4540" s="23"/>
      <c r="R4540" s="22"/>
      <c r="S4540" s="22"/>
      <c r="T4540" s="22"/>
      <c r="U4540" s="24"/>
      <c r="V4540" s="15"/>
      <c r="W4540" s="16"/>
      <c r="X4540" s="16"/>
      <c r="Y4540" s="16"/>
    </row>
    <row r="4541" customFormat="false" ht="15.75" hidden="false" customHeight="false" outlineLevel="0" collapsed="false">
      <c r="A4541" s="9"/>
      <c r="B4541" s="10"/>
      <c r="C4541" s="10"/>
      <c r="D4541" s="10"/>
      <c r="E4541" s="10"/>
      <c r="F4541" s="10"/>
      <c r="G4541" s="10"/>
      <c r="H4541" s="10"/>
      <c r="I4541" s="25" t="n">
        <v>4</v>
      </c>
      <c r="J4541" s="25"/>
      <c r="K4541" s="26"/>
      <c r="L4541" s="26"/>
      <c r="M4541" s="25"/>
      <c r="N4541" s="25"/>
      <c r="O4541" s="25"/>
      <c r="P4541" s="26"/>
      <c r="Q4541" s="26"/>
      <c r="R4541" s="25"/>
      <c r="S4541" s="25"/>
      <c r="T4541" s="25"/>
      <c r="U4541" s="27"/>
      <c r="V4541" s="21"/>
      <c r="W4541" s="16"/>
      <c r="X4541" s="16"/>
      <c r="Y4541" s="16"/>
    </row>
    <row r="4542" customFormat="false" ht="15.75" hidden="false" customHeight="false" outlineLevel="0" collapsed="false">
      <c r="A4542" s="9"/>
      <c r="B4542" s="10"/>
      <c r="C4542" s="11"/>
      <c r="D4542" s="10"/>
      <c r="E4542" s="10"/>
      <c r="F4542" s="10"/>
      <c r="G4542" s="10"/>
      <c r="H4542" s="10"/>
      <c r="I4542" s="12" t="n">
        <v>1</v>
      </c>
      <c r="J4542" s="12"/>
      <c r="K4542" s="13"/>
      <c r="L4542" s="13"/>
      <c r="M4542" s="12"/>
      <c r="N4542" s="12"/>
      <c r="O4542" s="12"/>
      <c r="P4542" s="13"/>
      <c r="Q4542" s="13"/>
      <c r="R4542" s="12"/>
      <c r="S4542" s="12"/>
      <c r="T4542" s="12"/>
      <c r="U4542" s="14"/>
      <c r="V4542" s="15"/>
      <c r="W4542" s="16" t="n">
        <f aca="false">A4542</f>
        <v>0</v>
      </c>
      <c r="X4542" s="17" t="e">
        <f aca="false">ifs(C4542="","",X4542="",NOW(),TRUE(),X4542)</f>
        <v>#VALUE!</v>
      </c>
      <c r="Y4542" s="17" t="e">
        <f aca="false">ifs(COUNTA(K4542:U4545)&lt;44,"",Y4542="",NOW(),TRUE(),Y4542)</f>
        <v>#VALUE!</v>
      </c>
    </row>
    <row r="4543" customFormat="false" ht="15.75" hidden="false" customHeight="false" outlineLevel="0" collapsed="false">
      <c r="A4543" s="9"/>
      <c r="B4543" s="10"/>
      <c r="C4543" s="10"/>
      <c r="D4543" s="10"/>
      <c r="E4543" s="10"/>
      <c r="F4543" s="10"/>
      <c r="G4543" s="10"/>
      <c r="H4543" s="10"/>
      <c r="I4543" s="18" t="n">
        <v>2</v>
      </c>
      <c r="J4543" s="18"/>
      <c r="K4543" s="19"/>
      <c r="L4543" s="19"/>
      <c r="M4543" s="18"/>
      <c r="N4543" s="18"/>
      <c r="O4543" s="18"/>
      <c r="P4543" s="19"/>
      <c r="Q4543" s="19"/>
      <c r="R4543" s="18"/>
      <c r="S4543" s="18"/>
      <c r="T4543" s="18"/>
      <c r="U4543" s="20"/>
      <c r="V4543" s="21"/>
      <c r="W4543" s="16"/>
      <c r="X4543" s="16"/>
      <c r="Y4543" s="16"/>
    </row>
    <row r="4544" customFormat="false" ht="15.75" hidden="false" customHeight="false" outlineLevel="0" collapsed="false">
      <c r="A4544" s="9"/>
      <c r="B4544" s="10"/>
      <c r="C4544" s="10"/>
      <c r="D4544" s="10"/>
      <c r="E4544" s="10"/>
      <c r="F4544" s="10"/>
      <c r="G4544" s="10"/>
      <c r="H4544" s="10"/>
      <c r="I4544" s="22" t="n">
        <v>3</v>
      </c>
      <c r="J4544" s="22"/>
      <c r="K4544" s="23"/>
      <c r="L4544" s="23"/>
      <c r="M4544" s="22"/>
      <c r="N4544" s="22"/>
      <c r="O4544" s="22"/>
      <c r="P4544" s="23"/>
      <c r="Q4544" s="23"/>
      <c r="R4544" s="22"/>
      <c r="S4544" s="22"/>
      <c r="T4544" s="22"/>
      <c r="U4544" s="24"/>
      <c r="V4544" s="15"/>
      <c r="W4544" s="16"/>
      <c r="X4544" s="16"/>
      <c r="Y4544" s="16"/>
    </row>
    <row r="4545" customFormat="false" ht="15.75" hidden="false" customHeight="false" outlineLevel="0" collapsed="false">
      <c r="A4545" s="9"/>
      <c r="B4545" s="10"/>
      <c r="C4545" s="10"/>
      <c r="D4545" s="10"/>
      <c r="E4545" s="10"/>
      <c r="F4545" s="10"/>
      <c r="G4545" s="10"/>
      <c r="H4545" s="10"/>
      <c r="I4545" s="25" t="n">
        <v>4</v>
      </c>
      <c r="J4545" s="25"/>
      <c r="K4545" s="26"/>
      <c r="L4545" s="26"/>
      <c r="M4545" s="25"/>
      <c r="N4545" s="25"/>
      <c r="O4545" s="25"/>
      <c r="P4545" s="26"/>
      <c r="Q4545" s="26"/>
      <c r="R4545" s="25"/>
      <c r="S4545" s="25"/>
      <c r="T4545" s="25"/>
      <c r="U4545" s="27"/>
      <c r="V4545" s="21"/>
      <c r="W4545" s="16"/>
      <c r="X4545" s="16"/>
      <c r="Y4545" s="16"/>
    </row>
    <row r="4546" customFormat="false" ht="15.75" hidden="false" customHeight="false" outlineLevel="0" collapsed="false">
      <c r="A4546" s="9"/>
      <c r="B4546" s="10"/>
      <c r="C4546" s="11"/>
      <c r="D4546" s="10"/>
      <c r="E4546" s="10"/>
      <c r="F4546" s="10"/>
      <c r="G4546" s="10"/>
      <c r="H4546" s="10"/>
      <c r="I4546" s="12" t="n">
        <v>1</v>
      </c>
      <c r="J4546" s="12"/>
      <c r="K4546" s="13"/>
      <c r="L4546" s="13"/>
      <c r="M4546" s="12"/>
      <c r="N4546" s="12"/>
      <c r="O4546" s="12"/>
      <c r="P4546" s="13"/>
      <c r="Q4546" s="13"/>
      <c r="R4546" s="12"/>
      <c r="S4546" s="12"/>
      <c r="T4546" s="12"/>
      <c r="U4546" s="14"/>
      <c r="V4546" s="15"/>
      <c r="W4546" s="16" t="n">
        <f aca="false">A4546</f>
        <v>0</v>
      </c>
      <c r="X4546" s="17" t="e">
        <f aca="false">ifs(C4546="","",X4546="",NOW(),TRUE(),X4546)</f>
        <v>#VALUE!</v>
      </c>
      <c r="Y4546" s="17" t="e">
        <f aca="false">ifs(COUNTA(K4546:U4549)&lt;44,"",Y4546="",NOW(),TRUE(),Y4546)</f>
        <v>#VALUE!</v>
      </c>
    </row>
    <row r="4547" customFormat="false" ht="15.75" hidden="false" customHeight="false" outlineLevel="0" collapsed="false">
      <c r="A4547" s="9"/>
      <c r="B4547" s="10"/>
      <c r="C4547" s="10"/>
      <c r="D4547" s="10"/>
      <c r="E4547" s="10"/>
      <c r="F4547" s="10"/>
      <c r="G4547" s="10"/>
      <c r="H4547" s="10"/>
      <c r="I4547" s="18" t="n">
        <v>2</v>
      </c>
      <c r="J4547" s="18"/>
      <c r="K4547" s="19"/>
      <c r="L4547" s="19"/>
      <c r="M4547" s="18"/>
      <c r="N4547" s="18"/>
      <c r="O4547" s="18"/>
      <c r="P4547" s="19"/>
      <c r="Q4547" s="19"/>
      <c r="R4547" s="18"/>
      <c r="S4547" s="18"/>
      <c r="T4547" s="18"/>
      <c r="U4547" s="20"/>
      <c r="V4547" s="21"/>
      <c r="W4547" s="16"/>
      <c r="X4547" s="16"/>
      <c r="Y4547" s="16"/>
    </row>
    <row r="4548" customFormat="false" ht="15.75" hidden="false" customHeight="false" outlineLevel="0" collapsed="false">
      <c r="A4548" s="9"/>
      <c r="B4548" s="10"/>
      <c r="C4548" s="10"/>
      <c r="D4548" s="10"/>
      <c r="E4548" s="10"/>
      <c r="F4548" s="10"/>
      <c r="G4548" s="10"/>
      <c r="H4548" s="10"/>
      <c r="I4548" s="22" t="n">
        <v>3</v>
      </c>
      <c r="J4548" s="22"/>
      <c r="K4548" s="23"/>
      <c r="L4548" s="23"/>
      <c r="M4548" s="22"/>
      <c r="N4548" s="22"/>
      <c r="O4548" s="22"/>
      <c r="P4548" s="23"/>
      <c r="Q4548" s="23"/>
      <c r="R4548" s="22"/>
      <c r="S4548" s="22"/>
      <c r="T4548" s="22"/>
      <c r="U4548" s="24"/>
      <c r="V4548" s="15"/>
      <c r="W4548" s="16"/>
      <c r="X4548" s="16"/>
      <c r="Y4548" s="16"/>
    </row>
    <row r="4549" customFormat="false" ht="15.75" hidden="false" customHeight="false" outlineLevel="0" collapsed="false">
      <c r="A4549" s="9"/>
      <c r="B4549" s="10"/>
      <c r="C4549" s="10"/>
      <c r="D4549" s="10"/>
      <c r="E4549" s="10"/>
      <c r="F4549" s="10"/>
      <c r="G4549" s="10"/>
      <c r="H4549" s="10"/>
      <c r="I4549" s="25" t="n">
        <v>4</v>
      </c>
      <c r="J4549" s="25"/>
      <c r="K4549" s="26"/>
      <c r="L4549" s="26"/>
      <c r="M4549" s="25"/>
      <c r="N4549" s="25"/>
      <c r="O4549" s="25"/>
      <c r="P4549" s="26"/>
      <c r="Q4549" s="26"/>
      <c r="R4549" s="25"/>
      <c r="S4549" s="25"/>
      <c r="T4549" s="25"/>
      <c r="U4549" s="27"/>
      <c r="V4549" s="21"/>
      <c r="W4549" s="16"/>
      <c r="X4549" s="16"/>
      <c r="Y4549" s="16"/>
    </row>
    <row r="4550" customFormat="false" ht="15.75" hidden="false" customHeight="false" outlineLevel="0" collapsed="false">
      <c r="A4550" s="9"/>
      <c r="B4550" s="10"/>
      <c r="C4550" s="11"/>
      <c r="D4550" s="10"/>
      <c r="E4550" s="10"/>
      <c r="F4550" s="10"/>
      <c r="G4550" s="10"/>
      <c r="H4550" s="10"/>
      <c r="I4550" s="12" t="n">
        <v>1</v>
      </c>
      <c r="J4550" s="12"/>
      <c r="K4550" s="13"/>
      <c r="L4550" s="13"/>
      <c r="M4550" s="12"/>
      <c r="N4550" s="12"/>
      <c r="O4550" s="12"/>
      <c r="P4550" s="13"/>
      <c r="Q4550" s="13"/>
      <c r="R4550" s="12"/>
      <c r="S4550" s="12"/>
      <c r="T4550" s="12"/>
      <c r="U4550" s="14"/>
      <c r="V4550" s="15"/>
      <c r="W4550" s="16" t="n">
        <f aca="false">A4550</f>
        <v>0</v>
      </c>
      <c r="X4550" s="17" t="e">
        <f aca="false">ifs(C4550="","",X4550="",NOW(),TRUE(),X4550)</f>
        <v>#VALUE!</v>
      </c>
      <c r="Y4550" s="17" t="e">
        <f aca="false">ifs(COUNTA(K4550:U4553)&lt;44,"",Y4550="",NOW(),TRUE(),Y4550)</f>
        <v>#VALUE!</v>
      </c>
    </row>
    <row r="4551" customFormat="false" ht="15.75" hidden="false" customHeight="false" outlineLevel="0" collapsed="false">
      <c r="A4551" s="9"/>
      <c r="B4551" s="10"/>
      <c r="C4551" s="10"/>
      <c r="D4551" s="10"/>
      <c r="E4551" s="10"/>
      <c r="F4551" s="10"/>
      <c r="G4551" s="10"/>
      <c r="H4551" s="10"/>
      <c r="I4551" s="18" t="n">
        <v>2</v>
      </c>
      <c r="J4551" s="18"/>
      <c r="K4551" s="19"/>
      <c r="L4551" s="19"/>
      <c r="M4551" s="18"/>
      <c r="N4551" s="18"/>
      <c r="O4551" s="18"/>
      <c r="P4551" s="19"/>
      <c r="Q4551" s="19"/>
      <c r="R4551" s="18"/>
      <c r="S4551" s="18"/>
      <c r="T4551" s="18"/>
      <c r="U4551" s="20"/>
      <c r="V4551" s="21"/>
      <c r="W4551" s="16"/>
      <c r="X4551" s="16"/>
      <c r="Y4551" s="16"/>
    </row>
    <row r="4552" customFormat="false" ht="15.75" hidden="false" customHeight="false" outlineLevel="0" collapsed="false">
      <c r="A4552" s="9"/>
      <c r="B4552" s="10"/>
      <c r="C4552" s="10"/>
      <c r="D4552" s="10"/>
      <c r="E4552" s="10"/>
      <c r="F4552" s="10"/>
      <c r="G4552" s="10"/>
      <c r="H4552" s="10"/>
      <c r="I4552" s="22" t="n">
        <v>3</v>
      </c>
      <c r="J4552" s="22"/>
      <c r="K4552" s="23"/>
      <c r="L4552" s="23"/>
      <c r="M4552" s="22"/>
      <c r="N4552" s="22"/>
      <c r="O4552" s="22"/>
      <c r="P4552" s="23"/>
      <c r="Q4552" s="23"/>
      <c r="R4552" s="22"/>
      <c r="S4552" s="22"/>
      <c r="T4552" s="22"/>
      <c r="U4552" s="24"/>
      <c r="V4552" s="15"/>
      <c r="W4552" s="16"/>
      <c r="X4552" s="16"/>
      <c r="Y4552" s="16"/>
    </row>
    <row r="4553" customFormat="false" ht="15.75" hidden="false" customHeight="false" outlineLevel="0" collapsed="false">
      <c r="A4553" s="9"/>
      <c r="B4553" s="10"/>
      <c r="C4553" s="10"/>
      <c r="D4553" s="10"/>
      <c r="E4553" s="10"/>
      <c r="F4553" s="10"/>
      <c r="G4553" s="10"/>
      <c r="H4553" s="10"/>
      <c r="I4553" s="25" t="n">
        <v>4</v>
      </c>
      <c r="J4553" s="25"/>
      <c r="K4553" s="26"/>
      <c r="L4553" s="26"/>
      <c r="M4553" s="25"/>
      <c r="N4553" s="25"/>
      <c r="O4553" s="25"/>
      <c r="P4553" s="26"/>
      <c r="Q4553" s="26"/>
      <c r="R4553" s="25"/>
      <c r="S4553" s="25"/>
      <c r="T4553" s="25"/>
      <c r="U4553" s="27"/>
      <c r="V4553" s="21"/>
      <c r="W4553" s="16"/>
      <c r="X4553" s="16"/>
      <c r="Y4553" s="16"/>
    </row>
    <row r="4554" customFormat="false" ht="15.75" hidden="false" customHeight="false" outlineLevel="0" collapsed="false">
      <c r="A4554" s="9"/>
      <c r="B4554" s="10"/>
      <c r="C4554" s="11"/>
      <c r="D4554" s="10"/>
      <c r="E4554" s="10"/>
      <c r="F4554" s="10"/>
      <c r="G4554" s="10"/>
      <c r="H4554" s="10"/>
      <c r="I4554" s="12" t="n">
        <v>1</v>
      </c>
      <c r="J4554" s="12"/>
      <c r="K4554" s="13"/>
      <c r="L4554" s="13"/>
      <c r="M4554" s="12"/>
      <c r="N4554" s="12"/>
      <c r="O4554" s="12"/>
      <c r="P4554" s="13"/>
      <c r="Q4554" s="13"/>
      <c r="R4554" s="12"/>
      <c r="S4554" s="12"/>
      <c r="T4554" s="12"/>
      <c r="U4554" s="14"/>
      <c r="V4554" s="15"/>
      <c r="W4554" s="16" t="n">
        <f aca="false">A4554</f>
        <v>0</v>
      </c>
      <c r="X4554" s="17" t="e">
        <f aca="false">ifs(C4554="","",X4554="",NOW(),TRUE(),X4554)</f>
        <v>#VALUE!</v>
      </c>
      <c r="Y4554" s="17" t="e">
        <f aca="false">ifs(COUNTA(K4554:U4557)&lt;44,"",Y4554="",NOW(),TRUE(),Y4554)</f>
        <v>#VALUE!</v>
      </c>
    </row>
    <row r="4555" customFormat="false" ht="15.75" hidden="false" customHeight="false" outlineLevel="0" collapsed="false">
      <c r="A4555" s="9"/>
      <c r="B4555" s="10"/>
      <c r="C4555" s="10"/>
      <c r="D4555" s="10"/>
      <c r="E4555" s="10"/>
      <c r="F4555" s="10"/>
      <c r="G4555" s="10"/>
      <c r="H4555" s="10"/>
      <c r="I4555" s="18" t="n">
        <v>2</v>
      </c>
      <c r="J4555" s="18"/>
      <c r="K4555" s="19"/>
      <c r="L4555" s="19"/>
      <c r="M4555" s="18"/>
      <c r="N4555" s="18"/>
      <c r="O4555" s="18"/>
      <c r="P4555" s="19"/>
      <c r="Q4555" s="19"/>
      <c r="R4555" s="18"/>
      <c r="S4555" s="18"/>
      <c r="T4555" s="18"/>
      <c r="U4555" s="20"/>
      <c r="V4555" s="21"/>
      <c r="W4555" s="16"/>
      <c r="X4555" s="16"/>
      <c r="Y4555" s="16"/>
    </row>
    <row r="4556" customFormat="false" ht="15.75" hidden="false" customHeight="false" outlineLevel="0" collapsed="false">
      <c r="A4556" s="9"/>
      <c r="B4556" s="10"/>
      <c r="C4556" s="10"/>
      <c r="D4556" s="10"/>
      <c r="E4556" s="10"/>
      <c r="F4556" s="10"/>
      <c r="G4556" s="10"/>
      <c r="H4556" s="10"/>
      <c r="I4556" s="22" t="n">
        <v>3</v>
      </c>
      <c r="J4556" s="22"/>
      <c r="K4556" s="23"/>
      <c r="L4556" s="23"/>
      <c r="M4556" s="22"/>
      <c r="N4556" s="22"/>
      <c r="O4556" s="22"/>
      <c r="P4556" s="23"/>
      <c r="Q4556" s="23"/>
      <c r="R4556" s="22"/>
      <c r="S4556" s="22"/>
      <c r="T4556" s="22"/>
      <c r="U4556" s="24"/>
      <c r="V4556" s="15"/>
      <c r="W4556" s="16"/>
      <c r="X4556" s="16"/>
      <c r="Y4556" s="16"/>
    </row>
    <row r="4557" customFormat="false" ht="15.75" hidden="false" customHeight="false" outlineLevel="0" collapsed="false">
      <c r="A4557" s="9"/>
      <c r="B4557" s="10"/>
      <c r="C4557" s="10"/>
      <c r="D4557" s="10"/>
      <c r="E4557" s="10"/>
      <c r="F4557" s="10"/>
      <c r="G4557" s="10"/>
      <c r="H4557" s="10"/>
      <c r="I4557" s="25" t="n">
        <v>4</v>
      </c>
      <c r="J4557" s="25"/>
      <c r="K4557" s="26"/>
      <c r="L4557" s="26"/>
      <c r="M4557" s="25"/>
      <c r="N4557" s="25"/>
      <c r="O4557" s="25"/>
      <c r="P4557" s="26"/>
      <c r="Q4557" s="26"/>
      <c r="R4557" s="25"/>
      <c r="S4557" s="25"/>
      <c r="T4557" s="25"/>
      <c r="U4557" s="27"/>
      <c r="V4557" s="21"/>
      <c r="W4557" s="16"/>
      <c r="X4557" s="16"/>
      <c r="Y4557" s="16"/>
    </row>
    <row r="4558" customFormat="false" ht="15.75" hidden="false" customHeight="false" outlineLevel="0" collapsed="false">
      <c r="A4558" s="9"/>
      <c r="B4558" s="10"/>
      <c r="C4558" s="11"/>
      <c r="D4558" s="10"/>
      <c r="E4558" s="10"/>
      <c r="F4558" s="10"/>
      <c r="G4558" s="10"/>
      <c r="H4558" s="10"/>
      <c r="I4558" s="12" t="n">
        <v>1</v>
      </c>
      <c r="J4558" s="12"/>
      <c r="K4558" s="13"/>
      <c r="L4558" s="13"/>
      <c r="M4558" s="12"/>
      <c r="N4558" s="12"/>
      <c r="O4558" s="12"/>
      <c r="P4558" s="13"/>
      <c r="Q4558" s="13"/>
      <c r="R4558" s="12"/>
      <c r="S4558" s="12"/>
      <c r="T4558" s="12"/>
      <c r="U4558" s="14"/>
      <c r="V4558" s="15"/>
      <c r="W4558" s="16" t="n">
        <f aca="false">A4558</f>
        <v>0</v>
      </c>
      <c r="X4558" s="17" t="e">
        <f aca="false">ifs(C4558="","",X4558="",NOW(),TRUE(),X4558)</f>
        <v>#VALUE!</v>
      </c>
      <c r="Y4558" s="17" t="e">
        <f aca="false">ifs(COUNTA(K4558:U4561)&lt;44,"",Y4558="",NOW(),TRUE(),Y4558)</f>
        <v>#VALUE!</v>
      </c>
    </row>
    <row r="4559" customFormat="false" ht="15.75" hidden="false" customHeight="false" outlineLevel="0" collapsed="false">
      <c r="A4559" s="9"/>
      <c r="B4559" s="10"/>
      <c r="C4559" s="10"/>
      <c r="D4559" s="10"/>
      <c r="E4559" s="10"/>
      <c r="F4559" s="10"/>
      <c r="G4559" s="10"/>
      <c r="H4559" s="10"/>
      <c r="I4559" s="18" t="n">
        <v>2</v>
      </c>
      <c r="J4559" s="18"/>
      <c r="K4559" s="19"/>
      <c r="L4559" s="19"/>
      <c r="M4559" s="18"/>
      <c r="N4559" s="18"/>
      <c r="O4559" s="18"/>
      <c r="P4559" s="19"/>
      <c r="Q4559" s="19"/>
      <c r="R4559" s="18"/>
      <c r="S4559" s="18"/>
      <c r="T4559" s="18"/>
      <c r="U4559" s="20"/>
      <c r="V4559" s="21"/>
      <c r="W4559" s="16"/>
      <c r="X4559" s="16"/>
      <c r="Y4559" s="16"/>
    </row>
    <row r="4560" customFormat="false" ht="15.75" hidden="false" customHeight="false" outlineLevel="0" collapsed="false">
      <c r="A4560" s="9"/>
      <c r="B4560" s="10"/>
      <c r="C4560" s="10"/>
      <c r="D4560" s="10"/>
      <c r="E4560" s="10"/>
      <c r="F4560" s="10"/>
      <c r="G4560" s="10"/>
      <c r="H4560" s="10"/>
      <c r="I4560" s="22" t="n">
        <v>3</v>
      </c>
      <c r="J4560" s="22"/>
      <c r="K4560" s="23"/>
      <c r="L4560" s="23"/>
      <c r="M4560" s="22"/>
      <c r="N4560" s="22"/>
      <c r="O4560" s="22"/>
      <c r="P4560" s="23"/>
      <c r="Q4560" s="23"/>
      <c r="R4560" s="22"/>
      <c r="S4560" s="22"/>
      <c r="T4560" s="22"/>
      <c r="U4560" s="24"/>
      <c r="V4560" s="15"/>
      <c r="W4560" s="16"/>
      <c r="X4560" s="16"/>
      <c r="Y4560" s="16"/>
    </row>
    <row r="4561" customFormat="false" ht="15.75" hidden="false" customHeight="false" outlineLevel="0" collapsed="false">
      <c r="A4561" s="9"/>
      <c r="B4561" s="10"/>
      <c r="C4561" s="10"/>
      <c r="D4561" s="10"/>
      <c r="E4561" s="10"/>
      <c r="F4561" s="10"/>
      <c r="G4561" s="10"/>
      <c r="H4561" s="10"/>
      <c r="I4561" s="25" t="n">
        <v>4</v>
      </c>
      <c r="J4561" s="25"/>
      <c r="K4561" s="26"/>
      <c r="L4561" s="26"/>
      <c r="M4561" s="25"/>
      <c r="N4561" s="25"/>
      <c r="O4561" s="25"/>
      <c r="P4561" s="26"/>
      <c r="Q4561" s="26"/>
      <c r="R4561" s="25"/>
      <c r="S4561" s="25"/>
      <c r="T4561" s="25"/>
      <c r="U4561" s="27"/>
      <c r="V4561" s="21"/>
      <c r="W4561" s="16"/>
      <c r="X4561" s="16"/>
      <c r="Y4561" s="16"/>
    </row>
    <row r="4562" customFormat="false" ht="15.75" hidden="false" customHeight="false" outlineLevel="0" collapsed="false">
      <c r="A4562" s="9"/>
      <c r="B4562" s="10"/>
      <c r="C4562" s="11"/>
      <c r="D4562" s="10"/>
      <c r="E4562" s="10"/>
      <c r="F4562" s="10"/>
      <c r="G4562" s="10"/>
      <c r="H4562" s="10"/>
      <c r="I4562" s="12" t="n">
        <v>1</v>
      </c>
      <c r="J4562" s="12"/>
      <c r="K4562" s="13"/>
      <c r="L4562" s="13"/>
      <c r="M4562" s="12"/>
      <c r="N4562" s="12"/>
      <c r="O4562" s="12"/>
      <c r="P4562" s="13"/>
      <c r="Q4562" s="13"/>
      <c r="R4562" s="12"/>
      <c r="S4562" s="12"/>
      <c r="T4562" s="12"/>
      <c r="U4562" s="14"/>
      <c r="V4562" s="15"/>
      <c r="W4562" s="16" t="n">
        <f aca="false">A4562</f>
        <v>0</v>
      </c>
      <c r="X4562" s="17" t="e">
        <f aca="false">ifs(C4562="","",X4562="",NOW(),TRUE(),X4562)</f>
        <v>#VALUE!</v>
      </c>
      <c r="Y4562" s="17" t="e">
        <f aca="false">ifs(COUNTA(K4562:U4565)&lt;44,"",Y4562="",NOW(),TRUE(),Y4562)</f>
        <v>#VALUE!</v>
      </c>
    </row>
    <row r="4563" customFormat="false" ht="15.75" hidden="false" customHeight="false" outlineLevel="0" collapsed="false">
      <c r="A4563" s="9"/>
      <c r="B4563" s="10"/>
      <c r="C4563" s="10"/>
      <c r="D4563" s="10"/>
      <c r="E4563" s="10"/>
      <c r="F4563" s="10"/>
      <c r="G4563" s="10"/>
      <c r="H4563" s="10"/>
      <c r="I4563" s="18" t="n">
        <v>2</v>
      </c>
      <c r="J4563" s="18"/>
      <c r="K4563" s="19"/>
      <c r="L4563" s="19"/>
      <c r="M4563" s="18"/>
      <c r="N4563" s="18"/>
      <c r="O4563" s="18"/>
      <c r="P4563" s="19"/>
      <c r="Q4563" s="19"/>
      <c r="R4563" s="18"/>
      <c r="S4563" s="18"/>
      <c r="T4563" s="18"/>
      <c r="U4563" s="20"/>
      <c r="V4563" s="21"/>
      <c r="W4563" s="16"/>
      <c r="X4563" s="16"/>
      <c r="Y4563" s="16"/>
    </row>
    <row r="4564" customFormat="false" ht="15.75" hidden="false" customHeight="false" outlineLevel="0" collapsed="false">
      <c r="A4564" s="9"/>
      <c r="B4564" s="10"/>
      <c r="C4564" s="10"/>
      <c r="D4564" s="10"/>
      <c r="E4564" s="10"/>
      <c r="F4564" s="10"/>
      <c r="G4564" s="10"/>
      <c r="H4564" s="10"/>
      <c r="I4564" s="22" t="n">
        <v>3</v>
      </c>
      <c r="J4564" s="22"/>
      <c r="K4564" s="23"/>
      <c r="L4564" s="23"/>
      <c r="M4564" s="22"/>
      <c r="N4564" s="22"/>
      <c r="O4564" s="22"/>
      <c r="P4564" s="23"/>
      <c r="Q4564" s="23"/>
      <c r="R4564" s="22"/>
      <c r="S4564" s="22"/>
      <c r="T4564" s="22"/>
      <c r="U4564" s="24"/>
      <c r="V4564" s="15"/>
      <c r="W4564" s="16"/>
      <c r="X4564" s="16"/>
      <c r="Y4564" s="16"/>
    </row>
    <row r="4565" customFormat="false" ht="15.75" hidden="false" customHeight="false" outlineLevel="0" collapsed="false">
      <c r="A4565" s="9"/>
      <c r="B4565" s="10"/>
      <c r="C4565" s="10"/>
      <c r="D4565" s="10"/>
      <c r="E4565" s="10"/>
      <c r="F4565" s="10"/>
      <c r="G4565" s="10"/>
      <c r="H4565" s="10"/>
      <c r="I4565" s="25" t="n">
        <v>4</v>
      </c>
      <c r="J4565" s="25"/>
      <c r="K4565" s="26"/>
      <c r="L4565" s="26"/>
      <c r="M4565" s="25"/>
      <c r="N4565" s="25"/>
      <c r="O4565" s="25"/>
      <c r="P4565" s="26"/>
      <c r="Q4565" s="26"/>
      <c r="R4565" s="25"/>
      <c r="S4565" s="25"/>
      <c r="T4565" s="25"/>
      <c r="U4565" s="27"/>
      <c r="V4565" s="21"/>
      <c r="W4565" s="16"/>
      <c r="X4565" s="16"/>
      <c r="Y4565" s="16"/>
    </row>
    <row r="4566" customFormat="false" ht="15.75" hidden="false" customHeight="false" outlineLevel="0" collapsed="false">
      <c r="A4566" s="9"/>
      <c r="B4566" s="10"/>
      <c r="C4566" s="11"/>
      <c r="D4566" s="10"/>
      <c r="E4566" s="10"/>
      <c r="F4566" s="10"/>
      <c r="G4566" s="10"/>
      <c r="H4566" s="10"/>
      <c r="I4566" s="12" t="n">
        <v>1</v>
      </c>
      <c r="J4566" s="12"/>
      <c r="K4566" s="13"/>
      <c r="L4566" s="13"/>
      <c r="M4566" s="12"/>
      <c r="N4566" s="12"/>
      <c r="O4566" s="12"/>
      <c r="P4566" s="13"/>
      <c r="Q4566" s="13"/>
      <c r="R4566" s="12"/>
      <c r="S4566" s="12"/>
      <c r="T4566" s="12"/>
      <c r="U4566" s="14"/>
      <c r="V4566" s="15"/>
      <c r="W4566" s="16" t="n">
        <f aca="false">A4566</f>
        <v>0</v>
      </c>
      <c r="X4566" s="17" t="e">
        <f aca="false">ifs(C4566="","",X4566="",NOW(),TRUE(),X4566)</f>
        <v>#VALUE!</v>
      </c>
      <c r="Y4566" s="17" t="e">
        <f aca="false">ifs(COUNTA(K4566:U4569)&lt;44,"",Y4566="",NOW(),TRUE(),Y4566)</f>
        <v>#VALUE!</v>
      </c>
    </row>
    <row r="4567" customFormat="false" ht="15.75" hidden="false" customHeight="false" outlineLevel="0" collapsed="false">
      <c r="A4567" s="9"/>
      <c r="B4567" s="10"/>
      <c r="C4567" s="10"/>
      <c r="D4567" s="10"/>
      <c r="E4567" s="10"/>
      <c r="F4567" s="10"/>
      <c r="G4567" s="10"/>
      <c r="H4567" s="10"/>
      <c r="I4567" s="18" t="n">
        <v>2</v>
      </c>
      <c r="J4567" s="18"/>
      <c r="K4567" s="19"/>
      <c r="L4567" s="19"/>
      <c r="M4567" s="18"/>
      <c r="N4567" s="18"/>
      <c r="O4567" s="18"/>
      <c r="P4567" s="19"/>
      <c r="Q4567" s="19"/>
      <c r="R4567" s="18"/>
      <c r="S4567" s="18"/>
      <c r="T4567" s="18"/>
      <c r="U4567" s="20"/>
      <c r="V4567" s="21"/>
      <c r="W4567" s="16"/>
      <c r="X4567" s="16"/>
      <c r="Y4567" s="16"/>
    </row>
    <row r="4568" customFormat="false" ht="15.75" hidden="false" customHeight="false" outlineLevel="0" collapsed="false">
      <c r="A4568" s="9"/>
      <c r="B4568" s="10"/>
      <c r="C4568" s="10"/>
      <c r="D4568" s="10"/>
      <c r="E4568" s="10"/>
      <c r="F4568" s="10"/>
      <c r="G4568" s="10"/>
      <c r="H4568" s="10"/>
      <c r="I4568" s="22" t="n">
        <v>3</v>
      </c>
      <c r="J4568" s="22"/>
      <c r="K4568" s="23"/>
      <c r="L4568" s="23"/>
      <c r="M4568" s="22"/>
      <c r="N4568" s="22"/>
      <c r="O4568" s="22"/>
      <c r="P4568" s="23"/>
      <c r="Q4568" s="23"/>
      <c r="R4568" s="22"/>
      <c r="S4568" s="22"/>
      <c r="T4568" s="22"/>
      <c r="U4568" s="24"/>
      <c r="V4568" s="15"/>
      <c r="W4568" s="16"/>
      <c r="X4568" s="16"/>
      <c r="Y4568" s="16"/>
    </row>
    <row r="4569" customFormat="false" ht="15.75" hidden="false" customHeight="false" outlineLevel="0" collapsed="false">
      <c r="A4569" s="9"/>
      <c r="B4569" s="10"/>
      <c r="C4569" s="10"/>
      <c r="D4569" s="10"/>
      <c r="E4569" s="10"/>
      <c r="F4569" s="10"/>
      <c r="G4569" s="10"/>
      <c r="H4569" s="10"/>
      <c r="I4569" s="25" t="n">
        <v>4</v>
      </c>
      <c r="J4569" s="25"/>
      <c r="K4569" s="26"/>
      <c r="L4569" s="26"/>
      <c r="M4569" s="25"/>
      <c r="N4569" s="25"/>
      <c r="O4569" s="25"/>
      <c r="P4569" s="26"/>
      <c r="Q4569" s="26"/>
      <c r="R4569" s="25"/>
      <c r="S4569" s="25"/>
      <c r="T4569" s="25"/>
      <c r="U4569" s="27"/>
      <c r="V4569" s="21"/>
      <c r="W4569" s="16"/>
      <c r="X4569" s="16"/>
      <c r="Y4569" s="16"/>
    </row>
    <row r="4570" customFormat="false" ht="15.75" hidden="false" customHeight="false" outlineLevel="0" collapsed="false">
      <c r="A4570" s="9"/>
      <c r="B4570" s="10"/>
      <c r="C4570" s="11"/>
      <c r="D4570" s="10"/>
      <c r="E4570" s="10"/>
      <c r="F4570" s="10"/>
      <c r="G4570" s="10"/>
      <c r="H4570" s="10"/>
      <c r="I4570" s="12" t="n">
        <v>1</v>
      </c>
      <c r="J4570" s="12"/>
      <c r="K4570" s="13"/>
      <c r="L4570" s="13"/>
      <c r="M4570" s="12"/>
      <c r="N4570" s="12"/>
      <c r="O4570" s="12"/>
      <c r="P4570" s="13"/>
      <c r="Q4570" s="13"/>
      <c r="R4570" s="12"/>
      <c r="S4570" s="12"/>
      <c r="T4570" s="12"/>
      <c r="U4570" s="14"/>
      <c r="V4570" s="15"/>
      <c r="W4570" s="16" t="n">
        <f aca="false">A4570</f>
        <v>0</v>
      </c>
      <c r="X4570" s="17" t="e">
        <f aca="false">ifs(C4570="","",X4570="",NOW(),TRUE(),X4570)</f>
        <v>#VALUE!</v>
      </c>
      <c r="Y4570" s="17" t="e">
        <f aca="false">ifs(COUNTA(K4570:U4573)&lt;44,"",Y4570="",NOW(),TRUE(),Y4570)</f>
        <v>#VALUE!</v>
      </c>
    </row>
    <row r="4571" customFormat="false" ht="15.75" hidden="false" customHeight="false" outlineLevel="0" collapsed="false">
      <c r="A4571" s="9"/>
      <c r="B4571" s="10"/>
      <c r="C4571" s="10"/>
      <c r="D4571" s="10"/>
      <c r="E4571" s="10"/>
      <c r="F4571" s="10"/>
      <c r="G4571" s="10"/>
      <c r="H4571" s="10"/>
      <c r="I4571" s="18" t="n">
        <v>2</v>
      </c>
      <c r="J4571" s="18"/>
      <c r="K4571" s="19"/>
      <c r="L4571" s="19"/>
      <c r="M4571" s="18"/>
      <c r="N4571" s="18"/>
      <c r="O4571" s="18"/>
      <c r="P4571" s="19"/>
      <c r="Q4571" s="19"/>
      <c r="R4571" s="18"/>
      <c r="S4571" s="18"/>
      <c r="T4571" s="18"/>
      <c r="U4571" s="20"/>
      <c r="V4571" s="21"/>
      <c r="W4571" s="16"/>
      <c r="X4571" s="16"/>
      <c r="Y4571" s="16"/>
    </row>
    <row r="4572" customFormat="false" ht="15.75" hidden="false" customHeight="false" outlineLevel="0" collapsed="false">
      <c r="A4572" s="9"/>
      <c r="B4572" s="10"/>
      <c r="C4572" s="10"/>
      <c r="D4572" s="10"/>
      <c r="E4572" s="10"/>
      <c r="F4572" s="10"/>
      <c r="G4572" s="10"/>
      <c r="H4572" s="10"/>
      <c r="I4572" s="22" t="n">
        <v>3</v>
      </c>
      <c r="J4572" s="22"/>
      <c r="K4572" s="23"/>
      <c r="L4572" s="23"/>
      <c r="M4572" s="22"/>
      <c r="N4572" s="22"/>
      <c r="O4572" s="22"/>
      <c r="P4572" s="23"/>
      <c r="Q4572" s="23"/>
      <c r="R4572" s="22"/>
      <c r="S4572" s="22"/>
      <c r="T4572" s="22"/>
      <c r="U4572" s="24"/>
      <c r="V4572" s="15"/>
      <c r="W4572" s="16"/>
      <c r="X4572" s="16"/>
      <c r="Y4572" s="16"/>
    </row>
    <row r="4573" customFormat="false" ht="15.75" hidden="false" customHeight="false" outlineLevel="0" collapsed="false">
      <c r="A4573" s="9"/>
      <c r="B4573" s="10"/>
      <c r="C4573" s="10"/>
      <c r="D4573" s="10"/>
      <c r="E4573" s="10"/>
      <c r="F4573" s="10"/>
      <c r="G4573" s="10"/>
      <c r="H4573" s="10"/>
      <c r="I4573" s="25" t="n">
        <v>4</v>
      </c>
      <c r="J4573" s="25"/>
      <c r="K4573" s="26"/>
      <c r="L4573" s="26"/>
      <c r="M4573" s="25"/>
      <c r="N4573" s="25"/>
      <c r="O4573" s="25"/>
      <c r="P4573" s="26"/>
      <c r="Q4573" s="26"/>
      <c r="R4573" s="25"/>
      <c r="S4573" s="25"/>
      <c r="T4573" s="25"/>
      <c r="U4573" s="27"/>
      <c r="V4573" s="21"/>
      <c r="W4573" s="16"/>
      <c r="X4573" s="16"/>
      <c r="Y4573" s="16"/>
    </row>
    <row r="4574" customFormat="false" ht="15.75" hidden="false" customHeight="false" outlineLevel="0" collapsed="false">
      <c r="A4574" s="9"/>
      <c r="B4574" s="10"/>
      <c r="C4574" s="11"/>
      <c r="D4574" s="10"/>
      <c r="E4574" s="10"/>
      <c r="F4574" s="10"/>
      <c r="G4574" s="10"/>
      <c r="H4574" s="10"/>
      <c r="I4574" s="12" t="n">
        <v>1</v>
      </c>
      <c r="J4574" s="12"/>
      <c r="K4574" s="13"/>
      <c r="L4574" s="13"/>
      <c r="M4574" s="12"/>
      <c r="N4574" s="12"/>
      <c r="O4574" s="12"/>
      <c r="P4574" s="13"/>
      <c r="Q4574" s="13"/>
      <c r="R4574" s="12"/>
      <c r="S4574" s="12"/>
      <c r="T4574" s="12"/>
      <c r="U4574" s="14"/>
      <c r="V4574" s="15"/>
      <c r="W4574" s="16" t="n">
        <f aca="false">A4574</f>
        <v>0</v>
      </c>
      <c r="X4574" s="17" t="e">
        <f aca="false">ifs(C4574="","",X4574="",NOW(),TRUE(),X4574)</f>
        <v>#VALUE!</v>
      </c>
      <c r="Y4574" s="17" t="e">
        <f aca="false">ifs(COUNTA(K4574:U4577)&lt;44,"",Y4574="",NOW(),TRUE(),Y4574)</f>
        <v>#VALUE!</v>
      </c>
    </row>
    <row r="4575" customFormat="false" ht="15.75" hidden="false" customHeight="false" outlineLevel="0" collapsed="false">
      <c r="A4575" s="9"/>
      <c r="B4575" s="10"/>
      <c r="C4575" s="10"/>
      <c r="D4575" s="10"/>
      <c r="E4575" s="10"/>
      <c r="F4575" s="10"/>
      <c r="G4575" s="10"/>
      <c r="H4575" s="10"/>
      <c r="I4575" s="18" t="n">
        <v>2</v>
      </c>
      <c r="J4575" s="18"/>
      <c r="K4575" s="19"/>
      <c r="L4575" s="19"/>
      <c r="M4575" s="18"/>
      <c r="N4575" s="18"/>
      <c r="O4575" s="18"/>
      <c r="P4575" s="19"/>
      <c r="Q4575" s="19"/>
      <c r="R4575" s="18"/>
      <c r="S4575" s="18"/>
      <c r="T4575" s="18"/>
      <c r="U4575" s="20"/>
      <c r="V4575" s="21"/>
      <c r="W4575" s="16"/>
      <c r="X4575" s="16"/>
      <c r="Y4575" s="16"/>
    </row>
    <row r="4576" customFormat="false" ht="15.75" hidden="false" customHeight="false" outlineLevel="0" collapsed="false">
      <c r="A4576" s="9"/>
      <c r="B4576" s="10"/>
      <c r="C4576" s="10"/>
      <c r="D4576" s="10"/>
      <c r="E4576" s="10"/>
      <c r="F4576" s="10"/>
      <c r="G4576" s="10"/>
      <c r="H4576" s="10"/>
      <c r="I4576" s="22" t="n">
        <v>3</v>
      </c>
      <c r="J4576" s="22"/>
      <c r="K4576" s="23"/>
      <c r="L4576" s="23"/>
      <c r="M4576" s="22"/>
      <c r="N4576" s="22"/>
      <c r="O4576" s="22"/>
      <c r="P4576" s="23"/>
      <c r="Q4576" s="23"/>
      <c r="R4576" s="22"/>
      <c r="S4576" s="22"/>
      <c r="T4576" s="22"/>
      <c r="U4576" s="24"/>
      <c r="V4576" s="15"/>
      <c r="W4576" s="16"/>
      <c r="X4576" s="16"/>
      <c r="Y4576" s="16"/>
    </row>
    <row r="4577" customFormat="false" ht="15.75" hidden="false" customHeight="false" outlineLevel="0" collapsed="false">
      <c r="A4577" s="9"/>
      <c r="B4577" s="10"/>
      <c r="C4577" s="10"/>
      <c r="D4577" s="10"/>
      <c r="E4577" s="10"/>
      <c r="F4577" s="10"/>
      <c r="G4577" s="10"/>
      <c r="H4577" s="10"/>
      <c r="I4577" s="25" t="n">
        <v>4</v>
      </c>
      <c r="J4577" s="25"/>
      <c r="K4577" s="26"/>
      <c r="L4577" s="26"/>
      <c r="M4577" s="25"/>
      <c r="N4577" s="25"/>
      <c r="O4577" s="25"/>
      <c r="P4577" s="26"/>
      <c r="Q4577" s="26"/>
      <c r="R4577" s="25"/>
      <c r="S4577" s="25"/>
      <c r="T4577" s="25"/>
      <c r="U4577" s="27"/>
      <c r="V4577" s="21"/>
      <c r="W4577" s="16"/>
      <c r="X4577" s="16"/>
      <c r="Y4577" s="16"/>
    </row>
    <row r="4578" customFormat="false" ht="15.75" hidden="false" customHeight="false" outlineLevel="0" collapsed="false">
      <c r="A4578" s="9"/>
      <c r="B4578" s="10"/>
      <c r="C4578" s="11"/>
      <c r="D4578" s="10"/>
      <c r="E4578" s="10"/>
      <c r="F4578" s="10"/>
      <c r="G4578" s="10"/>
      <c r="H4578" s="10"/>
      <c r="I4578" s="12" t="n">
        <v>1</v>
      </c>
      <c r="J4578" s="12"/>
      <c r="K4578" s="13"/>
      <c r="L4578" s="13"/>
      <c r="M4578" s="12"/>
      <c r="N4578" s="12"/>
      <c r="O4578" s="12"/>
      <c r="P4578" s="13"/>
      <c r="Q4578" s="13"/>
      <c r="R4578" s="12"/>
      <c r="S4578" s="12"/>
      <c r="T4578" s="12"/>
      <c r="U4578" s="14"/>
      <c r="V4578" s="15"/>
      <c r="W4578" s="16" t="n">
        <f aca="false">A4578</f>
        <v>0</v>
      </c>
      <c r="X4578" s="17" t="e">
        <f aca="false">ifs(C4578="","",X4578="",NOW(),TRUE(),X4578)</f>
        <v>#VALUE!</v>
      </c>
      <c r="Y4578" s="17" t="e">
        <f aca="false">ifs(COUNTA(K4578:U4581)&lt;44,"",Y4578="",NOW(),TRUE(),Y4578)</f>
        <v>#VALUE!</v>
      </c>
    </row>
    <row r="4579" customFormat="false" ht="15.75" hidden="false" customHeight="false" outlineLevel="0" collapsed="false">
      <c r="A4579" s="9"/>
      <c r="B4579" s="10"/>
      <c r="C4579" s="10"/>
      <c r="D4579" s="10"/>
      <c r="E4579" s="10"/>
      <c r="F4579" s="10"/>
      <c r="G4579" s="10"/>
      <c r="H4579" s="10"/>
      <c r="I4579" s="18" t="n">
        <v>2</v>
      </c>
      <c r="J4579" s="18"/>
      <c r="K4579" s="19"/>
      <c r="L4579" s="19"/>
      <c r="M4579" s="18"/>
      <c r="N4579" s="18"/>
      <c r="O4579" s="18"/>
      <c r="P4579" s="19"/>
      <c r="Q4579" s="19"/>
      <c r="R4579" s="18"/>
      <c r="S4579" s="18"/>
      <c r="T4579" s="18"/>
      <c r="U4579" s="20"/>
      <c r="V4579" s="21"/>
      <c r="W4579" s="16"/>
      <c r="X4579" s="16"/>
      <c r="Y4579" s="16"/>
    </row>
    <row r="4580" customFormat="false" ht="15.75" hidden="false" customHeight="false" outlineLevel="0" collapsed="false">
      <c r="A4580" s="9"/>
      <c r="B4580" s="10"/>
      <c r="C4580" s="10"/>
      <c r="D4580" s="10"/>
      <c r="E4580" s="10"/>
      <c r="F4580" s="10"/>
      <c r="G4580" s="10"/>
      <c r="H4580" s="10"/>
      <c r="I4580" s="22" t="n">
        <v>3</v>
      </c>
      <c r="J4580" s="22"/>
      <c r="K4580" s="23"/>
      <c r="L4580" s="23"/>
      <c r="M4580" s="22"/>
      <c r="N4580" s="22"/>
      <c r="O4580" s="22"/>
      <c r="P4580" s="23"/>
      <c r="Q4580" s="23"/>
      <c r="R4580" s="22"/>
      <c r="S4580" s="22"/>
      <c r="T4580" s="22"/>
      <c r="U4580" s="24"/>
      <c r="V4580" s="15"/>
      <c r="W4580" s="16"/>
      <c r="X4580" s="16"/>
      <c r="Y4580" s="16"/>
    </row>
    <row r="4581" customFormat="false" ht="15.75" hidden="false" customHeight="false" outlineLevel="0" collapsed="false">
      <c r="A4581" s="9"/>
      <c r="B4581" s="10"/>
      <c r="C4581" s="10"/>
      <c r="D4581" s="10"/>
      <c r="E4581" s="10"/>
      <c r="F4581" s="10"/>
      <c r="G4581" s="10"/>
      <c r="H4581" s="10"/>
      <c r="I4581" s="25" t="n">
        <v>4</v>
      </c>
      <c r="J4581" s="25"/>
      <c r="K4581" s="26"/>
      <c r="L4581" s="26"/>
      <c r="M4581" s="25"/>
      <c r="N4581" s="25"/>
      <c r="O4581" s="25"/>
      <c r="P4581" s="26"/>
      <c r="Q4581" s="26"/>
      <c r="R4581" s="25"/>
      <c r="S4581" s="25"/>
      <c r="T4581" s="25"/>
      <c r="U4581" s="27"/>
      <c r="V4581" s="21"/>
      <c r="W4581" s="16"/>
      <c r="X4581" s="16"/>
      <c r="Y4581" s="16"/>
    </row>
    <row r="4582" customFormat="false" ht="15.75" hidden="false" customHeight="false" outlineLevel="0" collapsed="false">
      <c r="A4582" s="9"/>
      <c r="B4582" s="10"/>
      <c r="C4582" s="11"/>
      <c r="D4582" s="10"/>
      <c r="E4582" s="10"/>
      <c r="F4582" s="10"/>
      <c r="G4582" s="10"/>
      <c r="H4582" s="10"/>
      <c r="I4582" s="12" t="n">
        <v>1</v>
      </c>
      <c r="J4582" s="12"/>
      <c r="K4582" s="13"/>
      <c r="L4582" s="13"/>
      <c r="M4582" s="12"/>
      <c r="N4582" s="12"/>
      <c r="O4582" s="12"/>
      <c r="P4582" s="13"/>
      <c r="Q4582" s="13"/>
      <c r="R4582" s="12"/>
      <c r="S4582" s="12"/>
      <c r="T4582" s="12"/>
      <c r="U4582" s="14"/>
      <c r="V4582" s="15"/>
      <c r="W4582" s="16" t="n">
        <f aca="false">A4582</f>
        <v>0</v>
      </c>
      <c r="X4582" s="17" t="e">
        <f aca="false">ifs(C4582="","",X4582="",NOW(),TRUE(),X4582)</f>
        <v>#VALUE!</v>
      </c>
      <c r="Y4582" s="17" t="e">
        <f aca="false">ifs(COUNTA(K4582:U4585)&lt;44,"",Y4582="",NOW(),TRUE(),Y4582)</f>
        <v>#VALUE!</v>
      </c>
    </row>
    <row r="4583" customFormat="false" ht="15.75" hidden="false" customHeight="false" outlineLevel="0" collapsed="false">
      <c r="A4583" s="9"/>
      <c r="B4583" s="10"/>
      <c r="C4583" s="10"/>
      <c r="D4583" s="10"/>
      <c r="E4583" s="10"/>
      <c r="F4583" s="10"/>
      <c r="G4583" s="10"/>
      <c r="H4583" s="10"/>
      <c r="I4583" s="18" t="n">
        <v>2</v>
      </c>
      <c r="J4583" s="18"/>
      <c r="K4583" s="19"/>
      <c r="L4583" s="19"/>
      <c r="M4583" s="18"/>
      <c r="N4583" s="18"/>
      <c r="O4583" s="18"/>
      <c r="P4583" s="19"/>
      <c r="Q4583" s="19"/>
      <c r="R4583" s="18"/>
      <c r="S4583" s="18"/>
      <c r="T4583" s="18"/>
      <c r="U4583" s="20"/>
      <c r="V4583" s="21"/>
      <c r="W4583" s="16"/>
      <c r="X4583" s="16"/>
      <c r="Y4583" s="16"/>
    </row>
    <row r="4584" customFormat="false" ht="15.75" hidden="false" customHeight="false" outlineLevel="0" collapsed="false">
      <c r="A4584" s="9"/>
      <c r="B4584" s="10"/>
      <c r="C4584" s="10"/>
      <c r="D4584" s="10"/>
      <c r="E4584" s="10"/>
      <c r="F4584" s="10"/>
      <c r="G4584" s="10"/>
      <c r="H4584" s="10"/>
      <c r="I4584" s="22" t="n">
        <v>3</v>
      </c>
      <c r="J4584" s="22"/>
      <c r="K4584" s="23"/>
      <c r="L4584" s="23"/>
      <c r="M4584" s="22"/>
      <c r="N4584" s="22"/>
      <c r="O4584" s="22"/>
      <c r="P4584" s="23"/>
      <c r="Q4584" s="23"/>
      <c r="R4584" s="22"/>
      <c r="S4584" s="22"/>
      <c r="T4584" s="22"/>
      <c r="U4584" s="24"/>
      <c r="V4584" s="15"/>
      <c r="W4584" s="16"/>
      <c r="X4584" s="16"/>
      <c r="Y4584" s="16"/>
    </row>
    <row r="4585" customFormat="false" ht="15.75" hidden="false" customHeight="false" outlineLevel="0" collapsed="false">
      <c r="A4585" s="9"/>
      <c r="B4585" s="10"/>
      <c r="C4585" s="10"/>
      <c r="D4585" s="10"/>
      <c r="E4585" s="10"/>
      <c r="F4585" s="10"/>
      <c r="G4585" s="10"/>
      <c r="H4585" s="10"/>
      <c r="I4585" s="25" t="n">
        <v>4</v>
      </c>
      <c r="J4585" s="25"/>
      <c r="K4585" s="26"/>
      <c r="L4585" s="26"/>
      <c r="M4585" s="25"/>
      <c r="N4585" s="25"/>
      <c r="O4585" s="25"/>
      <c r="P4585" s="26"/>
      <c r="Q4585" s="26"/>
      <c r="R4585" s="25"/>
      <c r="S4585" s="25"/>
      <c r="T4585" s="25"/>
      <c r="U4585" s="27"/>
      <c r="V4585" s="21"/>
      <c r="W4585" s="16"/>
      <c r="X4585" s="16"/>
      <c r="Y4585" s="16"/>
    </row>
    <row r="4586" customFormat="false" ht="15.75" hidden="false" customHeight="false" outlineLevel="0" collapsed="false">
      <c r="A4586" s="9"/>
      <c r="B4586" s="10"/>
      <c r="C4586" s="11"/>
      <c r="D4586" s="10"/>
      <c r="E4586" s="10"/>
      <c r="F4586" s="10"/>
      <c r="G4586" s="10"/>
      <c r="H4586" s="10"/>
      <c r="I4586" s="12" t="n">
        <v>1</v>
      </c>
      <c r="J4586" s="12"/>
      <c r="K4586" s="13"/>
      <c r="L4586" s="13"/>
      <c r="M4586" s="12"/>
      <c r="N4586" s="12"/>
      <c r="O4586" s="12"/>
      <c r="P4586" s="13"/>
      <c r="Q4586" s="13"/>
      <c r="R4586" s="12"/>
      <c r="S4586" s="12"/>
      <c r="T4586" s="12"/>
      <c r="U4586" s="14"/>
      <c r="V4586" s="15"/>
      <c r="W4586" s="16" t="n">
        <f aca="false">A4586</f>
        <v>0</v>
      </c>
      <c r="X4586" s="17" t="e">
        <f aca="false">ifs(C4586="","",X4586="",NOW(),TRUE(),X4586)</f>
        <v>#VALUE!</v>
      </c>
      <c r="Y4586" s="17" t="e">
        <f aca="false">ifs(COUNTA(K4586:U4589)&lt;44,"",Y4586="",NOW(),TRUE(),Y4586)</f>
        <v>#VALUE!</v>
      </c>
    </row>
    <row r="4587" customFormat="false" ht="15.75" hidden="false" customHeight="false" outlineLevel="0" collapsed="false">
      <c r="A4587" s="9"/>
      <c r="B4587" s="10"/>
      <c r="C4587" s="10"/>
      <c r="D4587" s="10"/>
      <c r="E4587" s="10"/>
      <c r="F4587" s="10"/>
      <c r="G4587" s="10"/>
      <c r="H4587" s="10"/>
      <c r="I4587" s="18" t="n">
        <v>2</v>
      </c>
      <c r="J4587" s="18"/>
      <c r="K4587" s="19"/>
      <c r="L4587" s="19"/>
      <c r="M4587" s="18"/>
      <c r="N4587" s="18"/>
      <c r="O4587" s="18"/>
      <c r="P4587" s="19"/>
      <c r="Q4587" s="19"/>
      <c r="R4587" s="18"/>
      <c r="S4587" s="18"/>
      <c r="T4587" s="18"/>
      <c r="U4587" s="20"/>
      <c r="V4587" s="21"/>
      <c r="W4587" s="16"/>
      <c r="X4587" s="16"/>
      <c r="Y4587" s="16"/>
    </row>
    <row r="4588" customFormat="false" ht="15.75" hidden="false" customHeight="false" outlineLevel="0" collapsed="false">
      <c r="A4588" s="9"/>
      <c r="B4588" s="10"/>
      <c r="C4588" s="10"/>
      <c r="D4588" s="10"/>
      <c r="E4588" s="10"/>
      <c r="F4588" s="10"/>
      <c r="G4588" s="10"/>
      <c r="H4588" s="10"/>
      <c r="I4588" s="22" t="n">
        <v>3</v>
      </c>
      <c r="J4588" s="22"/>
      <c r="K4588" s="23"/>
      <c r="L4588" s="23"/>
      <c r="M4588" s="22"/>
      <c r="N4588" s="22"/>
      <c r="O4588" s="22"/>
      <c r="P4588" s="23"/>
      <c r="Q4588" s="23"/>
      <c r="R4588" s="22"/>
      <c r="S4588" s="22"/>
      <c r="T4588" s="22"/>
      <c r="U4588" s="24"/>
      <c r="V4588" s="15"/>
      <c r="W4588" s="16"/>
      <c r="X4588" s="16"/>
      <c r="Y4588" s="16"/>
    </row>
    <row r="4589" customFormat="false" ht="15.75" hidden="false" customHeight="false" outlineLevel="0" collapsed="false">
      <c r="A4589" s="9"/>
      <c r="B4589" s="10"/>
      <c r="C4589" s="10"/>
      <c r="D4589" s="10"/>
      <c r="E4589" s="10"/>
      <c r="F4589" s="10"/>
      <c r="G4589" s="10"/>
      <c r="H4589" s="10"/>
      <c r="I4589" s="25" t="n">
        <v>4</v>
      </c>
      <c r="J4589" s="25"/>
      <c r="K4589" s="26"/>
      <c r="L4589" s="26"/>
      <c r="M4589" s="25"/>
      <c r="N4589" s="25"/>
      <c r="O4589" s="25"/>
      <c r="P4589" s="26"/>
      <c r="Q4589" s="26"/>
      <c r="R4589" s="25"/>
      <c r="S4589" s="25"/>
      <c r="T4589" s="25"/>
      <c r="U4589" s="27"/>
      <c r="V4589" s="21"/>
      <c r="W4589" s="16"/>
      <c r="X4589" s="16"/>
      <c r="Y4589" s="16"/>
    </row>
    <row r="4590" customFormat="false" ht="15.75" hidden="false" customHeight="false" outlineLevel="0" collapsed="false">
      <c r="A4590" s="9"/>
      <c r="B4590" s="10"/>
      <c r="C4590" s="11"/>
      <c r="D4590" s="10"/>
      <c r="E4590" s="10"/>
      <c r="F4590" s="10"/>
      <c r="G4590" s="10"/>
      <c r="H4590" s="10"/>
      <c r="I4590" s="12" t="n">
        <v>1</v>
      </c>
      <c r="J4590" s="12"/>
      <c r="K4590" s="13"/>
      <c r="L4590" s="13"/>
      <c r="M4590" s="12"/>
      <c r="N4590" s="12"/>
      <c r="O4590" s="12"/>
      <c r="P4590" s="13"/>
      <c r="Q4590" s="13"/>
      <c r="R4590" s="12"/>
      <c r="S4590" s="12"/>
      <c r="T4590" s="12"/>
      <c r="U4590" s="14"/>
      <c r="V4590" s="15"/>
      <c r="W4590" s="16" t="n">
        <f aca="false">A4590</f>
        <v>0</v>
      </c>
      <c r="X4590" s="17" t="e">
        <f aca="false">ifs(C4590="","",X4590="",NOW(),TRUE(),X4590)</f>
        <v>#VALUE!</v>
      </c>
      <c r="Y4590" s="17" t="e">
        <f aca="false">ifs(COUNTA(K4590:U4593)&lt;44,"",Y4590="",NOW(),TRUE(),Y4590)</f>
        <v>#VALUE!</v>
      </c>
    </row>
    <row r="4591" customFormat="false" ht="15.75" hidden="false" customHeight="false" outlineLevel="0" collapsed="false">
      <c r="A4591" s="9"/>
      <c r="B4591" s="10"/>
      <c r="C4591" s="10"/>
      <c r="D4591" s="10"/>
      <c r="E4591" s="10"/>
      <c r="F4591" s="10"/>
      <c r="G4591" s="10"/>
      <c r="H4591" s="10"/>
      <c r="I4591" s="18" t="n">
        <v>2</v>
      </c>
      <c r="J4591" s="18"/>
      <c r="K4591" s="19"/>
      <c r="L4591" s="19"/>
      <c r="M4591" s="18"/>
      <c r="N4591" s="18"/>
      <c r="O4591" s="18"/>
      <c r="P4591" s="19"/>
      <c r="Q4591" s="19"/>
      <c r="R4591" s="18"/>
      <c r="S4591" s="18"/>
      <c r="T4591" s="18"/>
      <c r="U4591" s="20"/>
      <c r="V4591" s="21"/>
      <c r="W4591" s="16"/>
      <c r="X4591" s="16"/>
      <c r="Y4591" s="16"/>
    </row>
    <row r="4592" customFormat="false" ht="15.75" hidden="false" customHeight="false" outlineLevel="0" collapsed="false">
      <c r="A4592" s="9"/>
      <c r="B4592" s="10"/>
      <c r="C4592" s="10"/>
      <c r="D4592" s="10"/>
      <c r="E4592" s="10"/>
      <c r="F4592" s="10"/>
      <c r="G4592" s="10"/>
      <c r="H4592" s="10"/>
      <c r="I4592" s="22" t="n">
        <v>3</v>
      </c>
      <c r="J4592" s="22"/>
      <c r="K4592" s="23"/>
      <c r="L4592" s="23"/>
      <c r="M4592" s="22"/>
      <c r="N4592" s="22"/>
      <c r="O4592" s="22"/>
      <c r="P4592" s="23"/>
      <c r="Q4592" s="23"/>
      <c r="R4592" s="22"/>
      <c r="S4592" s="22"/>
      <c r="T4592" s="22"/>
      <c r="U4592" s="24"/>
      <c r="V4592" s="15"/>
      <c r="W4592" s="16"/>
      <c r="X4592" s="16"/>
      <c r="Y4592" s="16"/>
    </row>
    <row r="4593" customFormat="false" ht="15.75" hidden="false" customHeight="false" outlineLevel="0" collapsed="false">
      <c r="A4593" s="9"/>
      <c r="B4593" s="10"/>
      <c r="C4593" s="10"/>
      <c r="D4593" s="10"/>
      <c r="E4593" s="10"/>
      <c r="F4593" s="10"/>
      <c r="G4593" s="10"/>
      <c r="H4593" s="10"/>
      <c r="I4593" s="25" t="n">
        <v>4</v>
      </c>
      <c r="J4593" s="25"/>
      <c r="K4593" s="26"/>
      <c r="L4593" s="26"/>
      <c r="M4593" s="25"/>
      <c r="N4593" s="25"/>
      <c r="O4593" s="25"/>
      <c r="P4593" s="26"/>
      <c r="Q4593" s="26"/>
      <c r="R4593" s="25"/>
      <c r="S4593" s="25"/>
      <c r="T4593" s="25"/>
      <c r="U4593" s="27"/>
      <c r="V4593" s="21"/>
      <c r="W4593" s="16"/>
      <c r="X4593" s="16"/>
      <c r="Y4593" s="16"/>
    </row>
    <row r="4594" customFormat="false" ht="15.75" hidden="false" customHeight="false" outlineLevel="0" collapsed="false">
      <c r="A4594" s="9"/>
      <c r="B4594" s="10"/>
      <c r="C4594" s="11"/>
      <c r="D4594" s="10"/>
      <c r="E4594" s="10"/>
      <c r="F4594" s="10"/>
      <c r="G4594" s="10"/>
      <c r="H4594" s="10"/>
      <c r="I4594" s="12" t="n">
        <v>1</v>
      </c>
      <c r="J4594" s="12"/>
      <c r="K4594" s="13"/>
      <c r="L4594" s="13"/>
      <c r="M4594" s="12"/>
      <c r="N4594" s="12"/>
      <c r="O4594" s="12"/>
      <c r="P4594" s="13"/>
      <c r="Q4594" s="13"/>
      <c r="R4594" s="12"/>
      <c r="S4594" s="12"/>
      <c r="T4594" s="12"/>
      <c r="U4594" s="14"/>
      <c r="V4594" s="15"/>
      <c r="W4594" s="16" t="n">
        <f aca="false">A4594</f>
        <v>0</v>
      </c>
      <c r="X4594" s="17" t="e">
        <f aca="false">ifs(C4594="","",X4594="",NOW(),TRUE(),X4594)</f>
        <v>#VALUE!</v>
      </c>
      <c r="Y4594" s="17" t="e">
        <f aca="false">ifs(COUNTA(K4594:U4597)&lt;44,"",Y4594="",NOW(),TRUE(),Y4594)</f>
        <v>#VALUE!</v>
      </c>
    </row>
    <row r="4595" customFormat="false" ht="15.75" hidden="false" customHeight="false" outlineLevel="0" collapsed="false">
      <c r="A4595" s="9"/>
      <c r="B4595" s="10"/>
      <c r="C4595" s="10"/>
      <c r="D4595" s="10"/>
      <c r="E4595" s="10"/>
      <c r="F4595" s="10"/>
      <c r="G4595" s="10"/>
      <c r="H4595" s="10"/>
      <c r="I4595" s="18" t="n">
        <v>2</v>
      </c>
      <c r="J4595" s="18"/>
      <c r="K4595" s="19"/>
      <c r="L4595" s="19"/>
      <c r="M4595" s="18"/>
      <c r="N4595" s="18"/>
      <c r="O4595" s="18"/>
      <c r="P4595" s="19"/>
      <c r="Q4595" s="19"/>
      <c r="R4595" s="18"/>
      <c r="S4595" s="18"/>
      <c r="T4595" s="18"/>
      <c r="U4595" s="20"/>
      <c r="V4595" s="21"/>
      <c r="W4595" s="16"/>
      <c r="X4595" s="16"/>
      <c r="Y4595" s="16"/>
    </row>
    <row r="4596" customFormat="false" ht="15.75" hidden="false" customHeight="false" outlineLevel="0" collapsed="false">
      <c r="A4596" s="9"/>
      <c r="B4596" s="10"/>
      <c r="C4596" s="10"/>
      <c r="D4596" s="10"/>
      <c r="E4596" s="10"/>
      <c r="F4596" s="10"/>
      <c r="G4596" s="10"/>
      <c r="H4596" s="10"/>
      <c r="I4596" s="22" t="n">
        <v>3</v>
      </c>
      <c r="J4596" s="22"/>
      <c r="K4596" s="23"/>
      <c r="L4596" s="23"/>
      <c r="M4596" s="22"/>
      <c r="N4596" s="22"/>
      <c r="O4596" s="22"/>
      <c r="P4596" s="23"/>
      <c r="Q4596" s="23"/>
      <c r="R4596" s="22"/>
      <c r="S4596" s="22"/>
      <c r="T4596" s="22"/>
      <c r="U4596" s="24"/>
      <c r="V4596" s="15"/>
      <c r="W4596" s="16"/>
      <c r="X4596" s="16"/>
      <c r="Y4596" s="16"/>
    </row>
    <row r="4597" customFormat="false" ht="15.75" hidden="false" customHeight="false" outlineLevel="0" collapsed="false">
      <c r="A4597" s="9"/>
      <c r="B4597" s="10"/>
      <c r="C4597" s="10"/>
      <c r="D4597" s="10"/>
      <c r="E4597" s="10"/>
      <c r="F4597" s="10"/>
      <c r="G4597" s="10"/>
      <c r="H4597" s="10"/>
      <c r="I4597" s="25" t="n">
        <v>4</v>
      </c>
      <c r="J4597" s="25"/>
      <c r="K4597" s="26"/>
      <c r="L4597" s="26"/>
      <c r="M4597" s="25"/>
      <c r="N4597" s="25"/>
      <c r="O4597" s="25"/>
      <c r="P4597" s="26"/>
      <c r="Q4597" s="26"/>
      <c r="R4597" s="25"/>
      <c r="S4597" s="25"/>
      <c r="T4597" s="25"/>
      <c r="U4597" s="27"/>
      <c r="V4597" s="21"/>
      <c r="W4597" s="16"/>
      <c r="X4597" s="16"/>
      <c r="Y4597" s="16"/>
    </row>
    <row r="4598" customFormat="false" ht="15.75" hidden="false" customHeight="false" outlineLevel="0" collapsed="false">
      <c r="A4598" s="9"/>
      <c r="B4598" s="10"/>
      <c r="C4598" s="11"/>
      <c r="D4598" s="10"/>
      <c r="E4598" s="10"/>
      <c r="F4598" s="10"/>
      <c r="G4598" s="10"/>
      <c r="H4598" s="10"/>
      <c r="I4598" s="12" t="n">
        <v>1</v>
      </c>
      <c r="J4598" s="12"/>
      <c r="K4598" s="13"/>
      <c r="L4598" s="13"/>
      <c r="M4598" s="12"/>
      <c r="N4598" s="12"/>
      <c r="O4598" s="12"/>
      <c r="P4598" s="13"/>
      <c r="Q4598" s="13"/>
      <c r="R4598" s="12"/>
      <c r="S4598" s="12"/>
      <c r="T4598" s="12"/>
      <c r="U4598" s="14"/>
      <c r="V4598" s="15"/>
      <c r="W4598" s="16" t="n">
        <f aca="false">A4598</f>
        <v>0</v>
      </c>
      <c r="X4598" s="17" t="e">
        <f aca="false">ifs(C4598="","",X4598="",NOW(),TRUE(),X4598)</f>
        <v>#VALUE!</v>
      </c>
      <c r="Y4598" s="17" t="e">
        <f aca="false">ifs(COUNTA(K4598:U4601)&lt;44,"",Y4598="",NOW(),TRUE(),Y4598)</f>
        <v>#VALUE!</v>
      </c>
    </row>
    <row r="4599" customFormat="false" ht="15.75" hidden="false" customHeight="false" outlineLevel="0" collapsed="false">
      <c r="A4599" s="9"/>
      <c r="B4599" s="10"/>
      <c r="C4599" s="10"/>
      <c r="D4599" s="10"/>
      <c r="E4599" s="10"/>
      <c r="F4599" s="10"/>
      <c r="G4599" s="10"/>
      <c r="H4599" s="10"/>
      <c r="I4599" s="18" t="n">
        <v>2</v>
      </c>
      <c r="J4599" s="18"/>
      <c r="K4599" s="19"/>
      <c r="L4599" s="19"/>
      <c r="M4599" s="18"/>
      <c r="N4599" s="18"/>
      <c r="O4599" s="18"/>
      <c r="P4599" s="19"/>
      <c r="Q4599" s="19"/>
      <c r="R4599" s="18"/>
      <c r="S4599" s="18"/>
      <c r="T4599" s="18"/>
      <c r="U4599" s="20"/>
      <c r="V4599" s="21"/>
      <c r="W4599" s="16"/>
      <c r="X4599" s="16"/>
      <c r="Y4599" s="16"/>
    </row>
    <row r="4600" customFormat="false" ht="15.75" hidden="false" customHeight="false" outlineLevel="0" collapsed="false">
      <c r="A4600" s="9"/>
      <c r="B4600" s="10"/>
      <c r="C4600" s="10"/>
      <c r="D4600" s="10"/>
      <c r="E4600" s="10"/>
      <c r="F4600" s="10"/>
      <c r="G4600" s="10"/>
      <c r="H4600" s="10"/>
      <c r="I4600" s="22" t="n">
        <v>3</v>
      </c>
      <c r="J4600" s="22"/>
      <c r="K4600" s="23"/>
      <c r="L4600" s="23"/>
      <c r="M4600" s="22"/>
      <c r="N4600" s="22"/>
      <c r="O4600" s="22"/>
      <c r="P4600" s="23"/>
      <c r="Q4600" s="23"/>
      <c r="R4600" s="22"/>
      <c r="S4600" s="22"/>
      <c r="T4600" s="22"/>
      <c r="U4600" s="24"/>
      <c r="V4600" s="15"/>
      <c r="W4600" s="16"/>
      <c r="X4600" s="16"/>
      <c r="Y4600" s="16"/>
    </row>
    <row r="4601" customFormat="false" ht="15.75" hidden="false" customHeight="false" outlineLevel="0" collapsed="false">
      <c r="A4601" s="9"/>
      <c r="B4601" s="10"/>
      <c r="C4601" s="10"/>
      <c r="D4601" s="10"/>
      <c r="E4601" s="10"/>
      <c r="F4601" s="10"/>
      <c r="G4601" s="10"/>
      <c r="H4601" s="10"/>
      <c r="I4601" s="25" t="n">
        <v>4</v>
      </c>
      <c r="J4601" s="25"/>
      <c r="K4601" s="26"/>
      <c r="L4601" s="26"/>
      <c r="M4601" s="25"/>
      <c r="N4601" s="25"/>
      <c r="O4601" s="25"/>
      <c r="P4601" s="26"/>
      <c r="Q4601" s="26"/>
      <c r="R4601" s="25"/>
      <c r="S4601" s="25"/>
      <c r="T4601" s="25"/>
      <c r="U4601" s="27"/>
      <c r="V4601" s="21"/>
      <c r="W4601" s="16"/>
      <c r="X4601" s="16"/>
      <c r="Y4601" s="16"/>
    </row>
    <row r="4602" customFormat="false" ht="15.75" hidden="false" customHeight="false" outlineLevel="0" collapsed="false">
      <c r="A4602" s="9"/>
      <c r="B4602" s="10"/>
      <c r="C4602" s="11"/>
      <c r="D4602" s="10"/>
      <c r="E4602" s="10"/>
      <c r="F4602" s="10"/>
      <c r="G4602" s="10"/>
      <c r="H4602" s="10"/>
      <c r="I4602" s="12" t="n">
        <v>1</v>
      </c>
      <c r="J4602" s="12"/>
      <c r="K4602" s="13"/>
      <c r="L4602" s="13"/>
      <c r="M4602" s="12"/>
      <c r="N4602" s="12"/>
      <c r="O4602" s="12"/>
      <c r="P4602" s="13"/>
      <c r="Q4602" s="13"/>
      <c r="R4602" s="12"/>
      <c r="S4602" s="12"/>
      <c r="T4602" s="12"/>
      <c r="U4602" s="14"/>
      <c r="V4602" s="15"/>
      <c r="W4602" s="16" t="n">
        <f aca="false">A4602</f>
        <v>0</v>
      </c>
      <c r="X4602" s="17" t="e">
        <f aca="false">ifs(C4602="","",X4602="",NOW(),TRUE(),X4602)</f>
        <v>#VALUE!</v>
      </c>
      <c r="Y4602" s="17" t="e">
        <f aca="false">ifs(COUNTA(K4602:U4605)&lt;44,"",Y4602="",NOW(),TRUE(),Y4602)</f>
        <v>#VALUE!</v>
      </c>
    </row>
    <row r="4603" customFormat="false" ht="15.75" hidden="false" customHeight="false" outlineLevel="0" collapsed="false">
      <c r="A4603" s="9"/>
      <c r="B4603" s="10"/>
      <c r="C4603" s="10"/>
      <c r="D4603" s="10"/>
      <c r="E4603" s="10"/>
      <c r="F4603" s="10"/>
      <c r="G4603" s="10"/>
      <c r="H4603" s="10"/>
      <c r="I4603" s="18" t="n">
        <v>2</v>
      </c>
      <c r="J4603" s="18"/>
      <c r="K4603" s="19"/>
      <c r="L4603" s="19"/>
      <c r="M4603" s="18"/>
      <c r="N4603" s="18"/>
      <c r="O4603" s="18"/>
      <c r="P4603" s="19"/>
      <c r="Q4603" s="19"/>
      <c r="R4603" s="18"/>
      <c r="S4603" s="18"/>
      <c r="T4603" s="18"/>
      <c r="U4603" s="20"/>
      <c r="V4603" s="21"/>
      <c r="W4603" s="16"/>
      <c r="X4603" s="16"/>
      <c r="Y4603" s="16"/>
    </row>
    <row r="4604" customFormat="false" ht="15.75" hidden="false" customHeight="false" outlineLevel="0" collapsed="false">
      <c r="A4604" s="9"/>
      <c r="B4604" s="10"/>
      <c r="C4604" s="10"/>
      <c r="D4604" s="10"/>
      <c r="E4604" s="10"/>
      <c r="F4604" s="10"/>
      <c r="G4604" s="10"/>
      <c r="H4604" s="10"/>
      <c r="I4604" s="22" t="n">
        <v>3</v>
      </c>
      <c r="J4604" s="22"/>
      <c r="K4604" s="23"/>
      <c r="L4604" s="23"/>
      <c r="M4604" s="22"/>
      <c r="N4604" s="22"/>
      <c r="O4604" s="22"/>
      <c r="P4604" s="23"/>
      <c r="Q4604" s="23"/>
      <c r="R4604" s="22"/>
      <c r="S4604" s="22"/>
      <c r="T4604" s="22"/>
      <c r="U4604" s="24"/>
      <c r="V4604" s="15"/>
      <c r="W4604" s="16"/>
      <c r="X4604" s="16"/>
      <c r="Y4604" s="16"/>
    </row>
    <row r="4605" customFormat="false" ht="15.75" hidden="false" customHeight="false" outlineLevel="0" collapsed="false">
      <c r="A4605" s="9"/>
      <c r="B4605" s="10"/>
      <c r="C4605" s="10"/>
      <c r="D4605" s="10"/>
      <c r="E4605" s="10"/>
      <c r="F4605" s="10"/>
      <c r="G4605" s="10"/>
      <c r="H4605" s="10"/>
      <c r="I4605" s="25" t="n">
        <v>4</v>
      </c>
      <c r="J4605" s="25"/>
      <c r="K4605" s="26"/>
      <c r="L4605" s="26"/>
      <c r="M4605" s="25"/>
      <c r="N4605" s="25"/>
      <c r="O4605" s="25"/>
      <c r="P4605" s="26"/>
      <c r="Q4605" s="26"/>
      <c r="R4605" s="25"/>
      <c r="S4605" s="25"/>
      <c r="T4605" s="25"/>
      <c r="U4605" s="27"/>
      <c r="V4605" s="21"/>
      <c r="W4605" s="16"/>
      <c r="X4605" s="16"/>
      <c r="Y4605" s="16"/>
    </row>
    <row r="4606" customFormat="false" ht="15.75" hidden="false" customHeight="false" outlineLevel="0" collapsed="false">
      <c r="A4606" s="9"/>
      <c r="B4606" s="10"/>
      <c r="C4606" s="11"/>
      <c r="D4606" s="10"/>
      <c r="E4606" s="10"/>
      <c r="F4606" s="10"/>
      <c r="G4606" s="10"/>
      <c r="H4606" s="10"/>
      <c r="I4606" s="12" t="n">
        <v>1</v>
      </c>
      <c r="J4606" s="12"/>
      <c r="K4606" s="13"/>
      <c r="L4606" s="13"/>
      <c r="M4606" s="12"/>
      <c r="N4606" s="12"/>
      <c r="O4606" s="12"/>
      <c r="P4606" s="13"/>
      <c r="Q4606" s="13"/>
      <c r="R4606" s="12"/>
      <c r="S4606" s="12"/>
      <c r="T4606" s="12"/>
      <c r="U4606" s="14"/>
      <c r="V4606" s="15"/>
      <c r="W4606" s="16" t="n">
        <f aca="false">A4606</f>
        <v>0</v>
      </c>
      <c r="X4606" s="17" t="e">
        <f aca="false">ifs(C4606="","",X4606="",NOW(),TRUE(),X4606)</f>
        <v>#VALUE!</v>
      </c>
      <c r="Y4606" s="17" t="e">
        <f aca="false">ifs(COUNTA(K4606:U4609)&lt;44,"",Y4606="",NOW(),TRUE(),Y4606)</f>
        <v>#VALUE!</v>
      </c>
    </row>
    <row r="4607" customFormat="false" ht="15.75" hidden="false" customHeight="false" outlineLevel="0" collapsed="false">
      <c r="A4607" s="9"/>
      <c r="B4607" s="10"/>
      <c r="C4607" s="10"/>
      <c r="D4607" s="10"/>
      <c r="E4607" s="10"/>
      <c r="F4607" s="10"/>
      <c r="G4607" s="10"/>
      <c r="H4607" s="10"/>
      <c r="I4607" s="18" t="n">
        <v>2</v>
      </c>
      <c r="J4607" s="18"/>
      <c r="K4607" s="19"/>
      <c r="L4607" s="19"/>
      <c r="M4607" s="18"/>
      <c r="N4607" s="18"/>
      <c r="O4607" s="18"/>
      <c r="P4607" s="19"/>
      <c r="Q4607" s="19"/>
      <c r="R4607" s="18"/>
      <c r="S4607" s="18"/>
      <c r="T4607" s="18"/>
      <c r="U4607" s="20"/>
      <c r="V4607" s="21"/>
      <c r="W4607" s="16"/>
      <c r="X4607" s="16"/>
      <c r="Y4607" s="16"/>
    </row>
    <row r="4608" customFormat="false" ht="15.75" hidden="false" customHeight="false" outlineLevel="0" collapsed="false">
      <c r="A4608" s="9"/>
      <c r="B4608" s="10"/>
      <c r="C4608" s="10"/>
      <c r="D4608" s="10"/>
      <c r="E4608" s="10"/>
      <c r="F4608" s="10"/>
      <c r="G4608" s="10"/>
      <c r="H4608" s="10"/>
      <c r="I4608" s="22" t="n">
        <v>3</v>
      </c>
      <c r="J4608" s="22"/>
      <c r="K4608" s="23"/>
      <c r="L4608" s="23"/>
      <c r="M4608" s="22"/>
      <c r="N4608" s="22"/>
      <c r="O4608" s="22"/>
      <c r="P4608" s="23"/>
      <c r="Q4608" s="23"/>
      <c r="R4608" s="22"/>
      <c r="S4608" s="22"/>
      <c r="T4608" s="22"/>
      <c r="U4608" s="24"/>
      <c r="V4608" s="15"/>
      <c r="W4608" s="16"/>
      <c r="X4608" s="16"/>
      <c r="Y4608" s="16"/>
    </row>
    <row r="4609" customFormat="false" ht="15.75" hidden="false" customHeight="false" outlineLevel="0" collapsed="false">
      <c r="A4609" s="9"/>
      <c r="B4609" s="10"/>
      <c r="C4609" s="10"/>
      <c r="D4609" s="10"/>
      <c r="E4609" s="10"/>
      <c r="F4609" s="10"/>
      <c r="G4609" s="10"/>
      <c r="H4609" s="10"/>
      <c r="I4609" s="25" t="n">
        <v>4</v>
      </c>
      <c r="J4609" s="25"/>
      <c r="K4609" s="26"/>
      <c r="L4609" s="26"/>
      <c r="M4609" s="25"/>
      <c r="N4609" s="25"/>
      <c r="O4609" s="25"/>
      <c r="P4609" s="26"/>
      <c r="Q4609" s="26"/>
      <c r="R4609" s="25"/>
      <c r="S4609" s="25"/>
      <c r="T4609" s="25"/>
      <c r="U4609" s="27"/>
      <c r="V4609" s="21"/>
      <c r="W4609" s="16"/>
      <c r="X4609" s="16"/>
      <c r="Y4609" s="16"/>
    </row>
    <row r="4610" customFormat="false" ht="15.75" hidden="false" customHeight="false" outlineLevel="0" collapsed="false">
      <c r="A4610" s="9"/>
      <c r="B4610" s="10"/>
      <c r="C4610" s="11"/>
      <c r="D4610" s="10"/>
      <c r="E4610" s="10"/>
      <c r="F4610" s="10"/>
      <c r="G4610" s="10"/>
      <c r="H4610" s="10"/>
      <c r="I4610" s="12" t="n">
        <v>1</v>
      </c>
      <c r="J4610" s="12"/>
      <c r="K4610" s="13"/>
      <c r="L4610" s="13"/>
      <c r="M4610" s="12"/>
      <c r="N4610" s="12"/>
      <c r="O4610" s="12"/>
      <c r="P4610" s="13"/>
      <c r="Q4610" s="13"/>
      <c r="R4610" s="12"/>
      <c r="S4610" s="12"/>
      <c r="T4610" s="12"/>
      <c r="U4610" s="14"/>
      <c r="V4610" s="15"/>
      <c r="W4610" s="16" t="n">
        <f aca="false">A4610</f>
        <v>0</v>
      </c>
      <c r="X4610" s="17" t="e">
        <f aca="false">ifs(C4610="","",X4610="",NOW(),TRUE(),X4610)</f>
        <v>#VALUE!</v>
      </c>
      <c r="Y4610" s="17" t="e">
        <f aca="false">ifs(COUNTA(K4610:U4613)&lt;44,"",Y4610="",NOW(),TRUE(),Y4610)</f>
        <v>#VALUE!</v>
      </c>
    </row>
    <row r="4611" customFormat="false" ht="15.75" hidden="false" customHeight="false" outlineLevel="0" collapsed="false">
      <c r="A4611" s="9"/>
      <c r="B4611" s="10"/>
      <c r="C4611" s="10"/>
      <c r="D4611" s="10"/>
      <c r="E4611" s="10"/>
      <c r="F4611" s="10"/>
      <c r="G4611" s="10"/>
      <c r="H4611" s="10"/>
      <c r="I4611" s="18" t="n">
        <v>2</v>
      </c>
      <c r="J4611" s="18"/>
      <c r="K4611" s="19"/>
      <c r="L4611" s="19"/>
      <c r="M4611" s="18"/>
      <c r="N4611" s="18"/>
      <c r="O4611" s="18"/>
      <c r="P4611" s="19"/>
      <c r="Q4611" s="19"/>
      <c r="R4611" s="18"/>
      <c r="S4611" s="18"/>
      <c r="T4611" s="18"/>
      <c r="U4611" s="20"/>
      <c r="V4611" s="21"/>
      <c r="W4611" s="16"/>
      <c r="X4611" s="16"/>
      <c r="Y4611" s="16"/>
    </row>
    <row r="4612" customFormat="false" ht="15.75" hidden="false" customHeight="false" outlineLevel="0" collapsed="false">
      <c r="A4612" s="9"/>
      <c r="B4612" s="10"/>
      <c r="C4612" s="10"/>
      <c r="D4612" s="10"/>
      <c r="E4612" s="10"/>
      <c r="F4612" s="10"/>
      <c r="G4612" s="10"/>
      <c r="H4612" s="10"/>
      <c r="I4612" s="22" t="n">
        <v>3</v>
      </c>
      <c r="J4612" s="22"/>
      <c r="K4612" s="23"/>
      <c r="L4612" s="23"/>
      <c r="M4612" s="22"/>
      <c r="N4612" s="22"/>
      <c r="O4612" s="22"/>
      <c r="P4612" s="23"/>
      <c r="Q4612" s="23"/>
      <c r="R4612" s="22"/>
      <c r="S4612" s="22"/>
      <c r="T4612" s="22"/>
      <c r="U4612" s="24"/>
      <c r="V4612" s="15"/>
      <c r="W4612" s="16"/>
      <c r="X4612" s="16"/>
      <c r="Y4612" s="16"/>
    </row>
    <row r="4613" customFormat="false" ht="15.75" hidden="false" customHeight="false" outlineLevel="0" collapsed="false">
      <c r="A4613" s="9"/>
      <c r="B4613" s="10"/>
      <c r="C4613" s="10"/>
      <c r="D4613" s="10"/>
      <c r="E4613" s="10"/>
      <c r="F4613" s="10"/>
      <c r="G4613" s="10"/>
      <c r="H4613" s="10"/>
      <c r="I4613" s="25" t="n">
        <v>4</v>
      </c>
      <c r="J4613" s="25"/>
      <c r="K4613" s="26"/>
      <c r="L4613" s="26"/>
      <c r="M4613" s="25"/>
      <c r="N4613" s="25"/>
      <c r="O4613" s="25"/>
      <c r="P4613" s="26"/>
      <c r="Q4613" s="26"/>
      <c r="R4613" s="25"/>
      <c r="S4613" s="25"/>
      <c r="T4613" s="25"/>
      <c r="U4613" s="27"/>
      <c r="V4613" s="21"/>
      <c r="W4613" s="16"/>
      <c r="X4613" s="16"/>
      <c r="Y4613" s="16"/>
    </row>
    <row r="4614" customFormat="false" ht="15.75" hidden="false" customHeight="false" outlineLevel="0" collapsed="false">
      <c r="A4614" s="9"/>
      <c r="B4614" s="10"/>
      <c r="C4614" s="11"/>
      <c r="D4614" s="10"/>
      <c r="E4614" s="10"/>
      <c r="F4614" s="10"/>
      <c r="G4614" s="10"/>
      <c r="H4614" s="10"/>
      <c r="I4614" s="12" t="n">
        <v>1</v>
      </c>
      <c r="J4614" s="12"/>
      <c r="K4614" s="13"/>
      <c r="L4614" s="13"/>
      <c r="M4614" s="12"/>
      <c r="N4614" s="12"/>
      <c r="O4614" s="12"/>
      <c r="P4614" s="13"/>
      <c r="Q4614" s="13"/>
      <c r="R4614" s="12"/>
      <c r="S4614" s="12"/>
      <c r="T4614" s="12"/>
      <c r="U4614" s="14"/>
      <c r="V4614" s="15"/>
      <c r="W4614" s="16" t="n">
        <f aca="false">A4614</f>
        <v>0</v>
      </c>
      <c r="X4614" s="17" t="e">
        <f aca="false">ifs(C4614="","",X4614="",NOW(),TRUE(),X4614)</f>
        <v>#VALUE!</v>
      </c>
      <c r="Y4614" s="17" t="e">
        <f aca="false">ifs(COUNTA(K4614:U4617)&lt;44,"",Y4614="",NOW(),TRUE(),Y4614)</f>
        <v>#VALUE!</v>
      </c>
    </row>
    <row r="4615" customFormat="false" ht="15.75" hidden="false" customHeight="false" outlineLevel="0" collapsed="false">
      <c r="A4615" s="9"/>
      <c r="B4615" s="10"/>
      <c r="C4615" s="10"/>
      <c r="D4615" s="10"/>
      <c r="E4615" s="10"/>
      <c r="F4615" s="10"/>
      <c r="G4615" s="10"/>
      <c r="H4615" s="10"/>
      <c r="I4615" s="18" t="n">
        <v>2</v>
      </c>
      <c r="J4615" s="18"/>
      <c r="K4615" s="19"/>
      <c r="L4615" s="19"/>
      <c r="M4615" s="18"/>
      <c r="N4615" s="18"/>
      <c r="O4615" s="18"/>
      <c r="P4615" s="19"/>
      <c r="Q4615" s="19"/>
      <c r="R4615" s="18"/>
      <c r="S4615" s="18"/>
      <c r="T4615" s="18"/>
      <c r="U4615" s="20"/>
      <c r="V4615" s="21"/>
      <c r="W4615" s="16"/>
      <c r="X4615" s="16"/>
      <c r="Y4615" s="16"/>
    </row>
    <row r="4616" customFormat="false" ht="15.75" hidden="false" customHeight="false" outlineLevel="0" collapsed="false">
      <c r="A4616" s="9"/>
      <c r="B4616" s="10"/>
      <c r="C4616" s="10"/>
      <c r="D4616" s="10"/>
      <c r="E4616" s="10"/>
      <c r="F4616" s="10"/>
      <c r="G4616" s="10"/>
      <c r="H4616" s="10"/>
      <c r="I4616" s="22" t="n">
        <v>3</v>
      </c>
      <c r="J4616" s="22"/>
      <c r="K4616" s="23"/>
      <c r="L4616" s="23"/>
      <c r="M4616" s="22"/>
      <c r="N4616" s="22"/>
      <c r="O4616" s="22"/>
      <c r="P4616" s="23"/>
      <c r="Q4616" s="23"/>
      <c r="R4616" s="22"/>
      <c r="S4616" s="22"/>
      <c r="T4616" s="22"/>
      <c r="U4616" s="24"/>
      <c r="V4616" s="15"/>
      <c r="W4616" s="16"/>
      <c r="X4616" s="16"/>
      <c r="Y4616" s="16"/>
    </row>
    <row r="4617" customFormat="false" ht="15.75" hidden="false" customHeight="false" outlineLevel="0" collapsed="false">
      <c r="A4617" s="9"/>
      <c r="B4617" s="10"/>
      <c r="C4617" s="10"/>
      <c r="D4617" s="10"/>
      <c r="E4617" s="10"/>
      <c r="F4617" s="10"/>
      <c r="G4617" s="10"/>
      <c r="H4617" s="10"/>
      <c r="I4617" s="25" t="n">
        <v>4</v>
      </c>
      <c r="J4617" s="25"/>
      <c r="K4617" s="26"/>
      <c r="L4617" s="26"/>
      <c r="M4617" s="25"/>
      <c r="N4617" s="25"/>
      <c r="O4617" s="25"/>
      <c r="P4617" s="26"/>
      <c r="Q4617" s="26"/>
      <c r="R4617" s="25"/>
      <c r="S4617" s="25"/>
      <c r="T4617" s="25"/>
      <c r="U4617" s="27"/>
      <c r="V4617" s="21"/>
      <c r="W4617" s="16"/>
      <c r="X4617" s="16"/>
      <c r="Y4617" s="16"/>
    </row>
    <row r="4618" customFormat="false" ht="15.75" hidden="false" customHeight="false" outlineLevel="0" collapsed="false">
      <c r="A4618" s="9"/>
      <c r="B4618" s="10"/>
      <c r="C4618" s="11"/>
      <c r="D4618" s="10"/>
      <c r="E4618" s="10"/>
      <c r="F4618" s="10"/>
      <c r="G4618" s="10"/>
      <c r="H4618" s="10"/>
      <c r="I4618" s="12" t="n">
        <v>1</v>
      </c>
      <c r="J4618" s="12"/>
      <c r="K4618" s="13"/>
      <c r="L4618" s="13"/>
      <c r="M4618" s="12"/>
      <c r="N4618" s="12"/>
      <c r="O4618" s="12"/>
      <c r="P4618" s="13"/>
      <c r="Q4618" s="13"/>
      <c r="R4618" s="12"/>
      <c r="S4618" s="12"/>
      <c r="T4618" s="12"/>
      <c r="U4618" s="14"/>
      <c r="V4618" s="15"/>
      <c r="W4618" s="16" t="n">
        <f aca="false">A4618</f>
        <v>0</v>
      </c>
      <c r="X4618" s="17" t="e">
        <f aca="false">ifs(C4618="","",X4618="",NOW(),TRUE(),X4618)</f>
        <v>#VALUE!</v>
      </c>
      <c r="Y4618" s="17" t="e">
        <f aca="false">ifs(COUNTA(K4618:U4621)&lt;44,"",Y4618="",NOW(),TRUE(),Y4618)</f>
        <v>#VALUE!</v>
      </c>
    </row>
    <row r="4619" customFormat="false" ht="15.75" hidden="false" customHeight="false" outlineLevel="0" collapsed="false">
      <c r="A4619" s="9"/>
      <c r="B4619" s="10"/>
      <c r="C4619" s="10"/>
      <c r="D4619" s="10"/>
      <c r="E4619" s="10"/>
      <c r="F4619" s="10"/>
      <c r="G4619" s="10"/>
      <c r="H4619" s="10"/>
      <c r="I4619" s="18" t="n">
        <v>2</v>
      </c>
      <c r="J4619" s="18"/>
      <c r="K4619" s="19"/>
      <c r="L4619" s="19"/>
      <c r="M4619" s="18"/>
      <c r="N4619" s="18"/>
      <c r="O4619" s="18"/>
      <c r="P4619" s="19"/>
      <c r="Q4619" s="19"/>
      <c r="R4619" s="18"/>
      <c r="S4619" s="18"/>
      <c r="T4619" s="18"/>
      <c r="U4619" s="20"/>
      <c r="V4619" s="21"/>
      <c r="W4619" s="16"/>
      <c r="X4619" s="16"/>
      <c r="Y4619" s="16"/>
    </row>
    <row r="4620" customFormat="false" ht="15.75" hidden="false" customHeight="false" outlineLevel="0" collapsed="false">
      <c r="A4620" s="9"/>
      <c r="B4620" s="10"/>
      <c r="C4620" s="10"/>
      <c r="D4620" s="10"/>
      <c r="E4620" s="10"/>
      <c r="F4620" s="10"/>
      <c r="G4620" s="10"/>
      <c r="H4620" s="10"/>
      <c r="I4620" s="22" t="n">
        <v>3</v>
      </c>
      <c r="J4620" s="22"/>
      <c r="K4620" s="23"/>
      <c r="L4620" s="23"/>
      <c r="M4620" s="22"/>
      <c r="N4620" s="22"/>
      <c r="O4620" s="22"/>
      <c r="P4620" s="23"/>
      <c r="Q4620" s="23"/>
      <c r="R4620" s="22"/>
      <c r="S4620" s="22"/>
      <c r="T4620" s="22"/>
      <c r="U4620" s="24"/>
      <c r="V4620" s="15"/>
      <c r="W4620" s="16"/>
      <c r="X4620" s="16"/>
      <c r="Y4620" s="16"/>
    </row>
    <row r="4621" customFormat="false" ht="15.75" hidden="false" customHeight="false" outlineLevel="0" collapsed="false">
      <c r="A4621" s="9"/>
      <c r="B4621" s="10"/>
      <c r="C4621" s="10"/>
      <c r="D4621" s="10"/>
      <c r="E4621" s="10"/>
      <c r="F4621" s="10"/>
      <c r="G4621" s="10"/>
      <c r="H4621" s="10"/>
      <c r="I4621" s="25" t="n">
        <v>4</v>
      </c>
      <c r="J4621" s="25"/>
      <c r="K4621" s="26"/>
      <c r="L4621" s="26"/>
      <c r="M4621" s="25"/>
      <c r="N4621" s="25"/>
      <c r="O4621" s="25"/>
      <c r="P4621" s="26"/>
      <c r="Q4621" s="26"/>
      <c r="R4621" s="25"/>
      <c r="S4621" s="25"/>
      <c r="T4621" s="25"/>
      <c r="U4621" s="27"/>
      <c r="V4621" s="21"/>
      <c r="W4621" s="16"/>
      <c r="X4621" s="16"/>
      <c r="Y4621" s="16"/>
    </row>
    <row r="4622" customFormat="false" ht="15.75" hidden="false" customHeight="false" outlineLevel="0" collapsed="false">
      <c r="A4622" s="9"/>
      <c r="B4622" s="10"/>
      <c r="C4622" s="11"/>
      <c r="D4622" s="10"/>
      <c r="E4622" s="10"/>
      <c r="F4622" s="10"/>
      <c r="G4622" s="10"/>
      <c r="H4622" s="10"/>
      <c r="I4622" s="12" t="n">
        <v>1</v>
      </c>
      <c r="J4622" s="12"/>
      <c r="K4622" s="13"/>
      <c r="L4622" s="13"/>
      <c r="M4622" s="12"/>
      <c r="N4622" s="12"/>
      <c r="O4622" s="12"/>
      <c r="P4622" s="13"/>
      <c r="Q4622" s="13"/>
      <c r="R4622" s="12"/>
      <c r="S4622" s="12"/>
      <c r="T4622" s="12"/>
      <c r="U4622" s="14"/>
      <c r="V4622" s="15"/>
      <c r="W4622" s="16" t="n">
        <f aca="false">A4622</f>
        <v>0</v>
      </c>
      <c r="X4622" s="17" t="e">
        <f aca="false">ifs(C4622="","",X4622="",NOW(),TRUE(),X4622)</f>
        <v>#VALUE!</v>
      </c>
      <c r="Y4622" s="17" t="e">
        <f aca="false">ifs(COUNTA(K4622:U4625)&lt;44,"",Y4622="",NOW(),TRUE(),Y4622)</f>
        <v>#VALUE!</v>
      </c>
    </row>
    <row r="4623" customFormat="false" ht="15.75" hidden="false" customHeight="false" outlineLevel="0" collapsed="false">
      <c r="A4623" s="9"/>
      <c r="B4623" s="10"/>
      <c r="C4623" s="10"/>
      <c r="D4623" s="10"/>
      <c r="E4623" s="10"/>
      <c r="F4623" s="10"/>
      <c r="G4623" s="10"/>
      <c r="H4623" s="10"/>
      <c r="I4623" s="18" t="n">
        <v>2</v>
      </c>
      <c r="J4623" s="18"/>
      <c r="K4623" s="19"/>
      <c r="L4623" s="19"/>
      <c r="M4623" s="18"/>
      <c r="N4623" s="18"/>
      <c r="O4623" s="18"/>
      <c r="P4623" s="19"/>
      <c r="Q4623" s="19"/>
      <c r="R4623" s="18"/>
      <c r="S4623" s="18"/>
      <c r="T4623" s="18"/>
      <c r="U4623" s="20"/>
      <c r="V4623" s="21"/>
      <c r="W4623" s="16"/>
      <c r="X4623" s="16"/>
      <c r="Y4623" s="16"/>
    </row>
    <row r="4624" customFormat="false" ht="15.75" hidden="false" customHeight="false" outlineLevel="0" collapsed="false">
      <c r="A4624" s="9"/>
      <c r="B4624" s="10"/>
      <c r="C4624" s="10"/>
      <c r="D4624" s="10"/>
      <c r="E4624" s="10"/>
      <c r="F4624" s="10"/>
      <c r="G4624" s="10"/>
      <c r="H4624" s="10"/>
      <c r="I4624" s="22" t="n">
        <v>3</v>
      </c>
      <c r="J4624" s="22"/>
      <c r="K4624" s="23"/>
      <c r="L4624" s="23"/>
      <c r="M4624" s="22"/>
      <c r="N4624" s="22"/>
      <c r="O4624" s="22"/>
      <c r="P4624" s="23"/>
      <c r="Q4624" s="23"/>
      <c r="R4624" s="22"/>
      <c r="S4624" s="22"/>
      <c r="T4624" s="22"/>
      <c r="U4624" s="24"/>
      <c r="V4624" s="15"/>
      <c r="W4624" s="16"/>
      <c r="X4624" s="16"/>
      <c r="Y4624" s="16"/>
    </row>
    <row r="4625" customFormat="false" ht="15.75" hidden="false" customHeight="false" outlineLevel="0" collapsed="false">
      <c r="A4625" s="9"/>
      <c r="B4625" s="10"/>
      <c r="C4625" s="10"/>
      <c r="D4625" s="10"/>
      <c r="E4625" s="10"/>
      <c r="F4625" s="10"/>
      <c r="G4625" s="10"/>
      <c r="H4625" s="10"/>
      <c r="I4625" s="25" t="n">
        <v>4</v>
      </c>
      <c r="J4625" s="25"/>
      <c r="K4625" s="26"/>
      <c r="L4625" s="26"/>
      <c r="M4625" s="25"/>
      <c r="N4625" s="25"/>
      <c r="O4625" s="25"/>
      <c r="P4625" s="26"/>
      <c r="Q4625" s="26"/>
      <c r="R4625" s="25"/>
      <c r="S4625" s="25"/>
      <c r="T4625" s="25"/>
      <c r="U4625" s="27"/>
      <c r="V4625" s="21"/>
      <c r="W4625" s="16"/>
      <c r="X4625" s="16"/>
      <c r="Y4625" s="16"/>
    </row>
    <row r="4626" customFormat="false" ht="15.75" hidden="false" customHeight="false" outlineLevel="0" collapsed="false">
      <c r="A4626" s="9"/>
      <c r="B4626" s="10"/>
      <c r="C4626" s="11"/>
      <c r="D4626" s="10"/>
      <c r="E4626" s="10"/>
      <c r="F4626" s="10"/>
      <c r="G4626" s="10"/>
      <c r="H4626" s="10"/>
      <c r="I4626" s="12" t="n">
        <v>1</v>
      </c>
      <c r="J4626" s="12"/>
      <c r="K4626" s="13"/>
      <c r="L4626" s="13"/>
      <c r="M4626" s="12"/>
      <c r="N4626" s="12"/>
      <c r="O4626" s="12"/>
      <c r="P4626" s="13"/>
      <c r="Q4626" s="13"/>
      <c r="R4626" s="12"/>
      <c r="S4626" s="12"/>
      <c r="T4626" s="12"/>
      <c r="U4626" s="14"/>
      <c r="V4626" s="15"/>
      <c r="W4626" s="16" t="n">
        <f aca="false">A4626</f>
        <v>0</v>
      </c>
      <c r="X4626" s="17" t="e">
        <f aca="false">ifs(C4626="","",X4626="",NOW(),TRUE(),X4626)</f>
        <v>#VALUE!</v>
      </c>
      <c r="Y4626" s="17" t="e">
        <f aca="false">ifs(COUNTA(K4626:U4629)&lt;44,"",Y4626="",NOW(),TRUE(),Y4626)</f>
        <v>#VALUE!</v>
      </c>
    </row>
    <row r="4627" customFormat="false" ht="15.75" hidden="false" customHeight="false" outlineLevel="0" collapsed="false">
      <c r="A4627" s="9"/>
      <c r="B4627" s="10"/>
      <c r="C4627" s="10"/>
      <c r="D4627" s="10"/>
      <c r="E4627" s="10"/>
      <c r="F4627" s="10"/>
      <c r="G4627" s="10"/>
      <c r="H4627" s="10"/>
      <c r="I4627" s="18" t="n">
        <v>2</v>
      </c>
      <c r="J4627" s="18"/>
      <c r="K4627" s="19"/>
      <c r="L4627" s="19"/>
      <c r="M4627" s="18"/>
      <c r="N4627" s="18"/>
      <c r="O4627" s="18"/>
      <c r="P4627" s="19"/>
      <c r="Q4627" s="19"/>
      <c r="R4627" s="18"/>
      <c r="S4627" s="18"/>
      <c r="T4627" s="18"/>
      <c r="U4627" s="20"/>
      <c r="V4627" s="21"/>
      <c r="W4627" s="16"/>
      <c r="X4627" s="16"/>
      <c r="Y4627" s="16"/>
    </row>
    <row r="4628" customFormat="false" ht="15.75" hidden="false" customHeight="false" outlineLevel="0" collapsed="false">
      <c r="A4628" s="9"/>
      <c r="B4628" s="10"/>
      <c r="C4628" s="10"/>
      <c r="D4628" s="10"/>
      <c r="E4628" s="10"/>
      <c r="F4628" s="10"/>
      <c r="G4628" s="10"/>
      <c r="H4628" s="10"/>
      <c r="I4628" s="22" t="n">
        <v>3</v>
      </c>
      <c r="J4628" s="22"/>
      <c r="K4628" s="23"/>
      <c r="L4628" s="23"/>
      <c r="M4628" s="22"/>
      <c r="N4628" s="22"/>
      <c r="O4628" s="22"/>
      <c r="P4628" s="23"/>
      <c r="Q4628" s="23"/>
      <c r="R4628" s="22"/>
      <c r="S4628" s="22"/>
      <c r="T4628" s="22"/>
      <c r="U4628" s="24"/>
      <c r="V4628" s="15"/>
      <c r="W4628" s="16"/>
      <c r="X4628" s="16"/>
      <c r="Y4628" s="16"/>
    </row>
    <row r="4629" customFormat="false" ht="15.75" hidden="false" customHeight="false" outlineLevel="0" collapsed="false">
      <c r="A4629" s="9"/>
      <c r="B4629" s="10"/>
      <c r="C4629" s="10"/>
      <c r="D4629" s="10"/>
      <c r="E4629" s="10"/>
      <c r="F4629" s="10"/>
      <c r="G4629" s="10"/>
      <c r="H4629" s="10"/>
      <c r="I4629" s="25" t="n">
        <v>4</v>
      </c>
      <c r="J4629" s="25"/>
      <c r="K4629" s="26"/>
      <c r="L4629" s="26"/>
      <c r="M4629" s="25"/>
      <c r="N4629" s="25"/>
      <c r="O4629" s="25"/>
      <c r="P4629" s="26"/>
      <c r="Q4629" s="26"/>
      <c r="R4629" s="25"/>
      <c r="S4629" s="25"/>
      <c r="T4629" s="25"/>
      <c r="U4629" s="27"/>
      <c r="V4629" s="21"/>
      <c r="W4629" s="16"/>
      <c r="X4629" s="16"/>
      <c r="Y4629" s="16"/>
    </row>
    <row r="4630" customFormat="false" ht="15.75" hidden="false" customHeight="false" outlineLevel="0" collapsed="false">
      <c r="A4630" s="9"/>
      <c r="B4630" s="10"/>
      <c r="C4630" s="11"/>
      <c r="D4630" s="10"/>
      <c r="E4630" s="10"/>
      <c r="F4630" s="10"/>
      <c r="G4630" s="10"/>
      <c r="H4630" s="10"/>
      <c r="I4630" s="12" t="n">
        <v>1</v>
      </c>
      <c r="J4630" s="12"/>
      <c r="K4630" s="13"/>
      <c r="L4630" s="13"/>
      <c r="M4630" s="12"/>
      <c r="N4630" s="12"/>
      <c r="O4630" s="12"/>
      <c r="P4630" s="13"/>
      <c r="Q4630" s="13"/>
      <c r="R4630" s="12"/>
      <c r="S4630" s="12"/>
      <c r="T4630" s="12"/>
      <c r="U4630" s="14"/>
      <c r="V4630" s="15"/>
      <c r="W4630" s="16" t="n">
        <f aca="false">A4630</f>
        <v>0</v>
      </c>
      <c r="X4630" s="17" t="e">
        <f aca="false">ifs(C4630="","",X4630="",NOW(),TRUE(),X4630)</f>
        <v>#VALUE!</v>
      </c>
      <c r="Y4630" s="17" t="e">
        <f aca="false">ifs(COUNTA(K4630:U4633)&lt;44,"",Y4630="",NOW(),TRUE(),Y4630)</f>
        <v>#VALUE!</v>
      </c>
    </row>
    <row r="4631" customFormat="false" ht="15.75" hidden="false" customHeight="false" outlineLevel="0" collapsed="false">
      <c r="A4631" s="9"/>
      <c r="B4631" s="10"/>
      <c r="C4631" s="10"/>
      <c r="D4631" s="10"/>
      <c r="E4631" s="10"/>
      <c r="F4631" s="10"/>
      <c r="G4631" s="10"/>
      <c r="H4631" s="10"/>
      <c r="I4631" s="18" t="n">
        <v>2</v>
      </c>
      <c r="J4631" s="18"/>
      <c r="K4631" s="19"/>
      <c r="L4631" s="19"/>
      <c r="M4631" s="18"/>
      <c r="N4631" s="18"/>
      <c r="O4631" s="18"/>
      <c r="P4631" s="19"/>
      <c r="Q4631" s="19"/>
      <c r="R4631" s="18"/>
      <c r="S4631" s="18"/>
      <c r="T4631" s="18"/>
      <c r="U4631" s="20"/>
      <c r="V4631" s="21"/>
      <c r="W4631" s="16"/>
      <c r="X4631" s="16"/>
      <c r="Y4631" s="16"/>
    </row>
    <row r="4632" customFormat="false" ht="15.75" hidden="false" customHeight="false" outlineLevel="0" collapsed="false">
      <c r="A4632" s="9"/>
      <c r="B4632" s="10"/>
      <c r="C4632" s="10"/>
      <c r="D4632" s="10"/>
      <c r="E4632" s="10"/>
      <c r="F4632" s="10"/>
      <c r="G4632" s="10"/>
      <c r="H4632" s="10"/>
      <c r="I4632" s="22" t="n">
        <v>3</v>
      </c>
      <c r="J4632" s="22"/>
      <c r="K4632" s="23"/>
      <c r="L4632" s="23"/>
      <c r="M4632" s="22"/>
      <c r="N4632" s="22"/>
      <c r="O4632" s="22"/>
      <c r="P4632" s="23"/>
      <c r="Q4632" s="23"/>
      <c r="R4632" s="22"/>
      <c r="S4632" s="22"/>
      <c r="T4632" s="22"/>
      <c r="U4632" s="24"/>
      <c r="V4632" s="15"/>
      <c r="W4632" s="16"/>
      <c r="X4632" s="16"/>
      <c r="Y4632" s="16"/>
    </row>
    <row r="4633" customFormat="false" ht="15.75" hidden="false" customHeight="false" outlineLevel="0" collapsed="false">
      <c r="A4633" s="9"/>
      <c r="B4633" s="10"/>
      <c r="C4633" s="10"/>
      <c r="D4633" s="10"/>
      <c r="E4633" s="10"/>
      <c r="F4633" s="10"/>
      <c r="G4633" s="10"/>
      <c r="H4633" s="10"/>
      <c r="I4633" s="25" t="n">
        <v>4</v>
      </c>
      <c r="J4633" s="25"/>
      <c r="K4633" s="26"/>
      <c r="L4633" s="26"/>
      <c r="M4633" s="25"/>
      <c r="N4633" s="25"/>
      <c r="O4633" s="25"/>
      <c r="P4633" s="26"/>
      <c r="Q4633" s="26"/>
      <c r="R4633" s="25"/>
      <c r="S4633" s="25"/>
      <c r="T4633" s="25"/>
      <c r="U4633" s="27"/>
      <c r="V4633" s="21"/>
      <c r="W4633" s="16"/>
      <c r="X4633" s="16"/>
      <c r="Y4633" s="16"/>
    </row>
    <row r="4634" customFormat="false" ht="15.75" hidden="false" customHeight="false" outlineLevel="0" collapsed="false">
      <c r="A4634" s="9"/>
      <c r="B4634" s="10"/>
      <c r="C4634" s="11"/>
      <c r="D4634" s="10"/>
      <c r="E4634" s="10"/>
      <c r="F4634" s="10"/>
      <c r="G4634" s="10"/>
      <c r="H4634" s="10"/>
      <c r="I4634" s="12" t="n">
        <v>1</v>
      </c>
      <c r="J4634" s="12"/>
      <c r="K4634" s="13"/>
      <c r="L4634" s="13"/>
      <c r="M4634" s="12"/>
      <c r="N4634" s="12"/>
      <c r="O4634" s="12"/>
      <c r="P4634" s="13"/>
      <c r="Q4634" s="13"/>
      <c r="R4634" s="12"/>
      <c r="S4634" s="12"/>
      <c r="T4634" s="12"/>
      <c r="U4634" s="14"/>
      <c r="V4634" s="15"/>
      <c r="W4634" s="16" t="n">
        <f aca="false">A4634</f>
        <v>0</v>
      </c>
      <c r="X4634" s="17" t="e">
        <f aca="false">ifs(C4634="","",X4634="",NOW(),TRUE(),X4634)</f>
        <v>#VALUE!</v>
      </c>
      <c r="Y4634" s="17" t="e">
        <f aca="false">ifs(COUNTA(K4634:U4637)&lt;44,"",Y4634="",NOW(),TRUE(),Y4634)</f>
        <v>#VALUE!</v>
      </c>
    </row>
    <row r="4635" customFormat="false" ht="15.75" hidden="false" customHeight="false" outlineLevel="0" collapsed="false">
      <c r="A4635" s="9"/>
      <c r="B4635" s="10"/>
      <c r="C4635" s="10"/>
      <c r="D4635" s="10"/>
      <c r="E4635" s="10"/>
      <c r="F4635" s="10"/>
      <c r="G4635" s="10"/>
      <c r="H4635" s="10"/>
      <c r="I4635" s="18" t="n">
        <v>2</v>
      </c>
      <c r="J4635" s="18"/>
      <c r="K4635" s="19"/>
      <c r="L4635" s="19"/>
      <c r="M4635" s="18"/>
      <c r="N4635" s="18"/>
      <c r="O4635" s="18"/>
      <c r="P4635" s="19"/>
      <c r="Q4635" s="19"/>
      <c r="R4635" s="18"/>
      <c r="S4635" s="18"/>
      <c r="T4635" s="18"/>
      <c r="U4635" s="20"/>
      <c r="V4635" s="21"/>
      <c r="W4635" s="16"/>
      <c r="X4635" s="16"/>
      <c r="Y4635" s="16"/>
    </row>
    <row r="4636" customFormat="false" ht="15.75" hidden="false" customHeight="false" outlineLevel="0" collapsed="false">
      <c r="A4636" s="9"/>
      <c r="B4636" s="10"/>
      <c r="C4636" s="10"/>
      <c r="D4636" s="10"/>
      <c r="E4636" s="10"/>
      <c r="F4636" s="10"/>
      <c r="G4636" s="10"/>
      <c r="H4636" s="10"/>
      <c r="I4636" s="22" t="n">
        <v>3</v>
      </c>
      <c r="J4636" s="22"/>
      <c r="K4636" s="23"/>
      <c r="L4636" s="23"/>
      <c r="M4636" s="22"/>
      <c r="N4636" s="22"/>
      <c r="O4636" s="22"/>
      <c r="P4636" s="23"/>
      <c r="Q4636" s="23"/>
      <c r="R4636" s="22"/>
      <c r="S4636" s="22"/>
      <c r="T4636" s="22"/>
      <c r="U4636" s="24"/>
      <c r="V4636" s="15"/>
      <c r="W4636" s="16"/>
      <c r="X4636" s="16"/>
      <c r="Y4636" s="16"/>
    </row>
    <row r="4637" customFormat="false" ht="15.75" hidden="false" customHeight="false" outlineLevel="0" collapsed="false">
      <c r="A4637" s="9"/>
      <c r="B4637" s="10"/>
      <c r="C4637" s="10"/>
      <c r="D4637" s="10"/>
      <c r="E4637" s="10"/>
      <c r="F4637" s="10"/>
      <c r="G4637" s="10"/>
      <c r="H4637" s="10"/>
      <c r="I4637" s="25" t="n">
        <v>4</v>
      </c>
      <c r="J4637" s="25"/>
      <c r="K4637" s="26"/>
      <c r="L4637" s="26"/>
      <c r="M4637" s="25"/>
      <c r="N4637" s="25"/>
      <c r="O4637" s="25"/>
      <c r="P4637" s="26"/>
      <c r="Q4637" s="26"/>
      <c r="R4637" s="25"/>
      <c r="S4637" s="25"/>
      <c r="T4637" s="25"/>
      <c r="U4637" s="27"/>
      <c r="V4637" s="21"/>
      <c r="W4637" s="16"/>
      <c r="X4637" s="16"/>
      <c r="Y4637" s="16"/>
    </row>
    <row r="4638" customFormat="false" ht="15.75" hidden="false" customHeight="false" outlineLevel="0" collapsed="false">
      <c r="A4638" s="9"/>
      <c r="B4638" s="10"/>
      <c r="C4638" s="11"/>
      <c r="D4638" s="10"/>
      <c r="E4638" s="10"/>
      <c r="F4638" s="10"/>
      <c r="G4638" s="10"/>
      <c r="H4638" s="10"/>
      <c r="I4638" s="12" t="n">
        <v>1</v>
      </c>
      <c r="J4638" s="12"/>
      <c r="K4638" s="13"/>
      <c r="L4638" s="13"/>
      <c r="M4638" s="12"/>
      <c r="N4638" s="12"/>
      <c r="O4638" s="12"/>
      <c r="P4638" s="13"/>
      <c r="Q4638" s="13"/>
      <c r="R4638" s="12"/>
      <c r="S4638" s="12"/>
      <c r="T4638" s="12"/>
      <c r="U4638" s="14"/>
      <c r="V4638" s="15"/>
      <c r="W4638" s="16" t="n">
        <f aca="false">A4638</f>
        <v>0</v>
      </c>
      <c r="X4638" s="17" t="e">
        <f aca="false">ifs(C4638="","",X4638="",NOW(),TRUE(),X4638)</f>
        <v>#VALUE!</v>
      </c>
      <c r="Y4638" s="17" t="e">
        <f aca="false">ifs(COUNTA(K4638:U4641)&lt;44,"",Y4638="",NOW(),TRUE(),Y4638)</f>
        <v>#VALUE!</v>
      </c>
    </row>
    <row r="4639" customFormat="false" ht="15.75" hidden="false" customHeight="false" outlineLevel="0" collapsed="false">
      <c r="A4639" s="9"/>
      <c r="B4639" s="10"/>
      <c r="C4639" s="10"/>
      <c r="D4639" s="10"/>
      <c r="E4639" s="10"/>
      <c r="F4639" s="10"/>
      <c r="G4639" s="10"/>
      <c r="H4639" s="10"/>
      <c r="I4639" s="18" t="n">
        <v>2</v>
      </c>
      <c r="J4639" s="18"/>
      <c r="K4639" s="19"/>
      <c r="L4639" s="19"/>
      <c r="M4639" s="18"/>
      <c r="N4639" s="18"/>
      <c r="O4639" s="18"/>
      <c r="P4639" s="19"/>
      <c r="Q4639" s="19"/>
      <c r="R4639" s="18"/>
      <c r="S4639" s="18"/>
      <c r="T4639" s="18"/>
      <c r="U4639" s="20"/>
      <c r="V4639" s="21"/>
      <c r="W4639" s="16"/>
      <c r="X4639" s="16"/>
      <c r="Y4639" s="16"/>
    </row>
    <row r="4640" customFormat="false" ht="15.75" hidden="false" customHeight="false" outlineLevel="0" collapsed="false">
      <c r="A4640" s="9"/>
      <c r="B4640" s="10"/>
      <c r="C4640" s="10"/>
      <c r="D4640" s="10"/>
      <c r="E4640" s="10"/>
      <c r="F4640" s="10"/>
      <c r="G4640" s="10"/>
      <c r="H4640" s="10"/>
      <c r="I4640" s="22" t="n">
        <v>3</v>
      </c>
      <c r="J4640" s="22"/>
      <c r="K4640" s="23"/>
      <c r="L4640" s="23"/>
      <c r="M4640" s="22"/>
      <c r="N4640" s="22"/>
      <c r="O4640" s="22"/>
      <c r="P4640" s="23"/>
      <c r="Q4640" s="23"/>
      <c r="R4640" s="22"/>
      <c r="S4640" s="22"/>
      <c r="T4640" s="22"/>
      <c r="U4640" s="24"/>
      <c r="V4640" s="15"/>
      <c r="W4640" s="16"/>
      <c r="X4640" s="16"/>
      <c r="Y4640" s="16"/>
    </row>
    <row r="4641" customFormat="false" ht="15.75" hidden="false" customHeight="false" outlineLevel="0" collapsed="false">
      <c r="A4641" s="9"/>
      <c r="B4641" s="10"/>
      <c r="C4641" s="10"/>
      <c r="D4641" s="10"/>
      <c r="E4641" s="10"/>
      <c r="F4641" s="10"/>
      <c r="G4641" s="10"/>
      <c r="H4641" s="10"/>
      <c r="I4641" s="25" t="n">
        <v>4</v>
      </c>
      <c r="J4641" s="25"/>
      <c r="K4641" s="26"/>
      <c r="L4641" s="26"/>
      <c r="M4641" s="25"/>
      <c r="N4641" s="25"/>
      <c r="O4641" s="25"/>
      <c r="P4641" s="26"/>
      <c r="Q4641" s="26"/>
      <c r="R4641" s="25"/>
      <c r="S4641" s="25"/>
      <c r="T4641" s="25"/>
      <c r="U4641" s="27"/>
      <c r="V4641" s="21"/>
      <c r="W4641" s="16"/>
      <c r="X4641" s="16"/>
      <c r="Y4641" s="16"/>
    </row>
    <row r="4642" customFormat="false" ht="15.75" hidden="false" customHeight="false" outlineLevel="0" collapsed="false">
      <c r="A4642" s="9"/>
      <c r="B4642" s="10"/>
      <c r="C4642" s="11"/>
      <c r="D4642" s="10"/>
      <c r="E4642" s="10"/>
      <c r="F4642" s="10"/>
      <c r="G4642" s="10"/>
      <c r="H4642" s="10"/>
      <c r="I4642" s="12" t="n">
        <v>1</v>
      </c>
      <c r="J4642" s="12"/>
      <c r="K4642" s="13"/>
      <c r="L4642" s="13"/>
      <c r="M4642" s="12"/>
      <c r="N4642" s="12"/>
      <c r="O4642" s="12"/>
      <c r="P4642" s="13"/>
      <c r="Q4642" s="13"/>
      <c r="R4642" s="12"/>
      <c r="S4642" s="12"/>
      <c r="T4642" s="12"/>
      <c r="U4642" s="14"/>
      <c r="V4642" s="15"/>
      <c r="W4642" s="16" t="n">
        <f aca="false">A4642</f>
        <v>0</v>
      </c>
      <c r="X4642" s="17" t="e">
        <f aca="false">ifs(C4642="","",X4642="",NOW(),TRUE(),X4642)</f>
        <v>#VALUE!</v>
      </c>
      <c r="Y4642" s="17" t="e">
        <f aca="false">ifs(COUNTA(K4642:U4645)&lt;44,"",Y4642="",NOW(),TRUE(),Y4642)</f>
        <v>#VALUE!</v>
      </c>
    </row>
    <row r="4643" customFormat="false" ht="15.75" hidden="false" customHeight="false" outlineLevel="0" collapsed="false">
      <c r="A4643" s="9"/>
      <c r="B4643" s="10"/>
      <c r="C4643" s="10"/>
      <c r="D4643" s="10"/>
      <c r="E4643" s="10"/>
      <c r="F4643" s="10"/>
      <c r="G4643" s="10"/>
      <c r="H4643" s="10"/>
      <c r="I4643" s="18" t="n">
        <v>2</v>
      </c>
      <c r="J4643" s="18"/>
      <c r="K4643" s="19"/>
      <c r="L4643" s="19"/>
      <c r="M4643" s="18"/>
      <c r="N4643" s="18"/>
      <c r="O4643" s="18"/>
      <c r="P4643" s="19"/>
      <c r="Q4643" s="19"/>
      <c r="R4643" s="18"/>
      <c r="S4643" s="18"/>
      <c r="T4643" s="18"/>
      <c r="U4643" s="20"/>
      <c r="V4643" s="21"/>
      <c r="W4643" s="16"/>
      <c r="X4643" s="16"/>
      <c r="Y4643" s="16"/>
    </row>
    <row r="4644" customFormat="false" ht="15.75" hidden="false" customHeight="false" outlineLevel="0" collapsed="false">
      <c r="A4644" s="9"/>
      <c r="B4644" s="10"/>
      <c r="C4644" s="10"/>
      <c r="D4644" s="10"/>
      <c r="E4644" s="10"/>
      <c r="F4644" s="10"/>
      <c r="G4644" s="10"/>
      <c r="H4644" s="10"/>
      <c r="I4644" s="22" t="n">
        <v>3</v>
      </c>
      <c r="J4644" s="22"/>
      <c r="K4644" s="23"/>
      <c r="L4644" s="23"/>
      <c r="M4644" s="22"/>
      <c r="N4644" s="22"/>
      <c r="O4644" s="22"/>
      <c r="P4644" s="23"/>
      <c r="Q4644" s="23"/>
      <c r="R4644" s="22"/>
      <c r="S4644" s="22"/>
      <c r="T4644" s="22"/>
      <c r="U4644" s="24"/>
      <c r="V4644" s="15"/>
      <c r="W4644" s="16"/>
      <c r="X4644" s="16"/>
      <c r="Y4644" s="16"/>
    </row>
    <row r="4645" customFormat="false" ht="15.75" hidden="false" customHeight="false" outlineLevel="0" collapsed="false">
      <c r="A4645" s="9"/>
      <c r="B4645" s="10"/>
      <c r="C4645" s="10"/>
      <c r="D4645" s="10"/>
      <c r="E4645" s="10"/>
      <c r="F4645" s="10"/>
      <c r="G4645" s="10"/>
      <c r="H4645" s="10"/>
      <c r="I4645" s="25" t="n">
        <v>4</v>
      </c>
      <c r="J4645" s="25"/>
      <c r="K4645" s="26"/>
      <c r="L4645" s="26"/>
      <c r="M4645" s="25"/>
      <c r="N4645" s="25"/>
      <c r="O4645" s="25"/>
      <c r="P4645" s="26"/>
      <c r="Q4645" s="26"/>
      <c r="R4645" s="25"/>
      <c r="S4645" s="25"/>
      <c r="T4645" s="25"/>
      <c r="U4645" s="27"/>
      <c r="V4645" s="21"/>
      <c r="W4645" s="16"/>
      <c r="X4645" s="16"/>
      <c r="Y4645" s="16"/>
    </row>
    <row r="4646" customFormat="false" ht="15.75" hidden="false" customHeight="false" outlineLevel="0" collapsed="false">
      <c r="A4646" s="9"/>
      <c r="B4646" s="10"/>
      <c r="C4646" s="11"/>
      <c r="D4646" s="10"/>
      <c r="E4646" s="10"/>
      <c r="F4646" s="10"/>
      <c r="G4646" s="10"/>
      <c r="H4646" s="10"/>
      <c r="I4646" s="12" t="n">
        <v>1</v>
      </c>
      <c r="J4646" s="12"/>
      <c r="K4646" s="13"/>
      <c r="L4646" s="13"/>
      <c r="M4646" s="12"/>
      <c r="N4646" s="12"/>
      <c r="O4646" s="12"/>
      <c r="P4646" s="13"/>
      <c r="Q4646" s="13"/>
      <c r="R4646" s="12"/>
      <c r="S4646" s="12"/>
      <c r="T4646" s="12"/>
      <c r="U4646" s="14"/>
      <c r="V4646" s="15"/>
      <c r="W4646" s="16" t="n">
        <f aca="false">A4646</f>
        <v>0</v>
      </c>
      <c r="X4646" s="17" t="e">
        <f aca="false">ifs(C4646="","",X4646="",NOW(),TRUE(),X4646)</f>
        <v>#VALUE!</v>
      </c>
      <c r="Y4646" s="17" t="e">
        <f aca="false">ifs(COUNTA(K4646:U4649)&lt;44,"",Y4646="",NOW(),TRUE(),Y4646)</f>
        <v>#VALUE!</v>
      </c>
    </row>
    <row r="4647" customFormat="false" ht="15.75" hidden="false" customHeight="false" outlineLevel="0" collapsed="false">
      <c r="A4647" s="9"/>
      <c r="B4647" s="10"/>
      <c r="C4647" s="10"/>
      <c r="D4647" s="10"/>
      <c r="E4647" s="10"/>
      <c r="F4647" s="10"/>
      <c r="G4647" s="10"/>
      <c r="H4647" s="10"/>
      <c r="I4647" s="18" t="n">
        <v>2</v>
      </c>
      <c r="J4647" s="18"/>
      <c r="K4647" s="19"/>
      <c r="L4647" s="19"/>
      <c r="M4647" s="18"/>
      <c r="N4647" s="18"/>
      <c r="O4647" s="18"/>
      <c r="P4647" s="19"/>
      <c r="Q4647" s="19"/>
      <c r="R4647" s="18"/>
      <c r="S4647" s="18"/>
      <c r="T4647" s="18"/>
      <c r="U4647" s="20"/>
      <c r="V4647" s="21"/>
      <c r="W4647" s="16"/>
      <c r="X4647" s="16"/>
      <c r="Y4647" s="16"/>
    </row>
    <row r="4648" customFormat="false" ht="15.75" hidden="false" customHeight="false" outlineLevel="0" collapsed="false">
      <c r="A4648" s="9"/>
      <c r="B4648" s="10"/>
      <c r="C4648" s="10"/>
      <c r="D4648" s="10"/>
      <c r="E4648" s="10"/>
      <c r="F4648" s="10"/>
      <c r="G4648" s="10"/>
      <c r="H4648" s="10"/>
      <c r="I4648" s="22" t="n">
        <v>3</v>
      </c>
      <c r="J4648" s="22"/>
      <c r="K4648" s="23"/>
      <c r="L4648" s="23"/>
      <c r="M4648" s="22"/>
      <c r="N4648" s="22"/>
      <c r="O4648" s="22"/>
      <c r="P4648" s="23"/>
      <c r="Q4648" s="23"/>
      <c r="R4648" s="22"/>
      <c r="S4648" s="22"/>
      <c r="T4648" s="22"/>
      <c r="U4648" s="24"/>
      <c r="V4648" s="15"/>
      <c r="W4648" s="16"/>
      <c r="X4648" s="16"/>
      <c r="Y4648" s="16"/>
    </row>
    <row r="4649" customFormat="false" ht="15.75" hidden="false" customHeight="false" outlineLevel="0" collapsed="false">
      <c r="A4649" s="9"/>
      <c r="B4649" s="10"/>
      <c r="C4649" s="10"/>
      <c r="D4649" s="10"/>
      <c r="E4649" s="10"/>
      <c r="F4649" s="10"/>
      <c r="G4649" s="10"/>
      <c r="H4649" s="10"/>
      <c r="I4649" s="25" t="n">
        <v>4</v>
      </c>
      <c r="J4649" s="25"/>
      <c r="K4649" s="26"/>
      <c r="L4649" s="26"/>
      <c r="M4649" s="25"/>
      <c r="N4649" s="25"/>
      <c r="O4649" s="25"/>
      <c r="P4649" s="26"/>
      <c r="Q4649" s="26"/>
      <c r="R4649" s="25"/>
      <c r="S4649" s="25"/>
      <c r="T4649" s="25"/>
      <c r="U4649" s="27"/>
      <c r="V4649" s="21"/>
      <c r="W4649" s="16"/>
      <c r="X4649" s="16"/>
      <c r="Y4649" s="16"/>
    </row>
    <row r="4650" customFormat="false" ht="15.75" hidden="false" customHeight="false" outlineLevel="0" collapsed="false">
      <c r="A4650" s="9"/>
      <c r="B4650" s="10"/>
      <c r="C4650" s="11"/>
      <c r="D4650" s="10"/>
      <c r="E4650" s="10"/>
      <c r="F4650" s="10"/>
      <c r="G4650" s="10"/>
      <c r="H4650" s="10"/>
      <c r="I4650" s="12" t="n">
        <v>1</v>
      </c>
      <c r="J4650" s="12"/>
      <c r="K4650" s="13"/>
      <c r="L4650" s="13"/>
      <c r="M4650" s="12"/>
      <c r="N4650" s="12"/>
      <c r="O4650" s="12"/>
      <c r="P4650" s="13"/>
      <c r="Q4650" s="13"/>
      <c r="R4650" s="12"/>
      <c r="S4650" s="12"/>
      <c r="T4650" s="12"/>
      <c r="U4650" s="14"/>
      <c r="V4650" s="15"/>
      <c r="W4650" s="16" t="n">
        <f aca="false">A4650</f>
        <v>0</v>
      </c>
      <c r="X4650" s="17" t="e">
        <f aca="false">ifs(C4650="","",X4650="",NOW(),TRUE(),X4650)</f>
        <v>#VALUE!</v>
      </c>
      <c r="Y4650" s="17" t="e">
        <f aca="false">ifs(COUNTA(K4650:U4653)&lt;44,"",Y4650="",NOW(),TRUE(),Y4650)</f>
        <v>#VALUE!</v>
      </c>
    </row>
    <row r="4651" customFormat="false" ht="15.75" hidden="false" customHeight="false" outlineLevel="0" collapsed="false">
      <c r="A4651" s="9"/>
      <c r="B4651" s="10"/>
      <c r="C4651" s="10"/>
      <c r="D4651" s="10"/>
      <c r="E4651" s="10"/>
      <c r="F4651" s="10"/>
      <c r="G4651" s="10"/>
      <c r="H4651" s="10"/>
      <c r="I4651" s="18" t="n">
        <v>2</v>
      </c>
      <c r="J4651" s="18"/>
      <c r="K4651" s="19"/>
      <c r="L4651" s="19"/>
      <c r="M4651" s="18"/>
      <c r="N4651" s="18"/>
      <c r="O4651" s="18"/>
      <c r="P4651" s="19"/>
      <c r="Q4651" s="19"/>
      <c r="R4651" s="18"/>
      <c r="S4651" s="18"/>
      <c r="T4651" s="18"/>
      <c r="U4651" s="20"/>
      <c r="V4651" s="21"/>
      <c r="W4651" s="16"/>
      <c r="X4651" s="16"/>
      <c r="Y4651" s="16"/>
    </row>
    <row r="4652" customFormat="false" ht="15.75" hidden="false" customHeight="false" outlineLevel="0" collapsed="false">
      <c r="A4652" s="9"/>
      <c r="B4652" s="10"/>
      <c r="C4652" s="10"/>
      <c r="D4652" s="10"/>
      <c r="E4652" s="10"/>
      <c r="F4652" s="10"/>
      <c r="G4652" s="10"/>
      <c r="H4652" s="10"/>
      <c r="I4652" s="22" t="n">
        <v>3</v>
      </c>
      <c r="J4652" s="22"/>
      <c r="K4652" s="23"/>
      <c r="L4652" s="23"/>
      <c r="M4652" s="22"/>
      <c r="N4652" s="22"/>
      <c r="O4652" s="22"/>
      <c r="P4652" s="23"/>
      <c r="Q4652" s="23"/>
      <c r="R4652" s="22"/>
      <c r="S4652" s="22"/>
      <c r="T4652" s="22"/>
      <c r="U4652" s="24"/>
      <c r="V4652" s="15"/>
      <c r="W4652" s="16"/>
      <c r="X4652" s="16"/>
      <c r="Y4652" s="16"/>
    </row>
    <row r="4653" customFormat="false" ht="15.75" hidden="false" customHeight="false" outlineLevel="0" collapsed="false">
      <c r="A4653" s="9"/>
      <c r="B4653" s="10"/>
      <c r="C4653" s="10"/>
      <c r="D4653" s="10"/>
      <c r="E4653" s="10"/>
      <c r="F4653" s="10"/>
      <c r="G4653" s="10"/>
      <c r="H4653" s="10"/>
      <c r="I4653" s="25" t="n">
        <v>4</v>
      </c>
      <c r="J4653" s="25"/>
      <c r="K4653" s="26"/>
      <c r="L4653" s="26"/>
      <c r="M4653" s="25"/>
      <c r="N4653" s="25"/>
      <c r="O4653" s="25"/>
      <c r="P4653" s="26"/>
      <c r="Q4653" s="26"/>
      <c r="R4653" s="25"/>
      <c r="S4653" s="25"/>
      <c r="T4653" s="25"/>
      <c r="U4653" s="27"/>
      <c r="V4653" s="21"/>
      <c r="W4653" s="16"/>
      <c r="X4653" s="16"/>
      <c r="Y4653" s="16"/>
    </row>
    <row r="4654" customFormat="false" ht="15.75" hidden="false" customHeight="false" outlineLevel="0" collapsed="false">
      <c r="A4654" s="9"/>
      <c r="B4654" s="10"/>
      <c r="C4654" s="11"/>
      <c r="D4654" s="10"/>
      <c r="E4654" s="10"/>
      <c r="F4654" s="10"/>
      <c r="G4654" s="10"/>
      <c r="H4654" s="10"/>
      <c r="I4654" s="12" t="n">
        <v>1</v>
      </c>
      <c r="J4654" s="12"/>
      <c r="K4654" s="13"/>
      <c r="L4654" s="13"/>
      <c r="M4654" s="12"/>
      <c r="N4654" s="12"/>
      <c r="O4654" s="12"/>
      <c r="P4654" s="13"/>
      <c r="Q4654" s="13"/>
      <c r="R4654" s="12"/>
      <c r="S4654" s="12"/>
      <c r="T4654" s="12"/>
      <c r="U4654" s="14"/>
      <c r="V4654" s="15"/>
      <c r="W4654" s="16" t="n">
        <f aca="false">A4654</f>
        <v>0</v>
      </c>
      <c r="X4654" s="17" t="e">
        <f aca="false">ifs(C4654="","",X4654="",NOW(),TRUE(),X4654)</f>
        <v>#VALUE!</v>
      </c>
      <c r="Y4654" s="17" t="e">
        <f aca="false">ifs(COUNTA(K4654:U4657)&lt;44,"",Y4654="",NOW(),TRUE(),Y4654)</f>
        <v>#VALUE!</v>
      </c>
    </row>
    <row r="4655" customFormat="false" ht="15.75" hidden="false" customHeight="false" outlineLevel="0" collapsed="false">
      <c r="A4655" s="9"/>
      <c r="B4655" s="10"/>
      <c r="C4655" s="10"/>
      <c r="D4655" s="10"/>
      <c r="E4655" s="10"/>
      <c r="F4655" s="10"/>
      <c r="G4655" s="10"/>
      <c r="H4655" s="10"/>
      <c r="I4655" s="18" t="n">
        <v>2</v>
      </c>
      <c r="J4655" s="18"/>
      <c r="K4655" s="19"/>
      <c r="L4655" s="19"/>
      <c r="M4655" s="18"/>
      <c r="N4655" s="18"/>
      <c r="O4655" s="18"/>
      <c r="P4655" s="19"/>
      <c r="Q4655" s="19"/>
      <c r="R4655" s="18"/>
      <c r="S4655" s="18"/>
      <c r="T4655" s="18"/>
      <c r="U4655" s="20"/>
      <c r="V4655" s="21"/>
      <c r="W4655" s="16"/>
      <c r="X4655" s="16"/>
      <c r="Y4655" s="16"/>
    </row>
    <row r="4656" customFormat="false" ht="15.75" hidden="false" customHeight="false" outlineLevel="0" collapsed="false">
      <c r="A4656" s="9"/>
      <c r="B4656" s="10"/>
      <c r="C4656" s="10"/>
      <c r="D4656" s="10"/>
      <c r="E4656" s="10"/>
      <c r="F4656" s="10"/>
      <c r="G4656" s="10"/>
      <c r="H4656" s="10"/>
      <c r="I4656" s="22" t="n">
        <v>3</v>
      </c>
      <c r="J4656" s="22"/>
      <c r="K4656" s="23"/>
      <c r="L4656" s="23"/>
      <c r="M4656" s="22"/>
      <c r="N4656" s="22"/>
      <c r="O4656" s="22"/>
      <c r="P4656" s="23"/>
      <c r="Q4656" s="23"/>
      <c r="R4656" s="22"/>
      <c r="S4656" s="22"/>
      <c r="T4656" s="22"/>
      <c r="U4656" s="24"/>
      <c r="V4656" s="15"/>
      <c r="W4656" s="16"/>
      <c r="X4656" s="16"/>
      <c r="Y4656" s="16"/>
    </row>
    <row r="4657" customFormat="false" ht="15.75" hidden="false" customHeight="false" outlineLevel="0" collapsed="false">
      <c r="A4657" s="9"/>
      <c r="B4657" s="10"/>
      <c r="C4657" s="10"/>
      <c r="D4657" s="10"/>
      <c r="E4657" s="10"/>
      <c r="F4657" s="10"/>
      <c r="G4657" s="10"/>
      <c r="H4657" s="10"/>
      <c r="I4657" s="25" t="n">
        <v>4</v>
      </c>
      <c r="J4657" s="25"/>
      <c r="K4657" s="26"/>
      <c r="L4657" s="26"/>
      <c r="M4657" s="25"/>
      <c r="N4657" s="25"/>
      <c r="O4657" s="25"/>
      <c r="P4657" s="26"/>
      <c r="Q4657" s="26"/>
      <c r="R4657" s="25"/>
      <c r="S4657" s="25"/>
      <c r="T4657" s="25"/>
      <c r="U4657" s="27"/>
      <c r="V4657" s="21"/>
      <c r="W4657" s="16"/>
      <c r="X4657" s="16"/>
      <c r="Y4657" s="16"/>
    </row>
    <row r="4658" customFormat="false" ht="15.75" hidden="false" customHeight="false" outlineLevel="0" collapsed="false">
      <c r="A4658" s="9"/>
      <c r="B4658" s="10"/>
      <c r="C4658" s="11"/>
      <c r="D4658" s="10"/>
      <c r="E4658" s="10"/>
      <c r="F4658" s="10"/>
      <c r="G4658" s="10"/>
      <c r="H4658" s="10"/>
      <c r="I4658" s="12" t="n">
        <v>1</v>
      </c>
      <c r="J4658" s="12"/>
      <c r="K4658" s="13"/>
      <c r="L4658" s="13"/>
      <c r="M4658" s="12"/>
      <c r="N4658" s="12"/>
      <c r="O4658" s="12"/>
      <c r="P4658" s="13"/>
      <c r="Q4658" s="13"/>
      <c r="R4658" s="12"/>
      <c r="S4658" s="12"/>
      <c r="T4658" s="12"/>
      <c r="U4658" s="14"/>
      <c r="V4658" s="15"/>
      <c r="W4658" s="16" t="n">
        <f aca="false">A4658</f>
        <v>0</v>
      </c>
      <c r="X4658" s="17" t="e">
        <f aca="false">ifs(C4658="","",X4658="",NOW(),TRUE(),X4658)</f>
        <v>#VALUE!</v>
      </c>
      <c r="Y4658" s="17" t="e">
        <f aca="false">ifs(COUNTA(K4658:U4661)&lt;44,"",Y4658="",NOW(),TRUE(),Y4658)</f>
        <v>#VALUE!</v>
      </c>
    </row>
    <row r="4659" customFormat="false" ht="15.75" hidden="false" customHeight="false" outlineLevel="0" collapsed="false">
      <c r="A4659" s="9"/>
      <c r="B4659" s="10"/>
      <c r="C4659" s="10"/>
      <c r="D4659" s="10"/>
      <c r="E4659" s="10"/>
      <c r="F4659" s="10"/>
      <c r="G4659" s="10"/>
      <c r="H4659" s="10"/>
      <c r="I4659" s="18" t="n">
        <v>2</v>
      </c>
      <c r="J4659" s="18"/>
      <c r="K4659" s="19"/>
      <c r="L4659" s="19"/>
      <c r="M4659" s="18"/>
      <c r="N4659" s="18"/>
      <c r="O4659" s="18"/>
      <c r="P4659" s="19"/>
      <c r="Q4659" s="19"/>
      <c r="R4659" s="18"/>
      <c r="S4659" s="18"/>
      <c r="T4659" s="18"/>
      <c r="U4659" s="20"/>
      <c r="V4659" s="21"/>
      <c r="W4659" s="16"/>
      <c r="X4659" s="16"/>
      <c r="Y4659" s="16"/>
    </row>
    <row r="4660" customFormat="false" ht="15.75" hidden="false" customHeight="false" outlineLevel="0" collapsed="false">
      <c r="A4660" s="9"/>
      <c r="B4660" s="10"/>
      <c r="C4660" s="10"/>
      <c r="D4660" s="10"/>
      <c r="E4660" s="10"/>
      <c r="F4660" s="10"/>
      <c r="G4660" s="10"/>
      <c r="H4660" s="10"/>
      <c r="I4660" s="22" t="n">
        <v>3</v>
      </c>
      <c r="J4660" s="22"/>
      <c r="K4660" s="23"/>
      <c r="L4660" s="23"/>
      <c r="M4660" s="22"/>
      <c r="N4660" s="22"/>
      <c r="O4660" s="22"/>
      <c r="P4660" s="23"/>
      <c r="Q4660" s="23"/>
      <c r="R4660" s="22"/>
      <c r="S4660" s="22"/>
      <c r="T4660" s="22"/>
      <c r="U4660" s="24"/>
      <c r="V4660" s="15"/>
      <c r="W4660" s="16"/>
      <c r="X4660" s="16"/>
      <c r="Y4660" s="16"/>
    </row>
    <row r="4661" customFormat="false" ht="15.75" hidden="false" customHeight="false" outlineLevel="0" collapsed="false">
      <c r="A4661" s="9"/>
      <c r="B4661" s="10"/>
      <c r="C4661" s="10"/>
      <c r="D4661" s="10"/>
      <c r="E4661" s="10"/>
      <c r="F4661" s="10"/>
      <c r="G4661" s="10"/>
      <c r="H4661" s="10"/>
      <c r="I4661" s="25" t="n">
        <v>4</v>
      </c>
      <c r="J4661" s="25"/>
      <c r="K4661" s="26"/>
      <c r="L4661" s="26"/>
      <c r="M4661" s="25"/>
      <c r="N4661" s="25"/>
      <c r="O4661" s="25"/>
      <c r="P4661" s="26"/>
      <c r="Q4661" s="26"/>
      <c r="R4661" s="25"/>
      <c r="S4661" s="25"/>
      <c r="T4661" s="25"/>
      <c r="U4661" s="27"/>
      <c r="V4661" s="21"/>
      <c r="W4661" s="16"/>
      <c r="X4661" s="16"/>
      <c r="Y4661" s="16"/>
    </row>
    <row r="4662" customFormat="false" ht="15.75" hidden="false" customHeight="false" outlineLevel="0" collapsed="false">
      <c r="A4662" s="9"/>
      <c r="B4662" s="10"/>
      <c r="C4662" s="11"/>
      <c r="D4662" s="10"/>
      <c r="E4662" s="10"/>
      <c r="F4662" s="10"/>
      <c r="G4662" s="10"/>
      <c r="H4662" s="10"/>
      <c r="I4662" s="12" t="n">
        <v>1</v>
      </c>
      <c r="J4662" s="12"/>
      <c r="K4662" s="13"/>
      <c r="L4662" s="13"/>
      <c r="M4662" s="12"/>
      <c r="N4662" s="12"/>
      <c r="O4662" s="12"/>
      <c r="P4662" s="13"/>
      <c r="Q4662" s="13"/>
      <c r="R4662" s="12"/>
      <c r="S4662" s="12"/>
      <c r="T4662" s="12"/>
      <c r="U4662" s="14"/>
      <c r="V4662" s="15"/>
      <c r="W4662" s="16" t="n">
        <f aca="false">A4662</f>
        <v>0</v>
      </c>
      <c r="X4662" s="17" t="e">
        <f aca="false">ifs(C4662="","",X4662="",NOW(),TRUE(),X4662)</f>
        <v>#VALUE!</v>
      </c>
      <c r="Y4662" s="17" t="e">
        <f aca="false">ifs(COUNTA(K4662:U4665)&lt;44,"",Y4662="",NOW(),TRUE(),Y4662)</f>
        <v>#VALUE!</v>
      </c>
    </row>
    <row r="4663" customFormat="false" ht="15.75" hidden="false" customHeight="false" outlineLevel="0" collapsed="false">
      <c r="A4663" s="9"/>
      <c r="B4663" s="10"/>
      <c r="C4663" s="10"/>
      <c r="D4663" s="10"/>
      <c r="E4663" s="10"/>
      <c r="F4663" s="10"/>
      <c r="G4663" s="10"/>
      <c r="H4663" s="10"/>
      <c r="I4663" s="18" t="n">
        <v>2</v>
      </c>
      <c r="J4663" s="18"/>
      <c r="K4663" s="19"/>
      <c r="L4663" s="19"/>
      <c r="M4663" s="18"/>
      <c r="N4663" s="18"/>
      <c r="O4663" s="18"/>
      <c r="P4663" s="19"/>
      <c r="Q4663" s="19"/>
      <c r="R4663" s="18"/>
      <c r="S4663" s="18"/>
      <c r="T4663" s="18"/>
      <c r="U4663" s="20"/>
      <c r="V4663" s="21"/>
      <c r="W4663" s="16"/>
      <c r="X4663" s="16"/>
      <c r="Y4663" s="16"/>
    </row>
    <row r="4664" customFormat="false" ht="15.75" hidden="false" customHeight="false" outlineLevel="0" collapsed="false">
      <c r="A4664" s="9"/>
      <c r="B4664" s="10"/>
      <c r="C4664" s="10"/>
      <c r="D4664" s="10"/>
      <c r="E4664" s="10"/>
      <c r="F4664" s="10"/>
      <c r="G4664" s="10"/>
      <c r="H4664" s="10"/>
      <c r="I4664" s="22" t="n">
        <v>3</v>
      </c>
      <c r="J4664" s="22"/>
      <c r="K4664" s="23"/>
      <c r="L4664" s="23"/>
      <c r="M4664" s="22"/>
      <c r="N4664" s="22"/>
      <c r="O4664" s="22"/>
      <c r="P4664" s="23"/>
      <c r="Q4664" s="23"/>
      <c r="R4664" s="22"/>
      <c r="S4664" s="22"/>
      <c r="T4664" s="22"/>
      <c r="U4664" s="24"/>
      <c r="V4664" s="15"/>
      <c r="W4664" s="16"/>
      <c r="X4664" s="16"/>
      <c r="Y4664" s="16"/>
    </row>
    <row r="4665" customFormat="false" ht="15.75" hidden="false" customHeight="false" outlineLevel="0" collapsed="false">
      <c r="A4665" s="9"/>
      <c r="B4665" s="10"/>
      <c r="C4665" s="10"/>
      <c r="D4665" s="10"/>
      <c r="E4665" s="10"/>
      <c r="F4665" s="10"/>
      <c r="G4665" s="10"/>
      <c r="H4665" s="10"/>
      <c r="I4665" s="25" t="n">
        <v>4</v>
      </c>
      <c r="J4665" s="25"/>
      <c r="K4665" s="26"/>
      <c r="L4665" s="26"/>
      <c r="M4665" s="25"/>
      <c r="N4665" s="25"/>
      <c r="O4665" s="25"/>
      <c r="P4665" s="26"/>
      <c r="Q4665" s="26"/>
      <c r="R4665" s="25"/>
      <c r="S4665" s="25"/>
      <c r="T4665" s="25"/>
      <c r="U4665" s="27"/>
      <c r="V4665" s="21"/>
      <c r="W4665" s="16"/>
      <c r="X4665" s="16"/>
      <c r="Y4665" s="16"/>
    </row>
    <row r="4666" customFormat="false" ht="15.75" hidden="false" customHeight="false" outlineLevel="0" collapsed="false">
      <c r="A4666" s="9"/>
      <c r="B4666" s="10"/>
      <c r="C4666" s="11"/>
      <c r="D4666" s="10"/>
      <c r="E4666" s="10"/>
      <c r="F4666" s="10"/>
      <c r="G4666" s="10"/>
      <c r="H4666" s="10"/>
      <c r="I4666" s="12" t="n">
        <v>1</v>
      </c>
      <c r="J4666" s="12"/>
      <c r="K4666" s="13"/>
      <c r="L4666" s="13"/>
      <c r="M4666" s="12"/>
      <c r="N4666" s="12"/>
      <c r="O4666" s="12"/>
      <c r="P4666" s="13"/>
      <c r="Q4666" s="13"/>
      <c r="R4666" s="12"/>
      <c r="S4666" s="12"/>
      <c r="T4666" s="12"/>
      <c r="U4666" s="14"/>
      <c r="V4666" s="15"/>
      <c r="W4666" s="16" t="n">
        <f aca="false">A4666</f>
        <v>0</v>
      </c>
      <c r="X4666" s="17" t="e">
        <f aca="false">ifs(C4666="","",X4666="",NOW(),TRUE(),X4666)</f>
        <v>#VALUE!</v>
      </c>
      <c r="Y4666" s="17" t="e">
        <f aca="false">ifs(COUNTA(K4666:U4669)&lt;44,"",Y4666="",NOW(),TRUE(),Y4666)</f>
        <v>#VALUE!</v>
      </c>
    </row>
    <row r="4667" customFormat="false" ht="15.75" hidden="false" customHeight="false" outlineLevel="0" collapsed="false">
      <c r="A4667" s="9"/>
      <c r="B4667" s="10"/>
      <c r="C4667" s="10"/>
      <c r="D4667" s="10"/>
      <c r="E4667" s="10"/>
      <c r="F4667" s="10"/>
      <c r="G4667" s="10"/>
      <c r="H4667" s="10"/>
      <c r="I4667" s="18" t="n">
        <v>2</v>
      </c>
      <c r="J4667" s="18"/>
      <c r="K4667" s="19"/>
      <c r="L4667" s="19"/>
      <c r="M4667" s="18"/>
      <c r="N4667" s="18"/>
      <c r="O4667" s="18"/>
      <c r="P4667" s="19"/>
      <c r="Q4667" s="19"/>
      <c r="R4667" s="18"/>
      <c r="S4667" s="18"/>
      <c r="T4667" s="18"/>
      <c r="U4667" s="20"/>
      <c r="V4667" s="21"/>
      <c r="W4667" s="16"/>
      <c r="X4667" s="16"/>
      <c r="Y4667" s="16"/>
    </row>
    <row r="4668" customFormat="false" ht="15.75" hidden="false" customHeight="false" outlineLevel="0" collapsed="false">
      <c r="A4668" s="9"/>
      <c r="B4668" s="10"/>
      <c r="C4668" s="10"/>
      <c r="D4668" s="10"/>
      <c r="E4668" s="10"/>
      <c r="F4668" s="10"/>
      <c r="G4668" s="10"/>
      <c r="H4668" s="10"/>
      <c r="I4668" s="22" t="n">
        <v>3</v>
      </c>
      <c r="J4668" s="22"/>
      <c r="K4668" s="23"/>
      <c r="L4668" s="23"/>
      <c r="M4668" s="22"/>
      <c r="N4668" s="22"/>
      <c r="O4668" s="22"/>
      <c r="P4668" s="23"/>
      <c r="Q4668" s="23"/>
      <c r="R4668" s="22"/>
      <c r="S4668" s="22"/>
      <c r="T4668" s="22"/>
      <c r="U4668" s="24"/>
      <c r="V4668" s="15"/>
      <c r="W4668" s="16"/>
      <c r="X4668" s="16"/>
      <c r="Y4668" s="16"/>
    </row>
    <row r="4669" customFormat="false" ht="15.75" hidden="false" customHeight="false" outlineLevel="0" collapsed="false">
      <c r="A4669" s="9"/>
      <c r="B4669" s="10"/>
      <c r="C4669" s="10"/>
      <c r="D4669" s="10"/>
      <c r="E4669" s="10"/>
      <c r="F4669" s="10"/>
      <c r="G4669" s="10"/>
      <c r="H4669" s="10"/>
      <c r="I4669" s="25" t="n">
        <v>4</v>
      </c>
      <c r="J4669" s="25"/>
      <c r="K4669" s="26"/>
      <c r="L4669" s="26"/>
      <c r="M4669" s="25"/>
      <c r="N4669" s="25"/>
      <c r="O4669" s="25"/>
      <c r="P4669" s="26"/>
      <c r="Q4669" s="26"/>
      <c r="R4669" s="25"/>
      <c r="S4669" s="25"/>
      <c r="T4669" s="25"/>
      <c r="U4669" s="27"/>
      <c r="V4669" s="21"/>
      <c r="W4669" s="16"/>
      <c r="X4669" s="16"/>
      <c r="Y4669" s="16"/>
    </row>
    <row r="4670" customFormat="false" ht="15.75" hidden="false" customHeight="false" outlineLevel="0" collapsed="false">
      <c r="A4670" s="9"/>
      <c r="B4670" s="10"/>
      <c r="C4670" s="11"/>
      <c r="D4670" s="10"/>
      <c r="E4670" s="10"/>
      <c r="F4670" s="10"/>
      <c r="G4670" s="10"/>
      <c r="H4670" s="10"/>
      <c r="I4670" s="12" t="n">
        <v>1</v>
      </c>
      <c r="J4670" s="12"/>
      <c r="K4670" s="13"/>
      <c r="L4670" s="13"/>
      <c r="M4670" s="12"/>
      <c r="N4670" s="12"/>
      <c r="O4670" s="12"/>
      <c r="P4670" s="13"/>
      <c r="Q4670" s="13"/>
      <c r="R4670" s="12"/>
      <c r="S4670" s="12"/>
      <c r="T4670" s="12"/>
      <c r="U4670" s="14"/>
      <c r="V4670" s="15"/>
      <c r="W4670" s="16" t="n">
        <f aca="false">A4670</f>
        <v>0</v>
      </c>
      <c r="X4670" s="17" t="e">
        <f aca="false">ifs(C4670="","",X4670="",NOW(),TRUE(),X4670)</f>
        <v>#VALUE!</v>
      </c>
      <c r="Y4670" s="17" t="e">
        <f aca="false">ifs(COUNTA(K4670:U4673)&lt;44,"",Y4670="",NOW(),TRUE(),Y4670)</f>
        <v>#VALUE!</v>
      </c>
    </row>
    <row r="4671" customFormat="false" ht="15.75" hidden="false" customHeight="false" outlineLevel="0" collapsed="false">
      <c r="A4671" s="9"/>
      <c r="B4671" s="10"/>
      <c r="C4671" s="10"/>
      <c r="D4671" s="10"/>
      <c r="E4671" s="10"/>
      <c r="F4671" s="10"/>
      <c r="G4671" s="10"/>
      <c r="H4671" s="10"/>
      <c r="I4671" s="18" t="n">
        <v>2</v>
      </c>
      <c r="J4671" s="18"/>
      <c r="K4671" s="19"/>
      <c r="L4671" s="19"/>
      <c r="M4671" s="18"/>
      <c r="N4671" s="18"/>
      <c r="O4671" s="18"/>
      <c r="P4671" s="19"/>
      <c r="Q4671" s="19"/>
      <c r="R4671" s="18"/>
      <c r="S4671" s="18"/>
      <c r="T4671" s="18"/>
      <c r="U4671" s="20"/>
      <c r="V4671" s="21"/>
      <c r="W4671" s="16"/>
      <c r="X4671" s="16"/>
      <c r="Y4671" s="16"/>
    </row>
    <row r="4672" customFormat="false" ht="15.75" hidden="false" customHeight="false" outlineLevel="0" collapsed="false">
      <c r="A4672" s="9"/>
      <c r="B4672" s="10"/>
      <c r="C4672" s="10"/>
      <c r="D4672" s="10"/>
      <c r="E4672" s="10"/>
      <c r="F4672" s="10"/>
      <c r="G4672" s="10"/>
      <c r="H4672" s="10"/>
      <c r="I4672" s="22" t="n">
        <v>3</v>
      </c>
      <c r="J4672" s="22"/>
      <c r="K4672" s="23"/>
      <c r="L4672" s="23"/>
      <c r="M4672" s="22"/>
      <c r="N4672" s="22"/>
      <c r="O4672" s="22"/>
      <c r="P4672" s="23"/>
      <c r="Q4672" s="23"/>
      <c r="R4672" s="22"/>
      <c r="S4672" s="22"/>
      <c r="T4672" s="22"/>
      <c r="U4672" s="24"/>
      <c r="V4672" s="15"/>
      <c r="W4672" s="16"/>
      <c r="X4672" s="16"/>
      <c r="Y4672" s="16"/>
    </row>
    <row r="4673" customFormat="false" ht="15.75" hidden="false" customHeight="false" outlineLevel="0" collapsed="false">
      <c r="A4673" s="9"/>
      <c r="B4673" s="10"/>
      <c r="C4673" s="10"/>
      <c r="D4673" s="10"/>
      <c r="E4673" s="10"/>
      <c r="F4673" s="10"/>
      <c r="G4673" s="10"/>
      <c r="H4673" s="10"/>
      <c r="I4673" s="25" t="n">
        <v>4</v>
      </c>
      <c r="J4673" s="25"/>
      <c r="K4673" s="26"/>
      <c r="L4673" s="26"/>
      <c r="M4673" s="25"/>
      <c r="N4673" s="25"/>
      <c r="O4673" s="25"/>
      <c r="P4673" s="26"/>
      <c r="Q4673" s="26"/>
      <c r="R4673" s="25"/>
      <c r="S4673" s="25"/>
      <c r="T4673" s="25"/>
      <c r="U4673" s="27"/>
      <c r="V4673" s="21"/>
      <c r="W4673" s="16"/>
      <c r="X4673" s="16"/>
      <c r="Y4673" s="16"/>
    </row>
    <row r="4674" customFormat="false" ht="15.75" hidden="false" customHeight="false" outlineLevel="0" collapsed="false">
      <c r="A4674" s="9"/>
      <c r="B4674" s="10"/>
      <c r="C4674" s="11"/>
      <c r="D4674" s="10"/>
      <c r="E4674" s="10"/>
      <c r="F4674" s="10"/>
      <c r="G4674" s="10"/>
      <c r="H4674" s="10"/>
      <c r="I4674" s="12" t="n">
        <v>1</v>
      </c>
      <c r="J4674" s="12"/>
      <c r="K4674" s="13"/>
      <c r="L4674" s="13"/>
      <c r="M4674" s="12"/>
      <c r="N4674" s="12"/>
      <c r="O4674" s="12"/>
      <c r="P4674" s="13"/>
      <c r="Q4674" s="13"/>
      <c r="R4674" s="12"/>
      <c r="S4674" s="12"/>
      <c r="T4674" s="12"/>
      <c r="U4674" s="14"/>
      <c r="V4674" s="15"/>
      <c r="W4674" s="16" t="n">
        <f aca="false">A4674</f>
        <v>0</v>
      </c>
      <c r="X4674" s="17" t="e">
        <f aca="false">ifs(C4674="","",X4674="",NOW(),TRUE(),X4674)</f>
        <v>#VALUE!</v>
      </c>
      <c r="Y4674" s="17" t="e">
        <f aca="false">ifs(COUNTA(K4674:U4677)&lt;44,"",Y4674="",NOW(),TRUE(),Y4674)</f>
        <v>#VALUE!</v>
      </c>
    </row>
    <row r="4675" customFormat="false" ht="15.75" hidden="false" customHeight="false" outlineLevel="0" collapsed="false">
      <c r="A4675" s="9"/>
      <c r="B4675" s="10"/>
      <c r="C4675" s="10"/>
      <c r="D4675" s="10"/>
      <c r="E4675" s="10"/>
      <c r="F4675" s="10"/>
      <c r="G4675" s="10"/>
      <c r="H4675" s="10"/>
      <c r="I4675" s="18" t="n">
        <v>2</v>
      </c>
      <c r="J4675" s="18"/>
      <c r="K4675" s="19"/>
      <c r="L4675" s="19"/>
      <c r="M4675" s="18"/>
      <c r="N4675" s="18"/>
      <c r="O4675" s="18"/>
      <c r="P4675" s="19"/>
      <c r="Q4675" s="19"/>
      <c r="R4675" s="18"/>
      <c r="S4675" s="18"/>
      <c r="T4675" s="18"/>
      <c r="U4675" s="20"/>
      <c r="V4675" s="21"/>
      <c r="W4675" s="16"/>
      <c r="X4675" s="16"/>
      <c r="Y4675" s="16"/>
    </row>
    <row r="4676" customFormat="false" ht="15.75" hidden="false" customHeight="false" outlineLevel="0" collapsed="false">
      <c r="A4676" s="9"/>
      <c r="B4676" s="10"/>
      <c r="C4676" s="10"/>
      <c r="D4676" s="10"/>
      <c r="E4676" s="10"/>
      <c r="F4676" s="10"/>
      <c r="G4676" s="10"/>
      <c r="H4676" s="10"/>
      <c r="I4676" s="22" t="n">
        <v>3</v>
      </c>
      <c r="J4676" s="22"/>
      <c r="K4676" s="23"/>
      <c r="L4676" s="23"/>
      <c r="M4676" s="22"/>
      <c r="N4676" s="22"/>
      <c r="O4676" s="22"/>
      <c r="P4676" s="23"/>
      <c r="Q4676" s="23"/>
      <c r="R4676" s="22"/>
      <c r="S4676" s="22"/>
      <c r="T4676" s="22"/>
      <c r="U4676" s="24"/>
      <c r="V4676" s="15"/>
      <c r="W4676" s="16"/>
      <c r="X4676" s="16"/>
      <c r="Y4676" s="16"/>
    </row>
    <row r="4677" customFormat="false" ht="15.75" hidden="false" customHeight="false" outlineLevel="0" collapsed="false">
      <c r="A4677" s="9"/>
      <c r="B4677" s="10"/>
      <c r="C4677" s="10"/>
      <c r="D4677" s="10"/>
      <c r="E4677" s="10"/>
      <c r="F4677" s="10"/>
      <c r="G4677" s="10"/>
      <c r="H4677" s="10"/>
      <c r="I4677" s="25" t="n">
        <v>4</v>
      </c>
      <c r="J4677" s="25"/>
      <c r="K4677" s="26"/>
      <c r="L4677" s="26"/>
      <c r="M4677" s="25"/>
      <c r="N4677" s="25"/>
      <c r="O4677" s="25"/>
      <c r="P4677" s="26"/>
      <c r="Q4677" s="26"/>
      <c r="R4677" s="25"/>
      <c r="S4677" s="25"/>
      <c r="T4677" s="25"/>
      <c r="U4677" s="27"/>
      <c r="V4677" s="21"/>
      <c r="W4677" s="16"/>
      <c r="X4677" s="16"/>
      <c r="Y4677" s="16"/>
    </row>
    <row r="4678" customFormat="false" ht="15.75" hidden="false" customHeight="false" outlineLevel="0" collapsed="false">
      <c r="A4678" s="9"/>
      <c r="B4678" s="10"/>
      <c r="C4678" s="11"/>
      <c r="D4678" s="10"/>
      <c r="E4678" s="10"/>
      <c r="F4678" s="10"/>
      <c r="G4678" s="10"/>
      <c r="H4678" s="10"/>
      <c r="I4678" s="12" t="n">
        <v>1</v>
      </c>
      <c r="J4678" s="12"/>
      <c r="K4678" s="13"/>
      <c r="L4678" s="13"/>
      <c r="M4678" s="12"/>
      <c r="N4678" s="12"/>
      <c r="O4678" s="12"/>
      <c r="P4678" s="13"/>
      <c r="Q4678" s="13"/>
      <c r="R4678" s="12"/>
      <c r="S4678" s="12"/>
      <c r="T4678" s="12"/>
      <c r="U4678" s="14"/>
      <c r="V4678" s="15"/>
      <c r="W4678" s="16" t="n">
        <f aca="false">A4678</f>
        <v>0</v>
      </c>
      <c r="X4678" s="17" t="e">
        <f aca="false">ifs(C4678="","",X4678="",NOW(),TRUE(),X4678)</f>
        <v>#VALUE!</v>
      </c>
      <c r="Y4678" s="17" t="e">
        <f aca="false">ifs(COUNTA(K4678:U4681)&lt;44,"",Y4678="",NOW(),TRUE(),Y4678)</f>
        <v>#VALUE!</v>
      </c>
    </row>
    <row r="4679" customFormat="false" ht="15.75" hidden="false" customHeight="false" outlineLevel="0" collapsed="false">
      <c r="A4679" s="9"/>
      <c r="B4679" s="10"/>
      <c r="C4679" s="10"/>
      <c r="D4679" s="10"/>
      <c r="E4679" s="10"/>
      <c r="F4679" s="10"/>
      <c r="G4679" s="10"/>
      <c r="H4679" s="10"/>
      <c r="I4679" s="18" t="n">
        <v>2</v>
      </c>
      <c r="J4679" s="18"/>
      <c r="K4679" s="19"/>
      <c r="L4679" s="19"/>
      <c r="M4679" s="18"/>
      <c r="N4679" s="18"/>
      <c r="O4679" s="18"/>
      <c r="P4679" s="19"/>
      <c r="Q4679" s="19"/>
      <c r="R4679" s="18"/>
      <c r="S4679" s="18"/>
      <c r="T4679" s="18"/>
      <c r="U4679" s="20"/>
      <c r="V4679" s="21"/>
      <c r="W4679" s="16"/>
      <c r="X4679" s="16"/>
      <c r="Y4679" s="16"/>
    </row>
    <row r="4680" customFormat="false" ht="15.75" hidden="false" customHeight="false" outlineLevel="0" collapsed="false">
      <c r="A4680" s="9"/>
      <c r="B4680" s="10"/>
      <c r="C4680" s="10"/>
      <c r="D4680" s="10"/>
      <c r="E4680" s="10"/>
      <c r="F4680" s="10"/>
      <c r="G4680" s="10"/>
      <c r="H4680" s="10"/>
      <c r="I4680" s="22" t="n">
        <v>3</v>
      </c>
      <c r="J4680" s="22"/>
      <c r="K4680" s="23"/>
      <c r="L4680" s="23"/>
      <c r="M4680" s="22"/>
      <c r="N4680" s="22"/>
      <c r="O4680" s="22"/>
      <c r="P4680" s="23"/>
      <c r="Q4680" s="23"/>
      <c r="R4680" s="22"/>
      <c r="S4680" s="22"/>
      <c r="T4680" s="22"/>
      <c r="U4680" s="24"/>
      <c r="V4680" s="15"/>
      <c r="W4680" s="16"/>
      <c r="X4680" s="16"/>
      <c r="Y4680" s="16"/>
    </row>
    <row r="4681" customFormat="false" ht="15.75" hidden="false" customHeight="false" outlineLevel="0" collapsed="false">
      <c r="A4681" s="9"/>
      <c r="B4681" s="10"/>
      <c r="C4681" s="10"/>
      <c r="D4681" s="10"/>
      <c r="E4681" s="10"/>
      <c r="F4681" s="10"/>
      <c r="G4681" s="10"/>
      <c r="H4681" s="10"/>
      <c r="I4681" s="25" t="n">
        <v>4</v>
      </c>
      <c r="J4681" s="25"/>
      <c r="K4681" s="26"/>
      <c r="L4681" s="26"/>
      <c r="M4681" s="25"/>
      <c r="N4681" s="25"/>
      <c r="O4681" s="25"/>
      <c r="P4681" s="26"/>
      <c r="Q4681" s="26"/>
      <c r="R4681" s="25"/>
      <c r="S4681" s="25"/>
      <c r="T4681" s="25"/>
      <c r="U4681" s="27"/>
      <c r="V4681" s="21"/>
      <c r="W4681" s="16"/>
      <c r="X4681" s="16"/>
      <c r="Y4681" s="16"/>
    </row>
    <row r="4682" customFormat="false" ht="15.75" hidden="false" customHeight="false" outlineLevel="0" collapsed="false">
      <c r="A4682" s="9"/>
      <c r="B4682" s="10"/>
      <c r="C4682" s="11"/>
      <c r="D4682" s="10"/>
      <c r="E4682" s="10"/>
      <c r="F4682" s="10"/>
      <c r="G4682" s="10"/>
      <c r="H4682" s="10"/>
      <c r="I4682" s="12" t="n">
        <v>1</v>
      </c>
      <c r="J4682" s="12"/>
      <c r="K4682" s="13"/>
      <c r="L4682" s="13"/>
      <c r="M4682" s="12"/>
      <c r="N4682" s="12"/>
      <c r="O4682" s="12"/>
      <c r="P4682" s="13"/>
      <c r="Q4682" s="13"/>
      <c r="R4682" s="12"/>
      <c r="S4682" s="12"/>
      <c r="T4682" s="12"/>
      <c r="U4682" s="14"/>
      <c r="V4682" s="15"/>
      <c r="W4682" s="16" t="n">
        <f aca="false">A4682</f>
        <v>0</v>
      </c>
      <c r="X4682" s="17" t="e">
        <f aca="false">ifs(C4682="","",X4682="",NOW(),TRUE(),X4682)</f>
        <v>#VALUE!</v>
      </c>
      <c r="Y4682" s="17" t="e">
        <f aca="false">ifs(COUNTA(K4682:U4685)&lt;44,"",Y4682="",NOW(),TRUE(),Y4682)</f>
        <v>#VALUE!</v>
      </c>
    </row>
    <row r="4683" customFormat="false" ht="15.75" hidden="false" customHeight="false" outlineLevel="0" collapsed="false">
      <c r="A4683" s="9"/>
      <c r="B4683" s="10"/>
      <c r="C4683" s="10"/>
      <c r="D4683" s="10"/>
      <c r="E4683" s="10"/>
      <c r="F4683" s="10"/>
      <c r="G4683" s="10"/>
      <c r="H4683" s="10"/>
      <c r="I4683" s="18" t="n">
        <v>2</v>
      </c>
      <c r="J4683" s="18"/>
      <c r="K4683" s="19"/>
      <c r="L4683" s="19"/>
      <c r="M4683" s="18"/>
      <c r="N4683" s="18"/>
      <c r="O4683" s="18"/>
      <c r="P4683" s="19"/>
      <c r="Q4683" s="19"/>
      <c r="R4683" s="18"/>
      <c r="S4683" s="18"/>
      <c r="T4683" s="18"/>
      <c r="U4683" s="20"/>
      <c r="V4683" s="21"/>
      <c r="W4683" s="16"/>
      <c r="X4683" s="16"/>
      <c r="Y4683" s="16"/>
    </row>
    <row r="4684" customFormat="false" ht="15.75" hidden="false" customHeight="false" outlineLevel="0" collapsed="false">
      <c r="A4684" s="9"/>
      <c r="B4684" s="10"/>
      <c r="C4684" s="10"/>
      <c r="D4684" s="10"/>
      <c r="E4684" s="10"/>
      <c r="F4684" s="10"/>
      <c r="G4684" s="10"/>
      <c r="H4684" s="10"/>
      <c r="I4684" s="22" t="n">
        <v>3</v>
      </c>
      <c r="J4684" s="22"/>
      <c r="K4684" s="23"/>
      <c r="L4684" s="23"/>
      <c r="M4684" s="22"/>
      <c r="N4684" s="22"/>
      <c r="O4684" s="22"/>
      <c r="P4684" s="23"/>
      <c r="Q4684" s="23"/>
      <c r="R4684" s="22"/>
      <c r="S4684" s="22"/>
      <c r="T4684" s="22"/>
      <c r="U4684" s="24"/>
      <c r="V4684" s="15"/>
      <c r="W4684" s="16"/>
      <c r="X4684" s="16"/>
      <c r="Y4684" s="16"/>
    </row>
    <row r="4685" customFormat="false" ht="15.75" hidden="false" customHeight="false" outlineLevel="0" collapsed="false">
      <c r="A4685" s="9"/>
      <c r="B4685" s="10"/>
      <c r="C4685" s="10"/>
      <c r="D4685" s="10"/>
      <c r="E4685" s="10"/>
      <c r="F4685" s="10"/>
      <c r="G4685" s="10"/>
      <c r="H4685" s="10"/>
      <c r="I4685" s="25" t="n">
        <v>4</v>
      </c>
      <c r="J4685" s="25"/>
      <c r="K4685" s="26"/>
      <c r="L4685" s="26"/>
      <c r="M4685" s="25"/>
      <c r="N4685" s="25"/>
      <c r="O4685" s="25"/>
      <c r="P4685" s="26"/>
      <c r="Q4685" s="26"/>
      <c r="R4685" s="25"/>
      <c r="S4685" s="25"/>
      <c r="T4685" s="25"/>
      <c r="U4685" s="27"/>
      <c r="V4685" s="21"/>
      <c r="W4685" s="16"/>
      <c r="X4685" s="16"/>
      <c r="Y4685" s="16"/>
    </row>
    <row r="4686" customFormat="false" ht="15.75" hidden="false" customHeight="false" outlineLevel="0" collapsed="false">
      <c r="A4686" s="9"/>
      <c r="B4686" s="10"/>
      <c r="C4686" s="11"/>
      <c r="D4686" s="10"/>
      <c r="E4686" s="10"/>
      <c r="F4686" s="10"/>
      <c r="G4686" s="10"/>
      <c r="H4686" s="10"/>
      <c r="I4686" s="12" t="n">
        <v>1</v>
      </c>
      <c r="J4686" s="12"/>
      <c r="K4686" s="13"/>
      <c r="L4686" s="13"/>
      <c r="M4686" s="12"/>
      <c r="N4686" s="12"/>
      <c r="O4686" s="12"/>
      <c r="P4686" s="13"/>
      <c r="Q4686" s="13"/>
      <c r="R4686" s="12"/>
      <c r="S4686" s="12"/>
      <c r="T4686" s="12"/>
      <c r="U4686" s="14"/>
      <c r="V4686" s="15"/>
      <c r="W4686" s="16" t="n">
        <f aca="false">A4686</f>
        <v>0</v>
      </c>
      <c r="X4686" s="17" t="e">
        <f aca="false">ifs(C4686="","",X4686="",NOW(),TRUE(),X4686)</f>
        <v>#VALUE!</v>
      </c>
      <c r="Y4686" s="17" t="e">
        <f aca="false">ifs(COUNTA(K4686:U4689)&lt;44,"",Y4686="",NOW(),TRUE(),Y4686)</f>
        <v>#VALUE!</v>
      </c>
    </row>
    <row r="4687" customFormat="false" ht="15.75" hidden="false" customHeight="false" outlineLevel="0" collapsed="false">
      <c r="A4687" s="9"/>
      <c r="B4687" s="10"/>
      <c r="C4687" s="10"/>
      <c r="D4687" s="10"/>
      <c r="E4687" s="10"/>
      <c r="F4687" s="10"/>
      <c r="G4687" s="10"/>
      <c r="H4687" s="10"/>
      <c r="I4687" s="18" t="n">
        <v>2</v>
      </c>
      <c r="J4687" s="18"/>
      <c r="K4687" s="19"/>
      <c r="L4687" s="19"/>
      <c r="M4687" s="18"/>
      <c r="N4687" s="18"/>
      <c r="O4687" s="18"/>
      <c r="P4687" s="19"/>
      <c r="Q4687" s="19"/>
      <c r="R4687" s="18"/>
      <c r="S4687" s="18"/>
      <c r="T4687" s="18"/>
      <c r="U4687" s="20"/>
      <c r="V4687" s="21"/>
      <c r="W4687" s="16"/>
      <c r="X4687" s="16"/>
      <c r="Y4687" s="16"/>
    </row>
    <row r="4688" customFormat="false" ht="15.75" hidden="false" customHeight="false" outlineLevel="0" collapsed="false">
      <c r="A4688" s="9"/>
      <c r="B4688" s="10"/>
      <c r="C4688" s="10"/>
      <c r="D4688" s="10"/>
      <c r="E4688" s="10"/>
      <c r="F4688" s="10"/>
      <c r="G4688" s="10"/>
      <c r="H4688" s="10"/>
      <c r="I4688" s="22" t="n">
        <v>3</v>
      </c>
      <c r="J4688" s="22"/>
      <c r="K4688" s="23"/>
      <c r="L4688" s="23"/>
      <c r="M4688" s="22"/>
      <c r="N4688" s="22"/>
      <c r="O4688" s="22"/>
      <c r="P4688" s="23"/>
      <c r="Q4688" s="23"/>
      <c r="R4688" s="22"/>
      <c r="S4688" s="22"/>
      <c r="T4688" s="22"/>
      <c r="U4688" s="24"/>
      <c r="V4688" s="15"/>
      <c r="W4688" s="16"/>
      <c r="X4688" s="16"/>
      <c r="Y4688" s="16"/>
    </row>
    <row r="4689" customFormat="false" ht="15.75" hidden="false" customHeight="false" outlineLevel="0" collapsed="false">
      <c r="A4689" s="9"/>
      <c r="B4689" s="10"/>
      <c r="C4689" s="10"/>
      <c r="D4689" s="10"/>
      <c r="E4689" s="10"/>
      <c r="F4689" s="10"/>
      <c r="G4689" s="10"/>
      <c r="H4689" s="10"/>
      <c r="I4689" s="25" t="n">
        <v>4</v>
      </c>
      <c r="J4689" s="25"/>
      <c r="K4689" s="26"/>
      <c r="L4689" s="26"/>
      <c r="M4689" s="25"/>
      <c r="N4689" s="25"/>
      <c r="O4689" s="25"/>
      <c r="P4689" s="26"/>
      <c r="Q4689" s="26"/>
      <c r="R4689" s="25"/>
      <c r="S4689" s="25"/>
      <c r="T4689" s="25"/>
      <c r="U4689" s="27"/>
      <c r="V4689" s="21"/>
      <c r="W4689" s="16"/>
      <c r="X4689" s="16"/>
      <c r="Y4689" s="16"/>
    </row>
    <row r="4690" customFormat="false" ht="15.75" hidden="false" customHeight="false" outlineLevel="0" collapsed="false">
      <c r="A4690" s="9"/>
      <c r="B4690" s="10"/>
      <c r="C4690" s="11"/>
      <c r="D4690" s="10"/>
      <c r="E4690" s="10"/>
      <c r="F4690" s="10"/>
      <c r="G4690" s="10"/>
      <c r="H4690" s="10"/>
      <c r="I4690" s="12" t="n">
        <v>1</v>
      </c>
      <c r="J4690" s="12"/>
      <c r="K4690" s="13"/>
      <c r="L4690" s="13"/>
      <c r="M4690" s="12"/>
      <c r="N4690" s="12"/>
      <c r="O4690" s="12"/>
      <c r="P4690" s="13"/>
      <c r="Q4690" s="13"/>
      <c r="R4690" s="12"/>
      <c r="S4690" s="12"/>
      <c r="T4690" s="12"/>
      <c r="U4690" s="14"/>
      <c r="V4690" s="15"/>
      <c r="W4690" s="16" t="n">
        <f aca="false">A4690</f>
        <v>0</v>
      </c>
      <c r="X4690" s="17" t="e">
        <f aca="false">ifs(C4690="","",X4690="",NOW(),TRUE(),X4690)</f>
        <v>#VALUE!</v>
      </c>
      <c r="Y4690" s="17" t="e">
        <f aca="false">ifs(COUNTA(K4690:U4693)&lt;44,"",Y4690="",NOW(),TRUE(),Y4690)</f>
        <v>#VALUE!</v>
      </c>
    </row>
    <row r="4691" customFormat="false" ht="15.75" hidden="false" customHeight="false" outlineLevel="0" collapsed="false">
      <c r="A4691" s="9"/>
      <c r="B4691" s="10"/>
      <c r="C4691" s="10"/>
      <c r="D4691" s="10"/>
      <c r="E4691" s="10"/>
      <c r="F4691" s="10"/>
      <c r="G4691" s="10"/>
      <c r="H4691" s="10"/>
      <c r="I4691" s="18" t="n">
        <v>2</v>
      </c>
      <c r="J4691" s="18"/>
      <c r="K4691" s="19"/>
      <c r="L4691" s="19"/>
      <c r="M4691" s="18"/>
      <c r="N4691" s="18"/>
      <c r="O4691" s="18"/>
      <c r="P4691" s="19"/>
      <c r="Q4691" s="19"/>
      <c r="R4691" s="18"/>
      <c r="S4691" s="18"/>
      <c r="T4691" s="18"/>
      <c r="U4691" s="20"/>
      <c r="V4691" s="21"/>
      <c r="W4691" s="16"/>
      <c r="X4691" s="16"/>
      <c r="Y4691" s="16"/>
    </row>
    <row r="4692" customFormat="false" ht="15.75" hidden="false" customHeight="false" outlineLevel="0" collapsed="false">
      <c r="A4692" s="9"/>
      <c r="B4692" s="10"/>
      <c r="C4692" s="10"/>
      <c r="D4692" s="10"/>
      <c r="E4692" s="10"/>
      <c r="F4692" s="10"/>
      <c r="G4692" s="10"/>
      <c r="H4692" s="10"/>
      <c r="I4692" s="22" t="n">
        <v>3</v>
      </c>
      <c r="J4692" s="22"/>
      <c r="K4692" s="23"/>
      <c r="L4692" s="23"/>
      <c r="M4692" s="22"/>
      <c r="N4692" s="22"/>
      <c r="O4692" s="22"/>
      <c r="P4692" s="23"/>
      <c r="Q4692" s="23"/>
      <c r="R4692" s="22"/>
      <c r="S4692" s="22"/>
      <c r="T4692" s="22"/>
      <c r="U4692" s="24"/>
      <c r="V4692" s="15"/>
      <c r="W4692" s="16"/>
      <c r="X4692" s="16"/>
      <c r="Y4692" s="16"/>
    </row>
    <row r="4693" customFormat="false" ht="15.75" hidden="false" customHeight="false" outlineLevel="0" collapsed="false">
      <c r="A4693" s="9"/>
      <c r="B4693" s="10"/>
      <c r="C4693" s="10"/>
      <c r="D4693" s="10"/>
      <c r="E4693" s="10"/>
      <c r="F4693" s="10"/>
      <c r="G4693" s="10"/>
      <c r="H4693" s="10"/>
      <c r="I4693" s="25" t="n">
        <v>4</v>
      </c>
      <c r="J4693" s="25"/>
      <c r="K4693" s="26"/>
      <c r="L4693" s="26"/>
      <c r="M4693" s="25"/>
      <c r="N4693" s="25"/>
      <c r="O4693" s="25"/>
      <c r="P4693" s="26"/>
      <c r="Q4693" s="26"/>
      <c r="R4693" s="25"/>
      <c r="S4693" s="25"/>
      <c r="T4693" s="25"/>
      <c r="U4693" s="27"/>
      <c r="V4693" s="21"/>
      <c r="W4693" s="16"/>
      <c r="X4693" s="16"/>
      <c r="Y4693" s="16"/>
    </row>
    <row r="4694" customFormat="false" ht="15.75" hidden="false" customHeight="false" outlineLevel="0" collapsed="false">
      <c r="A4694" s="9"/>
      <c r="B4694" s="10"/>
      <c r="C4694" s="11"/>
      <c r="D4694" s="10"/>
      <c r="E4694" s="10"/>
      <c r="F4694" s="10"/>
      <c r="G4694" s="10"/>
      <c r="H4694" s="10"/>
      <c r="I4694" s="12" t="n">
        <v>1</v>
      </c>
      <c r="J4694" s="12"/>
      <c r="K4694" s="13"/>
      <c r="L4694" s="13"/>
      <c r="M4694" s="12"/>
      <c r="N4694" s="12"/>
      <c r="O4694" s="12"/>
      <c r="P4694" s="13"/>
      <c r="Q4694" s="13"/>
      <c r="R4694" s="12"/>
      <c r="S4694" s="12"/>
      <c r="T4694" s="12"/>
      <c r="U4694" s="14"/>
      <c r="V4694" s="15"/>
      <c r="W4694" s="16" t="n">
        <f aca="false">A4694</f>
        <v>0</v>
      </c>
      <c r="X4694" s="17" t="e">
        <f aca="false">ifs(C4694="","",X4694="",NOW(),TRUE(),X4694)</f>
        <v>#VALUE!</v>
      </c>
      <c r="Y4694" s="17" t="e">
        <f aca="false">ifs(COUNTA(K4694:U4697)&lt;44,"",Y4694="",NOW(),TRUE(),Y4694)</f>
        <v>#VALUE!</v>
      </c>
    </row>
    <row r="4695" customFormat="false" ht="15.75" hidden="false" customHeight="false" outlineLevel="0" collapsed="false">
      <c r="A4695" s="9"/>
      <c r="B4695" s="10"/>
      <c r="C4695" s="10"/>
      <c r="D4695" s="10"/>
      <c r="E4695" s="10"/>
      <c r="F4695" s="10"/>
      <c r="G4695" s="10"/>
      <c r="H4695" s="10"/>
      <c r="I4695" s="18" t="n">
        <v>2</v>
      </c>
      <c r="J4695" s="18"/>
      <c r="K4695" s="19"/>
      <c r="L4695" s="19"/>
      <c r="M4695" s="18"/>
      <c r="N4695" s="18"/>
      <c r="O4695" s="18"/>
      <c r="P4695" s="19"/>
      <c r="Q4695" s="19"/>
      <c r="R4695" s="18"/>
      <c r="S4695" s="18"/>
      <c r="T4695" s="18"/>
      <c r="U4695" s="20"/>
      <c r="V4695" s="21"/>
      <c r="W4695" s="16"/>
      <c r="X4695" s="16"/>
      <c r="Y4695" s="16"/>
    </row>
    <row r="4696" customFormat="false" ht="15.75" hidden="false" customHeight="false" outlineLevel="0" collapsed="false">
      <c r="A4696" s="9"/>
      <c r="B4696" s="10"/>
      <c r="C4696" s="10"/>
      <c r="D4696" s="10"/>
      <c r="E4696" s="10"/>
      <c r="F4696" s="10"/>
      <c r="G4696" s="10"/>
      <c r="H4696" s="10"/>
      <c r="I4696" s="22" t="n">
        <v>3</v>
      </c>
      <c r="J4696" s="22"/>
      <c r="K4696" s="23"/>
      <c r="L4696" s="23"/>
      <c r="M4696" s="22"/>
      <c r="N4696" s="22"/>
      <c r="O4696" s="22"/>
      <c r="P4696" s="23"/>
      <c r="Q4696" s="23"/>
      <c r="R4696" s="22"/>
      <c r="S4696" s="22"/>
      <c r="T4696" s="22"/>
      <c r="U4696" s="24"/>
      <c r="V4696" s="15"/>
      <c r="W4696" s="16"/>
      <c r="X4696" s="16"/>
      <c r="Y4696" s="16"/>
    </row>
    <row r="4697" customFormat="false" ht="15.75" hidden="false" customHeight="false" outlineLevel="0" collapsed="false">
      <c r="A4697" s="9"/>
      <c r="B4697" s="10"/>
      <c r="C4697" s="10"/>
      <c r="D4697" s="10"/>
      <c r="E4697" s="10"/>
      <c r="F4697" s="10"/>
      <c r="G4697" s="10"/>
      <c r="H4697" s="10"/>
      <c r="I4697" s="25" t="n">
        <v>4</v>
      </c>
      <c r="J4697" s="25"/>
      <c r="K4697" s="26"/>
      <c r="L4697" s="26"/>
      <c r="M4697" s="25"/>
      <c r="N4697" s="25"/>
      <c r="O4697" s="25"/>
      <c r="P4697" s="26"/>
      <c r="Q4697" s="26"/>
      <c r="R4697" s="25"/>
      <c r="S4697" s="25"/>
      <c r="T4697" s="25"/>
      <c r="U4697" s="27"/>
      <c r="V4697" s="21"/>
      <c r="W4697" s="16"/>
      <c r="X4697" s="16"/>
      <c r="Y4697" s="16"/>
    </row>
    <row r="4698" customFormat="false" ht="15.75" hidden="false" customHeight="false" outlineLevel="0" collapsed="false">
      <c r="A4698" s="9"/>
      <c r="B4698" s="10"/>
      <c r="C4698" s="11"/>
      <c r="D4698" s="10"/>
      <c r="E4698" s="10"/>
      <c r="F4698" s="10"/>
      <c r="G4698" s="10"/>
      <c r="H4698" s="10"/>
      <c r="I4698" s="12" t="n">
        <v>1</v>
      </c>
      <c r="J4698" s="12"/>
      <c r="K4698" s="13"/>
      <c r="L4698" s="13"/>
      <c r="M4698" s="12"/>
      <c r="N4698" s="12"/>
      <c r="O4698" s="12"/>
      <c r="P4698" s="13"/>
      <c r="Q4698" s="13"/>
      <c r="R4698" s="12"/>
      <c r="S4698" s="12"/>
      <c r="T4698" s="12"/>
      <c r="U4698" s="14"/>
      <c r="V4698" s="15"/>
      <c r="W4698" s="16" t="n">
        <f aca="false">A4698</f>
        <v>0</v>
      </c>
      <c r="X4698" s="17" t="e">
        <f aca="false">ifs(C4698="","",X4698="",NOW(),TRUE(),X4698)</f>
        <v>#VALUE!</v>
      </c>
      <c r="Y4698" s="17" t="e">
        <f aca="false">ifs(COUNTA(K4698:U4701)&lt;44,"",Y4698="",NOW(),TRUE(),Y4698)</f>
        <v>#VALUE!</v>
      </c>
    </row>
    <row r="4699" customFormat="false" ht="15.75" hidden="false" customHeight="false" outlineLevel="0" collapsed="false">
      <c r="A4699" s="9"/>
      <c r="B4699" s="10"/>
      <c r="C4699" s="10"/>
      <c r="D4699" s="10"/>
      <c r="E4699" s="10"/>
      <c r="F4699" s="10"/>
      <c r="G4699" s="10"/>
      <c r="H4699" s="10"/>
      <c r="I4699" s="18" t="n">
        <v>2</v>
      </c>
      <c r="J4699" s="18"/>
      <c r="K4699" s="19"/>
      <c r="L4699" s="19"/>
      <c r="M4699" s="18"/>
      <c r="N4699" s="18"/>
      <c r="O4699" s="18"/>
      <c r="P4699" s="19"/>
      <c r="Q4699" s="19"/>
      <c r="R4699" s="18"/>
      <c r="S4699" s="18"/>
      <c r="T4699" s="18"/>
      <c r="U4699" s="20"/>
      <c r="V4699" s="21"/>
      <c r="W4699" s="16"/>
      <c r="X4699" s="16"/>
      <c r="Y4699" s="16"/>
    </row>
    <row r="4700" customFormat="false" ht="15.75" hidden="false" customHeight="false" outlineLevel="0" collapsed="false">
      <c r="A4700" s="9"/>
      <c r="B4700" s="10"/>
      <c r="C4700" s="10"/>
      <c r="D4700" s="10"/>
      <c r="E4700" s="10"/>
      <c r="F4700" s="10"/>
      <c r="G4700" s="10"/>
      <c r="H4700" s="10"/>
      <c r="I4700" s="22" t="n">
        <v>3</v>
      </c>
      <c r="J4700" s="22"/>
      <c r="K4700" s="23"/>
      <c r="L4700" s="23"/>
      <c r="M4700" s="22"/>
      <c r="N4700" s="22"/>
      <c r="O4700" s="22"/>
      <c r="P4700" s="23"/>
      <c r="Q4700" s="23"/>
      <c r="R4700" s="22"/>
      <c r="S4700" s="22"/>
      <c r="T4700" s="22"/>
      <c r="U4700" s="24"/>
      <c r="V4700" s="15"/>
      <c r="W4700" s="16"/>
      <c r="X4700" s="16"/>
      <c r="Y4700" s="16"/>
    </row>
    <row r="4701" customFormat="false" ht="15.75" hidden="false" customHeight="false" outlineLevel="0" collapsed="false">
      <c r="A4701" s="9"/>
      <c r="B4701" s="10"/>
      <c r="C4701" s="10"/>
      <c r="D4701" s="10"/>
      <c r="E4701" s="10"/>
      <c r="F4701" s="10"/>
      <c r="G4701" s="10"/>
      <c r="H4701" s="10"/>
      <c r="I4701" s="25" t="n">
        <v>4</v>
      </c>
      <c r="J4701" s="25"/>
      <c r="K4701" s="26"/>
      <c r="L4701" s="26"/>
      <c r="M4701" s="25"/>
      <c r="N4701" s="25"/>
      <c r="O4701" s="25"/>
      <c r="P4701" s="26"/>
      <c r="Q4701" s="26"/>
      <c r="R4701" s="25"/>
      <c r="S4701" s="25"/>
      <c r="T4701" s="25"/>
      <c r="U4701" s="27"/>
      <c r="V4701" s="21"/>
      <c r="W4701" s="16"/>
      <c r="X4701" s="16"/>
      <c r="Y4701" s="16"/>
    </row>
    <row r="4702" customFormat="false" ht="15.75" hidden="false" customHeight="false" outlineLevel="0" collapsed="false">
      <c r="A4702" s="9"/>
      <c r="B4702" s="10"/>
      <c r="C4702" s="11"/>
      <c r="D4702" s="10"/>
      <c r="E4702" s="10"/>
      <c r="F4702" s="10"/>
      <c r="G4702" s="10"/>
      <c r="H4702" s="10"/>
      <c r="I4702" s="12" t="n">
        <v>1</v>
      </c>
      <c r="J4702" s="12"/>
      <c r="K4702" s="13"/>
      <c r="L4702" s="13"/>
      <c r="M4702" s="12"/>
      <c r="N4702" s="12"/>
      <c r="O4702" s="12"/>
      <c r="P4702" s="13"/>
      <c r="Q4702" s="13"/>
      <c r="R4702" s="12"/>
      <c r="S4702" s="12"/>
      <c r="T4702" s="12"/>
      <c r="U4702" s="14"/>
      <c r="V4702" s="15"/>
      <c r="W4702" s="16" t="n">
        <f aca="false">A4702</f>
        <v>0</v>
      </c>
      <c r="X4702" s="17" t="e">
        <f aca="false">ifs(C4702="","",X4702="",NOW(),TRUE(),X4702)</f>
        <v>#VALUE!</v>
      </c>
      <c r="Y4702" s="17" t="e">
        <f aca="false">ifs(COUNTA(K4702:U4705)&lt;44,"",Y4702="",NOW(),TRUE(),Y4702)</f>
        <v>#VALUE!</v>
      </c>
    </row>
    <row r="4703" customFormat="false" ht="15.75" hidden="false" customHeight="false" outlineLevel="0" collapsed="false">
      <c r="A4703" s="9"/>
      <c r="B4703" s="10"/>
      <c r="C4703" s="10"/>
      <c r="D4703" s="10"/>
      <c r="E4703" s="10"/>
      <c r="F4703" s="10"/>
      <c r="G4703" s="10"/>
      <c r="H4703" s="10"/>
      <c r="I4703" s="18" t="n">
        <v>2</v>
      </c>
      <c r="J4703" s="18"/>
      <c r="K4703" s="19"/>
      <c r="L4703" s="19"/>
      <c r="M4703" s="18"/>
      <c r="N4703" s="18"/>
      <c r="O4703" s="18"/>
      <c r="P4703" s="19"/>
      <c r="Q4703" s="19"/>
      <c r="R4703" s="18"/>
      <c r="S4703" s="18"/>
      <c r="T4703" s="18"/>
      <c r="U4703" s="20"/>
      <c r="V4703" s="21"/>
      <c r="W4703" s="16"/>
      <c r="X4703" s="16"/>
      <c r="Y4703" s="16"/>
    </row>
    <row r="4704" customFormat="false" ht="15.75" hidden="false" customHeight="false" outlineLevel="0" collapsed="false">
      <c r="A4704" s="9"/>
      <c r="B4704" s="10"/>
      <c r="C4704" s="10"/>
      <c r="D4704" s="10"/>
      <c r="E4704" s="10"/>
      <c r="F4704" s="10"/>
      <c r="G4704" s="10"/>
      <c r="H4704" s="10"/>
      <c r="I4704" s="22" t="n">
        <v>3</v>
      </c>
      <c r="J4704" s="22"/>
      <c r="K4704" s="23"/>
      <c r="L4704" s="23"/>
      <c r="M4704" s="22"/>
      <c r="N4704" s="22"/>
      <c r="O4704" s="22"/>
      <c r="P4704" s="23"/>
      <c r="Q4704" s="23"/>
      <c r="R4704" s="22"/>
      <c r="S4704" s="22"/>
      <c r="T4704" s="22"/>
      <c r="U4704" s="24"/>
      <c r="V4704" s="15"/>
      <c r="W4704" s="16"/>
      <c r="X4704" s="16"/>
      <c r="Y4704" s="16"/>
    </row>
    <row r="4705" customFormat="false" ht="15.75" hidden="false" customHeight="false" outlineLevel="0" collapsed="false">
      <c r="A4705" s="9"/>
      <c r="B4705" s="10"/>
      <c r="C4705" s="10"/>
      <c r="D4705" s="10"/>
      <c r="E4705" s="10"/>
      <c r="F4705" s="10"/>
      <c r="G4705" s="10"/>
      <c r="H4705" s="10"/>
      <c r="I4705" s="25" t="n">
        <v>4</v>
      </c>
      <c r="J4705" s="25"/>
      <c r="K4705" s="26"/>
      <c r="L4705" s="26"/>
      <c r="M4705" s="25"/>
      <c r="N4705" s="25"/>
      <c r="O4705" s="25"/>
      <c r="P4705" s="26"/>
      <c r="Q4705" s="26"/>
      <c r="R4705" s="25"/>
      <c r="S4705" s="25"/>
      <c r="T4705" s="25"/>
      <c r="U4705" s="27"/>
      <c r="V4705" s="21"/>
      <c r="W4705" s="16"/>
      <c r="X4705" s="16"/>
      <c r="Y4705" s="16"/>
    </row>
    <row r="4706" customFormat="false" ht="15.75" hidden="false" customHeight="false" outlineLevel="0" collapsed="false">
      <c r="A4706" s="9"/>
      <c r="B4706" s="10"/>
      <c r="C4706" s="11"/>
      <c r="D4706" s="10"/>
      <c r="E4706" s="10"/>
      <c r="F4706" s="10"/>
      <c r="G4706" s="10"/>
      <c r="H4706" s="10"/>
      <c r="I4706" s="12" t="n">
        <v>1</v>
      </c>
      <c r="J4706" s="12"/>
      <c r="K4706" s="13"/>
      <c r="L4706" s="13"/>
      <c r="M4706" s="12"/>
      <c r="N4706" s="12"/>
      <c r="O4706" s="12"/>
      <c r="P4706" s="13"/>
      <c r="Q4706" s="13"/>
      <c r="R4706" s="12"/>
      <c r="S4706" s="12"/>
      <c r="T4706" s="12"/>
      <c r="U4706" s="14"/>
      <c r="V4706" s="15"/>
      <c r="W4706" s="16" t="n">
        <f aca="false">A4706</f>
        <v>0</v>
      </c>
      <c r="X4706" s="17" t="e">
        <f aca="false">ifs(C4706="","",X4706="",NOW(),TRUE(),X4706)</f>
        <v>#VALUE!</v>
      </c>
      <c r="Y4706" s="17" t="e">
        <f aca="false">ifs(COUNTA(K4706:U4709)&lt;44,"",Y4706="",NOW(),TRUE(),Y4706)</f>
        <v>#VALUE!</v>
      </c>
    </row>
    <row r="4707" customFormat="false" ht="15.75" hidden="false" customHeight="false" outlineLevel="0" collapsed="false">
      <c r="A4707" s="9"/>
      <c r="B4707" s="10"/>
      <c r="C4707" s="10"/>
      <c r="D4707" s="10"/>
      <c r="E4707" s="10"/>
      <c r="F4707" s="10"/>
      <c r="G4707" s="10"/>
      <c r="H4707" s="10"/>
      <c r="I4707" s="18" t="n">
        <v>2</v>
      </c>
      <c r="J4707" s="18"/>
      <c r="K4707" s="19"/>
      <c r="L4707" s="19"/>
      <c r="M4707" s="18"/>
      <c r="N4707" s="18"/>
      <c r="O4707" s="18"/>
      <c r="P4707" s="19"/>
      <c r="Q4707" s="19"/>
      <c r="R4707" s="18"/>
      <c r="S4707" s="18"/>
      <c r="T4707" s="18"/>
      <c r="U4707" s="20"/>
      <c r="V4707" s="21"/>
      <c r="W4707" s="16"/>
      <c r="X4707" s="16"/>
      <c r="Y4707" s="16"/>
    </row>
    <row r="4708" customFormat="false" ht="15.75" hidden="false" customHeight="false" outlineLevel="0" collapsed="false">
      <c r="A4708" s="9"/>
      <c r="B4708" s="10"/>
      <c r="C4708" s="10"/>
      <c r="D4708" s="10"/>
      <c r="E4708" s="10"/>
      <c r="F4708" s="10"/>
      <c r="G4708" s="10"/>
      <c r="H4708" s="10"/>
      <c r="I4708" s="22" t="n">
        <v>3</v>
      </c>
      <c r="J4708" s="22"/>
      <c r="K4708" s="23"/>
      <c r="L4708" s="23"/>
      <c r="M4708" s="22"/>
      <c r="N4708" s="22"/>
      <c r="O4708" s="22"/>
      <c r="P4708" s="23"/>
      <c r="Q4708" s="23"/>
      <c r="R4708" s="22"/>
      <c r="S4708" s="22"/>
      <c r="T4708" s="22"/>
      <c r="U4708" s="24"/>
      <c r="V4708" s="15"/>
      <c r="W4708" s="16"/>
      <c r="X4708" s="16"/>
      <c r="Y4708" s="16"/>
    </row>
    <row r="4709" customFormat="false" ht="15.75" hidden="false" customHeight="false" outlineLevel="0" collapsed="false">
      <c r="A4709" s="9"/>
      <c r="B4709" s="10"/>
      <c r="C4709" s="10"/>
      <c r="D4709" s="10"/>
      <c r="E4709" s="10"/>
      <c r="F4709" s="10"/>
      <c r="G4709" s="10"/>
      <c r="H4709" s="10"/>
      <c r="I4709" s="25" t="n">
        <v>4</v>
      </c>
      <c r="J4709" s="25"/>
      <c r="K4709" s="26"/>
      <c r="L4709" s="26"/>
      <c r="M4709" s="25"/>
      <c r="N4709" s="25"/>
      <c r="O4709" s="25"/>
      <c r="P4709" s="26"/>
      <c r="Q4709" s="26"/>
      <c r="R4709" s="25"/>
      <c r="S4709" s="25"/>
      <c r="T4709" s="25"/>
      <c r="U4709" s="27"/>
      <c r="V4709" s="21"/>
      <c r="W4709" s="16"/>
      <c r="X4709" s="16"/>
      <c r="Y4709" s="16"/>
    </row>
    <row r="4710" customFormat="false" ht="15.75" hidden="false" customHeight="false" outlineLevel="0" collapsed="false">
      <c r="A4710" s="9"/>
      <c r="B4710" s="10"/>
      <c r="C4710" s="11"/>
      <c r="D4710" s="10"/>
      <c r="E4710" s="10"/>
      <c r="F4710" s="10"/>
      <c r="G4710" s="10"/>
      <c r="H4710" s="10"/>
      <c r="I4710" s="12" t="n">
        <v>1</v>
      </c>
      <c r="J4710" s="12"/>
      <c r="K4710" s="13"/>
      <c r="L4710" s="13"/>
      <c r="M4710" s="12"/>
      <c r="N4710" s="12"/>
      <c r="O4710" s="12"/>
      <c r="P4710" s="13"/>
      <c r="Q4710" s="13"/>
      <c r="R4710" s="12"/>
      <c r="S4710" s="12"/>
      <c r="T4710" s="12"/>
      <c r="U4710" s="14"/>
      <c r="V4710" s="15"/>
      <c r="W4710" s="16" t="n">
        <f aca="false">A4710</f>
        <v>0</v>
      </c>
      <c r="X4710" s="17" t="e">
        <f aca="false">ifs(C4710="","",X4710="",NOW(),TRUE(),X4710)</f>
        <v>#VALUE!</v>
      </c>
      <c r="Y4710" s="17" t="e">
        <f aca="false">ifs(COUNTA(K4710:U4713)&lt;44,"",Y4710="",NOW(),TRUE(),Y4710)</f>
        <v>#VALUE!</v>
      </c>
    </row>
    <row r="4711" customFormat="false" ht="15.75" hidden="false" customHeight="false" outlineLevel="0" collapsed="false">
      <c r="A4711" s="9"/>
      <c r="B4711" s="10"/>
      <c r="C4711" s="10"/>
      <c r="D4711" s="10"/>
      <c r="E4711" s="10"/>
      <c r="F4711" s="10"/>
      <c r="G4711" s="10"/>
      <c r="H4711" s="10"/>
      <c r="I4711" s="18" t="n">
        <v>2</v>
      </c>
      <c r="J4711" s="18"/>
      <c r="K4711" s="19"/>
      <c r="L4711" s="19"/>
      <c r="M4711" s="18"/>
      <c r="N4711" s="18"/>
      <c r="O4711" s="18"/>
      <c r="P4711" s="19"/>
      <c r="Q4711" s="19"/>
      <c r="R4711" s="18"/>
      <c r="S4711" s="18"/>
      <c r="T4711" s="18"/>
      <c r="U4711" s="20"/>
      <c r="V4711" s="21"/>
      <c r="W4711" s="16"/>
      <c r="X4711" s="16"/>
      <c r="Y4711" s="16"/>
    </row>
    <row r="4712" customFormat="false" ht="15.75" hidden="false" customHeight="false" outlineLevel="0" collapsed="false">
      <c r="A4712" s="9"/>
      <c r="B4712" s="10"/>
      <c r="C4712" s="10"/>
      <c r="D4712" s="10"/>
      <c r="E4712" s="10"/>
      <c r="F4712" s="10"/>
      <c r="G4712" s="10"/>
      <c r="H4712" s="10"/>
      <c r="I4712" s="22" t="n">
        <v>3</v>
      </c>
      <c r="J4712" s="22"/>
      <c r="K4712" s="23"/>
      <c r="L4712" s="23"/>
      <c r="M4712" s="22"/>
      <c r="N4712" s="22"/>
      <c r="O4712" s="22"/>
      <c r="P4712" s="23"/>
      <c r="Q4712" s="23"/>
      <c r="R4712" s="22"/>
      <c r="S4712" s="22"/>
      <c r="T4712" s="22"/>
      <c r="U4712" s="24"/>
      <c r="V4712" s="15"/>
      <c r="W4712" s="16"/>
      <c r="X4712" s="16"/>
      <c r="Y4712" s="16"/>
    </row>
    <row r="4713" customFormat="false" ht="15.75" hidden="false" customHeight="false" outlineLevel="0" collapsed="false">
      <c r="A4713" s="9"/>
      <c r="B4713" s="10"/>
      <c r="C4713" s="10"/>
      <c r="D4713" s="10"/>
      <c r="E4713" s="10"/>
      <c r="F4713" s="10"/>
      <c r="G4713" s="10"/>
      <c r="H4713" s="10"/>
      <c r="I4713" s="25" t="n">
        <v>4</v>
      </c>
      <c r="J4713" s="25"/>
      <c r="K4713" s="26"/>
      <c r="L4713" s="26"/>
      <c r="M4713" s="25"/>
      <c r="N4713" s="25"/>
      <c r="O4713" s="25"/>
      <c r="P4713" s="26"/>
      <c r="Q4713" s="26"/>
      <c r="R4713" s="25"/>
      <c r="S4713" s="25"/>
      <c r="T4713" s="25"/>
      <c r="U4713" s="27"/>
      <c r="V4713" s="21"/>
      <c r="W4713" s="16"/>
      <c r="X4713" s="16"/>
      <c r="Y4713" s="16"/>
    </row>
    <row r="4714" customFormat="false" ht="15.75" hidden="false" customHeight="false" outlineLevel="0" collapsed="false">
      <c r="A4714" s="9"/>
      <c r="B4714" s="10"/>
      <c r="C4714" s="11"/>
      <c r="D4714" s="10"/>
      <c r="E4714" s="10"/>
      <c r="F4714" s="10"/>
      <c r="G4714" s="10"/>
      <c r="H4714" s="10"/>
      <c r="I4714" s="12" t="n">
        <v>1</v>
      </c>
      <c r="J4714" s="12"/>
      <c r="K4714" s="13"/>
      <c r="L4714" s="13"/>
      <c r="M4714" s="12"/>
      <c r="N4714" s="12"/>
      <c r="O4714" s="12"/>
      <c r="P4714" s="13"/>
      <c r="Q4714" s="13"/>
      <c r="R4714" s="12"/>
      <c r="S4714" s="12"/>
      <c r="T4714" s="12"/>
      <c r="U4714" s="14"/>
      <c r="V4714" s="15"/>
      <c r="W4714" s="16" t="n">
        <f aca="false">A4714</f>
        <v>0</v>
      </c>
      <c r="X4714" s="17" t="e">
        <f aca="false">ifs(C4714="","",X4714="",NOW(),TRUE(),X4714)</f>
        <v>#VALUE!</v>
      </c>
      <c r="Y4714" s="17" t="e">
        <f aca="false">ifs(COUNTA(K4714:U4717)&lt;44,"",Y4714="",NOW(),TRUE(),Y4714)</f>
        <v>#VALUE!</v>
      </c>
    </row>
    <row r="4715" customFormat="false" ht="15.75" hidden="false" customHeight="false" outlineLevel="0" collapsed="false">
      <c r="A4715" s="9"/>
      <c r="B4715" s="10"/>
      <c r="C4715" s="10"/>
      <c r="D4715" s="10"/>
      <c r="E4715" s="10"/>
      <c r="F4715" s="10"/>
      <c r="G4715" s="10"/>
      <c r="H4715" s="10"/>
      <c r="I4715" s="18" t="n">
        <v>2</v>
      </c>
      <c r="J4715" s="18"/>
      <c r="K4715" s="19"/>
      <c r="L4715" s="19"/>
      <c r="M4715" s="18"/>
      <c r="N4715" s="18"/>
      <c r="O4715" s="18"/>
      <c r="P4715" s="19"/>
      <c r="Q4715" s="19"/>
      <c r="R4715" s="18"/>
      <c r="S4715" s="18"/>
      <c r="T4715" s="18"/>
      <c r="U4715" s="20"/>
      <c r="V4715" s="21"/>
      <c r="W4715" s="16"/>
      <c r="X4715" s="16"/>
      <c r="Y4715" s="16"/>
    </row>
    <row r="4716" customFormat="false" ht="15.75" hidden="false" customHeight="false" outlineLevel="0" collapsed="false">
      <c r="A4716" s="9"/>
      <c r="B4716" s="10"/>
      <c r="C4716" s="10"/>
      <c r="D4716" s="10"/>
      <c r="E4716" s="10"/>
      <c r="F4716" s="10"/>
      <c r="G4716" s="10"/>
      <c r="H4716" s="10"/>
      <c r="I4716" s="22" t="n">
        <v>3</v>
      </c>
      <c r="J4716" s="22"/>
      <c r="K4716" s="23"/>
      <c r="L4716" s="23"/>
      <c r="M4716" s="22"/>
      <c r="N4716" s="22"/>
      <c r="O4716" s="22"/>
      <c r="P4716" s="23"/>
      <c r="Q4716" s="23"/>
      <c r="R4716" s="22"/>
      <c r="S4716" s="22"/>
      <c r="T4716" s="22"/>
      <c r="U4716" s="24"/>
      <c r="V4716" s="15"/>
      <c r="W4716" s="16"/>
      <c r="X4716" s="16"/>
      <c r="Y4716" s="16"/>
    </row>
    <row r="4717" customFormat="false" ht="15.75" hidden="false" customHeight="false" outlineLevel="0" collapsed="false">
      <c r="A4717" s="9"/>
      <c r="B4717" s="10"/>
      <c r="C4717" s="10"/>
      <c r="D4717" s="10"/>
      <c r="E4717" s="10"/>
      <c r="F4717" s="10"/>
      <c r="G4717" s="10"/>
      <c r="H4717" s="10"/>
      <c r="I4717" s="25" t="n">
        <v>4</v>
      </c>
      <c r="J4717" s="25"/>
      <c r="K4717" s="26"/>
      <c r="L4717" s="26"/>
      <c r="M4717" s="25"/>
      <c r="N4717" s="25"/>
      <c r="O4717" s="25"/>
      <c r="P4717" s="26"/>
      <c r="Q4717" s="26"/>
      <c r="R4717" s="25"/>
      <c r="S4717" s="25"/>
      <c r="T4717" s="25"/>
      <c r="U4717" s="27"/>
      <c r="V4717" s="21"/>
      <c r="W4717" s="16"/>
      <c r="X4717" s="16"/>
      <c r="Y4717" s="16"/>
    </row>
    <row r="4718" customFormat="false" ht="15.75" hidden="false" customHeight="false" outlineLevel="0" collapsed="false">
      <c r="A4718" s="9"/>
      <c r="B4718" s="10"/>
      <c r="C4718" s="11"/>
      <c r="D4718" s="10"/>
      <c r="E4718" s="10"/>
      <c r="F4718" s="10"/>
      <c r="G4718" s="10"/>
      <c r="H4718" s="10"/>
      <c r="I4718" s="12" t="n">
        <v>1</v>
      </c>
      <c r="J4718" s="12"/>
      <c r="K4718" s="13"/>
      <c r="L4718" s="13"/>
      <c r="M4718" s="12"/>
      <c r="N4718" s="12"/>
      <c r="O4718" s="12"/>
      <c r="P4718" s="13"/>
      <c r="Q4718" s="13"/>
      <c r="R4718" s="12"/>
      <c r="S4718" s="12"/>
      <c r="T4718" s="12"/>
      <c r="U4718" s="14"/>
      <c r="V4718" s="15"/>
      <c r="W4718" s="16" t="n">
        <f aca="false">A4718</f>
        <v>0</v>
      </c>
      <c r="X4718" s="17" t="e">
        <f aca="false">ifs(C4718="","",X4718="",NOW(),TRUE(),X4718)</f>
        <v>#VALUE!</v>
      </c>
      <c r="Y4718" s="17" t="e">
        <f aca="false">ifs(COUNTA(K4718:U4721)&lt;44,"",Y4718="",NOW(),TRUE(),Y4718)</f>
        <v>#VALUE!</v>
      </c>
    </row>
    <row r="4719" customFormat="false" ht="15.75" hidden="false" customHeight="false" outlineLevel="0" collapsed="false">
      <c r="A4719" s="9"/>
      <c r="B4719" s="10"/>
      <c r="C4719" s="10"/>
      <c r="D4719" s="10"/>
      <c r="E4719" s="10"/>
      <c r="F4719" s="10"/>
      <c r="G4719" s="10"/>
      <c r="H4719" s="10"/>
      <c r="I4719" s="18" t="n">
        <v>2</v>
      </c>
      <c r="J4719" s="18"/>
      <c r="K4719" s="19"/>
      <c r="L4719" s="19"/>
      <c r="M4719" s="18"/>
      <c r="N4719" s="18"/>
      <c r="O4719" s="18"/>
      <c r="P4719" s="19"/>
      <c r="Q4719" s="19"/>
      <c r="R4719" s="18"/>
      <c r="S4719" s="18"/>
      <c r="T4719" s="18"/>
      <c r="U4719" s="20"/>
      <c r="V4719" s="21"/>
      <c r="W4719" s="16"/>
      <c r="X4719" s="16"/>
      <c r="Y4719" s="16"/>
    </row>
    <row r="4720" customFormat="false" ht="15.75" hidden="false" customHeight="false" outlineLevel="0" collapsed="false">
      <c r="A4720" s="9"/>
      <c r="B4720" s="10"/>
      <c r="C4720" s="10"/>
      <c r="D4720" s="10"/>
      <c r="E4720" s="10"/>
      <c r="F4720" s="10"/>
      <c r="G4720" s="10"/>
      <c r="H4720" s="10"/>
      <c r="I4720" s="22" t="n">
        <v>3</v>
      </c>
      <c r="J4720" s="22"/>
      <c r="K4720" s="23"/>
      <c r="L4720" s="23"/>
      <c r="M4720" s="22"/>
      <c r="N4720" s="22"/>
      <c r="O4720" s="22"/>
      <c r="P4720" s="23"/>
      <c r="Q4720" s="23"/>
      <c r="R4720" s="22"/>
      <c r="S4720" s="22"/>
      <c r="T4720" s="22"/>
      <c r="U4720" s="24"/>
      <c r="V4720" s="15"/>
      <c r="W4720" s="16"/>
      <c r="X4720" s="16"/>
      <c r="Y4720" s="16"/>
    </row>
    <row r="4721" customFormat="false" ht="15.75" hidden="false" customHeight="false" outlineLevel="0" collapsed="false">
      <c r="A4721" s="9"/>
      <c r="B4721" s="10"/>
      <c r="C4721" s="10"/>
      <c r="D4721" s="10"/>
      <c r="E4721" s="10"/>
      <c r="F4721" s="10"/>
      <c r="G4721" s="10"/>
      <c r="H4721" s="10"/>
      <c r="I4721" s="25" t="n">
        <v>4</v>
      </c>
      <c r="J4721" s="25"/>
      <c r="K4721" s="26"/>
      <c r="L4721" s="26"/>
      <c r="M4721" s="25"/>
      <c r="N4721" s="25"/>
      <c r="O4721" s="25"/>
      <c r="P4721" s="26"/>
      <c r="Q4721" s="26"/>
      <c r="R4721" s="25"/>
      <c r="S4721" s="25"/>
      <c r="T4721" s="25"/>
      <c r="U4721" s="27"/>
      <c r="V4721" s="21"/>
      <c r="W4721" s="16"/>
      <c r="X4721" s="16"/>
      <c r="Y4721" s="16"/>
    </row>
    <row r="4722" customFormat="false" ht="15.75" hidden="false" customHeight="false" outlineLevel="0" collapsed="false">
      <c r="A4722" s="9"/>
      <c r="B4722" s="10"/>
      <c r="C4722" s="11"/>
      <c r="D4722" s="10"/>
      <c r="E4722" s="10"/>
      <c r="F4722" s="10"/>
      <c r="G4722" s="10"/>
      <c r="H4722" s="10"/>
      <c r="I4722" s="12" t="n">
        <v>1</v>
      </c>
      <c r="J4722" s="12"/>
      <c r="K4722" s="13"/>
      <c r="L4722" s="13"/>
      <c r="M4722" s="12"/>
      <c r="N4722" s="12"/>
      <c r="O4722" s="12"/>
      <c r="P4722" s="13"/>
      <c r="Q4722" s="13"/>
      <c r="R4722" s="12"/>
      <c r="S4722" s="12"/>
      <c r="T4722" s="12"/>
      <c r="U4722" s="14"/>
      <c r="V4722" s="15"/>
      <c r="W4722" s="16" t="n">
        <f aca="false">A4722</f>
        <v>0</v>
      </c>
      <c r="X4722" s="17" t="e">
        <f aca="false">ifs(C4722="","",X4722="",NOW(),TRUE(),X4722)</f>
        <v>#VALUE!</v>
      </c>
      <c r="Y4722" s="17" t="e">
        <f aca="false">ifs(COUNTA(K4722:U4725)&lt;44,"",Y4722="",NOW(),TRUE(),Y4722)</f>
        <v>#VALUE!</v>
      </c>
    </row>
    <row r="4723" customFormat="false" ht="15.75" hidden="false" customHeight="false" outlineLevel="0" collapsed="false">
      <c r="A4723" s="9"/>
      <c r="B4723" s="10"/>
      <c r="C4723" s="10"/>
      <c r="D4723" s="10"/>
      <c r="E4723" s="10"/>
      <c r="F4723" s="10"/>
      <c r="G4723" s="10"/>
      <c r="H4723" s="10"/>
      <c r="I4723" s="18" t="n">
        <v>2</v>
      </c>
      <c r="J4723" s="18"/>
      <c r="K4723" s="19"/>
      <c r="L4723" s="19"/>
      <c r="M4723" s="18"/>
      <c r="N4723" s="18"/>
      <c r="O4723" s="18"/>
      <c r="P4723" s="19"/>
      <c r="Q4723" s="19"/>
      <c r="R4723" s="18"/>
      <c r="S4723" s="18"/>
      <c r="T4723" s="18"/>
      <c r="U4723" s="20"/>
      <c r="V4723" s="21"/>
      <c r="W4723" s="16"/>
      <c r="X4723" s="16"/>
      <c r="Y4723" s="16"/>
    </row>
    <row r="4724" customFormat="false" ht="15.75" hidden="false" customHeight="false" outlineLevel="0" collapsed="false">
      <c r="A4724" s="9"/>
      <c r="B4724" s="10"/>
      <c r="C4724" s="10"/>
      <c r="D4724" s="10"/>
      <c r="E4724" s="10"/>
      <c r="F4724" s="10"/>
      <c r="G4724" s="10"/>
      <c r="H4724" s="10"/>
      <c r="I4724" s="22" t="n">
        <v>3</v>
      </c>
      <c r="J4724" s="22"/>
      <c r="K4724" s="23"/>
      <c r="L4724" s="23"/>
      <c r="M4724" s="22"/>
      <c r="N4724" s="22"/>
      <c r="O4724" s="22"/>
      <c r="P4724" s="23"/>
      <c r="Q4724" s="23"/>
      <c r="R4724" s="22"/>
      <c r="S4724" s="22"/>
      <c r="T4724" s="22"/>
      <c r="U4724" s="24"/>
      <c r="V4724" s="15"/>
      <c r="W4724" s="16"/>
      <c r="X4724" s="16"/>
      <c r="Y4724" s="16"/>
    </row>
    <row r="4725" customFormat="false" ht="15.75" hidden="false" customHeight="false" outlineLevel="0" collapsed="false">
      <c r="A4725" s="9"/>
      <c r="B4725" s="10"/>
      <c r="C4725" s="10"/>
      <c r="D4725" s="10"/>
      <c r="E4725" s="10"/>
      <c r="F4725" s="10"/>
      <c r="G4725" s="10"/>
      <c r="H4725" s="10"/>
      <c r="I4725" s="25" t="n">
        <v>4</v>
      </c>
      <c r="J4725" s="25"/>
      <c r="K4725" s="26"/>
      <c r="L4725" s="26"/>
      <c r="M4725" s="25"/>
      <c r="N4725" s="25"/>
      <c r="O4725" s="25"/>
      <c r="P4725" s="26"/>
      <c r="Q4725" s="26"/>
      <c r="R4725" s="25"/>
      <c r="S4725" s="25"/>
      <c r="T4725" s="25"/>
      <c r="U4725" s="27"/>
      <c r="V4725" s="21"/>
      <c r="W4725" s="16"/>
      <c r="X4725" s="16"/>
      <c r="Y4725" s="16"/>
    </row>
    <row r="4726" customFormat="false" ht="15.75" hidden="false" customHeight="false" outlineLevel="0" collapsed="false">
      <c r="A4726" s="9"/>
      <c r="B4726" s="10"/>
      <c r="C4726" s="11"/>
      <c r="D4726" s="10"/>
      <c r="E4726" s="10"/>
      <c r="F4726" s="10"/>
      <c r="G4726" s="10"/>
      <c r="H4726" s="10"/>
      <c r="I4726" s="12" t="n">
        <v>1</v>
      </c>
      <c r="J4726" s="12"/>
      <c r="K4726" s="13"/>
      <c r="L4726" s="13"/>
      <c r="M4726" s="12"/>
      <c r="N4726" s="12"/>
      <c r="O4726" s="12"/>
      <c r="P4726" s="13"/>
      <c r="Q4726" s="13"/>
      <c r="R4726" s="12"/>
      <c r="S4726" s="12"/>
      <c r="T4726" s="12"/>
      <c r="U4726" s="14"/>
      <c r="V4726" s="15"/>
      <c r="W4726" s="16" t="n">
        <f aca="false">A4726</f>
        <v>0</v>
      </c>
      <c r="X4726" s="17" t="e">
        <f aca="false">ifs(C4726="","",X4726="",NOW(),TRUE(),X4726)</f>
        <v>#VALUE!</v>
      </c>
      <c r="Y4726" s="17" t="e">
        <f aca="false">ifs(COUNTA(K4726:U4729)&lt;44,"",Y4726="",NOW(),TRUE(),Y4726)</f>
        <v>#VALUE!</v>
      </c>
    </row>
    <row r="4727" customFormat="false" ht="15.75" hidden="false" customHeight="false" outlineLevel="0" collapsed="false">
      <c r="A4727" s="9"/>
      <c r="B4727" s="10"/>
      <c r="C4727" s="10"/>
      <c r="D4727" s="10"/>
      <c r="E4727" s="10"/>
      <c r="F4727" s="10"/>
      <c r="G4727" s="10"/>
      <c r="H4727" s="10"/>
      <c r="I4727" s="18" t="n">
        <v>2</v>
      </c>
      <c r="J4727" s="18"/>
      <c r="K4727" s="19"/>
      <c r="L4727" s="19"/>
      <c r="M4727" s="18"/>
      <c r="N4727" s="18"/>
      <c r="O4727" s="18"/>
      <c r="P4727" s="19"/>
      <c r="Q4727" s="19"/>
      <c r="R4727" s="18"/>
      <c r="S4727" s="18"/>
      <c r="T4727" s="18"/>
      <c r="U4727" s="20"/>
      <c r="V4727" s="21"/>
      <c r="W4727" s="16"/>
      <c r="X4727" s="16"/>
      <c r="Y4727" s="16"/>
    </row>
    <row r="4728" customFormat="false" ht="15.75" hidden="false" customHeight="false" outlineLevel="0" collapsed="false">
      <c r="A4728" s="9"/>
      <c r="B4728" s="10"/>
      <c r="C4728" s="10"/>
      <c r="D4728" s="10"/>
      <c r="E4728" s="10"/>
      <c r="F4728" s="10"/>
      <c r="G4728" s="10"/>
      <c r="H4728" s="10"/>
      <c r="I4728" s="22" t="n">
        <v>3</v>
      </c>
      <c r="J4728" s="22"/>
      <c r="K4728" s="23"/>
      <c r="L4728" s="23"/>
      <c r="M4728" s="22"/>
      <c r="N4728" s="22"/>
      <c r="O4728" s="22"/>
      <c r="P4728" s="23"/>
      <c r="Q4728" s="23"/>
      <c r="R4728" s="22"/>
      <c r="S4728" s="22"/>
      <c r="T4728" s="22"/>
      <c r="U4728" s="24"/>
      <c r="V4728" s="15"/>
      <c r="W4728" s="16"/>
      <c r="X4728" s="16"/>
      <c r="Y4728" s="16"/>
    </row>
    <row r="4729" customFormat="false" ht="15.75" hidden="false" customHeight="false" outlineLevel="0" collapsed="false">
      <c r="A4729" s="9"/>
      <c r="B4729" s="10"/>
      <c r="C4729" s="10"/>
      <c r="D4729" s="10"/>
      <c r="E4729" s="10"/>
      <c r="F4729" s="10"/>
      <c r="G4729" s="10"/>
      <c r="H4729" s="10"/>
      <c r="I4729" s="25" t="n">
        <v>4</v>
      </c>
      <c r="J4729" s="25"/>
      <c r="K4729" s="26"/>
      <c r="L4729" s="26"/>
      <c r="M4729" s="25"/>
      <c r="N4729" s="25"/>
      <c r="O4729" s="25"/>
      <c r="P4729" s="26"/>
      <c r="Q4729" s="26"/>
      <c r="R4729" s="25"/>
      <c r="S4729" s="25"/>
      <c r="T4729" s="25"/>
      <c r="U4729" s="27"/>
      <c r="V4729" s="21"/>
      <c r="W4729" s="16"/>
      <c r="X4729" s="16"/>
      <c r="Y4729" s="16"/>
    </row>
    <row r="4730" customFormat="false" ht="15.75" hidden="false" customHeight="false" outlineLevel="0" collapsed="false">
      <c r="A4730" s="9"/>
      <c r="B4730" s="10"/>
      <c r="C4730" s="11"/>
      <c r="D4730" s="10"/>
      <c r="E4730" s="10"/>
      <c r="F4730" s="10"/>
      <c r="G4730" s="10"/>
      <c r="H4730" s="10"/>
      <c r="I4730" s="12" t="n">
        <v>1</v>
      </c>
      <c r="J4730" s="12"/>
      <c r="K4730" s="13"/>
      <c r="L4730" s="13"/>
      <c r="M4730" s="12"/>
      <c r="N4730" s="12"/>
      <c r="O4730" s="12"/>
      <c r="P4730" s="13"/>
      <c r="Q4730" s="13"/>
      <c r="R4730" s="12"/>
      <c r="S4730" s="12"/>
      <c r="T4730" s="12"/>
      <c r="U4730" s="14"/>
      <c r="V4730" s="15"/>
      <c r="W4730" s="16" t="n">
        <f aca="false">A4730</f>
        <v>0</v>
      </c>
      <c r="X4730" s="17" t="e">
        <f aca="false">ifs(C4730="","",X4730="",NOW(),TRUE(),X4730)</f>
        <v>#VALUE!</v>
      </c>
      <c r="Y4730" s="17" t="e">
        <f aca="false">ifs(COUNTA(K4730:U4733)&lt;44,"",Y4730="",NOW(),TRUE(),Y4730)</f>
        <v>#VALUE!</v>
      </c>
    </row>
    <row r="4731" customFormat="false" ht="15.75" hidden="false" customHeight="false" outlineLevel="0" collapsed="false">
      <c r="A4731" s="9"/>
      <c r="B4731" s="10"/>
      <c r="C4731" s="10"/>
      <c r="D4731" s="10"/>
      <c r="E4731" s="10"/>
      <c r="F4731" s="10"/>
      <c r="G4731" s="10"/>
      <c r="H4731" s="10"/>
      <c r="I4731" s="18" t="n">
        <v>2</v>
      </c>
      <c r="J4731" s="18"/>
      <c r="K4731" s="19"/>
      <c r="L4731" s="19"/>
      <c r="M4731" s="18"/>
      <c r="N4731" s="18"/>
      <c r="O4731" s="18"/>
      <c r="P4731" s="19"/>
      <c r="Q4731" s="19"/>
      <c r="R4731" s="18"/>
      <c r="S4731" s="18"/>
      <c r="T4731" s="18"/>
      <c r="U4731" s="20"/>
      <c r="V4731" s="21"/>
      <c r="W4731" s="16"/>
      <c r="X4731" s="16"/>
      <c r="Y4731" s="16"/>
    </row>
    <row r="4732" customFormat="false" ht="15.75" hidden="false" customHeight="false" outlineLevel="0" collapsed="false">
      <c r="A4732" s="9"/>
      <c r="B4732" s="10"/>
      <c r="C4732" s="10"/>
      <c r="D4732" s="10"/>
      <c r="E4732" s="10"/>
      <c r="F4732" s="10"/>
      <c r="G4732" s="10"/>
      <c r="H4732" s="10"/>
      <c r="I4732" s="22" t="n">
        <v>3</v>
      </c>
      <c r="J4732" s="22"/>
      <c r="K4732" s="23"/>
      <c r="L4732" s="23"/>
      <c r="M4732" s="22"/>
      <c r="N4732" s="22"/>
      <c r="O4732" s="22"/>
      <c r="P4732" s="23"/>
      <c r="Q4732" s="23"/>
      <c r="R4732" s="22"/>
      <c r="S4732" s="22"/>
      <c r="T4732" s="22"/>
      <c r="U4732" s="24"/>
      <c r="V4732" s="15"/>
      <c r="W4732" s="16"/>
      <c r="X4732" s="16"/>
      <c r="Y4732" s="16"/>
    </row>
    <row r="4733" customFormat="false" ht="15.75" hidden="false" customHeight="false" outlineLevel="0" collapsed="false">
      <c r="A4733" s="9"/>
      <c r="B4733" s="10"/>
      <c r="C4733" s="10"/>
      <c r="D4733" s="10"/>
      <c r="E4733" s="10"/>
      <c r="F4733" s="10"/>
      <c r="G4733" s="10"/>
      <c r="H4733" s="10"/>
      <c r="I4733" s="25" t="n">
        <v>4</v>
      </c>
      <c r="J4733" s="25"/>
      <c r="K4733" s="26"/>
      <c r="L4733" s="26"/>
      <c r="M4733" s="25"/>
      <c r="N4733" s="25"/>
      <c r="O4733" s="25"/>
      <c r="P4733" s="26"/>
      <c r="Q4733" s="26"/>
      <c r="R4733" s="25"/>
      <c r="S4733" s="25"/>
      <c r="T4733" s="25"/>
      <c r="U4733" s="27"/>
      <c r="V4733" s="21"/>
      <c r="W4733" s="16"/>
      <c r="X4733" s="16"/>
      <c r="Y4733" s="16"/>
    </row>
    <row r="4734" customFormat="false" ht="15.75" hidden="false" customHeight="false" outlineLevel="0" collapsed="false">
      <c r="A4734" s="9"/>
      <c r="B4734" s="10"/>
      <c r="C4734" s="11"/>
      <c r="D4734" s="10"/>
      <c r="E4734" s="10"/>
      <c r="F4734" s="10"/>
      <c r="G4734" s="10"/>
      <c r="H4734" s="10"/>
      <c r="I4734" s="12" t="n">
        <v>1</v>
      </c>
      <c r="J4734" s="12"/>
      <c r="K4734" s="13"/>
      <c r="L4734" s="13"/>
      <c r="M4734" s="12"/>
      <c r="N4734" s="12"/>
      <c r="O4734" s="12"/>
      <c r="P4734" s="13"/>
      <c r="Q4734" s="13"/>
      <c r="R4734" s="12"/>
      <c r="S4734" s="12"/>
      <c r="T4734" s="12"/>
      <c r="U4734" s="14"/>
      <c r="V4734" s="15"/>
      <c r="W4734" s="16" t="n">
        <f aca="false">A4734</f>
        <v>0</v>
      </c>
      <c r="X4734" s="17" t="e">
        <f aca="false">ifs(C4734="","",X4734="",NOW(),TRUE(),X4734)</f>
        <v>#VALUE!</v>
      </c>
      <c r="Y4734" s="17" t="e">
        <f aca="false">ifs(COUNTA(K4734:U4737)&lt;44,"",Y4734="",NOW(),TRUE(),Y4734)</f>
        <v>#VALUE!</v>
      </c>
    </row>
    <row r="4735" customFormat="false" ht="15.75" hidden="false" customHeight="false" outlineLevel="0" collapsed="false">
      <c r="A4735" s="9"/>
      <c r="B4735" s="10"/>
      <c r="C4735" s="10"/>
      <c r="D4735" s="10"/>
      <c r="E4735" s="10"/>
      <c r="F4735" s="10"/>
      <c r="G4735" s="10"/>
      <c r="H4735" s="10"/>
      <c r="I4735" s="18" t="n">
        <v>2</v>
      </c>
      <c r="J4735" s="18"/>
      <c r="K4735" s="19"/>
      <c r="L4735" s="19"/>
      <c r="M4735" s="18"/>
      <c r="N4735" s="18"/>
      <c r="O4735" s="18"/>
      <c r="P4735" s="19"/>
      <c r="Q4735" s="19"/>
      <c r="R4735" s="18"/>
      <c r="S4735" s="18"/>
      <c r="T4735" s="18"/>
      <c r="U4735" s="20"/>
      <c r="V4735" s="21"/>
      <c r="W4735" s="16"/>
      <c r="X4735" s="16"/>
      <c r="Y4735" s="16"/>
    </row>
    <row r="4736" customFormat="false" ht="15.75" hidden="false" customHeight="false" outlineLevel="0" collapsed="false">
      <c r="A4736" s="9"/>
      <c r="B4736" s="10"/>
      <c r="C4736" s="10"/>
      <c r="D4736" s="10"/>
      <c r="E4736" s="10"/>
      <c r="F4736" s="10"/>
      <c r="G4736" s="10"/>
      <c r="H4736" s="10"/>
      <c r="I4736" s="22" t="n">
        <v>3</v>
      </c>
      <c r="J4736" s="22"/>
      <c r="K4736" s="23"/>
      <c r="L4736" s="23"/>
      <c r="M4736" s="22"/>
      <c r="N4736" s="22"/>
      <c r="O4736" s="22"/>
      <c r="P4736" s="23"/>
      <c r="Q4736" s="23"/>
      <c r="R4736" s="22"/>
      <c r="S4736" s="22"/>
      <c r="T4736" s="22"/>
      <c r="U4736" s="24"/>
      <c r="V4736" s="15"/>
      <c r="W4736" s="16"/>
      <c r="X4736" s="16"/>
      <c r="Y4736" s="16"/>
    </row>
    <row r="4737" customFormat="false" ht="15.75" hidden="false" customHeight="false" outlineLevel="0" collapsed="false">
      <c r="A4737" s="9"/>
      <c r="B4737" s="10"/>
      <c r="C4737" s="10"/>
      <c r="D4737" s="10"/>
      <c r="E4737" s="10"/>
      <c r="F4737" s="10"/>
      <c r="G4737" s="10"/>
      <c r="H4737" s="10"/>
      <c r="I4737" s="25" t="n">
        <v>4</v>
      </c>
      <c r="J4737" s="25"/>
      <c r="K4737" s="26"/>
      <c r="L4737" s="26"/>
      <c r="M4737" s="25"/>
      <c r="N4737" s="25"/>
      <c r="O4737" s="25"/>
      <c r="P4737" s="26"/>
      <c r="Q4737" s="26"/>
      <c r="R4737" s="25"/>
      <c r="S4737" s="25"/>
      <c r="T4737" s="25"/>
      <c r="U4737" s="27"/>
      <c r="V4737" s="21"/>
      <c r="W4737" s="16"/>
      <c r="X4737" s="16"/>
      <c r="Y4737" s="16"/>
    </row>
    <row r="4738" customFormat="false" ht="15.75" hidden="false" customHeight="false" outlineLevel="0" collapsed="false">
      <c r="A4738" s="9"/>
      <c r="B4738" s="10"/>
      <c r="C4738" s="11"/>
      <c r="D4738" s="10"/>
      <c r="E4738" s="10"/>
      <c r="F4738" s="10"/>
      <c r="G4738" s="10"/>
      <c r="H4738" s="10"/>
      <c r="I4738" s="12" t="n">
        <v>1</v>
      </c>
      <c r="J4738" s="12"/>
      <c r="K4738" s="13"/>
      <c r="L4738" s="13"/>
      <c r="M4738" s="12"/>
      <c r="N4738" s="12"/>
      <c r="O4738" s="12"/>
      <c r="P4738" s="13"/>
      <c r="Q4738" s="13"/>
      <c r="R4738" s="12"/>
      <c r="S4738" s="12"/>
      <c r="T4738" s="12"/>
      <c r="U4738" s="14"/>
      <c r="V4738" s="15"/>
      <c r="W4738" s="16" t="n">
        <f aca="false">A4738</f>
        <v>0</v>
      </c>
      <c r="X4738" s="17" t="e">
        <f aca="false">ifs(C4738="","",X4738="",NOW(),TRUE(),X4738)</f>
        <v>#VALUE!</v>
      </c>
      <c r="Y4738" s="17" t="e">
        <f aca="false">ifs(COUNTA(K4738:U4741)&lt;44,"",Y4738="",NOW(),TRUE(),Y4738)</f>
        <v>#VALUE!</v>
      </c>
    </row>
    <row r="4739" customFormat="false" ht="15.75" hidden="false" customHeight="false" outlineLevel="0" collapsed="false">
      <c r="A4739" s="9"/>
      <c r="B4739" s="10"/>
      <c r="C4739" s="10"/>
      <c r="D4739" s="10"/>
      <c r="E4739" s="10"/>
      <c r="F4739" s="10"/>
      <c r="G4739" s="10"/>
      <c r="H4739" s="10"/>
      <c r="I4739" s="18" t="n">
        <v>2</v>
      </c>
      <c r="J4739" s="18"/>
      <c r="K4739" s="19"/>
      <c r="L4739" s="19"/>
      <c r="M4739" s="18"/>
      <c r="N4739" s="18"/>
      <c r="O4739" s="18"/>
      <c r="P4739" s="19"/>
      <c r="Q4739" s="19"/>
      <c r="R4739" s="18"/>
      <c r="S4739" s="18"/>
      <c r="T4739" s="18"/>
      <c r="U4739" s="20"/>
      <c r="V4739" s="21"/>
      <c r="W4739" s="16"/>
      <c r="X4739" s="16"/>
      <c r="Y4739" s="16"/>
    </row>
    <row r="4740" customFormat="false" ht="15.75" hidden="false" customHeight="false" outlineLevel="0" collapsed="false">
      <c r="A4740" s="9"/>
      <c r="B4740" s="10"/>
      <c r="C4740" s="10"/>
      <c r="D4740" s="10"/>
      <c r="E4740" s="10"/>
      <c r="F4740" s="10"/>
      <c r="G4740" s="10"/>
      <c r="H4740" s="10"/>
      <c r="I4740" s="22" t="n">
        <v>3</v>
      </c>
      <c r="J4740" s="22"/>
      <c r="K4740" s="23"/>
      <c r="L4740" s="23"/>
      <c r="M4740" s="22"/>
      <c r="N4740" s="22"/>
      <c r="O4740" s="22"/>
      <c r="P4740" s="23"/>
      <c r="Q4740" s="23"/>
      <c r="R4740" s="22"/>
      <c r="S4740" s="22"/>
      <c r="T4740" s="22"/>
      <c r="U4740" s="24"/>
      <c r="V4740" s="15"/>
      <c r="W4740" s="16"/>
      <c r="X4740" s="16"/>
      <c r="Y4740" s="16"/>
    </row>
    <row r="4741" customFormat="false" ht="15.75" hidden="false" customHeight="false" outlineLevel="0" collapsed="false">
      <c r="A4741" s="9"/>
      <c r="B4741" s="10"/>
      <c r="C4741" s="10"/>
      <c r="D4741" s="10"/>
      <c r="E4741" s="10"/>
      <c r="F4741" s="10"/>
      <c r="G4741" s="10"/>
      <c r="H4741" s="10"/>
      <c r="I4741" s="25" t="n">
        <v>4</v>
      </c>
      <c r="J4741" s="25"/>
      <c r="K4741" s="26"/>
      <c r="L4741" s="26"/>
      <c r="M4741" s="25"/>
      <c r="N4741" s="25"/>
      <c r="O4741" s="25"/>
      <c r="P4741" s="26"/>
      <c r="Q4741" s="26"/>
      <c r="R4741" s="25"/>
      <c r="S4741" s="25"/>
      <c r="T4741" s="25"/>
      <c r="U4741" s="27"/>
      <c r="V4741" s="21"/>
      <c r="W4741" s="16"/>
      <c r="X4741" s="16"/>
      <c r="Y4741" s="16"/>
    </row>
    <row r="4742" customFormat="false" ht="15.75" hidden="false" customHeight="false" outlineLevel="0" collapsed="false">
      <c r="A4742" s="9"/>
      <c r="B4742" s="10"/>
      <c r="C4742" s="11"/>
      <c r="D4742" s="10"/>
      <c r="E4742" s="10"/>
      <c r="F4742" s="10"/>
      <c r="G4742" s="10"/>
      <c r="H4742" s="10"/>
      <c r="I4742" s="12" t="n">
        <v>1</v>
      </c>
      <c r="J4742" s="12"/>
      <c r="K4742" s="13"/>
      <c r="L4742" s="13"/>
      <c r="M4742" s="12"/>
      <c r="N4742" s="12"/>
      <c r="O4742" s="12"/>
      <c r="P4742" s="13"/>
      <c r="Q4742" s="13"/>
      <c r="R4742" s="12"/>
      <c r="S4742" s="12"/>
      <c r="T4742" s="12"/>
      <c r="U4742" s="14"/>
      <c r="V4742" s="15"/>
      <c r="W4742" s="16" t="n">
        <f aca="false">A4742</f>
        <v>0</v>
      </c>
      <c r="X4742" s="17" t="e">
        <f aca="false">ifs(C4742="","",X4742="",NOW(),TRUE(),X4742)</f>
        <v>#VALUE!</v>
      </c>
      <c r="Y4742" s="17" t="e">
        <f aca="false">ifs(COUNTA(K4742:U4745)&lt;44,"",Y4742="",NOW(),TRUE(),Y4742)</f>
        <v>#VALUE!</v>
      </c>
    </row>
    <row r="4743" customFormat="false" ht="15.75" hidden="false" customHeight="false" outlineLevel="0" collapsed="false">
      <c r="A4743" s="9"/>
      <c r="B4743" s="10"/>
      <c r="C4743" s="10"/>
      <c r="D4743" s="10"/>
      <c r="E4743" s="10"/>
      <c r="F4743" s="10"/>
      <c r="G4743" s="10"/>
      <c r="H4743" s="10"/>
      <c r="I4743" s="18" t="n">
        <v>2</v>
      </c>
      <c r="J4743" s="18"/>
      <c r="K4743" s="19"/>
      <c r="L4743" s="19"/>
      <c r="M4743" s="18"/>
      <c r="N4743" s="18"/>
      <c r="O4743" s="18"/>
      <c r="P4743" s="19"/>
      <c r="Q4743" s="19"/>
      <c r="R4743" s="18"/>
      <c r="S4743" s="18"/>
      <c r="T4743" s="18"/>
      <c r="U4743" s="20"/>
      <c r="V4743" s="21"/>
      <c r="W4743" s="16"/>
      <c r="X4743" s="16"/>
      <c r="Y4743" s="16"/>
    </row>
    <row r="4744" customFormat="false" ht="15.75" hidden="false" customHeight="false" outlineLevel="0" collapsed="false">
      <c r="A4744" s="9"/>
      <c r="B4744" s="10"/>
      <c r="C4744" s="10"/>
      <c r="D4744" s="10"/>
      <c r="E4744" s="10"/>
      <c r="F4744" s="10"/>
      <c r="G4744" s="10"/>
      <c r="H4744" s="10"/>
      <c r="I4744" s="22" t="n">
        <v>3</v>
      </c>
      <c r="J4744" s="22"/>
      <c r="K4744" s="23"/>
      <c r="L4744" s="23"/>
      <c r="M4744" s="22"/>
      <c r="N4744" s="22"/>
      <c r="O4744" s="22"/>
      <c r="P4744" s="23"/>
      <c r="Q4744" s="23"/>
      <c r="R4744" s="22"/>
      <c r="S4744" s="22"/>
      <c r="T4744" s="22"/>
      <c r="U4744" s="24"/>
      <c r="V4744" s="15"/>
      <c r="W4744" s="16"/>
      <c r="X4744" s="16"/>
      <c r="Y4744" s="16"/>
    </row>
    <row r="4745" customFormat="false" ht="15.75" hidden="false" customHeight="false" outlineLevel="0" collapsed="false">
      <c r="A4745" s="9"/>
      <c r="B4745" s="10"/>
      <c r="C4745" s="10"/>
      <c r="D4745" s="10"/>
      <c r="E4745" s="10"/>
      <c r="F4745" s="10"/>
      <c r="G4745" s="10"/>
      <c r="H4745" s="10"/>
      <c r="I4745" s="25" t="n">
        <v>4</v>
      </c>
      <c r="J4745" s="25"/>
      <c r="K4745" s="26"/>
      <c r="L4745" s="26"/>
      <c r="M4745" s="25"/>
      <c r="N4745" s="25"/>
      <c r="O4745" s="25"/>
      <c r="P4745" s="26"/>
      <c r="Q4745" s="26"/>
      <c r="R4745" s="25"/>
      <c r="S4745" s="25"/>
      <c r="T4745" s="25"/>
      <c r="U4745" s="27"/>
      <c r="V4745" s="21"/>
      <c r="W4745" s="16"/>
      <c r="X4745" s="16"/>
      <c r="Y4745" s="16"/>
    </row>
    <row r="4746" customFormat="false" ht="15.75" hidden="false" customHeight="false" outlineLevel="0" collapsed="false">
      <c r="A4746" s="9"/>
      <c r="B4746" s="10"/>
      <c r="C4746" s="11"/>
      <c r="D4746" s="10"/>
      <c r="E4746" s="10"/>
      <c r="F4746" s="10"/>
      <c r="G4746" s="10"/>
      <c r="H4746" s="10"/>
      <c r="I4746" s="12" t="n">
        <v>1</v>
      </c>
      <c r="J4746" s="12"/>
      <c r="K4746" s="13"/>
      <c r="L4746" s="13"/>
      <c r="M4746" s="12"/>
      <c r="N4746" s="12"/>
      <c r="O4746" s="12"/>
      <c r="P4746" s="13"/>
      <c r="Q4746" s="13"/>
      <c r="R4746" s="12"/>
      <c r="S4746" s="12"/>
      <c r="T4746" s="12"/>
      <c r="U4746" s="14"/>
      <c r="V4746" s="15"/>
      <c r="W4746" s="16" t="n">
        <f aca="false">A4746</f>
        <v>0</v>
      </c>
      <c r="X4746" s="17" t="e">
        <f aca="false">ifs(C4746="","",X4746="",NOW(),TRUE(),X4746)</f>
        <v>#VALUE!</v>
      </c>
      <c r="Y4746" s="17" t="e">
        <f aca="false">ifs(COUNTA(K4746:U4749)&lt;44,"",Y4746="",NOW(),TRUE(),Y4746)</f>
        <v>#VALUE!</v>
      </c>
    </row>
    <row r="4747" customFormat="false" ht="15.75" hidden="false" customHeight="false" outlineLevel="0" collapsed="false">
      <c r="A4747" s="9"/>
      <c r="B4747" s="10"/>
      <c r="C4747" s="10"/>
      <c r="D4747" s="10"/>
      <c r="E4747" s="10"/>
      <c r="F4747" s="10"/>
      <c r="G4747" s="10"/>
      <c r="H4747" s="10"/>
      <c r="I4747" s="18" t="n">
        <v>2</v>
      </c>
      <c r="J4747" s="18"/>
      <c r="K4747" s="19"/>
      <c r="L4747" s="19"/>
      <c r="M4747" s="18"/>
      <c r="N4747" s="18"/>
      <c r="O4747" s="18"/>
      <c r="P4747" s="19"/>
      <c r="Q4747" s="19"/>
      <c r="R4747" s="18"/>
      <c r="S4747" s="18"/>
      <c r="T4747" s="18"/>
      <c r="U4747" s="20"/>
      <c r="V4747" s="21"/>
      <c r="W4747" s="16"/>
      <c r="X4747" s="16"/>
      <c r="Y4747" s="16"/>
    </row>
    <row r="4748" customFormat="false" ht="15.75" hidden="false" customHeight="false" outlineLevel="0" collapsed="false">
      <c r="A4748" s="9"/>
      <c r="B4748" s="10"/>
      <c r="C4748" s="10"/>
      <c r="D4748" s="10"/>
      <c r="E4748" s="10"/>
      <c r="F4748" s="10"/>
      <c r="G4748" s="10"/>
      <c r="H4748" s="10"/>
      <c r="I4748" s="22" t="n">
        <v>3</v>
      </c>
      <c r="J4748" s="22"/>
      <c r="K4748" s="23"/>
      <c r="L4748" s="23"/>
      <c r="M4748" s="22"/>
      <c r="N4748" s="22"/>
      <c r="O4748" s="22"/>
      <c r="P4748" s="23"/>
      <c r="Q4748" s="23"/>
      <c r="R4748" s="22"/>
      <c r="S4748" s="22"/>
      <c r="T4748" s="22"/>
      <c r="U4748" s="24"/>
      <c r="V4748" s="15"/>
      <c r="W4748" s="16"/>
      <c r="X4748" s="16"/>
      <c r="Y4748" s="16"/>
    </row>
    <row r="4749" customFormat="false" ht="15.75" hidden="false" customHeight="false" outlineLevel="0" collapsed="false">
      <c r="A4749" s="9"/>
      <c r="B4749" s="10"/>
      <c r="C4749" s="10"/>
      <c r="D4749" s="10"/>
      <c r="E4749" s="10"/>
      <c r="F4749" s="10"/>
      <c r="G4749" s="10"/>
      <c r="H4749" s="10"/>
      <c r="I4749" s="25" t="n">
        <v>4</v>
      </c>
      <c r="J4749" s="25"/>
      <c r="K4749" s="26"/>
      <c r="L4749" s="26"/>
      <c r="M4749" s="25"/>
      <c r="N4749" s="25"/>
      <c r="O4749" s="25"/>
      <c r="P4749" s="26"/>
      <c r="Q4749" s="26"/>
      <c r="R4749" s="25"/>
      <c r="S4749" s="25"/>
      <c r="T4749" s="25"/>
      <c r="U4749" s="27"/>
      <c r="V4749" s="21"/>
      <c r="W4749" s="16"/>
      <c r="X4749" s="16"/>
      <c r="Y4749" s="16"/>
    </row>
    <row r="4750" customFormat="false" ht="15.75" hidden="false" customHeight="false" outlineLevel="0" collapsed="false">
      <c r="A4750" s="9"/>
      <c r="B4750" s="10"/>
      <c r="C4750" s="11"/>
      <c r="D4750" s="10"/>
      <c r="E4750" s="10"/>
      <c r="F4750" s="10"/>
      <c r="G4750" s="10"/>
      <c r="H4750" s="10"/>
      <c r="I4750" s="12" t="n">
        <v>1</v>
      </c>
      <c r="J4750" s="12"/>
      <c r="K4750" s="13"/>
      <c r="L4750" s="13"/>
      <c r="M4750" s="12"/>
      <c r="N4750" s="12"/>
      <c r="O4750" s="12"/>
      <c r="P4750" s="13"/>
      <c r="Q4750" s="13"/>
      <c r="R4750" s="12"/>
      <c r="S4750" s="12"/>
      <c r="T4750" s="12"/>
      <c r="U4750" s="14"/>
      <c r="V4750" s="15"/>
      <c r="W4750" s="16" t="n">
        <f aca="false">A4750</f>
        <v>0</v>
      </c>
      <c r="X4750" s="17" t="e">
        <f aca="false">ifs(C4750="","",X4750="",NOW(),TRUE(),X4750)</f>
        <v>#VALUE!</v>
      </c>
      <c r="Y4750" s="17" t="e">
        <f aca="false">ifs(COUNTA(K4750:U4753)&lt;44,"",Y4750="",NOW(),TRUE(),Y4750)</f>
        <v>#VALUE!</v>
      </c>
    </row>
    <row r="4751" customFormat="false" ht="15.75" hidden="false" customHeight="false" outlineLevel="0" collapsed="false">
      <c r="A4751" s="9"/>
      <c r="B4751" s="10"/>
      <c r="C4751" s="10"/>
      <c r="D4751" s="10"/>
      <c r="E4751" s="10"/>
      <c r="F4751" s="10"/>
      <c r="G4751" s="10"/>
      <c r="H4751" s="10"/>
      <c r="I4751" s="18" t="n">
        <v>2</v>
      </c>
      <c r="J4751" s="18"/>
      <c r="K4751" s="19"/>
      <c r="L4751" s="19"/>
      <c r="M4751" s="18"/>
      <c r="N4751" s="18"/>
      <c r="O4751" s="18"/>
      <c r="P4751" s="19"/>
      <c r="Q4751" s="19"/>
      <c r="R4751" s="18"/>
      <c r="S4751" s="18"/>
      <c r="T4751" s="18"/>
      <c r="U4751" s="20"/>
      <c r="V4751" s="21"/>
      <c r="W4751" s="16"/>
      <c r="X4751" s="16"/>
      <c r="Y4751" s="16"/>
    </row>
    <row r="4752" customFormat="false" ht="15.75" hidden="false" customHeight="false" outlineLevel="0" collapsed="false">
      <c r="A4752" s="9"/>
      <c r="B4752" s="10"/>
      <c r="C4752" s="10"/>
      <c r="D4752" s="10"/>
      <c r="E4752" s="10"/>
      <c r="F4752" s="10"/>
      <c r="G4752" s="10"/>
      <c r="H4752" s="10"/>
      <c r="I4752" s="22" t="n">
        <v>3</v>
      </c>
      <c r="J4752" s="22"/>
      <c r="K4752" s="23"/>
      <c r="L4752" s="23"/>
      <c r="M4752" s="22"/>
      <c r="N4752" s="22"/>
      <c r="O4752" s="22"/>
      <c r="P4752" s="23"/>
      <c r="Q4752" s="23"/>
      <c r="R4752" s="22"/>
      <c r="S4752" s="22"/>
      <c r="T4752" s="22"/>
      <c r="U4752" s="24"/>
      <c r="V4752" s="15"/>
      <c r="W4752" s="16"/>
      <c r="X4752" s="16"/>
      <c r="Y4752" s="16"/>
    </row>
    <row r="4753" customFormat="false" ht="15.75" hidden="false" customHeight="false" outlineLevel="0" collapsed="false">
      <c r="A4753" s="9"/>
      <c r="B4753" s="10"/>
      <c r="C4753" s="10"/>
      <c r="D4753" s="10"/>
      <c r="E4753" s="10"/>
      <c r="F4753" s="10"/>
      <c r="G4753" s="10"/>
      <c r="H4753" s="10"/>
      <c r="I4753" s="25" t="n">
        <v>4</v>
      </c>
      <c r="J4753" s="25"/>
      <c r="K4753" s="26"/>
      <c r="L4753" s="26"/>
      <c r="M4753" s="25"/>
      <c r="N4753" s="25"/>
      <c r="O4753" s="25"/>
      <c r="P4753" s="26"/>
      <c r="Q4753" s="26"/>
      <c r="R4753" s="25"/>
      <c r="S4753" s="25"/>
      <c r="T4753" s="25"/>
      <c r="U4753" s="27"/>
      <c r="V4753" s="21"/>
      <c r="W4753" s="16"/>
      <c r="X4753" s="16"/>
      <c r="Y4753" s="16"/>
    </row>
    <row r="4754" customFormat="false" ht="15.75" hidden="false" customHeight="false" outlineLevel="0" collapsed="false">
      <c r="A4754" s="9"/>
      <c r="B4754" s="10"/>
      <c r="C4754" s="11"/>
      <c r="D4754" s="10"/>
      <c r="E4754" s="10"/>
      <c r="F4754" s="10"/>
      <c r="G4754" s="10"/>
      <c r="H4754" s="10"/>
      <c r="I4754" s="12" t="n">
        <v>1</v>
      </c>
      <c r="J4754" s="12"/>
      <c r="K4754" s="13"/>
      <c r="L4754" s="13"/>
      <c r="M4754" s="12"/>
      <c r="N4754" s="12"/>
      <c r="O4754" s="12"/>
      <c r="P4754" s="13"/>
      <c r="Q4754" s="13"/>
      <c r="R4754" s="12"/>
      <c r="S4754" s="12"/>
      <c r="T4754" s="12"/>
      <c r="U4754" s="14"/>
      <c r="V4754" s="15"/>
      <c r="W4754" s="16" t="n">
        <f aca="false">A4754</f>
        <v>0</v>
      </c>
      <c r="X4754" s="17" t="e">
        <f aca="false">ifs(C4754="","",X4754="",NOW(),TRUE(),X4754)</f>
        <v>#VALUE!</v>
      </c>
      <c r="Y4754" s="17" t="e">
        <f aca="false">ifs(COUNTA(K4754:U4757)&lt;44,"",Y4754="",NOW(),TRUE(),Y4754)</f>
        <v>#VALUE!</v>
      </c>
    </row>
    <row r="4755" customFormat="false" ht="15.75" hidden="false" customHeight="false" outlineLevel="0" collapsed="false">
      <c r="A4755" s="9"/>
      <c r="B4755" s="10"/>
      <c r="C4755" s="10"/>
      <c r="D4755" s="10"/>
      <c r="E4755" s="10"/>
      <c r="F4755" s="10"/>
      <c r="G4755" s="10"/>
      <c r="H4755" s="10"/>
      <c r="I4755" s="18" t="n">
        <v>2</v>
      </c>
      <c r="J4755" s="18"/>
      <c r="K4755" s="19"/>
      <c r="L4755" s="19"/>
      <c r="M4755" s="18"/>
      <c r="N4755" s="18"/>
      <c r="O4755" s="18"/>
      <c r="P4755" s="19"/>
      <c r="Q4755" s="19"/>
      <c r="R4755" s="18"/>
      <c r="S4755" s="18"/>
      <c r="T4755" s="18"/>
      <c r="U4755" s="20"/>
      <c r="V4755" s="21"/>
      <c r="W4755" s="16"/>
      <c r="X4755" s="16"/>
      <c r="Y4755" s="16"/>
    </row>
    <row r="4756" customFormat="false" ht="15.75" hidden="false" customHeight="false" outlineLevel="0" collapsed="false">
      <c r="A4756" s="9"/>
      <c r="B4756" s="10"/>
      <c r="C4756" s="10"/>
      <c r="D4756" s="10"/>
      <c r="E4756" s="10"/>
      <c r="F4756" s="10"/>
      <c r="G4756" s="10"/>
      <c r="H4756" s="10"/>
      <c r="I4756" s="22" t="n">
        <v>3</v>
      </c>
      <c r="J4756" s="22"/>
      <c r="K4756" s="23"/>
      <c r="L4756" s="23"/>
      <c r="M4756" s="22"/>
      <c r="N4756" s="22"/>
      <c r="O4756" s="22"/>
      <c r="P4756" s="23"/>
      <c r="Q4756" s="23"/>
      <c r="R4756" s="22"/>
      <c r="S4756" s="22"/>
      <c r="T4756" s="22"/>
      <c r="U4756" s="24"/>
      <c r="V4756" s="15"/>
      <c r="W4756" s="16"/>
      <c r="X4756" s="16"/>
      <c r="Y4756" s="16"/>
    </row>
    <row r="4757" customFormat="false" ht="15.75" hidden="false" customHeight="false" outlineLevel="0" collapsed="false">
      <c r="A4757" s="9"/>
      <c r="B4757" s="10"/>
      <c r="C4757" s="10"/>
      <c r="D4757" s="10"/>
      <c r="E4757" s="10"/>
      <c r="F4757" s="10"/>
      <c r="G4757" s="10"/>
      <c r="H4757" s="10"/>
      <c r="I4757" s="25" t="n">
        <v>4</v>
      </c>
      <c r="J4757" s="25"/>
      <c r="K4757" s="26"/>
      <c r="L4757" s="26"/>
      <c r="M4757" s="25"/>
      <c r="N4757" s="25"/>
      <c r="O4757" s="25"/>
      <c r="P4757" s="26"/>
      <c r="Q4757" s="26"/>
      <c r="R4757" s="25"/>
      <c r="S4757" s="25"/>
      <c r="T4757" s="25"/>
      <c r="U4757" s="27"/>
      <c r="V4757" s="21"/>
      <c r="W4757" s="16"/>
      <c r="X4757" s="16"/>
      <c r="Y4757" s="16"/>
    </row>
    <row r="4758" customFormat="false" ht="15.75" hidden="false" customHeight="false" outlineLevel="0" collapsed="false">
      <c r="A4758" s="9"/>
      <c r="B4758" s="10"/>
      <c r="C4758" s="11"/>
      <c r="D4758" s="10"/>
      <c r="E4758" s="10"/>
      <c r="F4758" s="10"/>
      <c r="G4758" s="10"/>
      <c r="H4758" s="10"/>
      <c r="I4758" s="12" t="n">
        <v>1</v>
      </c>
      <c r="J4758" s="12"/>
      <c r="K4758" s="13"/>
      <c r="L4758" s="13"/>
      <c r="M4758" s="12"/>
      <c r="N4758" s="12"/>
      <c r="O4758" s="12"/>
      <c r="P4758" s="13"/>
      <c r="Q4758" s="13"/>
      <c r="R4758" s="12"/>
      <c r="S4758" s="12"/>
      <c r="T4758" s="12"/>
      <c r="U4758" s="14"/>
      <c r="V4758" s="15"/>
      <c r="W4758" s="16" t="n">
        <f aca="false">A4758</f>
        <v>0</v>
      </c>
      <c r="X4758" s="17" t="e">
        <f aca="false">ifs(C4758="","",X4758="",NOW(),TRUE(),X4758)</f>
        <v>#VALUE!</v>
      </c>
      <c r="Y4758" s="17" t="e">
        <f aca="false">ifs(COUNTA(K4758:U4761)&lt;44,"",Y4758="",NOW(),TRUE(),Y4758)</f>
        <v>#VALUE!</v>
      </c>
    </row>
    <row r="4759" customFormat="false" ht="15.75" hidden="false" customHeight="false" outlineLevel="0" collapsed="false">
      <c r="A4759" s="9"/>
      <c r="B4759" s="10"/>
      <c r="C4759" s="10"/>
      <c r="D4759" s="10"/>
      <c r="E4759" s="10"/>
      <c r="F4759" s="10"/>
      <c r="G4759" s="10"/>
      <c r="H4759" s="10"/>
      <c r="I4759" s="18" t="n">
        <v>2</v>
      </c>
      <c r="J4759" s="18"/>
      <c r="K4759" s="19"/>
      <c r="L4759" s="19"/>
      <c r="M4759" s="18"/>
      <c r="N4759" s="18"/>
      <c r="O4759" s="18"/>
      <c r="P4759" s="19"/>
      <c r="Q4759" s="19"/>
      <c r="R4759" s="18"/>
      <c r="S4759" s="18"/>
      <c r="T4759" s="18"/>
      <c r="U4759" s="20"/>
      <c r="V4759" s="21"/>
      <c r="W4759" s="16"/>
      <c r="X4759" s="16"/>
      <c r="Y4759" s="16"/>
    </row>
    <row r="4760" customFormat="false" ht="15.75" hidden="false" customHeight="false" outlineLevel="0" collapsed="false">
      <c r="A4760" s="9"/>
      <c r="B4760" s="10"/>
      <c r="C4760" s="10"/>
      <c r="D4760" s="10"/>
      <c r="E4760" s="10"/>
      <c r="F4760" s="10"/>
      <c r="G4760" s="10"/>
      <c r="H4760" s="10"/>
      <c r="I4760" s="22" t="n">
        <v>3</v>
      </c>
      <c r="J4760" s="22"/>
      <c r="K4760" s="23"/>
      <c r="L4760" s="23"/>
      <c r="M4760" s="22"/>
      <c r="N4760" s="22"/>
      <c r="O4760" s="22"/>
      <c r="P4760" s="23"/>
      <c r="Q4760" s="23"/>
      <c r="R4760" s="22"/>
      <c r="S4760" s="22"/>
      <c r="T4760" s="22"/>
      <c r="U4760" s="24"/>
      <c r="V4760" s="15"/>
      <c r="W4760" s="16"/>
      <c r="X4760" s="16"/>
      <c r="Y4760" s="16"/>
    </row>
    <row r="4761" customFormat="false" ht="15.75" hidden="false" customHeight="false" outlineLevel="0" collapsed="false">
      <c r="A4761" s="9"/>
      <c r="B4761" s="10"/>
      <c r="C4761" s="10"/>
      <c r="D4761" s="10"/>
      <c r="E4761" s="10"/>
      <c r="F4761" s="10"/>
      <c r="G4761" s="10"/>
      <c r="H4761" s="10"/>
      <c r="I4761" s="25" t="n">
        <v>4</v>
      </c>
      <c r="J4761" s="25"/>
      <c r="K4761" s="26"/>
      <c r="L4761" s="26"/>
      <c r="M4761" s="25"/>
      <c r="N4761" s="25"/>
      <c r="O4761" s="25"/>
      <c r="P4761" s="26"/>
      <c r="Q4761" s="26"/>
      <c r="R4761" s="25"/>
      <c r="S4761" s="25"/>
      <c r="T4761" s="25"/>
      <c r="U4761" s="27"/>
      <c r="V4761" s="21"/>
      <c r="W4761" s="16"/>
      <c r="X4761" s="16"/>
      <c r="Y4761" s="16"/>
    </row>
    <row r="4762" customFormat="false" ht="15.75" hidden="false" customHeight="false" outlineLevel="0" collapsed="false">
      <c r="A4762" s="9"/>
      <c r="B4762" s="10"/>
      <c r="C4762" s="11"/>
      <c r="D4762" s="10"/>
      <c r="E4762" s="10"/>
      <c r="F4762" s="10"/>
      <c r="G4762" s="10"/>
      <c r="H4762" s="10"/>
      <c r="I4762" s="12" t="n">
        <v>1</v>
      </c>
      <c r="J4762" s="12"/>
      <c r="K4762" s="13"/>
      <c r="L4762" s="13"/>
      <c r="M4762" s="12"/>
      <c r="N4762" s="12"/>
      <c r="O4762" s="12"/>
      <c r="P4762" s="13"/>
      <c r="Q4762" s="13"/>
      <c r="R4762" s="12"/>
      <c r="S4762" s="12"/>
      <c r="T4762" s="12"/>
      <c r="U4762" s="14"/>
      <c r="V4762" s="15"/>
      <c r="W4762" s="16" t="n">
        <f aca="false">A4762</f>
        <v>0</v>
      </c>
      <c r="X4762" s="17" t="e">
        <f aca="false">ifs(C4762="","",X4762="",NOW(),TRUE(),X4762)</f>
        <v>#VALUE!</v>
      </c>
      <c r="Y4762" s="17" t="e">
        <f aca="false">ifs(COUNTA(K4762:U4765)&lt;44,"",Y4762="",NOW(),TRUE(),Y4762)</f>
        <v>#VALUE!</v>
      </c>
    </row>
    <row r="4763" customFormat="false" ht="15.75" hidden="false" customHeight="false" outlineLevel="0" collapsed="false">
      <c r="A4763" s="9"/>
      <c r="B4763" s="10"/>
      <c r="C4763" s="10"/>
      <c r="D4763" s="10"/>
      <c r="E4763" s="10"/>
      <c r="F4763" s="10"/>
      <c r="G4763" s="10"/>
      <c r="H4763" s="10"/>
      <c r="I4763" s="18" t="n">
        <v>2</v>
      </c>
      <c r="J4763" s="18"/>
      <c r="K4763" s="19"/>
      <c r="L4763" s="19"/>
      <c r="M4763" s="18"/>
      <c r="N4763" s="18"/>
      <c r="O4763" s="18"/>
      <c r="P4763" s="19"/>
      <c r="Q4763" s="19"/>
      <c r="R4763" s="18"/>
      <c r="S4763" s="18"/>
      <c r="T4763" s="18"/>
      <c r="U4763" s="20"/>
      <c r="V4763" s="21"/>
      <c r="W4763" s="16"/>
      <c r="X4763" s="16"/>
      <c r="Y4763" s="16"/>
    </row>
    <row r="4764" customFormat="false" ht="15.75" hidden="false" customHeight="false" outlineLevel="0" collapsed="false">
      <c r="A4764" s="9"/>
      <c r="B4764" s="10"/>
      <c r="C4764" s="10"/>
      <c r="D4764" s="10"/>
      <c r="E4764" s="10"/>
      <c r="F4764" s="10"/>
      <c r="G4764" s="10"/>
      <c r="H4764" s="10"/>
      <c r="I4764" s="22" t="n">
        <v>3</v>
      </c>
      <c r="J4764" s="22"/>
      <c r="K4764" s="23"/>
      <c r="L4764" s="23"/>
      <c r="M4764" s="22"/>
      <c r="N4764" s="22"/>
      <c r="O4764" s="22"/>
      <c r="P4764" s="23"/>
      <c r="Q4764" s="23"/>
      <c r="R4764" s="22"/>
      <c r="S4764" s="22"/>
      <c r="T4764" s="22"/>
      <c r="U4764" s="24"/>
      <c r="V4764" s="15"/>
      <c r="W4764" s="16"/>
      <c r="X4764" s="16"/>
      <c r="Y4764" s="16"/>
    </row>
    <row r="4765" customFormat="false" ht="15.75" hidden="false" customHeight="false" outlineLevel="0" collapsed="false">
      <c r="A4765" s="9"/>
      <c r="B4765" s="10"/>
      <c r="C4765" s="10"/>
      <c r="D4765" s="10"/>
      <c r="E4765" s="10"/>
      <c r="F4765" s="10"/>
      <c r="G4765" s="10"/>
      <c r="H4765" s="10"/>
      <c r="I4765" s="25" t="n">
        <v>4</v>
      </c>
      <c r="J4765" s="25"/>
      <c r="K4765" s="26"/>
      <c r="L4765" s="26"/>
      <c r="M4765" s="25"/>
      <c r="N4765" s="25"/>
      <c r="O4765" s="25"/>
      <c r="P4765" s="26"/>
      <c r="Q4765" s="26"/>
      <c r="R4765" s="25"/>
      <c r="S4765" s="25"/>
      <c r="T4765" s="25"/>
      <c r="U4765" s="27"/>
      <c r="V4765" s="21"/>
      <c r="W4765" s="16"/>
      <c r="X4765" s="16"/>
      <c r="Y4765" s="16"/>
    </row>
    <row r="4766" customFormat="false" ht="15.75" hidden="false" customHeight="false" outlineLevel="0" collapsed="false">
      <c r="A4766" s="9"/>
      <c r="B4766" s="10"/>
      <c r="C4766" s="11"/>
      <c r="D4766" s="10"/>
      <c r="E4766" s="10"/>
      <c r="F4766" s="10"/>
      <c r="G4766" s="10"/>
      <c r="H4766" s="10"/>
      <c r="I4766" s="12" t="n">
        <v>1</v>
      </c>
      <c r="J4766" s="12"/>
      <c r="K4766" s="13"/>
      <c r="L4766" s="13"/>
      <c r="M4766" s="12"/>
      <c r="N4766" s="12"/>
      <c r="O4766" s="12"/>
      <c r="P4766" s="13"/>
      <c r="Q4766" s="13"/>
      <c r="R4766" s="12"/>
      <c r="S4766" s="12"/>
      <c r="T4766" s="12"/>
      <c r="U4766" s="14"/>
      <c r="V4766" s="15"/>
      <c r="W4766" s="16" t="n">
        <f aca="false">A4766</f>
        <v>0</v>
      </c>
      <c r="X4766" s="17" t="e">
        <f aca="false">ifs(C4766="","",X4766="",NOW(),TRUE(),X4766)</f>
        <v>#VALUE!</v>
      </c>
      <c r="Y4766" s="17" t="e">
        <f aca="false">ifs(COUNTA(K4766:U4769)&lt;44,"",Y4766="",NOW(),TRUE(),Y4766)</f>
        <v>#VALUE!</v>
      </c>
    </row>
    <row r="4767" customFormat="false" ht="15.75" hidden="false" customHeight="false" outlineLevel="0" collapsed="false">
      <c r="A4767" s="9"/>
      <c r="B4767" s="10"/>
      <c r="C4767" s="10"/>
      <c r="D4767" s="10"/>
      <c r="E4767" s="10"/>
      <c r="F4767" s="10"/>
      <c r="G4767" s="10"/>
      <c r="H4767" s="10"/>
      <c r="I4767" s="18" t="n">
        <v>2</v>
      </c>
      <c r="J4767" s="18"/>
      <c r="K4767" s="19"/>
      <c r="L4767" s="19"/>
      <c r="M4767" s="18"/>
      <c r="N4767" s="18"/>
      <c r="O4767" s="18"/>
      <c r="P4767" s="19"/>
      <c r="Q4767" s="19"/>
      <c r="R4767" s="18"/>
      <c r="S4767" s="18"/>
      <c r="T4767" s="18"/>
      <c r="U4767" s="20"/>
      <c r="V4767" s="21"/>
      <c r="W4767" s="16"/>
      <c r="X4767" s="16"/>
      <c r="Y4767" s="16"/>
    </row>
    <row r="4768" customFormat="false" ht="15.75" hidden="false" customHeight="false" outlineLevel="0" collapsed="false">
      <c r="A4768" s="9"/>
      <c r="B4768" s="10"/>
      <c r="C4768" s="10"/>
      <c r="D4768" s="10"/>
      <c r="E4768" s="10"/>
      <c r="F4768" s="10"/>
      <c r="G4768" s="10"/>
      <c r="H4768" s="10"/>
      <c r="I4768" s="22" t="n">
        <v>3</v>
      </c>
      <c r="J4768" s="22"/>
      <c r="K4768" s="23"/>
      <c r="L4768" s="23"/>
      <c r="M4768" s="22"/>
      <c r="N4768" s="22"/>
      <c r="O4768" s="22"/>
      <c r="P4768" s="23"/>
      <c r="Q4768" s="23"/>
      <c r="R4768" s="22"/>
      <c r="S4768" s="22"/>
      <c r="T4768" s="22"/>
      <c r="U4768" s="24"/>
      <c r="V4768" s="15"/>
      <c r="W4768" s="16"/>
      <c r="X4768" s="16"/>
      <c r="Y4768" s="16"/>
    </row>
    <row r="4769" customFormat="false" ht="15.75" hidden="false" customHeight="false" outlineLevel="0" collapsed="false">
      <c r="A4769" s="9"/>
      <c r="B4769" s="10"/>
      <c r="C4769" s="10"/>
      <c r="D4769" s="10"/>
      <c r="E4769" s="10"/>
      <c r="F4769" s="10"/>
      <c r="G4769" s="10"/>
      <c r="H4769" s="10"/>
      <c r="I4769" s="25" t="n">
        <v>4</v>
      </c>
      <c r="J4769" s="25"/>
      <c r="K4769" s="26"/>
      <c r="L4769" s="26"/>
      <c r="M4769" s="25"/>
      <c r="N4769" s="25"/>
      <c r="O4769" s="25"/>
      <c r="P4769" s="26"/>
      <c r="Q4769" s="26"/>
      <c r="R4769" s="25"/>
      <c r="S4769" s="25"/>
      <c r="T4769" s="25"/>
      <c r="U4769" s="27"/>
      <c r="V4769" s="21"/>
      <c r="W4769" s="16"/>
      <c r="X4769" s="16"/>
      <c r="Y4769" s="16"/>
    </row>
    <row r="4770" customFormat="false" ht="15.75" hidden="false" customHeight="false" outlineLevel="0" collapsed="false">
      <c r="A4770" s="9"/>
      <c r="B4770" s="10"/>
      <c r="C4770" s="11"/>
      <c r="D4770" s="10"/>
      <c r="E4770" s="10"/>
      <c r="F4770" s="10"/>
      <c r="G4770" s="10"/>
      <c r="H4770" s="10"/>
      <c r="I4770" s="12" t="n">
        <v>1</v>
      </c>
      <c r="J4770" s="12"/>
      <c r="K4770" s="13"/>
      <c r="L4770" s="13"/>
      <c r="M4770" s="12"/>
      <c r="N4770" s="12"/>
      <c r="O4770" s="12"/>
      <c r="P4770" s="13"/>
      <c r="Q4770" s="13"/>
      <c r="R4770" s="12"/>
      <c r="S4770" s="12"/>
      <c r="T4770" s="12"/>
      <c r="U4770" s="14"/>
      <c r="V4770" s="15"/>
      <c r="W4770" s="16" t="n">
        <f aca="false">A4770</f>
        <v>0</v>
      </c>
      <c r="X4770" s="17" t="e">
        <f aca="false">ifs(C4770="","",X4770="",NOW(),TRUE(),X4770)</f>
        <v>#VALUE!</v>
      </c>
      <c r="Y4770" s="17" t="e">
        <f aca="false">ifs(COUNTA(K4770:U4773)&lt;44,"",Y4770="",NOW(),TRUE(),Y4770)</f>
        <v>#VALUE!</v>
      </c>
    </row>
    <row r="4771" customFormat="false" ht="15.75" hidden="false" customHeight="false" outlineLevel="0" collapsed="false">
      <c r="A4771" s="9"/>
      <c r="B4771" s="10"/>
      <c r="C4771" s="10"/>
      <c r="D4771" s="10"/>
      <c r="E4771" s="10"/>
      <c r="F4771" s="10"/>
      <c r="G4771" s="10"/>
      <c r="H4771" s="10"/>
      <c r="I4771" s="18" t="n">
        <v>2</v>
      </c>
      <c r="J4771" s="18"/>
      <c r="K4771" s="19"/>
      <c r="L4771" s="19"/>
      <c r="M4771" s="18"/>
      <c r="N4771" s="18"/>
      <c r="O4771" s="18"/>
      <c r="P4771" s="19"/>
      <c r="Q4771" s="19"/>
      <c r="R4771" s="18"/>
      <c r="S4771" s="18"/>
      <c r="T4771" s="18"/>
      <c r="U4771" s="20"/>
      <c r="V4771" s="21"/>
      <c r="W4771" s="16"/>
      <c r="X4771" s="16"/>
      <c r="Y4771" s="16"/>
    </row>
    <row r="4772" customFormat="false" ht="15.75" hidden="false" customHeight="false" outlineLevel="0" collapsed="false">
      <c r="A4772" s="9"/>
      <c r="B4772" s="10"/>
      <c r="C4772" s="10"/>
      <c r="D4772" s="10"/>
      <c r="E4772" s="10"/>
      <c r="F4772" s="10"/>
      <c r="G4772" s="10"/>
      <c r="H4772" s="10"/>
      <c r="I4772" s="22" t="n">
        <v>3</v>
      </c>
      <c r="J4772" s="22"/>
      <c r="K4772" s="23"/>
      <c r="L4772" s="23"/>
      <c r="M4772" s="22"/>
      <c r="N4772" s="22"/>
      <c r="O4772" s="22"/>
      <c r="P4772" s="23"/>
      <c r="Q4772" s="23"/>
      <c r="R4772" s="22"/>
      <c r="S4772" s="22"/>
      <c r="T4772" s="22"/>
      <c r="U4772" s="24"/>
      <c r="V4772" s="15"/>
      <c r="W4772" s="16"/>
      <c r="X4772" s="16"/>
      <c r="Y4772" s="16"/>
    </row>
    <row r="4773" customFormat="false" ht="15.75" hidden="false" customHeight="false" outlineLevel="0" collapsed="false">
      <c r="A4773" s="9"/>
      <c r="B4773" s="10"/>
      <c r="C4773" s="10"/>
      <c r="D4773" s="10"/>
      <c r="E4773" s="10"/>
      <c r="F4773" s="10"/>
      <c r="G4773" s="10"/>
      <c r="H4773" s="10"/>
      <c r="I4773" s="25" t="n">
        <v>4</v>
      </c>
      <c r="J4773" s="25"/>
      <c r="K4773" s="26"/>
      <c r="L4773" s="26"/>
      <c r="M4773" s="25"/>
      <c r="N4773" s="25"/>
      <c r="O4773" s="25"/>
      <c r="P4773" s="26"/>
      <c r="Q4773" s="26"/>
      <c r="R4773" s="25"/>
      <c r="S4773" s="25"/>
      <c r="T4773" s="25"/>
      <c r="U4773" s="27"/>
      <c r="V4773" s="21"/>
      <c r="W4773" s="16"/>
      <c r="X4773" s="16"/>
      <c r="Y4773" s="16"/>
    </row>
    <row r="4774" customFormat="false" ht="15.75" hidden="false" customHeight="false" outlineLevel="0" collapsed="false">
      <c r="A4774" s="9"/>
      <c r="B4774" s="10"/>
      <c r="C4774" s="11"/>
      <c r="D4774" s="10"/>
      <c r="E4774" s="10"/>
      <c r="F4774" s="10"/>
      <c r="G4774" s="10"/>
      <c r="H4774" s="10"/>
      <c r="I4774" s="12" t="n">
        <v>1</v>
      </c>
      <c r="J4774" s="12"/>
      <c r="K4774" s="13"/>
      <c r="L4774" s="13"/>
      <c r="M4774" s="12"/>
      <c r="N4774" s="12"/>
      <c r="O4774" s="12"/>
      <c r="P4774" s="13"/>
      <c r="Q4774" s="13"/>
      <c r="R4774" s="12"/>
      <c r="S4774" s="12"/>
      <c r="T4774" s="12"/>
      <c r="U4774" s="14"/>
      <c r="V4774" s="15"/>
      <c r="W4774" s="16" t="n">
        <f aca="false">A4774</f>
        <v>0</v>
      </c>
      <c r="X4774" s="17" t="e">
        <f aca="false">ifs(C4774="","",X4774="",NOW(),TRUE(),X4774)</f>
        <v>#VALUE!</v>
      </c>
      <c r="Y4774" s="17" t="e">
        <f aca="false">ifs(COUNTA(K4774:U4777)&lt;44,"",Y4774="",NOW(),TRUE(),Y4774)</f>
        <v>#VALUE!</v>
      </c>
    </row>
    <row r="4775" customFormat="false" ht="15.75" hidden="false" customHeight="false" outlineLevel="0" collapsed="false">
      <c r="A4775" s="9"/>
      <c r="B4775" s="10"/>
      <c r="C4775" s="10"/>
      <c r="D4775" s="10"/>
      <c r="E4775" s="10"/>
      <c r="F4775" s="10"/>
      <c r="G4775" s="10"/>
      <c r="H4775" s="10"/>
      <c r="I4775" s="18" t="n">
        <v>2</v>
      </c>
      <c r="J4775" s="18"/>
      <c r="K4775" s="19"/>
      <c r="L4775" s="19"/>
      <c r="M4775" s="18"/>
      <c r="N4775" s="18"/>
      <c r="O4775" s="18"/>
      <c r="P4775" s="19"/>
      <c r="Q4775" s="19"/>
      <c r="R4775" s="18"/>
      <c r="S4775" s="18"/>
      <c r="T4775" s="18"/>
      <c r="U4775" s="20"/>
      <c r="V4775" s="21"/>
      <c r="W4775" s="16"/>
      <c r="X4775" s="16"/>
      <c r="Y4775" s="16"/>
    </row>
    <row r="4776" customFormat="false" ht="15.75" hidden="false" customHeight="false" outlineLevel="0" collapsed="false">
      <c r="A4776" s="9"/>
      <c r="B4776" s="10"/>
      <c r="C4776" s="10"/>
      <c r="D4776" s="10"/>
      <c r="E4776" s="10"/>
      <c r="F4776" s="10"/>
      <c r="G4776" s="10"/>
      <c r="H4776" s="10"/>
      <c r="I4776" s="22" t="n">
        <v>3</v>
      </c>
      <c r="J4776" s="22"/>
      <c r="K4776" s="23"/>
      <c r="L4776" s="23"/>
      <c r="M4776" s="22"/>
      <c r="N4776" s="22"/>
      <c r="O4776" s="22"/>
      <c r="P4776" s="23"/>
      <c r="Q4776" s="23"/>
      <c r="R4776" s="22"/>
      <c r="S4776" s="22"/>
      <c r="T4776" s="22"/>
      <c r="U4776" s="24"/>
      <c r="V4776" s="15"/>
      <c r="W4776" s="16"/>
      <c r="X4776" s="16"/>
      <c r="Y4776" s="16"/>
    </row>
    <row r="4777" customFormat="false" ht="15.75" hidden="false" customHeight="false" outlineLevel="0" collapsed="false">
      <c r="A4777" s="9"/>
      <c r="B4777" s="10"/>
      <c r="C4777" s="10"/>
      <c r="D4777" s="10"/>
      <c r="E4777" s="10"/>
      <c r="F4777" s="10"/>
      <c r="G4777" s="10"/>
      <c r="H4777" s="10"/>
      <c r="I4777" s="25" t="n">
        <v>4</v>
      </c>
      <c r="J4777" s="25"/>
      <c r="K4777" s="26"/>
      <c r="L4777" s="26"/>
      <c r="M4777" s="25"/>
      <c r="N4777" s="25"/>
      <c r="O4777" s="25"/>
      <c r="P4777" s="26"/>
      <c r="Q4777" s="26"/>
      <c r="R4777" s="25"/>
      <c r="S4777" s="25"/>
      <c r="T4777" s="25"/>
      <c r="U4777" s="27"/>
      <c r="V4777" s="21"/>
      <c r="W4777" s="16"/>
      <c r="X4777" s="16"/>
      <c r="Y4777" s="16"/>
    </row>
    <row r="4778" customFormat="false" ht="15.75" hidden="false" customHeight="false" outlineLevel="0" collapsed="false">
      <c r="A4778" s="9"/>
      <c r="B4778" s="10"/>
      <c r="C4778" s="11"/>
      <c r="D4778" s="10"/>
      <c r="E4778" s="10"/>
      <c r="F4778" s="10"/>
      <c r="G4778" s="10"/>
      <c r="H4778" s="10"/>
      <c r="I4778" s="12" t="n">
        <v>1</v>
      </c>
      <c r="J4778" s="12"/>
      <c r="K4778" s="13"/>
      <c r="L4778" s="13"/>
      <c r="M4778" s="12"/>
      <c r="N4778" s="12"/>
      <c r="O4778" s="12"/>
      <c r="P4778" s="13"/>
      <c r="Q4778" s="13"/>
      <c r="R4778" s="12"/>
      <c r="S4778" s="12"/>
      <c r="T4778" s="12"/>
      <c r="U4778" s="14"/>
      <c r="V4778" s="15"/>
      <c r="W4778" s="16" t="n">
        <f aca="false">A4778</f>
        <v>0</v>
      </c>
      <c r="X4778" s="17" t="e">
        <f aca="false">ifs(C4778="","",X4778="",NOW(),TRUE(),X4778)</f>
        <v>#VALUE!</v>
      </c>
      <c r="Y4778" s="17" t="e">
        <f aca="false">ifs(COUNTA(K4778:U4781)&lt;44,"",Y4778="",NOW(),TRUE(),Y4778)</f>
        <v>#VALUE!</v>
      </c>
    </row>
    <row r="4779" customFormat="false" ht="15.75" hidden="false" customHeight="false" outlineLevel="0" collapsed="false">
      <c r="A4779" s="9"/>
      <c r="B4779" s="10"/>
      <c r="C4779" s="10"/>
      <c r="D4779" s="10"/>
      <c r="E4779" s="10"/>
      <c r="F4779" s="10"/>
      <c r="G4779" s="10"/>
      <c r="H4779" s="10"/>
      <c r="I4779" s="18" t="n">
        <v>2</v>
      </c>
      <c r="J4779" s="18"/>
      <c r="K4779" s="19"/>
      <c r="L4779" s="19"/>
      <c r="M4779" s="18"/>
      <c r="N4779" s="18"/>
      <c r="O4779" s="18"/>
      <c r="P4779" s="19"/>
      <c r="Q4779" s="19"/>
      <c r="R4779" s="18"/>
      <c r="S4779" s="18"/>
      <c r="T4779" s="18"/>
      <c r="U4779" s="20"/>
      <c r="V4779" s="21"/>
      <c r="W4779" s="16"/>
      <c r="X4779" s="16"/>
      <c r="Y4779" s="16"/>
    </row>
    <row r="4780" customFormat="false" ht="15.75" hidden="false" customHeight="false" outlineLevel="0" collapsed="false">
      <c r="A4780" s="9"/>
      <c r="B4780" s="10"/>
      <c r="C4780" s="10"/>
      <c r="D4780" s="10"/>
      <c r="E4780" s="10"/>
      <c r="F4780" s="10"/>
      <c r="G4780" s="10"/>
      <c r="H4780" s="10"/>
      <c r="I4780" s="22" t="n">
        <v>3</v>
      </c>
      <c r="J4780" s="22"/>
      <c r="K4780" s="23"/>
      <c r="L4780" s="23"/>
      <c r="M4780" s="22"/>
      <c r="N4780" s="22"/>
      <c r="O4780" s="22"/>
      <c r="P4780" s="23"/>
      <c r="Q4780" s="23"/>
      <c r="R4780" s="22"/>
      <c r="S4780" s="22"/>
      <c r="T4780" s="22"/>
      <c r="U4780" s="24"/>
      <c r="V4780" s="15"/>
      <c r="W4780" s="16"/>
      <c r="X4780" s="16"/>
      <c r="Y4780" s="16"/>
    </row>
    <row r="4781" customFormat="false" ht="15.75" hidden="false" customHeight="false" outlineLevel="0" collapsed="false">
      <c r="A4781" s="9"/>
      <c r="B4781" s="10"/>
      <c r="C4781" s="10"/>
      <c r="D4781" s="10"/>
      <c r="E4781" s="10"/>
      <c r="F4781" s="10"/>
      <c r="G4781" s="10"/>
      <c r="H4781" s="10"/>
      <c r="I4781" s="25" t="n">
        <v>4</v>
      </c>
      <c r="J4781" s="25"/>
      <c r="K4781" s="26"/>
      <c r="L4781" s="26"/>
      <c r="M4781" s="25"/>
      <c r="N4781" s="25"/>
      <c r="O4781" s="25"/>
      <c r="P4781" s="26"/>
      <c r="Q4781" s="26"/>
      <c r="R4781" s="25"/>
      <c r="S4781" s="25"/>
      <c r="T4781" s="25"/>
      <c r="U4781" s="27"/>
      <c r="V4781" s="21"/>
      <c r="W4781" s="16"/>
      <c r="X4781" s="16"/>
      <c r="Y4781" s="16"/>
    </row>
    <row r="4782" customFormat="false" ht="15.75" hidden="false" customHeight="false" outlineLevel="0" collapsed="false">
      <c r="A4782" s="9"/>
      <c r="B4782" s="10"/>
      <c r="C4782" s="11"/>
      <c r="D4782" s="10"/>
      <c r="E4782" s="10"/>
      <c r="F4782" s="10"/>
      <c r="G4782" s="10"/>
      <c r="H4782" s="10"/>
      <c r="I4782" s="12" t="n">
        <v>1</v>
      </c>
      <c r="J4782" s="12"/>
      <c r="K4782" s="13"/>
      <c r="L4782" s="13"/>
      <c r="M4782" s="12"/>
      <c r="N4782" s="12"/>
      <c r="O4782" s="12"/>
      <c r="P4782" s="13"/>
      <c r="Q4782" s="13"/>
      <c r="R4782" s="12"/>
      <c r="S4782" s="12"/>
      <c r="T4782" s="12"/>
      <c r="U4782" s="14"/>
      <c r="V4782" s="15"/>
      <c r="W4782" s="16" t="n">
        <f aca="false">A4782</f>
        <v>0</v>
      </c>
      <c r="X4782" s="17" t="e">
        <f aca="false">ifs(C4782="","",X4782="",NOW(),TRUE(),X4782)</f>
        <v>#VALUE!</v>
      </c>
      <c r="Y4782" s="17" t="e">
        <f aca="false">ifs(COUNTA(K4782:U4785)&lt;44,"",Y4782="",NOW(),TRUE(),Y4782)</f>
        <v>#VALUE!</v>
      </c>
    </row>
    <row r="4783" customFormat="false" ht="15.75" hidden="false" customHeight="false" outlineLevel="0" collapsed="false">
      <c r="A4783" s="9"/>
      <c r="B4783" s="10"/>
      <c r="C4783" s="10"/>
      <c r="D4783" s="10"/>
      <c r="E4783" s="10"/>
      <c r="F4783" s="10"/>
      <c r="G4783" s="10"/>
      <c r="H4783" s="10"/>
      <c r="I4783" s="18" t="n">
        <v>2</v>
      </c>
      <c r="J4783" s="18"/>
      <c r="K4783" s="19"/>
      <c r="L4783" s="19"/>
      <c r="M4783" s="18"/>
      <c r="N4783" s="18"/>
      <c r="O4783" s="18"/>
      <c r="P4783" s="19"/>
      <c r="Q4783" s="19"/>
      <c r="R4783" s="18"/>
      <c r="S4783" s="18"/>
      <c r="T4783" s="18"/>
      <c r="U4783" s="20"/>
      <c r="V4783" s="21"/>
      <c r="W4783" s="16"/>
      <c r="X4783" s="16"/>
      <c r="Y4783" s="16"/>
    </row>
    <row r="4784" customFormat="false" ht="15.75" hidden="false" customHeight="false" outlineLevel="0" collapsed="false">
      <c r="A4784" s="9"/>
      <c r="B4784" s="10"/>
      <c r="C4784" s="10"/>
      <c r="D4784" s="10"/>
      <c r="E4784" s="10"/>
      <c r="F4784" s="10"/>
      <c r="G4784" s="10"/>
      <c r="H4784" s="10"/>
      <c r="I4784" s="22" t="n">
        <v>3</v>
      </c>
      <c r="J4784" s="22"/>
      <c r="K4784" s="23"/>
      <c r="L4784" s="23"/>
      <c r="M4784" s="22"/>
      <c r="N4784" s="22"/>
      <c r="O4784" s="22"/>
      <c r="P4784" s="23"/>
      <c r="Q4784" s="23"/>
      <c r="R4784" s="22"/>
      <c r="S4784" s="22"/>
      <c r="T4784" s="22"/>
      <c r="U4784" s="24"/>
      <c r="V4784" s="15"/>
      <c r="W4784" s="16"/>
      <c r="X4784" s="16"/>
      <c r="Y4784" s="16"/>
    </row>
    <row r="4785" customFormat="false" ht="15.75" hidden="false" customHeight="false" outlineLevel="0" collapsed="false">
      <c r="A4785" s="9"/>
      <c r="B4785" s="10"/>
      <c r="C4785" s="10"/>
      <c r="D4785" s="10"/>
      <c r="E4785" s="10"/>
      <c r="F4785" s="10"/>
      <c r="G4785" s="10"/>
      <c r="H4785" s="10"/>
      <c r="I4785" s="25" t="n">
        <v>4</v>
      </c>
      <c r="J4785" s="25"/>
      <c r="K4785" s="26"/>
      <c r="L4785" s="26"/>
      <c r="M4785" s="25"/>
      <c r="N4785" s="25"/>
      <c r="O4785" s="25"/>
      <c r="P4785" s="26"/>
      <c r="Q4785" s="26"/>
      <c r="R4785" s="25"/>
      <c r="S4785" s="25"/>
      <c r="T4785" s="25"/>
      <c r="U4785" s="27"/>
      <c r="V4785" s="21"/>
      <c r="W4785" s="16"/>
      <c r="X4785" s="16"/>
      <c r="Y4785" s="16"/>
    </row>
    <row r="4786" customFormat="false" ht="15.75" hidden="false" customHeight="false" outlineLevel="0" collapsed="false">
      <c r="A4786" s="9"/>
      <c r="B4786" s="10"/>
      <c r="C4786" s="11"/>
      <c r="D4786" s="10"/>
      <c r="E4786" s="10"/>
      <c r="F4786" s="10"/>
      <c r="G4786" s="10"/>
      <c r="H4786" s="10"/>
      <c r="I4786" s="12" t="n">
        <v>1</v>
      </c>
      <c r="J4786" s="12"/>
      <c r="K4786" s="13"/>
      <c r="L4786" s="13"/>
      <c r="M4786" s="12"/>
      <c r="N4786" s="12"/>
      <c r="O4786" s="12"/>
      <c r="P4786" s="13"/>
      <c r="Q4786" s="13"/>
      <c r="R4786" s="12"/>
      <c r="S4786" s="12"/>
      <c r="T4786" s="12"/>
      <c r="U4786" s="14"/>
      <c r="V4786" s="15"/>
      <c r="W4786" s="16" t="n">
        <f aca="false">A4786</f>
        <v>0</v>
      </c>
      <c r="X4786" s="17" t="e">
        <f aca="false">ifs(C4786="","",X4786="",NOW(),TRUE(),X4786)</f>
        <v>#VALUE!</v>
      </c>
      <c r="Y4786" s="17" t="e">
        <f aca="false">ifs(COUNTA(K4786:U4789)&lt;44,"",Y4786="",NOW(),TRUE(),Y4786)</f>
        <v>#VALUE!</v>
      </c>
    </row>
    <row r="4787" customFormat="false" ht="15.75" hidden="false" customHeight="false" outlineLevel="0" collapsed="false">
      <c r="A4787" s="9"/>
      <c r="B4787" s="10"/>
      <c r="C4787" s="10"/>
      <c r="D4787" s="10"/>
      <c r="E4787" s="10"/>
      <c r="F4787" s="10"/>
      <c r="G4787" s="10"/>
      <c r="H4787" s="10"/>
      <c r="I4787" s="18" t="n">
        <v>2</v>
      </c>
      <c r="J4787" s="18"/>
      <c r="K4787" s="19"/>
      <c r="L4787" s="19"/>
      <c r="M4787" s="18"/>
      <c r="N4787" s="18"/>
      <c r="O4787" s="18"/>
      <c r="P4787" s="19"/>
      <c r="Q4787" s="19"/>
      <c r="R4787" s="18"/>
      <c r="S4787" s="18"/>
      <c r="T4787" s="18"/>
      <c r="U4787" s="20"/>
      <c r="V4787" s="21"/>
      <c r="W4787" s="16"/>
      <c r="X4787" s="16"/>
      <c r="Y4787" s="16"/>
    </row>
    <row r="4788" customFormat="false" ht="15.75" hidden="false" customHeight="false" outlineLevel="0" collapsed="false">
      <c r="A4788" s="9"/>
      <c r="B4788" s="10"/>
      <c r="C4788" s="10"/>
      <c r="D4788" s="10"/>
      <c r="E4788" s="10"/>
      <c r="F4788" s="10"/>
      <c r="G4788" s="10"/>
      <c r="H4788" s="10"/>
      <c r="I4788" s="22" t="n">
        <v>3</v>
      </c>
      <c r="J4788" s="22"/>
      <c r="K4788" s="23"/>
      <c r="L4788" s="23"/>
      <c r="M4788" s="22"/>
      <c r="N4788" s="22"/>
      <c r="O4788" s="22"/>
      <c r="P4788" s="23"/>
      <c r="Q4788" s="23"/>
      <c r="R4788" s="22"/>
      <c r="S4788" s="22"/>
      <c r="T4788" s="22"/>
      <c r="U4788" s="24"/>
      <c r="V4788" s="15"/>
      <c r="W4788" s="16"/>
      <c r="X4788" s="16"/>
      <c r="Y4788" s="16"/>
    </row>
    <row r="4789" customFormat="false" ht="15.75" hidden="false" customHeight="false" outlineLevel="0" collapsed="false">
      <c r="A4789" s="9"/>
      <c r="B4789" s="10"/>
      <c r="C4789" s="10"/>
      <c r="D4789" s="10"/>
      <c r="E4789" s="10"/>
      <c r="F4789" s="10"/>
      <c r="G4789" s="10"/>
      <c r="H4789" s="10"/>
      <c r="I4789" s="25" t="n">
        <v>4</v>
      </c>
      <c r="J4789" s="25"/>
      <c r="K4789" s="26"/>
      <c r="L4789" s="26"/>
      <c r="M4789" s="25"/>
      <c r="N4789" s="25"/>
      <c r="O4789" s="25"/>
      <c r="P4789" s="26"/>
      <c r="Q4789" s="26"/>
      <c r="R4789" s="25"/>
      <c r="S4789" s="25"/>
      <c r="T4789" s="25"/>
      <c r="U4789" s="27"/>
      <c r="V4789" s="21"/>
      <c r="W4789" s="16"/>
      <c r="X4789" s="16"/>
      <c r="Y4789" s="16"/>
    </row>
    <row r="4790" customFormat="false" ht="15.75" hidden="false" customHeight="false" outlineLevel="0" collapsed="false">
      <c r="A4790" s="9"/>
      <c r="B4790" s="10"/>
      <c r="C4790" s="11"/>
      <c r="D4790" s="10"/>
      <c r="E4790" s="10"/>
      <c r="F4790" s="10"/>
      <c r="G4790" s="10"/>
      <c r="H4790" s="10"/>
      <c r="I4790" s="12" t="n">
        <v>1</v>
      </c>
      <c r="J4790" s="12"/>
      <c r="K4790" s="13"/>
      <c r="L4790" s="13"/>
      <c r="M4790" s="12"/>
      <c r="N4790" s="12"/>
      <c r="O4790" s="12"/>
      <c r="P4790" s="13"/>
      <c r="Q4790" s="13"/>
      <c r="R4790" s="12"/>
      <c r="S4790" s="12"/>
      <c r="T4790" s="12"/>
      <c r="U4790" s="14"/>
      <c r="V4790" s="15"/>
      <c r="W4790" s="16" t="n">
        <f aca="false">A4790</f>
        <v>0</v>
      </c>
      <c r="X4790" s="17" t="e">
        <f aca="false">ifs(C4790="","",X4790="",NOW(),TRUE(),X4790)</f>
        <v>#VALUE!</v>
      </c>
      <c r="Y4790" s="17" t="e">
        <f aca="false">ifs(COUNTA(K4790:U4793)&lt;44,"",Y4790="",NOW(),TRUE(),Y4790)</f>
        <v>#VALUE!</v>
      </c>
    </row>
    <row r="4791" customFormat="false" ht="15.75" hidden="false" customHeight="false" outlineLevel="0" collapsed="false">
      <c r="A4791" s="9"/>
      <c r="B4791" s="10"/>
      <c r="C4791" s="10"/>
      <c r="D4791" s="10"/>
      <c r="E4791" s="10"/>
      <c r="F4791" s="10"/>
      <c r="G4791" s="10"/>
      <c r="H4791" s="10"/>
      <c r="I4791" s="18" t="n">
        <v>2</v>
      </c>
      <c r="J4791" s="18"/>
      <c r="K4791" s="19"/>
      <c r="L4791" s="19"/>
      <c r="M4791" s="18"/>
      <c r="N4791" s="18"/>
      <c r="O4791" s="18"/>
      <c r="P4791" s="19"/>
      <c r="Q4791" s="19"/>
      <c r="R4791" s="18"/>
      <c r="S4791" s="18"/>
      <c r="T4791" s="18"/>
      <c r="U4791" s="20"/>
      <c r="V4791" s="21"/>
      <c r="W4791" s="16"/>
      <c r="X4791" s="16"/>
      <c r="Y4791" s="16"/>
    </row>
    <row r="4792" customFormat="false" ht="15.75" hidden="false" customHeight="false" outlineLevel="0" collapsed="false">
      <c r="A4792" s="9"/>
      <c r="B4792" s="10"/>
      <c r="C4792" s="10"/>
      <c r="D4792" s="10"/>
      <c r="E4792" s="10"/>
      <c r="F4792" s="10"/>
      <c r="G4792" s="10"/>
      <c r="H4792" s="10"/>
      <c r="I4792" s="22" t="n">
        <v>3</v>
      </c>
      <c r="J4792" s="22"/>
      <c r="K4792" s="23"/>
      <c r="L4792" s="23"/>
      <c r="M4792" s="22"/>
      <c r="N4792" s="22"/>
      <c r="O4792" s="22"/>
      <c r="P4792" s="23"/>
      <c r="Q4792" s="23"/>
      <c r="R4792" s="22"/>
      <c r="S4792" s="22"/>
      <c r="T4792" s="22"/>
      <c r="U4792" s="24"/>
      <c r="V4792" s="15"/>
      <c r="W4792" s="16"/>
      <c r="X4792" s="16"/>
      <c r="Y4792" s="16"/>
    </row>
    <row r="4793" customFormat="false" ht="15.75" hidden="false" customHeight="false" outlineLevel="0" collapsed="false">
      <c r="A4793" s="9"/>
      <c r="B4793" s="10"/>
      <c r="C4793" s="10"/>
      <c r="D4793" s="10"/>
      <c r="E4793" s="10"/>
      <c r="F4793" s="10"/>
      <c r="G4793" s="10"/>
      <c r="H4793" s="10"/>
      <c r="I4793" s="25" t="n">
        <v>4</v>
      </c>
      <c r="J4793" s="25"/>
      <c r="K4793" s="26"/>
      <c r="L4793" s="26"/>
      <c r="M4793" s="25"/>
      <c r="N4793" s="25"/>
      <c r="O4793" s="25"/>
      <c r="P4793" s="26"/>
      <c r="Q4793" s="26"/>
      <c r="R4793" s="25"/>
      <c r="S4793" s="25"/>
      <c r="T4793" s="25"/>
      <c r="U4793" s="27"/>
      <c r="V4793" s="21"/>
      <c r="W4793" s="16"/>
      <c r="X4793" s="16"/>
      <c r="Y4793" s="16"/>
    </row>
    <row r="4794" customFormat="false" ht="15.75" hidden="false" customHeight="false" outlineLevel="0" collapsed="false">
      <c r="A4794" s="9"/>
      <c r="B4794" s="10"/>
      <c r="C4794" s="11"/>
      <c r="D4794" s="10"/>
      <c r="E4794" s="10"/>
      <c r="F4794" s="10"/>
      <c r="G4794" s="10"/>
      <c r="H4794" s="10"/>
      <c r="I4794" s="12" t="n">
        <v>1</v>
      </c>
      <c r="J4794" s="12"/>
      <c r="K4794" s="13"/>
      <c r="L4794" s="13"/>
      <c r="M4794" s="12"/>
      <c r="N4794" s="12"/>
      <c r="O4794" s="12"/>
      <c r="P4794" s="13"/>
      <c r="Q4794" s="13"/>
      <c r="R4794" s="12"/>
      <c r="S4794" s="12"/>
      <c r="T4794" s="12"/>
      <c r="U4794" s="14"/>
      <c r="V4794" s="15"/>
      <c r="W4794" s="16" t="n">
        <f aca="false">A4794</f>
        <v>0</v>
      </c>
      <c r="X4794" s="17" t="e">
        <f aca="false">ifs(C4794="","",X4794="",NOW(),TRUE(),X4794)</f>
        <v>#VALUE!</v>
      </c>
      <c r="Y4794" s="17" t="e">
        <f aca="false">ifs(COUNTA(K4794:U4797)&lt;44,"",Y4794="",NOW(),TRUE(),Y4794)</f>
        <v>#VALUE!</v>
      </c>
    </row>
    <row r="4795" customFormat="false" ht="15.75" hidden="false" customHeight="false" outlineLevel="0" collapsed="false">
      <c r="A4795" s="9"/>
      <c r="B4795" s="10"/>
      <c r="C4795" s="10"/>
      <c r="D4795" s="10"/>
      <c r="E4795" s="10"/>
      <c r="F4795" s="10"/>
      <c r="G4795" s="10"/>
      <c r="H4795" s="10"/>
      <c r="I4795" s="18" t="n">
        <v>2</v>
      </c>
      <c r="J4795" s="18"/>
      <c r="K4795" s="19"/>
      <c r="L4795" s="19"/>
      <c r="M4795" s="18"/>
      <c r="N4795" s="18"/>
      <c r="O4795" s="18"/>
      <c r="P4795" s="19"/>
      <c r="Q4795" s="19"/>
      <c r="R4795" s="18"/>
      <c r="S4795" s="18"/>
      <c r="T4795" s="18"/>
      <c r="U4795" s="20"/>
      <c r="V4795" s="21"/>
      <c r="W4795" s="16"/>
      <c r="X4795" s="16"/>
      <c r="Y4795" s="16"/>
    </row>
    <row r="4796" customFormat="false" ht="15.75" hidden="false" customHeight="false" outlineLevel="0" collapsed="false">
      <c r="A4796" s="9"/>
      <c r="B4796" s="10"/>
      <c r="C4796" s="10"/>
      <c r="D4796" s="10"/>
      <c r="E4796" s="10"/>
      <c r="F4796" s="10"/>
      <c r="G4796" s="10"/>
      <c r="H4796" s="10"/>
      <c r="I4796" s="22" t="n">
        <v>3</v>
      </c>
      <c r="J4796" s="22"/>
      <c r="K4796" s="23"/>
      <c r="L4796" s="23"/>
      <c r="M4796" s="22"/>
      <c r="N4796" s="22"/>
      <c r="O4796" s="22"/>
      <c r="P4796" s="23"/>
      <c r="Q4796" s="23"/>
      <c r="R4796" s="22"/>
      <c r="S4796" s="22"/>
      <c r="T4796" s="22"/>
      <c r="U4796" s="24"/>
      <c r="V4796" s="15"/>
      <c r="W4796" s="16"/>
      <c r="X4796" s="16"/>
      <c r="Y4796" s="16"/>
    </row>
    <row r="4797" customFormat="false" ht="15.75" hidden="false" customHeight="false" outlineLevel="0" collapsed="false">
      <c r="A4797" s="9"/>
      <c r="B4797" s="10"/>
      <c r="C4797" s="10"/>
      <c r="D4797" s="10"/>
      <c r="E4797" s="10"/>
      <c r="F4797" s="10"/>
      <c r="G4797" s="10"/>
      <c r="H4797" s="10"/>
      <c r="I4797" s="25" t="n">
        <v>4</v>
      </c>
      <c r="J4797" s="25"/>
      <c r="K4797" s="26"/>
      <c r="L4797" s="26"/>
      <c r="M4797" s="25"/>
      <c r="N4797" s="25"/>
      <c r="O4797" s="25"/>
      <c r="P4797" s="26"/>
      <c r="Q4797" s="26"/>
      <c r="R4797" s="25"/>
      <c r="S4797" s="25"/>
      <c r="T4797" s="25"/>
      <c r="U4797" s="27"/>
      <c r="V4797" s="21"/>
      <c r="W4797" s="16"/>
      <c r="X4797" s="16"/>
      <c r="Y4797" s="16"/>
    </row>
    <row r="4798" customFormat="false" ht="15.75" hidden="false" customHeight="false" outlineLevel="0" collapsed="false">
      <c r="A4798" s="9"/>
      <c r="B4798" s="10"/>
      <c r="C4798" s="11"/>
      <c r="D4798" s="10"/>
      <c r="E4798" s="10"/>
      <c r="F4798" s="10"/>
      <c r="G4798" s="10"/>
      <c r="H4798" s="10"/>
      <c r="I4798" s="12" t="n">
        <v>1</v>
      </c>
      <c r="J4798" s="12"/>
      <c r="K4798" s="13"/>
      <c r="L4798" s="13"/>
      <c r="M4798" s="12"/>
      <c r="N4798" s="12"/>
      <c r="O4798" s="12"/>
      <c r="P4798" s="13"/>
      <c r="Q4798" s="13"/>
      <c r="R4798" s="12"/>
      <c r="S4798" s="12"/>
      <c r="T4798" s="12"/>
      <c r="U4798" s="14"/>
      <c r="V4798" s="15"/>
      <c r="W4798" s="16" t="n">
        <f aca="false">A4798</f>
        <v>0</v>
      </c>
      <c r="X4798" s="17" t="e">
        <f aca="false">ifs(C4798="","",X4798="",NOW(),TRUE(),X4798)</f>
        <v>#VALUE!</v>
      </c>
      <c r="Y4798" s="17" t="e">
        <f aca="false">ifs(COUNTA(K4798:U4801)&lt;44,"",Y4798="",NOW(),TRUE(),Y4798)</f>
        <v>#VALUE!</v>
      </c>
    </row>
    <row r="4799" customFormat="false" ht="15.75" hidden="false" customHeight="false" outlineLevel="0" collapsed="false">
      <c r="A4799" s="9"/>
      <c r="B4799" s="10"/>
      <c r="C4799" s="10"/>
      <c r="D4799" s="10"/>
      <c r="E4799" s="10"/>
      <c r="F4799" s="10"/>
      <c r="G4799" s="10"/>
      <c r="H4799" s="10"/>
      <c r="I4799" s="18" t="n">
        <v>2</v>
      </c>
      <c r="J4799" s="18"/>
      <c r="K4799" s="19"/>
      <c r="L4799" s="19"/>
      <c r="M4799" s="18"/>
      <c r="N4799" s="18"/>
      <c r="O4799" s="18"/>
      <c r="P4799" s="19"/>
      <c r="Q4799" s="19"/>
      <c r="R4799" s="18"/>
      <c r="S4799" s="18"/>
      <c r="T4799" s="18"/>
      <c r="U4799" s="20"/>
      <c r="V4799" s="21"/>
      <c r="W4799" s="16"/>
      <c r="X4799" s="16"/>
      <c r="Y4799" s="16"/>
    </row>
    <row r="4800" customFormat="false" ht="15.75" hidden="false" customHeight="false" outlineLevel="0" collapsed="false">
      <c r="A4800" s="9"/>
      <c r="B4800" s="10"/>
      <c r="C4800" s="10"/>
      <c r="D4800" s="10"/>
      <c r="E4800" s="10"/>
      <c r="F4800" s="10"/>
      <c r="G4800" s="10"/>
      <c r="H4800" s="10"/>
      <c r="I4800" s="22" t="n">
        <v>3</v>
      </c>
      <c r="J4800" s="22"/>
      <c r="K4800" s="23"/>
      <c r="L4800" s="23"/>
      <c r="M4800" s="22"/>
      <c r="N4800" s="22"/>
      <c r="O4800" s="22"/>
      <c r="P4800" s="23"/>
      <c r="Q4800" s="23"/>
      <c r="R4800" s="22"/>
      <c r="S4800" s="22"/>
      <c r="T4800" s="22"/>
      <c r="U4800" s="24"/>
      <c r="V4800" s="15"/>
      <c r="W4800" s="16"/>
      <c r="X4800" s="16"/>
      <c r="Y4800" s="16"/>
    </row>
    <row r="4801" customFormat="false" ht="15.75" hidden="false" customHeight="false" outlineLevel="0" collapsed="false">
      <c r="A4801" s="9"/>
      <c r="B4801" s="10"/>
      <c r="C4801" s="10"/>
      <c r="D4801" s="10"/>
      <c r="E4801" s="10"/>
      <c r="F4801" s="10"/>
      <c r="G4801" s="10"/>
      <c r="H4801" s="10"/>
      <c r="I4801" s="25" t="n">
        <v>4</v>
      </c>
      <c r="J4801" s="25"/>
      <c r="K4801" s="26"/>
      <c r="L4801" s="26"/>
      <c r="M4801" s="25"/>
      <c r="N4801" s="25"/>
      <c r="O4801" s="25"/>
      <c r="P4801" s="26"/>
      <c r="Q4801" s="26"/>
      <c r="R4801" s="25"/>
      <c r="S4801" s="25"/>
      <c r="T4801" s="25"/>
      <c r="U4801" s="27"/>
      <c r="V4801" s="21"/>
      <c r="W4801" s="16"/>
      <c r="X4801" s="16"/>
      <c r="Y4801" s="16"/>
    </row>
    <row r="4802" customFormat="false" ht="15.75" hidden="false" customHeight="false" outlineLevel="0" collapsed="false">
      <c r="A4802" s="9"/>
      <c r="B4802" s="10"/>
      <c r="C4802" s="11"/>
      <c r="D4802" s="10"/>
      <c r="E4802" s="10"/>
      <c r="F4802" s="10"/>
      <c r="G4802" s="10"/>
      <c r="H4802" s="10"/>
      <c r="I4802" s="12" t="n">
        <v>1</v>
      </c>
      <c r="J4802" s="12"/>
      <c r="K4802" s="13"/>
      <c r="L4802" s="13"/>
      <c r="M4802" s="12"/>
      <c r="N4802" s="12"/>
      <c r="O4802" s="12"/>
      <c r="P4802" s="13"/>
      <c r="Q4802" s="13"/>
      <c r="R4802" s="12"/>
      <c r="S4802" s="12"/>
      <c r="T4802" s="12"/>
      <c r="U4802" s="14"/>
      <c r="V4802" s="15"/>
      <c r="W4802" s="16" t="n">
        <f aca="false">A4802</f>
        <v>0</v>
      </c>
      <c r="X4802" s="17" t="e">
        <f aca="false">ifs(C4802="","",X4802="",NOW(),TRUE(),X4802)</f>
        <v>#VALUE!</v>
      </c>
      <c r="Y4802" s="17" t="e">
        <f aca="false">ifs(COUNTA(K4802:U4805)&lt;44,"",Y4802="",NOW(),TRUE(),Y4802)</f>
        <v>#VALUE!</v>
      </c>
    </row>
    <row r="4803" customFormat="false" ht="15.75" hidden="false" customHeight="false" outlineLevel="0" collapsed="false">
      <c r="A4803" s="9"/>
      <c r="B4803" s="10"/>
      <c r="C4803" s="10"/>
      <c r="D4803" s="10"/>
      <c r="E4803" s="10"/>
      <c r="F4803" s="10"/>
      <c r="G4803" s="10"/>
      <c r="H4803" s="10"/>
      <c r="I4803" s="18" t="n">
        <v>2</v>
      </c>
      <c r="J4803" s="18"/>
      <c r="K4803" s="19"/>
      <c r="L4803" s="19"/>
      <c r="M4803" s="18"/>
      <c r="N4803" s="18"/>
      <c r="O4803" s="18"/>
      <c r="P4803" s="19"/>
      <c r="Q4803" s="19"/>
      <c r="R4803" s="18"/>
      <c r="S4803" s="18"/>
      <c r="T4803" s="18"/>
      <c r="U4803" s="20"/>
      <c r="V4803" s="21"/>
      <c r="W4803" s="16"/>
      <c r="X4803" s="16"/>
      <c r="Y4803" s="16"/>
    </row>
    <row r="4804" customFormat="false" ht="15.75" hidden="false" customHeight="false" outlineLevel="0" collapsed="false">
      <c r="A4804" s="9"/>
      <c r="B4804" s="10"/>
      <c r="C4804" s="10"/>
      <c r="D4804" s="10"/>
      <c r="E4804" s="10"/>
      <c r="F4804" s="10"/>
      <c r="G4804" s="10"/>
      <c r="H4804" s="10"/>
      <c r="I4804" s="22" t="n">
        <v>3</v>
      </c>
      <c r="J4804" s="22"/>
      <c r="K4804" s="23"/>
      <c r="L4804" s="23"/>
      <c r="M4804" s="22"/>
      <c r="N4804" s="22"/>
      <c r="O4804" s="22"/>
      <c r="P4804" s="23"/>
      <c r="Q4804" s="23"/>
      <c r="R4804" s="22"/>
      <c r="S4804" s="22"/>
      <c r="T4804" s="22"/>
      <c r="U4804" s="24"/>
      <c r="V4804" s="15"/>
      <c r="W4804" s="16"/>
      <c r="X4804" s="16"/>
      <c r="Y4804" s="16"/>
    </row>
    <row r="4805" customFormat="false" ht="15.75" hidden="false" customHeight="false" outlineLevel="0" collapsed="false">
      <c r="A4805" s="9"/>
      <c r="B4805" s="10"/>
      <c r="C4805" s="10"/>
      <c r="D4805" s="10"/>
      <c r="E4805" s="10"/>
      <c r="F4805" s="10"/>
      <c r="G4805" s="10"/>
      <c r="H4805" s="10"/>
      <c r="I4805" s="25" t="n">
        <v>4</v>
      </c>
      <c r="J4805" s="25"/>
      <c r="K4805" s="26"/>
      <c r="L4805" s="26"/>
      <c r="M4805" s="25"/>
      <c r="N4805" s="25"/>
      <c r="O4805" s="25"/>
      <c r="P4805" s="26"/>
      <c r="Q4805" s="26"/>
      <c r="R4805" s="25"/>
      <c r="S4805" s="25"/>
      <c r="T4805" s="25"/>
      <c r="U4805" s="27"/>
      <c r="V4805" s="21"/>
      <c r="W4805" s="16"/>
      <c r="X4805" s="16"/>
      <c r="Y4805" s="16"/>
    </row>
    <row r="4806" customFormat="false" ht="15.75" hidden="false" customHeight="false" outlineLevel="0" collapsed="false">
      <c r="A4806" s="9"/>
      <c r="B4806" s="10"/>
      <c r="C4806" s="11"/>
      <c r="D4806" s="10"/>
      <c r="E4806" s="10"/>
      <c r="F4806" s="10"/>
      <c r="G4806" s="10"/>
      <c r="H4806" s="10"/>
      <c r="I4806" s="12" t="n">
        <v>1</v>
      </c>
      <c r="J4806" s="12"/>
      <c r="K4806" s="13"/>
      <c r="L4806" s="13"/>
      <c r="M4806" s="12"/>
      <c r="N4806" s="12"/>
      <c r="O4806" s="12"/>
      <c r="P4806" s="13"/>
      <c r="Q4806" s="13"/>
      <c r="R4806" s="12"/>
      <c r="S4806" s="12"/>
      <c r="T4806" s="12"/>
      <c r="U4806" s="14"/>
      <c r="V4806" s="15"/>
      <c r="W4806" s="16" t="n">
        <f aca="false">A4806</f>
        <v>0</v>
      </c>
      <c r="X4806" s="17" t="e">
        <f aca="false">ifs(C4806="","",X4806="",NOW(),TRUE(),X4806)</f>
        <v>#VALUE!</v>
      </c>
      <c r="Y4806" s="17" t="e">
        <f aca="false">ifs(COUNTA(K4806:U4809)&lt;44,"",Y4806="",NOW(),TRUE(),Y4806)</f>
        <v>#VALUE!</v>
      </c>
    </row>
    <row r="4807" customFormat="false" ht="15.75" hidden="false" customHeight="false" outlineLevel="0" collapsed="false">
      <c r="A4807" s="9"/>
      <c r="B4807" s="10"/>
      <c r="C4807" s="10"/>
      <c r="D4807" s="10"/>
      <c r="E4807" s="10"/>
      <c r="F4807" s="10"/>
      <c r="G4807" s="10"/>
      <c r="H4807" s="10"/>
      <c r="I4807" s="18" t="n">
        <v>2</v>
      </c>
      <c r="J4807" s="18"/>
      <c r="K4807" s="19"/>
      <c r="L4807" s="19"/>
      <c r="M4807" s="18"/>
      <c r="N4807" s="18"/>
      <c r="O4807" s="18"/>
      <c r="P4807" s="19"/>
      <c r="Q4807" s="19"/>
      <c r="R4807" s="18"/>
      <c r="S4807" s="18"/>
      <c r="T4807" s="18"/>
      <c r="U4807" s="20"/>
      <c r="V4807" s="21"/>
      <c r="W4807" s="16"/>
      <c r="X4807" s="16"/>
      <c r="Y4807" s="16"/>
    </row>
    <row r="4808" customFormat="false" ht="15.75" hidden="false" customHeight="false" outlineLevel="0" collapsed="false">
      <c r="A4808" s="9"/>
      <c r="B4808" s="10"/>
      <c r="C4808" s="10"/>
      <c r="D4808" s="10"/>
      <c r="E4808" s="10"/>
      <c r="F4808" s="10"/>
      <c r="G4808" s="10"/>
      <c r="H4808" s="10"/>
      <c r="I4808" s="22" t="n">
        <v>3</v>
      </c>
      <c r="J4808" s="22"/>
      <c r="K4808" s="23"/>
      <c r="L4808" s="23"/>
      <c r="M4808" s="22"/>
      <c r="N4808" s="22"/>
      <c r="O4808" s="22"/>
      <c r="P4808" s="23"/>
      <c r="Q4808" s="23"/>
      <c r="R4808" s="22"/>
      <c r="S4808" s="22"/>
      <c r="T4808" s="22"/>
      <c r="U4808" s="24"/>
      <c r="V4808" s="15"/>
      <c r="W4808" s="16"/>
      <c r="X4808" s="16"/>
      <c r="Y4808" s="16"/>
    </row>
    <row r="4809" customFormat="false" ht="15.75" hidden="false" customHeight="false" outlineLevel="0" collapsed="false">
      <c r="A4809" s="9"/>
      <c r="B4809" s="10"/>
      <c r="C4809" s="10"/>
      <c r="D4809" s="10"/>
      <c r="E4809" s="10"/>
      <c r="F4809" s="10"/>
      <c r="G4809" s="10"/>
      <c r="H4809" s="10"/>
      <c r="I4809" s="25" t="n">
        <v>4</v>
      </c>
      <c r="J4809" s="25"/>
      <c r="K4809" s="26"/>
      <c r="L4809" s="26"/>
      <c r="M4809" s="25"/>
      <c r="N4809" s="25"/>
      <c r="O4809" s="25"/>
      <c r="P4809" s="26"/>
      <c r="Q4809" s="26"/>
      <c r="R4809" s="25"/>
      <c r="S4809" s="25"/>
      <c r="T4809" s="25"/>
      <c r="U4809" s="27"/>
      <c r="V4809" s="21"/>
      <c r="W4809" s="16"/>
      <c r="X4809" s="16"/>
      <c r="Y4809" s="16"/>
    </row>
    <row r="4810" customFormat="false" ht="15.75" hidden="false" customHeight="false" outlineLevel="0" collapsed="false">
      <c r="A4810" s="9"/>
      <c r="B4810" s="10"/>
      <c r="C4810" s="11"/>
      <c r="D4810" s="10"/>
      <c r="E4810" s="10"/>
      <c r="F4810" s="10"/>
      <c r="G4810" s="10"/>
      <c r="H4810" s="10"/>
      <c r="I4810" s="12" t="n">
        <v>1</v>
      </c>
      <c r="J4810" s="12"/>
      <c r="K4810" s="13"/>
      <c r="L4810" s="13"/>
      <c r="M4810" s="12"/>
      <c r="N4810" s="12"/>
      <c r="O4810" s="12"/>
      <c r="P4810" s="13"/>
      <c r="Q4810" s="13"/>
      <c r="R4810" s="12"/>
      <c r="S4810" s="12"/>
      <c r="T4810" s="12"/>
      <c r="U4810" s="14"/>
      <c r="V4810" s="15"/>
      <c r="W4810" s="16" t="n">
        <f aca="false">A4810</f>
        <v>0</v>
      </c>
      <c r="X4810" s="17" t="e">
        <f aca="false">ifs(C4810="","",X4810="",NOW(),TRUE(),X4810)</f>
        <v>#VALUE!</v>
      </c>
      <c r="Y4810" s="17" t="e">
        <f aca="false">ifs(COUNTA(K4810:U4813)&lt;44,"",Y4810="",NOW(),TRUE(),Y4810)</f>
        <v>#VALUE!</v>
      </c>
    </row>
    <row r="4811" customFormat="false" ht="15.75" hidden="false" customHeight="false" outlineLevel="0" collapsed="false">
      <c r="A4811" s="9"/>
      <c r="B4811" s="10"/>
      <c r="C4811" s="10"/>
      <c r="D4811" s="10"/>
      <c r="E4811" s="10"/>
      <c r="F4811" s="10"/>
      <c r="G4811" s="10"/>
      <c r="H4811" s="10"/>
      <c r="I4811" s="18" t="n">
        <v>2</v>
      </c>
      <c r="J4811" s="18"/>
      <c r="K4811" s="19"/>
      <c r="L4811" s="19"/>
      <c r="M4811" s="18"/>
      <c r="N4811" s="18"/>
      <c r="O4811" s="18"/>
      <c r="P4811" s="19"/>
      <c r="Q4811" s="19"/>
      <c r="R4811" s="18"/>
      <c r="S4811" s="18"/>
      <c r="T4811" s="18"/>
      <c r="U4811" s="20"/>
      <c r="V4811" s="21"/>
      <c r="W4811" s="16"/>
      <c r="X4811" s="16"/>
      <c r="Y4811" s="16"/>
    </row>
    <row r="4812" customFormat="false" ht="15.75" hidden="false" customHeight="false" outlineLevel="0" collapsed="false">
      <c r="A4812" s="9"/>
      <c r="B4812" s="10"/>
      <c r="C4812" s="10"/>
      <c r="D4812" s="10"/>
      <c r="E4812" s="10"/>
      <c r="F4812" s="10"/>
      <c r="G4812" s="10"/>
      <c r="H4812" s="10"/>
      <c r="I4812" s="22" t="n">
        <v>3</v>
      </c>
      <c r="J4812" s="22"/>
      <c r="K4812" s="23"/>
      <c r="L4812" s="23"/>
      <c r="M4812" s="22"/>
      <c r="N4812" s="22"/>
      <c r="O4812" s="22"/>
      <c r="P4812" s="23"/>
      <c r="Q4812" s="23"/>
      <c r="R4812" s="22"/>
      <c r="S4812" s="22"/>
      <c r="T4812" s="22"/>
      <c r="U4812" s="24"/>
      <c r="V4812" s="15"/>
      <c r="W4812" s="16"/>
      <c r="X4812" s="16"/>
      <c r="Y4812" s="16"/>
    </row>
    <row r="4813" customFormat="false" ht="15.75" hidden="false" customHeight="false" outlineLevel="0" collapsed="false">
      <c r="A4813" s="9"/>
      <c r="B4813" s="10"/>
      <c r="C4813" s="10"/>
      <c r="D4813" s="10"/>
      <c r="E4813" s="10"/>
      <c r="F4813" s="10"/>
      <c r="G4813" s="10"/>
      <c r="H4813" s="10"/>
      <c r="I4813" s="25" t="n">
        <v>4</v>
      </c>
      <c r="J4813" s="25"/>
      <c r="K4813" s="26"/>
      <c r="L4813" s="26"/>
      <c r="M4813" s="25"/>
      <c r="N4813" s="25"/>
      <c r="O4813" s="25"/>
      <c r="P4813" s="26"/>
      <c r="Q4813" s="26"/>
      <c r="R4813" s="25"/>
      <c r="S4813" s="25"/>
      <c r="T4813" s="25"/>
      <c r="U4813" s="27"/>
      <c r="V4813" s="21"/>
      <c r="W4813" s="16"/>
      <c r="X4813" s="16"/>
      <c r="Y4813" s="16"/>
    </row>
    <row r="4814" customFormat="false" ht="15.75" hidden="false" customHeight="false" outlineLevel="0" collapsed="false">
      <c r="A4814" s="9"/>
      <c r="B4814" s="10"/>
      <c r="C4814" s="11"/>
      <c r="D4814" s="10"/>
      <c r="E4814" s="10"/>
      <c r="F4814" s="10"/>
      <c r="G4814" s="10"/>
      <c r="H4814" s="10"/>
      <c r="I4814" s="12" t="n">
        <v>1</v>
      </c>
      <c r="J4814" s="12"/>
      <c r="K4814" s="13"/>
      <c r="L4814" s="13"/>
      <c r="M4814" s="12"/>
      <c r="N4814" s="12"/>
      <c r="O4814" s="12"/>
      <c r="P4814" s="13"/>
      <c r="Q4814" s="13"/>
      <c r="R4814" s="12"/>
      <c r="S4814" s="12"/>
      <c r="T4814" s="12"/>
      <c r="U4814" s="14"/>
      <c r="V4814" s="15"/>
      <c r="W4814" s="16" t="n">
        <f aca="false">A4814</f>
        <v>0</v>
      </c>
      <c r="X4814" s="17" t="e">
        <f aca="false">ifs(C4814="","",X4814="",NOW(),TRUE(),X4814)</f>
        <v>#VALUE!</v>
      </c>
      <c r="Y4814" s="17" t="e">
        <f aca="false">ifs(COUNTA(K4814:U4817)&lt;44,"",Y4814="",NOW(),TRUE(),Y4814)</f>
        <v>#VALUE!</v>
      </c>
    </row>
    <row r="4815" customFormat="false" ht="15.75" hidden="false" customHeight="false" outlineLevel="0" collapsed="false">
      <c r="A4815" s="9"/>
      <c r="B4815" s="10"/>
      <c r="C4815" s="10"/>
      <c r="D4815" s="10"/>
      <c r="E4815" s="10"/>
      <c r="F4815" s="10"/>
      <c r="G4815" s="10"/>
      <c r="H4815" s="10"/>
      <c r="I4815" s="18" t="n">
        <v>2</v>
      </c>
      <c r="J4815" s="18"/>
      <c r="K4815" s="19"/>
      <c r="L4815" s="19"/>
      <c r="M4815" s="18"/>
      <c r="N4815" s="18"/>
      <c r="O4815" s="18"/>
      <c r="P4815" s="19"/>
      <c r="Q4815" s="19"/>
      <c r="R4815" s="18"/>
      <c r="S4815" s="18"/>
      <c r="T4815" s="18"/>
      <c r="U4815" s="20"/>
      <c r="V4815" s="21"/>
      <c r="W4815" s="16"/>
      <c r="X4815" s="16"/>
      <c r="Y4815" s="16"/>
    </row>
    <row r="4816" customFormat="false" ht="15.75" hidden="false" customHeight="false" outlineLevel="0" collapsed="false">
      <c r="A4816" s="9"/>
      <c r="B4816" s="10"/>
      <c r="C4816" s="10"/>
      <c r="D4816" s="10"/>
      <c r="E4816" s="10"/>
      <c r="F4816" s="10"/>
      <c r="G4816" s="10"/>
      <c r="H4816" s="10"/>
      <c r="I4816" s="22" t="n">
        <v>3</v>
      </c>
      <c r="J4816" s="22"/>
      <c r="K4816" s="23"/>
      <c r="L4816" s="23"/>
      <c r="M4816" s="22"/>
      <c r="N4816" s="22"/>
      <c r="O4816" s="22"/>
      <c r="P4816" s="23"/>
      <c r="Q4816" s="23"/>
      <c r="R4816" s="22"/>
      <c r="S4816" s="22"/>
      <c r="T4816" s="22"/>
      <c r="U4816" s="24"/>
      <c r="V4816" s="15"/>
      <c r="W4816" s="16"/>
      <c r="X4816" s="16"/>
      <c r="Y4816" s="16"/>
    </row>
    <row r="4817" customFormat="false" ht="15.75" hidden="false" customHeight="false" outlineLevel="0" collapsed="false">
      <c r="A4817" s="9"/>
      <c r="B4817" s="10"/>
      <c r="C4817" s="10"/>
      <c r="D4817" s="10"/>
      <c r="E4817" s="10"/>
      <c r="F4817" s="10"/>
      <c r="G4817" s="10"/>
      <c r="H4817" s="10"/>
      <c r="I4817" s="25" t="n">
        <v>4</v>
      </c>
      <c r="J4817" s="25"/>
      <c r="K4817" s="26"/>
      <c r="L4817" s="26"/>
      <c r="M4817" s="25"/>
      <c r="N4817" s="25"/>
      <c r="O4817" s="25"/>
      <c r="P4817" s="26"/>
      <c r="Q4817" s="26"/>
      <c r="R4817" s="25"/>
      <c r="S4817" s="25"/>
      <c r="T4817" s="25"/>
      <c r="U4817" s="27"/>
      <c r="V4817" s="21"/>
      <c r="W4817" s="16"/>
      <c r="X4817" s="16"/>
      <c r="Y4817" s="16"/>
    </row>
    <row r="4818" customFormat="false" ht="15.75" hidden="false" customHeight="false" outlineLevel="0" collapsed="false">
      <c r="A4818" s="9"/>
      <c r="B4818" s="10"/>
      <c r="C4818" s="11"/>
      <c r="D4818" s="10"/>
      <c r="E4818" s="10"/>
      <c r="F4818" s="10"/>
      <c r="G4818" s="10"/>
      <c r="H4818" s="10"/>
      <c r="I4818" s="12" t="n">
        <v>1</v>
      </c>
      <c r="J4818" s="12"/>
      <c r="K4818" s="13"/>
      <c r="L4818" s="13"/>
      <c r="M4818" s="12"/>
      <c r="N4818" s="12"/>
      <c r="O4818" s="12"/>
      <c r="P4818" s="13"/>
      <c r="Q4818" s="13"/>
      <c r="R4818" s="12"/>
      <c r="S4818" s="12"/>
      <c r="T4818" s="12"/>
      <c r="U4818" s="14"/>
      <c r="V4818" s="15"/>
      <c r="W4818" s="16" t="n">
        <f aca="false">A4818</f>
        <v>0</v>
      </c>
      <c r="X4818" s="17" t="e">
        <f aca="false">ifs(C4818="","",X4818="",NOW(),TRUE(),X4818)</f>
        <v>#VALUE!</v>
      </c>
      <c r="Y4818" s="17" t="e">
        <f aca="false">ifs(COUNTA(K4818:U4821)&lt;44,"",Y4818="",NOW(),TRUE(),Y4818)</f>
        <v>#VALUE!</v>
      </c>
    </row>
    <row r="4819" customFormat="false" ht="15.75" hidden="false" customHeight="false" outlineLevel="0" collapsed="false">
      <c r="A4819" s="9"/>
      <c r="B4819" s="10"/>
      <c r="C4819" s="10"/>
      <c r="D4819" s="10"/>
      <c r="E4819" s="10"/>
      <c r="F4819" s="10"/>
      <c r="G4819" s="10"/>
      <c r="H4819" s="10"/>
      <c r="I4819" s="18" t="n">
        <v>2</v>
      </c>
      <c r="J4819" s="18"/>
      <c r="K4819" s="19"/>
      <c r="L4819" s="19"/>
      <c r="M4819" s="18"/>
      <c r="N4819" s="18"/>
      <c r="O4819" s="18"/>
      <c r="P4819" s="19"/>
      <c r="Q4819" s="19"/>
      <c r="R4819" s="18"/>
      <c r="S4819" s="18"/>
      <c r="T4819" s="18"/>
      <c r="U4819" s="20"/>
      <c r="V4819" s="21"/>
      <c r="W4819" s="16"/>
      <c r="X4819" s="16"/>
      <c r="Y4819" s="16"/>
    </row>
    <row r="4820" customFormat="false" ht="15.75" hidden="false" customHeight="false" outlineLevel="0" collapsed="false">
      <c r="A4820" s="9"/>
      <c r="B4820" s="10"/>
      <c r="C4820" s="10"/>
      <c r="D4820" s="10"/>
      <c r="E4820" s="10"/>
      <c r="F4820" s="10"/>
      <c r="G4820" s="10"/>
      <c r="H4820" s="10"/>
      <c r="I4820" s="22" t="n">
        <v>3</v>
      </c>
      <c r="J4820" s="22"/>
      <c r="K4820" s="23"/>
      <c r="L4820" s="23"/>
      <c r="M4820" s="22"/>
      <c r="N4820" s="22"/>
      <c r="O4820" s="22"/>
      <c r="P4820" s="23"/>
      <c r="Q4820" s="23"/>
      <c r="R4820" s="22"/>
      <c r="S4820" s="22"/>
      <c r="T4820" s="22"/>
      <c r="U4820" s="24"/>
      <c r="V4820" s="15"/>
      <c r="W4820" s="16"/>
      <c r="X4820" s="16"/>
      <c r="Y4820" s="16"/>
    </row>
    <row r="4821" customFormat="false" ht="15.75" hidden="false" customHeight="false" outlineLevel="0" collapsed="false">
      <c r="A4821" s="9"/>
      <c r="B4821" s="10"/>
      <c r="C4821" s="10"/>
      <c r="D4821" s="10"/>
      <c r="E4821" s="10"/>
      <c r="F4821" s="10"/>
      <c r="G4821" s="10"/>
      <c r="H4821" s="10"/>
      <c r="I4821" s="25" t="n">
        <v>4</v>
      </c>
      <c r="J4821" s="25"/>
      <c r="K4821" s="26"/>
      <c r="L4821" s="26"/>
      <c r="M4821" s="25"/>
      <c r="N4821" s="25"/>
      <c r="O4821" s="25"/>
      <c r="P4821" s="26"/>
      <c r="Q4821" s="26"/>
      <c r="R4821" s="25"/>
      <c r="S4821" s="25"/>
      <c r="T4821" s="25"/>
      <c r="U4821" s="27"/>
      <c r="V4821" s="21"/>
      <c r="W4821" s="16"/>
      <c r="X4821" s="16"/>
      <c r="Y4821" s="16"/>
    </row>
    <row r="4822" customFormat="false" ht="15.75" hidden="false" customHeight="false" outlineLevel="0" collapsed="false">
      <c r="A4822" s="9"/>
      <c r="B4822" s="10"/>
      <c r="C4822" s="11"/>
      <c r="D4822" s="10"/>
      <c r="E4822" s="10"/>
      <c r="F4822" s="10"/>
      <c r="G4822" s="10"/>
      <c r="H4822" s="10"/>
      <c r="I4822" s="12" t="n">
        <v>1</v>
      </c>
      <c r="J4822" s="12"/>
      <c r="K4822" s="13"/>
      <c r="L4822" s="13"/>
      <c r="M4822" s="12"/>
      <c r="N4822" s="12"/>
      <c r="O4822" s="12"/>
      <c r="P4822" s="13"/>
      <c r="Q4822" s="13"/>
      <c r="R4822" s="12"/>
      <c r="S4822" s="12"/>
      <c r="T4822" s="12"/>
      <c r="U4822" s="14"/>
      <c r="V4822" s="15"/>
      <c r="W4822" s="16" t="n">
        <f aca="false">A4822</f>
        <v>0</v>
      </c>
      <c r="X4822" s="17" t="e">
        <f aca="false">ifs(C4822="","",X4822="",NOW(),TRUE(),X4822)</f>
        <v>#VALUE!</v>
      </c>
      <c r="Y4822" s="17" t="e">
        <f aca="false">ifs(COUNTA(K4822:U4825)&lt;44,"",Y4822="",NOW(),TRUE(),Y4822)</f>
        <v>#VALUE!</v>
      </c>
    </row>
    <row r="4823" customFormat="false" ht="15.75" hidden="false" customHeight="false" outlineLevel="0" collapsed="false">
      <c r="A4823" s="9"/>
      <c r="B4823" s="10"/>
      <c r="C4823" s="10"/>
      <c r="D4823" s="10"/>
      <c r="E4823" s="10"/>
      <c r="F4823" s="10"/>
      <c r="G4823" s="10"/>
      <c r="H4823" s="10"/>
      <c r="I4823" s="18" t="n">
        <v>2</v>
      </c>
      <c r="J4823" s="18"/>
      <c r="K4823" s="19"/>
      <c r="L4823" s="19"/>
      <c r="M4823" s="18"/>
      <c r="N4823" s="18"/>
      <c r="O4823" s="18"/>
      <c r="P4823" s="19"/>
      <c r="Q4823" s="19"/>
      <c r="R4823" s="18"/>
      <c r="S4823" s="18"/>
      <c r="T4823" s="18"/>
      <c r="U4823" s="20"/>
      <c r="V4823" s="21"/>
      <c r="W4823" s="16"/>
      <c r="X4823" s="16"/>
      <c r="Y4823" s="16"/>
    </row>
    <row r="4824" customFormat="false" ht="15.75" hidden="false" customHeight="false" outlineLevel="0" collapsed="false">
      <c r="A4824" s="9"/>
      <c r="B4824" s="10"/>
      <c r="C4824" s="10"/>
      <c r="D4824" s="10"/>
      <c r="E4824" s="10"/>
      <c r="F4824" s="10"/>
      <c r="G4824" s="10"/>
      <c r="H4824" s="10"/>
      <c r="I4824" s="22" t="n">
        <v>3</v>
      </c>
      <c r="J4824" s="22"/>
      <c r="K4824" s="23"/>
      <c r="L4824" s="23"/>
      <c r="M4824" s="22"/>
      <c r="N4824" s="22"/>
      <c r="O4824" s="22"/>
      <c r="P4824" s="23"/>
      <c r="Q4824" s="23"/>
      <c r="R4824" s="22"/>
      <c r="S4824" s="22"/>
      <c r="T4824" s="22"/>
      <c r="U4824" s="24"/>
      <c r="V4824" s="15"/>
      <c r="W4824" s="16"/>
      <c r="X4824" s="16"/>
      <c r="Y4824" s="16"/>
    </row>
    <row r="4825" customFormat="false" ht="15.75" hidden="false" customHeight="false" outlineLevel="0" collapsed="false">
      <c r="A4825" s="9"/>
      <c r="B4825" s="10"/>
      <c r="C4825" s="10"/>
      <c r="D4825" s="10"/>
      <c r="E4825" s="10"/>
      <c r="F4825" s="10"/>
      <c r="G4825" s="10"/>
      <c r="H4825" s="10"/>
      <c r="I4825" s="25" t="n">
        <v>4</v>
      </c>
      <c r="J4825" s="25"/>
      <c r="K4825" s="26"/>
      <c r="L4825" s="26"/>
      <c r="M4825" s="25"/>
      <c r="N4825" s="25"/>
      <c r="O4825" s="25"/>
      <c r="P4825" s="26"/>
      <c r="Q4825" s="26"/>
      <c r="R4825" s="25"/>
      <c r="S4825" s="25"/>
      <c r="T4825" s="25"/>
      <c r="U4825" s="27"/>
      <c r="V4825" s="21"/>
      <c r="W4825" s="16"/>
      <c r="X4825" s="16"/>
      <c r="Y4825" s="16"/>
    </row>
    <row r="4826" customFormat="false" ht="15.75" hidden="false" customHeight="false" outlineLevel="0" collapsed="false">
      <c r="A4826" s="9"/>
      <c r="B4826" s="10"/>
      <c r="C4826" s="11"/>
      <c r="D4826" s="10"/>
      <c r="E4826" s="10"/>
      <c r="F4826" s="10"/>
      <c r="G4826" s="10"/>
      <c r="H4826" s="10"/>
      <c r="I4826" s="12" t="n">
        <v>1</v>
      </c>
      <c r="J4826" s="12"/>
      <c r="K4826" s="13"/>
      <c r="L4826" s="13"/>
      <c r="M4826" s="12"/>
      <c r="N4826" s="12"/>
      <c r="O4826" s="12"/>
      <c r="P4826" s="13"/>
      <c r="Q4826" s="13"/>
      <c r="R4826" s="12"/>
      <c r="S4826" s="12"/>
      <c r="T4826" s="12"/>
      <c r="U4826" s="14"/>
      <c r="V4826" s="15"/>
      <c r="W4826" s="16" t="n">
        <f aca="false">A4826</f>
        <v>0</v>
      </c>
      <c r="X4826" s="17" t="e">
        <f aca="false">ifs(C4826="","",X4826="",NOW(),TRUE(),X4826)</f>
        <v>#VALUE!</v>
      </c>
      <c r="Y4826" s="17" t="e">
        <f aca="false">ifs(COUNTA(K4826:U4829)&lt;44,"",Y4826="",NOW(),TRUE(),Y4826)</f>
        <v>#VALUE!</v>
      </c>
    </row>
    <row r="4827" customFormat="false" ht="15.75" hidden="false" customHeight="false" outlineLevel="0" collapsed="false">
      <c r="A4827" s="9"/>
      <c r="B4827" s="10"/>
      <c r="C4827" s="10"/>
      <c r="D4827" s="10"/>
      <c r="E4827" s="10"/>
      <c r="F4827" s="10"/>
      <c r="G4827" s="10"/>
      <c r="H4827" s="10"/>
      <c r="I4827" s="18" t="n">
        <v>2</v>
      </c>
      <c r="J4827" s="18"/>
      <c r="K4827" s="19"/>
      <c r="L4827" s="19"/>
      <c r="M4827" s="18"/>
      <c r="N4827" s="18"/>
      <c r="O4827" s="18"/>
      <c r="P4827" s="19"/>
      <c r="Q4827" s="19"/>
      <c r="R4827" s="18"/>
      <c r="S4827" s="18"/>
      <c r="T4827" s="18"/>
      <c r="U4827" s="20"/>
      <c r="V4827" s="21"/>
      <c r="W4827" s="16"/>
      <c r="X4827" s="16"/>
      <c r="Y4827" s="16"/>
    </row>
    <row r="4828" customFormat="false" ht="15.75" hidden="false" customHeight="false" outlineLevel="0" collapsed="false">
      <c r="A4828" s="9"/>
      <c r="B4828" s="10"/>
      <c r="C4828" s="10"/>
      <c r="D4828" s="10"/>
      <c r="E4828" s="10"/>
      <c r="F4828" s="10"/>
      <c r="G4828" s="10"/>
      <c r="H4828" s="10"/>
      <c r="I4828" s="22" t="n">
        <v>3</v>
      </c>
      <c r="J4828" s="22"/>
      <c r="K4828" s="23"/>
      <c r="L4828" s="23"/>
      <c r="M4828" s="22"/>
      <c r="N4828" s="22"/>
      <c r="O4828" s="22"/>
      <c r="P4828" s="23"/>
      <c r="Q4828" s="23"/>
      <c r="R4828" s="22"/>
      <c r="S4828" s="22"/>
      <c r="T4828" s="22"/>
      <c r="U4828" s="24"/>
      <c r="V4828" s="15"/>
      <c r="W4828" s="16"/>
      <c r="X4828" s="16"/>
      <c r="Y4828" s="16"/>
    </row>
    <row r="4829" customFormat="false" ht="15.75" hidden="false" customHeight="false" outlineLevel="0" collapsed="false">
      <c r="A4829" s="9"/>
      <c r="B4829" s="10"/>
      <c r="C4829" s="10"/>
      <c r="D4829" s="10"/>
      <c r="E4829" s="10"/>
      <c r="F4829" s="10"/>
      <c r="G4829" s="10"/>
      <c r="H4829" s="10"/>
      <c r="I4829" s="25" t="n">
        <v>4</v>
      </c>
      <c r="J4829" s="25"/>
      <c r="K4829" s="26"/>
      <c r="L4829" s="26"/>
      <c r="M4829" s="25"/>
      <c r="N4829" s="25"/>
      <c r="O4829" s="25"/>
      <c r="P4829" s="26"/>
      <c r="Q4829" s="26"/>
      <c r="R4829" s="25"/>
      <c r="S4829" s="25"/>
      <c r="T4829" s="25"/>
      <c r="U4829" s="27"/>
      <c r="V4829" s="21"/>
      <c r="W4829" s="16"/>
      <c r="X4829" s="16"/>
      <c r="Y4829" s="16"/>
    </row>
    <row r="4830" customFormat="false" ht="15.75" hidden="false" customHeight="false" outlineLevel="0" collapsed="false">
      <c r="A4830" s="9"/>
      <c r="B4830" s="10"/>
      <c r="C4830" s="11"/>
      <c r="D4830" s="10"/>
      <c r="E4830" s="10"/>
      <c r="F4830" s="10"/>
      <c r="G4830" s="10"/>
      <c r="H4830" s="10"/>
      <c r="I4830" s="12" t="n">
        <v>1</v>
      </c>
      <c r="J4830" s="12"/>
      <c r="K4830" s="13"/>
      <c r="L4830" s="13"/>
      <c r="M4830" s="12"/>
      <c r="N4830" s="12"/>
      <c r="O4830" s="12"/>
      <c r="P4830" s="13"/>
      <c r="Q4830" s="13"/>
      <c r="R4830" s="12"/>
      <c r="S4830" s="12"/>
      <c r="T4830" s="12"/>
      <c r="U4830" s="14"/>
      <c r="V4830" s="15"/>
      <c r="W4830" s="16" t="n">
        <f aca="false">A4830</f>
        <v>0</v>
      </c>
      <c r="X4830" s="17" t="e">
        <f aca="false">ifs(C4830="","",X4830="",NOW(),TRUE(),X4830)</f>
        <v>#VALUE!</v>
      </c>
      <c r="Y4830" s="17" t="e">
        <f aca="false">ifs(COUNTA(K4830:U4833)&lt;44,"",Y4830="",NOW(),TRUE(),Y4830)</f>
        <v>#VALUE!</v>
      </c>
    </row>
    <row r="4831" customFormat="false" ht="15.75" hidden="false" customHeight="false" outlineLevel="0" collapsed="false">
      <c r="A4831" s="9"/>
      <c r="B4831" s="10"/>
      <c r="C4831" s="10"/>
      <c r="D4831" s="10"/>
      <c r="E4831" s="10"/>
      <c r="F4831" s="10"/>
      <c r="G4831" s="10"/>
      <c r="H4831" s="10"/>
      <c r="I4831" s="18" t="n">
        <v>2</v>
      </c>
      <c r="J4831" s="18"/>
      <c r="K4831" s="19"/>
      <c r="L4831" s="19"/>
      <c r="M4831" s="18"/>
      <c r="N4831" s="18"/>
      <c r="O4831" s="18"/>
      <c r="P4831" s="19"/>
      <c r="Q4831" s="19"/>
      <c r="R4831" s="18"/>
      <c r="S4831" s="18"/>
      <c r="T4831" s="18"/>
      <c r="U4831" s="20"/>
      <c r="V4831" s="21"/>
      <c r="W4831" s="16"/>
      <c r="X4831" s="16"/>
      <c r="Y4831" s="16"/>
    </row>
    <row r="4832" customFormat="false" ht="15.75" hidden="false" customHeight="false" outlineLevel="0" collapsed="false">
      <c r="A4832" s="9"/>
      <c r="B4832" s="10"/>
      <c r="C4832" s="10"/>
      <c r="D4832" s="10"/>
      <c r="E4832" s="10"/>
      <c r="F4832" s="10"/>
      <c r="G4832" s="10"/>
      <c r="H4832" s="10"/>
      <c r="I4832" s="22" t="n">
        <v>3</v>
      </c>
      <c r="J4832" s="22"/>
      <c r="K4832" s="23"/>
      <c r="L4832" s="23"/>
      <c r="M4832" s="22"/>
      <c r="N4832" s="22"/>
      <c r="O4832" s="22"/>
      <c r="P4832" s="23"/>
      <c r="Q4832" s="23"/>
      <c r="R4832" s="22"/>
      <c r="S4832" s="22"/>
      <c r="T4832" s="22"/>
      <c r="U4832" s="24"/>
      <c r="V4832" s="15"/>
      <c r="W4832" s="16"/>
      <c r="X4832" s="16"/>
      <c r="Y4832" s="16"/>
    </row>
    <row r="4833" customFormat="false" ht="15.75" hidden="false" customHeight="false" outlineLevel="0" collapsed="false">
      <c r="A4833" s="9"/>
      <c r="B4833" s="10"/>
      <c r="C4833" s="10"/>
      <c r="D4833" s="10"/>
      <c r="E4833" s="10"/>
      <c r="F4833" s="10"/>
      <c r="G4833" s="10"/>
      <c r="H4833" s="10"/>
      <c r="I4833" s="25" t="n">
        <v>4</v>
      </c>
      <c r="J4833" s="25"/>
      <c r="K4833" s="26"/>
      <c r="L4833" s="26"/>
      <c r="M4833" s="25"/>
      <c r="N4833" s="25"/>
      <c r="O4833" s="25"/>
      <c r="P4833" s="26"/>
      <c r="Q4833" s="26"/>
      <c r="R4833" s="25"/>
      <c r="S4833" s="25"/>
      <c r="T4833" s="25"/>
      <c r="U4833" s="27"/>
      <c r="V4833" s="21"/>
      <c r="W4833" s="16"/>
      <c r="X4833" s="16"/>
      <c r="Y4833" s="16"/>
    </row>
    <row r="4834" customFormat="false" ht="15.75" hidden="false" customHeight="false" outlineLevel="0" collapsed="false">
      <c r="A4834" s="9"/>
      <c r="B4834" s="10"/>
      <c r="C4834" s="11"/>
      <c r="D4834" s="10"/>
      <c r="E4834" s="10"/>
      <c r="F4834" s="10"/>
      <c r="G4834" s="10"/>
      <c r="H4834" s="10"/>
      <c r="I4834" s="12" t="n">
        <v>1</v>
      </c>
      <c r="J4834" s="12"/>
      <c r="K4834" s="13"/>
      <c r="L4834" s="13"/>
      <c r="M4834" s="12"/>
      <c r="N4834" s="12"/>
      <c r="O4834" s="12"/>
      <c r="P4834" s="13"/>
      <c r="Q4834" s="13"/>
      <c r="R4834" s="12"/>
      <c r="S4834" s="12"/>
      <c r="T4834" s="12"/>
      <c r="U4834" s="14"/>
      <c r="V4834" s="15"/>
      <c r="W4834" s="16" t="n">
        <f aca="false">A4834</f>
        <v>0</v>
      </c>
      <c r="X4834" s="17" t="e">
        <f aca="false">ifs(C4834="","",X4834="",NOW(),TRUE(),X4834)</f>
        <v>#VALUE!</v>
      </c>
      <c r="Y4834" s="17" t="e">
        <f aca="false">ifs(COUNTA(K4834:U4837)&lt;44,"",Y4834="",NOW(),TRUE(),Y4834)</f>
        <v>#VALUE!</v>
      </c>
    </row>
    <row r="4835" customFormat="false" ht="15.75" hidden="false" customHeight="false" outlineLevel="0" collapsed="false">
      <c r="A4835" s="9"/>
      <c r="B4835" s="10"/>
      <c r="C4835" s="10"/>
      <c r="D4835" s="10"/>
      <c r="E4835" s="10"/>
      <c r="F4835" s="10"/>
      <c r="G4835" s="10"/>
      <c r="H4835" s="10"/>
      <c r="I4835" s="18" t="n">
        <v>2</v>
      </c>
      <c r="J4835" s="18"/>
      <c r="K4835" s="19"/>
      <c r="L4835" s="19"/>
      <c r="M4835" s="18"/>
      <c r="N4835" s="18"/>
      <c r="O4835" s="18"/>
      <c r="P4835" s="19"/>
      <c r="Q4835" s="19"/>
      <c r="R4835" s="18"/>
      <c r="S4835" s="18"/>
      <c r="T4835" s="18"/>
      <c r="U4835" s="20"/>
      <c r="V4835" s="21"/>
      <c r="W4835" s="16"/>
      <c r="X4835" s="16"/>
      <c r="Y4835" s="16"/>
    </row>
    <row r="4836" customFormat="false" ht="15.75" hidden="false" customHeight="false" outlineLevel="0" collapsed="false">
      <c r="A4836" s="9"/>
      <c r="B4836" s="10"/>
      <c r="C4836" s="10"/>
      <c r="D4836" s="10"/>
      <c r="E4836" s="10"/>
      <c r="F4836" s="10"/>
      <c r="G4836" s="10"/>
      <c r="H4836" s="10"/>
      <c r="I4836" s="22" t="n">
        <v>3</v>
      </c>
      <c r="J4836" s="22"/>
      <c r="K4836" s="23"/>
      <c r="L4836" s="23"/>
      <c r="M4836" s="22"/>
      <c r="N4836" s="22"/>
      <c r="O4836" s="22"/>
      <c r="P4836" s="23"/>
      <c r="Q4836" s="23"/>
      <c r="R4836" s="22"/>
      <c r="S4836" s="22"/>
      <c r="T4836" s="22"/>
      <c r="U4836" s="24"/>
      <c r="V4836" s="15"/>
      <c r="W4836" s="16"/>
      <c r="X4836" s="16"/>
      <c r="Y4836" s="16"/>
    </row>
    <row r="4837" customFormat="false" ht="15.75" hidden="false" customHeight="false" outlineLevel="0" collapsed="false">
      <c r="A4837" s="9"/>
      <c r="B4837" s="10"/>
      <c r="C4837" s="10"/>
      <c r="D4837" s="10"/>
      <c r="E4837" s="10"/>
      <c r="F4837" s="10"/>
      <c r="G4837" s="10"/>
      <c r="H4837" s="10"/>
      <c r="I4837" s="25" t="n">
        <v>4</v>
      </c>
      <c r="J4837" s="25"/>
      <c r="K4837" s="26"/>
      <c r="L4837" s="26"/>
      <c r="M4837" s="25"/>
      <c r="N4837" s="25"/>
      <c r="O4837" s="25"/>
      <c r="P4837" s="26"/>
      <c r="Q4837" s="26"/>
      <c r="R4837" s="25"/>
      <c r="S4837" s="25"/>
      <c r="T4837" s="25"/>
      <c r="U4837" s="27"/>
      <c r="V4837" s="21"/>
      <c r="W4837" s="16"/>
      <c r="X4837" s="16"/>
      <c r="Y4837" s="16"/>
    </row>
    <row r="4838" customFormat="false" ht="15.75" hidden="false" customHeight="false" outlineLevel="0" collapsed="false">
      <c r="A4838" s="9"/>
      <c r="B4838" s="10"/>
      <c r="C4838" s="11"/>
      <c r="D4838" s="10"/>
      <c r="E4838" s="10"/>
      <c r="F4838" s="10"/>
      <c r="G4838" s="10"/>
      <c r="H4838" s="10"/>
      <c r="I4838" s="12" t="n">
        <v>1</v>
      </c>
      <c r="J4838" s="12"/>
      <c r="K4838" s="13"/>
      <c r="L4838" s="13"/>
      <c r="M4838" s="12"/>
      <c r="N4838" s="12"/>
      <c r="O4838" s="12"/>
      <c r="P4838" s="13"/>
      <c r="Q4838" s="13"/>
      <c r="R4838" s="12"/>
      <c r="S4838" s="12"/>
      <c r="T4838" s="12"/>
      <c r="U4838" s="14"/>
      <c r="V4838" s="15"/>
      <c r="W4838" s="16" t="n">
        <f aca="false">A4838</f>
        <v>0</v>
      </c>
      <c r="X4838" s="17" t="e">
        <f aca="false">ifs(C4838="","",X4838="",NOW(),TRUE(),X4838)</f>
        <v>#VALUE!</v>
      </c>
      <c r="Y4838" s="17" t="e">
        <f aca="false">ifs(COUNTA(K4838:U4841)&lt;44,"",Y4838="",NOW(),TRUE(),Y4838)</f>
        <v>#VALUE!</v>
      </c>
    </row>
    <row r="4839" customFormat="false" ht="15.75" hidden="false" customHeight="false" outlineLevel="0" collapsed="false">
      <c r="A4839" s="9"/>
      <c r="B4839" s="10"/>
      <c r="C4839" s="10"/>
      <c r="D4839" s="10"/>
      <c r="E4839" s="10"/>
      <c r="F4839" s="10"/>
      <c r="G4839" s="10"/>
      <c r="H4839" s="10"/>
      <c r="I4839" s="18" t="n">
        <v>2</v>
      </c>
      <c r="J4839" s="18"/>
      <c r="K4839" s="19"/>
      <c r="L4839" s="19"/>
      <c r="M4839" s="18"/>
      <c r="N4839" s="18"/>
      <c r="O4839" s="18"/>
      <c r="P4839" s="19"/>
      <c r="Q4839" s="19"/>
      <c r="R4839" s="18"/>
      <c r="S4839" s="18"/>
      <c r="T4839" s="18"/>
      <c r="U4839" s="20"/>
      <c r="V4839" s="21"/>
      <c r="W4839" s="16"/>
      <c r="X4839" s="16"/>
      <c r="Y4839" s="16"/>
    </row>
    <row r="4840" customFormat="false" ht="15.75" hidden="false" customHeight="false" outlineLevel="0" collapsed="false">
      <c r="A4840" s="9"/>
      <c r="B4840" s="10"/>
      <c r="C4840" s="10"/>
      <c r="D4840" s="10"/>
      <c r="E4840" s="10"/>
      <c r="F4840" s="10"/>
      <c r="G4840" s="10"/>
      <c r="H4840" s="10"/>
      <c r="I4840" s="22" t="n">
        <v>3</v>
      </c>
      <c r="J4840" s="22"/>
      <c r="K4840" s="23"/>
      <c r="L4840" s="23"/>
      <c r="M4840" s="22"/>
      <c r="N4840" s="22"/>
      <c r="O4840" s="22"/>
      <c r="P4840" s="23"/>
      <c r="Q4840" s="23"/>
      <c r="R4840" s="22"/>
      <c r="S4840" s="22"/>
      <c r="T4840" s="22"/>
      <c r="U4840" s="24"/>
      <c r="V4840" s="15"/>
      <c r="W4840" s="16"/>
      <c r="X4840" s="16"/>
      <c r="Y4840" s="16"/>
    </row>
    <row r="4841" customFormat="false" ht="15.75" hidden="false" customHeight="false" outlineLevel="0" collapsed="false">
      <c r="A4841" s="9"/>
      <c r="B4841" s="10"/>
      <c r="C4841" s="10"/>
      <c r="D4841" s="10"/>
      <c r="E4841" s="10"/>
      <c r="F4841" s="10"/>
      <c r="G4841" s="10"/>
      <c r="H4841" s="10"/>
      <c r="I4841" s="25" t="n">
        <v>4</v>
      </c>
      <c r="J4841" s="25"/>
      <c r="K4841" s="26"/>
      <c r="L4841" s="26"/>
      <c r="M4841" s="25"/>
      <c r="N4841" s="25"/>
      <c r="O4841" s="25"/>
      <c r="P4841" s="26"/>
      <c r="Q4841" s="26"/>
      <c r="R4841" s="25"/>
      <c r="S4841" s="25"/>
      <c r="T4841" s="25"/>
      <c r="U4841" s="27"/>
      <c r="V4841" s="21"/>
      <c r="W4841" s="16"/>
      <c r="X4841" s="16"/>
      <c r="Y4841" s="16"/>
    </row>
    <row r="4842" customFormat="false" ht="15.75" hidden="false" customHeight="false" outlineLevel="0" collapsed="false">
      <c r="A4842" s="9"/>
      <c r="B4842" s="10"/>
      <c r="C4842" s="11"/>
      <c r="D4842" s="10"/>
      <c r="E4842" s="10"/>
      <c r="F4842" s="10"/>
      <c r="G4842" s="10"/>
      <c r="H4842" s="10"/>
      <c r="I4842" s="12" t="n">
        <v>1</v>
      </c>
      <c r="J4842" s="12"/>
      <c r="K4842" s="13"/>
      <c r="L4842" s="13"/>
      <c r="M4842" s="12"/>
      <c r="N4842" s="12"/>
      <c r="O4842" s="12"/>
      <c r="P4842" s="13"/>
      <c r="Q4842" s="13"/>
      <c r="R4842" s="12"/>
      <c r="S4842" s="12"/>
      <c r="T4842" s="12"/>
      <c r="U4842" s="14"/>
      <c r="V4842" s="15"/>
      <c r="W4842" s="16" t="n">
        <f aca="false">A4842</f>
        <v>0</v>
      </c>
      <c r="X4842" s="17" t="e">
        <f aca="false">ifs(C4842="","",X4842="",NOW(),TRUE(),X4842)</f>
        <v>#VALUE!</v>
      </c>
      <c r="Y4842" s="17" t="e">
        <f aca="false">ifs(COUNTA(K4842:U4845)&lt;44,"",Y4842="",NOW(),TRUE(),Y4842)</f>
        <v>#VALUE!</v>
      </c>
    </row>
    <row r="4843" customFormat="false" ht="15.75" hidden="false" customHeight="false" outlineLevel="0" collapsed="false">
      <c r="A4843" s="9"/>
      <c r="B4843" s="10"/>
      <c r="C4843" s="10"/>
      <c r="D4843" s="10"/>
      <c r="E4843" s="10"/>
      <c r="F4843" s="10"/>
      <c r="G4843" s="10"/>
      <c r="H4843" s="10"/>
      <c r="I4843" s="18" t="n">
        <v>2</v>
      </c>
      <c r="J4843" s="18"/>
      <c r="K4843" s="19"/>
      <c r="L4843" s="19"/>
      <c r="M4843" s="18"/>
      <c r="N4843" s="18"/>
      <c r="O4843" s="18"/>
      <c r="P4843" s="19"/>
      <c r="Q4843" s="19"/>
      <c r="R4843" s="18"/>
      <c r="S4843" s="18"/>
      <c r="T4843" s="18"/>
      <c r="U4843" s="20"/>
      <c r="V4843" s="21"/>
      <c r="W4843" s="16"/>
      <c r="X4843" s="16"/>
      <c r="Y4843" s="16"/>
    </row>
    <row r="4844" customFormat="false" ht="15.75" hidden="false" customHeight="false" outlineLevel="0" collapsed="false">
      <c r="A4844" s="9"/>
      <c r="B4844" s="10"/>
      <c r="C4844" s="10"/>
      <c r="D4844" s="10"/>
      <c r="E4844" s="10"/>
      <c r="F4844" s="10"/>
      <c r="G4844" s="10"/>
      <c r="H4844" s="10"/>
      <c r="I4844" s="22" t="n">
        <v>3</v>
      </c>
      <c r="J4844" s="22"/>
      <c r="K4844" s="23"/>
      <c r="L4844" s="23"/>
      <c r="M4844" s="22"/>
      <c r="N4844" s="22"/>
      <c r="O4844" s="22"/>
      <c r="P4844" s="23"/>
      <c r="Q4844" s="23"/>
      <c r="R4844" s="22"/>
      <c r="S4844" s="22"/>
      <c r="T4844" s="22"/>
      <c r="U4844" s="24"/>
      <c r="V4844" s="15"/>
      <c r="W4844" s="16"/>
      <c r="X4844" s="16"/>
      <c r="Y4844" s="16"/>
    </row>
    <row r="4845" customFormat="false" ht="15.75" hidden="false" customHeight="false" outlineLevel="0" collapsed="false">
      <c r="A4845" s="9"/>
      <c r="B4845" s="10"/>
      <c r="C4845" s="10"/>
      <c r="D4845" s="10"/>
      <c r="E4845" s="10"/>
      <c r="F4845" s="10"/>
      <c r="G4845" s="10"/>
      <c r="H4845" s="10"/>
      <c r="I4845" s="25" t="n">
        <v>4</v>
      </c>
      <c r="J4845" s="25"/>
      <c r="K4845" s="26"/>
      <c r="L4845" s="26"/>
      <c r="M4845" s="25"/>
      <c r="N4845" s="25"/>
      <c r="O4845" s="25"/>
      <c r="P4845" s="26"/>
      <c r="Q4845" s="26"/>
      <c r="R4845" s="25"/>
      <c r="S4845" s="25"/>
      <c r="T4845" s="25"/>
      <c r="U4845" s="27"/>
      <c r="V4845" s="21"/>
      <c r="W4845" s="16"/>
      <c r="X4845" s="16"/>
      <c r="Y4845" s="16"/>
    </row>
    <row r="4846" customFormat="false" ht="15.75" hidden="false" customHeight="false" outlineLevel="0" collapsed="false">
      <c r="A4846" s="9"/>
      <c r="B4846" s="10"/>
      <c r="C4846" s="11"/>
      <c r="D4846" s="10"/>
      <c r="E4846" s="10"/>
      <c r="F4846" s="10"/>
      <c r="G4846" s="10"/>
      <c r="H4846" s="10"/>
      <c r="I4846" s="12" t="n">
        <v>1</v>
      </c>
      <c r="J4846" s="12"/>
      <c r="K4846" s="13"/>
      <c r="L4846" s="13"/>
      <c r="M4846" s="12"/>
      <c r="N4846" s="12"/>
      <c r="O4846" s="12"/>
      <c r="P4846" s="13"/>
      <c r="Q4846" s="13"/>
      <c r="R4846" s="12"/>
      <c r="S4846" s="12"/>
      <c r="T4846" s="12"/>
      <c r="U4846" s="14"/>
      <c r="V4846" s="15"/>
      <c r="W4846" s="16" t="n">
        <f aca="false">A4846</f>
        <v>0</v>
      </c>
      <c r="X4846" s="17" t="e">
        <f aca="false">ifs(C4846="","",X4846="",NOW(),TRUE(),X4846)</f>
        <v>#VALUE!</v>
      </c>
      <c r="Y4846" s="17" t="e">
        <f aca="false">ifs(COUNTA(K4846:U4849)&lt;44,"",Y4846="",NOW(),TRUE(),Y4846)</f>
        <v>#VALUE!</v>
      </c>
    </row>
    <row r="4847" customFormat="false" ht="15.75" hidden="false" customHeight="false" outlineLevel="0" collapsed="false">
      <c r="A4847" s="9"/>
      <c r="B4847" s="10"/>
      <c r="C4847" s="10"/>
      <c r="D4847" s="10"/>
      <c r="E4847" s="10"/>
      <c r="F4847" s="10"/>
      <c r="G4847" s="10"/>
      <c r="H4847" s="10"/>
      <c r="I4847" s="18" t="n">
        <v>2</v>
      </c>
      <c r="J4847" s="18"/>
      <c r="K4847" s="19"/>
      <c r="L4847" s="19"/>
      <c r="M4847" s="18"/>
      <c r="N4847" s="18"/>
      <c r="O4847" s="18"/>
      <c r="P4847" s="19"/>
      <c r="Q4847" s="19"/>
      <c r="R4847" s="18"/>
      <c r="S4847" s="18"/>
      <c r="T4847" s="18"/>
      <c r="U4847" s="20"/>
      <c r="V4847" s="21"/>
      <c r="W4847" s="16"/>
      <c r="X4847" s="16"/>
      <c r="Y4847" s="16"/>
    </row>
    <row r="4848" customFormat="false" ht="15.75" hidden="false" customHeight="false" outlineLevel="0" collapsed="false">
      <c r="A4848" s="9"/>
      <c r="B4848" s="10"/>
      <c r="C4848" s="10"/>
      <c r="D4848" s="10"/>
      <c r="E4848" s="10"/>
      <c r="F4848" s="10"/>
      <c r="G4848" s="10"/>
      <c r="H4848" s="10"/>
      <c r="I4848" s="22" t="n">
        <v>3</v>
      </c>
      <c r="J4848" s="22"/>
      <c r="K4848" s="23"/>
      <c r="L4848" s="23"/>
      <c r="M4848" s="22"/>
      <c r="N4848" s="22"/>
      <c r="O4848" s="22"/>
      <c r="P4848" s="23"/>
      <c r="Q4848" s="23"/>
      <c r="R4848" s="22"/>
      <c r="S4848" s="22"/>
      <c r="T4848" s="22"/>
      <c r="U4848" s="24"/>
      <c r="V4848" s="15"/>
      <c r="W4848" s="16"/>
      <c r="X4848" s="16"/>
      <c r="Y4848" s="16"/>
    </row>
    <row r="4849" customFormat="false" ht="15.75" hidden="false" customHeight="false" outlineLevel="0" collapsed="false">
      <c r="A4849" s="9"/>
      <c r="B4849" s="10"/>
      <c r="C4849" s="10"/>
      <c r="D4849" s="10"/>
      <c r="E4849" s="10"/>
      <c r="F4849" s="10"/>
      <c r="G4849" s="10"/>
      <c r="H4849" s="10"/>
      <c r="I4849" s="25" t="n">
        <v>4</v>
      </c>
      <c r="J4849" s="25"/>
      <c r="K4849" s="26"/>
      <c r="L4849" s="26"/>
      <c r="M4849" s="25"/>
      <c r="N4849" s="25"/>
      <c r="O4849" s="25"/>
      <c r="P4849" s="26"/>
      <c r="Q4849" s="26"/>
      <c r="R4849" s="25"/>
      <c r="S4849" s="25"/>
      <c r="T4849" s="25"/>
      <c r="U4849" s="27"/>
      <c r="V4849" s="21"/>
      <c r="W4849" s="16"/>
      <c r="X4849" s="16"/>
      <c r="Y4849" s="16"/>
    </row>
    <row r="4850" customFormat="false" ht="15.75" hidden="false" customHeight="false" outlineLevel="0" collapsed="false">
      <c r="A4850" s="9"/>
      <c r="B4850" s="10"/>
      <c r="C4850" s="11"/>
      <c r="D4850" s="10"/>
      <c r="E4850" s="10"/>
      <c r="F4850" s="10"/>
      <c r="G4850" s="10"/>
      <c r="H4850" s="10"/>
      <c r="I4850" s="12" t="n">
        <v>1</v>
      </c>
      <c r="J4850" s="12"/>
      <c r="K4850" s="13"/>
      <c r="L4850" s="13"/>
      <c r="M4850" s="12"/>
      <c r="N4850" s="12"/>
      <c r="O4850" s="12"/>
      <c r="P4850" s="13"/>
      <c r="Q4850" s="13"/>
      <c r="R4850" s="12"/>
      <c r="S4850" s="12"/>
      <c r="T4850" s="12"/>
      <c r="U4850" s="14"/>
      <c r="V4850" s="15"/>
      <c r="W4850" s="16" t="n">
        <f aca="false">A4850</f>
        <v>0</v>
      </c>
      <c r="X4850" s="17" t="e">
        <f aca="false">ifs(C4850="","",X4850="",NOW(),TRUE(),X4850)</f>
        <v>#VALUE!</v>
      </c>
      <c r="Y4850" s="17" t="e">
        <f aca="false">ifs(COUNTA(K4850:U4853)&lt;44,"",Y4850="",NOW(),TRUE(),Y4850)</f>
        <v>#VALUE!</v>
      </c>
    </row>
    <row r="4851" customFormat="false" ht="15.75" hidden="false" customHeight="false" outlineLevel="0" collapsed="false">
      <c r="A4851" s="9"/>
      <c r="B4851" s="10"/>
      <c r="C4851" s="10"/>
      <c r="D4851" s="10"/>
      <c r="E4851" s="10"/>
      <c r="F4851" s="10"/>
      <c r="G4851" s="10"/>
      <c r="H4851" s="10"/>
      <c r="I4851" s="18" t="n">
        <v>2</v>
      </c>
      <c r="J4851" s="18"/>
      <c r="K4851" s="19"/>
      <c r="L4851" s="19"/>
      <c r="M4851" s="18"/>
      <c r="N4851" s="18"/>
      <c r="O4851" s="18"/>
      <c r="P4851" s="19"/>
      <c r="Q4851" s="19"/>
      <c r="R4851" s="18"/>
      <c r="S4851" s="18"/>
      <c r="T4851" s="18"/>
      <c r="U4851" s="20"/>
      <c r="V4851" s="21"/>
      <c r="W4851" s="16"/>
      <c r="X4851" s="16"/>
      <c r="Y4851" s="16"/>
    </row>
    <row r="4852" customFormat="false" ht="15.75" hidden="false" customHeight="false" outlineLevel="0" collapsed="false">
      <c r="A4852" s="9"/>
      <c r="B4852" s="10"/>
      <c r="C4852" s="10"/>
      <c r="D4852" s="10"/>
      <c r="E4852" s="10"/>
      <c r="F4852" s="10"/>
      <c r="G4852" s="10"/>
      <c r="H4852" s="10"/>
      <c r="I4852" s="22" t="n">
        <v>3</v>
      </c>
      <c r="J4852" s="22"/>
      <c r="K4852" s="23"/>
      <c r="L4852" s="23"/>
      <c r="M4852" s="22"/>
      <c r="N4852" s="22"/>
      <c r="O4852" s="22"/>
      <c r="P4852" s="23"/>
      <c r="Q4852" s="23"/>
      <c r="R4852" s="22"/>
      <c r="S4852" s="22"/>
      <c r="T4852" s="22"/>
      <c r="U4852" s="24"/>
      <c r="V4852" s="15"/>
      <c r="W4852" s="16"/>
      <c r="X4852" s="16"/>
      <c r="Y4852" s="16"/>
    </row>
    <row r="4853" customFormat="false" ht="15.75" hidden="false" customHeight="false" outlineLevel="0" collapsed="false">
      <c r="A4853" s="9"/>
      <c r="B4853" s="10"/>
      <c r="C4853" s="10"/>
      <c r="D4853" s="10"/>
      <c r="E4853" s="10"/>
      <c r="F4853" s="10"/>
      <c r="G4853" s="10"/>
      <c r="H4853" s="10"/>
      <c r="I4853" s="25" t="n">
        <v>4</v>
      </c>
      <c r="J4853" s="25"/>
      <c r="K4853" s="26"/>
      <c r="L4853" s="26"/>
      <c r="M4853" s="25"/>
      <c r="N4853" s="25"/>
      <c r="O4853" s="25"/>
      <c r="P4853" s="26"/>
      <c r="Q4853" s="26"/>
      <c r="R4853" s="25"/>
      <c r="S4853" s="25"/>
      <c r="T4853" s="25"/>
      <c r="U4853" s="27"/>
      <c r="V4853" s="21"/>
      <c r="W4853" s="16"/>
      <c r="X4853" s="16"/>
      <c r="Y4853" s="16"/>
    </row>
    <row r="4854" customFormat="false" ht="15.75" hidden="false" customHeight="false" outlineLevel="0" collapsed="false">
      <c r="A4854" s="9"/>
      <c r="B4854" s="10"/>
      <c r="C4854" s="11"/>
      <c r="D4854" s="10"/>
      <c r="E4854" s="10"/>
      <c r="F4854" s="10"/>
      <c r="G4854" s="10"/>
      <c r="H4854" s="10"/>
      <c r="I4854" s="12" t="n">
        <v>1</v>
      </c>
      <c r="J4854" s="12"/>
      <c r="K4854" s="13"/>
      <c r="L4854" s="13"/>
      <c r="M4854" s="12"/>
      <c r="N4854" s="12"/>
      <c r="O4854" s="12"/>
      <c r="P4854" s="13"/>
      <c r="Q4854" s="13"/>
      <c r="R4854" s="12"/>
      <c r="S4854" s="12"/>
      <c r="T4854" s="12"/>
      <c r="U4854" s="14"/>
      <c r="V4854" s="15"/>
      <c r="W4854" s="16" t="n">
        <f aca="false">A4854</f>
        <v>0</v>
      </c>
      <c r="X4854" s="17" t="e">
        <f aca="false">ifs(C4854="","",X4854="",NOW(),TRUE(),X4854)</f>
        <v>#VALUE!</v>
      </c>
      <c r="Y4854" s="17" t="e">
        <f aca="false">ifs(COUNTA(K4854:U4857)&lt;44,"",Y4854="",NOW(),TRUE(),Y4854)</f>
        <v>#VALUE!</v>
      </c>
    </row>
    <row r="4855" customFormat="false" ht="15.75" hidden="false" customHeight="false" outlineLevel="0" collapsed="false">
      <c r="A4855" s="9"/>
      <c r="B4855" s="10"/>
      <c r="C4855" s="10"/>
      <c r="D4855" s="10"/>
      <c r="E4855" s="10"/>
      <c r="F4855" s="10"/>
      <c r="G4855" s="10"/>
      <c r="H4855" s="10"/>
      <c r="I4855" s="18" t="n">
        <v>2</v>
      </c>
      <c r="J4855" s="18"/>
      <c r="K4855" s="19"/>
      <c r="L4855" s="19"/>
      <c r="M4855" s="18"/>
      <c r="N4855" s="18"/>
      <c r="O4855" s="18"/>
      <c r="P4855" s="19"/>
      <c r="Q4855" s="19"/>
      <c r="R4855" s="18"/>
      <c r="S4855" s="18"/>
      <c r="T4855" s="18"/>
      <c r="U4855" s="20"/>
      <c r="V4855" s="21"/>
      <c r="W4855" s="16"/>
      <c r="X4855" s="16"/>
      <c r="Y4855" s="16"/>
    </row>
    <row r="4856" customFormat="false" ht="15.75" hidden="false" customHeight="false" outlineLevel="0" collapsed="false">
      <c r="A4856" s="9"/>
      <c r="B4856" s="10"/>
      <c r="C4856" s="10"/>
      <c r="D4856" s="10"/>
      <c r="E4856" s="10"/>
      <c r="F4856" s="10"/>
      <c r="G4856" s="10"/>
      <c r="H4856" s="10"/>
      <c r="I4856" s="22" t="n">
        <v>3</v>
      </c>
      <c r="J4856" s="22"/>
      <c r="K4856" s="23"/>
      <c r="L4856" s="23"/>
      <c r="M4856" s="22"/>
      <c r="N4856" s="22"/>
      <c r="O4856" s="22"/>
      <c r="P4856" s="23"/>
      <c r="Q4856" s="23"/>
      <c r="R4856" s="22"/>
      <c r="S4856" s="22"/>
      <c r="T4856" s="22"/>
      <c r="U4856" s="24"/>
      <c r="V4856" s="15"/>
      <c r="W4856" s="16"/>
      <c r="X4856" s="16"/>
      <c r="Y4856" s="16"/>
    </row>
    <row r="4857" customFormat="false" ht="15.75" hidden="false" customHeight="false" outlineLevel="0" collapsed="false">
      <c r="A4857" s="9"/>
      <c r="B4857" s="10"/>
      <c r="C4857" s="10"/>
      <c r="D4857" s="10"/>
      <c r="E4857" s="10"/>
      <c r="F4857" s="10"/>
      <c r="G4857" s="10"/>
      <c r="H4857" s="10"/>
      <c r="I4857" s="25" t="n">
        <v>4</v>
      </c>
      <c r="J4857" s="25"/>
      <c r="K4857" s="26"/>
      <c r="L4857" s="26"/>
      <c r="M4857" s="25"/>
      <c r="N4857" s="25"/>
      <c r="O4857" s="25"/>
      <c r="P4857" s="26"/>
      <c r="Q4857" s="26"/>
      <c r="R4857" s="25"/>
      <c r="S4857" s="25"/>
      <c r="T4857" s="25"/>
      <c r="U4857" s="27"/>
      <c r="V4857" s="21"/>
      <c r="W4857" s="16"/>
      <c r="X4857" s="16"/>
      <c r="Y4857" s="16"/>
    </row>
    <row r="4858" customFormat="false" ht="15.75" hidden="false" customHeight="false" outlineLevel="0" collapsed="false">
      <c r="A4858" s="9"/>
      <c r="B4858" s="10"/>
      <c r="C4858" s="11"/>
      <c r="D4858" s="10"/>
      <c r="E4858" s="10"/>
      <c r="F4858" s="10"/>
      <c r="G4858" s="10"/>
      <c r="H4858" s="10"/>
      <c r="I4858" s="12" t="n">
        <v>1</v>
      </c>
      <c r="J4858" s="12"/>
      <c r="K4858" s="13"/>
      <c r="L4858" s="13"/>
      <c r="M4858" s="12"/>
      <c r="N4858" s="12"/>
      <c r="O4858" s="12"/>
      <c r="P4858" s="13"/>
      <c r="Q4858" s="13"/>
      <c r="R4858" s="12"/>
      <c r="S4858" s="12"/>
      <c r="T4858" s="12"/>
      <c r="U4858" s="14"/>
      <c r="V4858" s="15"/>
      <c r="W4858" s="16" t="n">
        <f aca="false">A4858</f>
        <v>0</v>
      </c>
      <c r="X4858" s="17" t="e">
        <f aca="false">ifs(C4858="","",X4858="",NOW(),TRUE(),X4858)</f>
        <v>#VALUE!</v>
      </c>
      <c r="Y4858" s="17" t="e">
        <f aca="false">ifs(COUNTA(K4858:U4861)&lt;44,"",Y4858="",NOW(),TRUE(),Y4858)</f>
        <v>#VALUE!</v>
      </c>
    </row>
    <row r="4859" customFormat="false" ht="15.75" hidden="false" customHeight="false" outlineLevel="0" collapsed="false">
      <c r="A4859" s="9"/>
      <c r="B4859" s="10"/>
      <c r="C4859" s="10"/>
      <c r="D4859" s="10"/>
      <c r="E4859" s="10"/>
      <c r="F4859" s="10"/>
      <c r="G4859" s="10"/>
      <c r="H4859" s="10"/>
      <c r="I4859" s="18" t="n">
        <v>2</v>
      </c>
      <c r="J4859" s="18"/>
      <c r="K4859" s="19"/>
      <c r="L4859" s="19"/>
      <c r="M4859" s="18"/>
      <c r="N4859" s="18"/>
      <c r="O4859" s="18"/>
      <c r="P4859" s="19"/>
      <c r="Q4859" s="19"/>
      <c r="R4859" s="18"/>
      <c r="S4859" s="18"/>
      <c r="T4859" s="18"/>
      <c r="U4859" s="20"/>
      <c r="V4859" s="21"/>
      <c r="W4859" s="16"/>
      <c r="X4859" s="16"/>
      <c r="Y4859" s="16"/>
    </row>
    <row r="4860" customFormat="false" ht="15.75" hidden="false" customHeight="false" outlineLevel="0" collapsed="false">
      <c r="A4860" s="9"/>
      <c r="B4860" s="10"/>
      <c r="C4860" s="10"/>
      <c r="D4860" s="10"/>
      <c r="E4860" s="10"/>
      <c r="F4860" s="10"/>
      <c r="G4860" s="10"/>
      <c r="H4860" s="10"/>
      <c r="I4860" s="22" t="n">
        <v>3</v>
      </c>
      <c r="J4860" s="22"/>
      <c r="K4860" s="23"/>
      <c r="L4860" s="23"/>
      <c r="M4860" s="22"/>
      <c r="N4860" s="22"/>
      <c r="O4860" s="22"/>
      <c r="P4860" s="23"/>
      <c r="Q4860" s="23"/>
      <c r="R4860" s="22"/>
      <c r="S4860" s="22"/>
      <c r="T4860" s="22"/>
      <c r="U4860" s="24"/>
      <c r="V4860" s="15"/>
      <c r="W4860" s="16"/>
      <c r="X4860" s="16"/>
      <c r="Y4860" s="16"/>
    </row>
    <row r="4861" customFormat="false" ht="15.75" hidden="false" customHeight="false" outlineLevel="0" collapsed="false">
      <c r="A4861" s="9"/>
      <c r="B4861" s="10"/>
      <c r="C4861" s="10"/>
      <c r="D4861" s="10"/>
      <c r="E4861" s="10"/>
      <c r="F4861" s="10"/>
      <c r="G4861" s="10"/>
      <c r="H4861" s="10"/>
      <c r="I4861" s="25" t="n">
        <v>4</v>
      </c>
      <c r="J4861" s="25"/>
      <c r="K4861" s="26"/>
      <c r="L4861" s="26"/>
      <c r="M4861" s="25"/>
      <c r="N4861" s="25"/>
      <c r="O4861" s="25"/>
      <c r="P4861" s="26"/>
      <c r="Q4861" s="26"/>
      <c r="R4861" s="25"/>
      <c r="S4861" s="25"/>
      <c r="T4861" s="25"/>
      <c r="U4861" s="27"/>
      <c r="V4861" s="21"/>
      <c r="W4861" s="16"/>
      <c r="X4861" s="16"/>
      <c r="Y4861" s="16"/>
    </row>
    <row r="4862" customFormat="false" ht="15.75" hidden="false" customHeight="false" outlineLevel="0" collapsed="false">
      <c r="A4862" s="9"/>
      <c r="B4862" s="10"/>
      <c r="C4862" s="11"/>
      <c r="D4862" s="10"/>
      <c r="E4862" s="10"/>
      <c r="F4862" s="10"/>
      <c r="G4862" s="10"/>
      <c r="H4862" s="10"/>
      <c r="I4862" s="12" t="n">
        <v>1</v>
      </c>
      <c r="J4862" s="12"/>
      <c r="K4862" s="13"/>
      <c r="L4862" s="13"/>
      <c r="M4862" s="12"/>
      <c r="N4862" s="12"/>
      <c r="O4862" s="12"/>
      <c r="P4862" s="13"/>
      <c r="Q4862" s="13"/>
      <c r="R4862" s="12"/>
      <c r="S4862" s="12"/>
      <c r="T4862" s="12"/>
      <c r="U4862" s="14"/>
      <c r="V4862" s="15"/>
      <c r="W4862" s="16" t="n">
        <f aca="false">A4862</f>
        <v>0</v>
      </c>
      <c r="X4862" s="17" t="e">
        <f aca="false">ifs(C4862="","",X4862="",NOW(),TRUE(),X4862)</f>
        <v>#VALUE!</v>
      </c>
      <c r="Y4862" s="17" t="e">
        <f aca="false">ifs(COUNTA(K4862:U4865)&lt;44,"",Y4862="",NOW(),TRUE(),Y4862)</f>
        <v>#VALUE!</v>
      </c>
    </row>
    <row r="4863" customFormat="false" ht="15.75" hidden="false" customHeight="false" outlineLevel="0" collapsed="false">
      <c r="A4863" s="9"/>
      <c r="B4863" s="10"/>
      <c r="C4863" s="10"/>
      <c r="D4863" s="10"/>
      <c r="E4863" s="10"/>
      <c r="F4863" s="10"/>
      <c r="G4863" s="10"/>
      <c r="H4863" s="10"/>
      <c r="I4863" s="18" t="n">
        <v>2</v>
      </c>
      <c r="J4863" s="18"/>
      <c r="K4863" s="19"/>
      <c r="L4863" s="19"/>
      <c r="M4863" s="18"/>
      <c r="N4863" s="18"/>
      <c r="O4863" s="18"/>
      <c r="P4863" s="19"/>
      <c r="Q4863" s="19"/>
      <c r="R4863" s="18"/>
      <c r="S4863" s="18"/>
      <c r="T4863" s="18"/>
      <c r="U4863" s="20"/>
      <c r="V4863" s="21"/>
      <c r="W4863" s="16"/>
      <c r="X4863" s="16"/>
      <c r="Y4863" s="16"/>
    </row>
    <row r="4864" customFormat="false" ht="15.75" hidden="false" customHeight="false" outlineLevel="0" collapsed="false">
      <c r="A4864" s="9"/>
      <c r="B4864" s="10"/>
      <c r="C4864" s="10"/>
      <c r="D4864" s="10"/>
      <c r="E4864" s="10"/>
      <c r="F4864" s="10"/>
      <c r="G4864" s="10"/>
      <c r="H4864" s="10"/>
      <c r="I4864" s="22" t="n">
        <v>3</v>
      </c>
      <c r="J4864" s="22"/>
      <c r="K4864" s="23"/>
      <c r="L4864" s="23"/>
      <c r="M4864" s="22"/>
      <c r="N4864" s="22"/>
      <c r="O4864" s="22"/>
      <c r="P4864" s="23"/>
      <c r="Q4864" s="23"/>
      <c r="R4864" s="22"/>
      <c r="S4864" s="22"/>
      <c r="T4864" s="22"/>
      <c r="U4864" s="24"/>
      <c r="V4864" s="15"/>
      <c r="W4864" s="16"/>
      <c r="X4864" s="16"/>
      <c r="Y4864" s="16"/>
    </row>
    <row r="4865" customFormat="false" ht="15.75" hidden="false" customHeight="false" outlineLevel="0" collapsed="false">
      <c r="A4865" s="9"/>
      <c r="B4865" s="10"/>
      <c r="C4865" s="10"/>
      <c r="D4865" s="10"/>
      <c r="E4865" s="10"/>
      <c r="F4865" s="10"/>
      <c r="G4865" s="10"/>
      <c r="H4865" s="10"/>
      <c r="I4865" s="25" t="n">
        <v>4</v>
      </c>
      <c r="J4865" s="25"/>
      <c r="K4865" s="26"/>
      <c r="L4865" s="26"/>
      <c r="M4865" s="25"/>
      <c r="N4865" s="25"/>
      <c r="O4865" s="25"/>
      <c r="P4865" s="26"/>
      <c r="Q4865" s="26"/>
      <c r="R4865" s="25"/>
      <c r="S4865" s="25"/>
      <c r="T4865" s="25"/>
      <c r="U4865" s="27"/>
      <c r="V4865" s="21"/>
      <c r="W4865" s="16"/>
      <c r="X4865" s="16"/>
      <c r="Y4865" s="16"/>
    </row>
    <row r="4866" customFormat="false" ht="15.75" hidden="false" customHeight="false" outlineLevel="0" collapsed="false">
      <c r="A4866" s="9"/>
      <c r="B4866" s="10"/>
      <c r="C4866" s="11"/>
      <c r="D4866" s="10"/>
      <c r="E4866" s="10"/>
      <c r="F4866" s="10"/>
      <c r="G4866" s="10"/>
      <c r="H4866" s="10"/>
      <c r="I4866" s="12" t="n">
        <v>1</v>
      </c>
      <c r="J4866" s="12"/>
      <c r="K4866" s="13"/>
      <c r="L4866" s="13"/>
      <c r="M4866" s="12"/>
      <c r="N4866" s="12"/>
      <c r="O4866" s="12"/>
      <c r="P4866" s="13"/>
      <c r="Q4866" s="13"/>
      <c r="R4866" s="12"/>
      <c r="S4866" s="12"/>
      <c r="T4866" s="12"/>
      <c r="U4866" s="14"/>
      <c r="V4866" s="15"/>
      <c r="W4866" s="16" t="n">
        <f aca="false">A4866</f>
        <v>0</v>
      </c>
      <c r="X4866" s="17" t="e">
        <f aca="false">ifs(C4866="","",X4866="",NOW(),TRUE(),X4866)</f>
        <v>#VALUE!</v>
      </c>
      <c r="Y4866" s="17" t="e">
        <f aca="false">ifs(COUNTA(K4866:U4869)&lt;44,"",Y4866="",NOW(),TRUE(),Y4866)</f>
        <v>#VALUE!</v>
      </c>
    </row>
    <row r="4867" customFormat="false" ht="15.75" hidden="false" customHeight="false" outlineLevel="0" collapsed="false">
      <c r="A4867" s="9"/>
      <c r="B4867" s="10"/>
      <c r="C4867" s="10"/>
      <c r="D4867" s="10"/>
      <c r="E4867" s="10"/>
      <c r="F4867" s="10"/>
      <c r="G4867" s="10"/>
      <c r="H4867" s="10"/>
      <c r="I4867" s="18" t="n">
        <v>2</v>
      </c>
      <c r="J4867" s="18"/>
      <c r="K4867" s="19"/>
      <c r="L4867" s="19"/>
      <c r="M4867" s="18"/>
      <c r="N4867" s="18"/>
      <c r="O4867" s="18"/>
      <c r="P4867" s="19"/>
      <c r="Q4867" s="19"/>
      <c r="R4867" s="18"/>
      <c r="S4867" s="18"/>
      <c r="T4867" s="18"/>
      <c r="U4867" s="20"/>
      <c r="V4867" s="21"/>
      <c r="W4867" s="16"/>
      <c r="X4867" s="16"/>
      <c r="Y4867" s="16"/>
    </row>
    <row r="4868" customFormat="false" ht="15.75" hidden="false" customHeight="false" outlineLevel="0" collapsed="false">
      <c r="A4868" s="9"/>
      <c r="B4868" s="10"/>
      <c r="C4868" s="10"/>
      <c r="D4868" s="10"/>
      <c r="E4868" s="10"/>
      <c r="F4868" s="10"/>
      <c r="G4868" s="10"/>
      <c r="H4868" s="10"/>
      <c r="I4868" s="22" t="n">
        <v>3</v>
      </c>
      <c r="J4868" s="22"/>
      <c r="K4868" s="23"/>
      <c r="L4868" s="23"/>
      <c r="M4868" s="22"/>
      <c r="N4868" s="22"/>
      <c r="O4868" s="22"/>
      <c r="P4868" s="23"/>
      <c r="Q4868" s="23"/>
      <c r="R4868" s="22"/>
      <c r="S4868" s="22"/>
      <c r="T4868" s="22"/>
      <c r="U4868" s="24"/>
      <c r="V4868" s="15"/>
      <c r="W4868" s="16"/>
      <c r="X4868" s="16"/>
      <c r="Y4868" s="16"/>
    </row>
    <row r="4869" customFormat="false" ht="15.75" hidden="false" customHeight="false" outlineLevel="0" collapsed="false">
      <c r="A4869" s="9"/>
      <c r="B4869" s="10"/>
      <c r="C4869" s="10"/>
      <c r="D4869" s="10"/>
      <c r="E4869" s="10"/>
      <c r="F4869" s="10"/>
      <c r="G4869" s="10"/>
      <c r="H4869" s="10"/>
      <c r="I4869" s="25" t="n">
        <v>4</v>
      </c>
      <c r="J4869" s="25"/>
      <c r="K4869" s="26"/>
      <c r="L4869" s="26"/>
      <c r="M4869" s="25"/>
      <c r="N4869" s="25"/>
      <c r="O4869" s="25"/>
      <c r="P4869" s="26"/>
      <c r="Q4869" s="26"/>
      <c r="R4869" s="25"/>
      <c r="S4869" s="25"/>
      <c r="T4869" s="25"/>
      <c r="U4869" s="27"/>
      <c r="V4869" s="21"/>
      <c r="W4869" s="16"/>
      <c r="X4869" s="16"/>
      <c r="Y4869" s="16"/>
    </row>
    <row r="4870" customFormat="false" ht="15.75" hidden="false" customHeight="false" outlineLevel="0" collapsed="false">
      <c r="A4870" s="9"/>
      <c r="B4870" s="10"/>
      <c r="C4870" s="11"/>
      <c r="D4870" s="10"/>
      <c r="E4870" s="10"/>
      <c r="F4870" s="10"/>
      <c r="G4870" s="10"/>
      <c r="H4870" s="10"/>
      <c r="I4870" s="12" t="n">
        <v>1</v>
      </c>
      <c r="J4870" s="12"/>
      <c r="K4870" s="13"/>
      <c r="L4870" s="13"/>
      <c r="M4870" s="12"/>
      <c r="N4870" s="12"/>
      <c r="O4870" s="12"/>
      <c r="P4870" s="13"/>
      <c r="Q4870" s="13"/>
      <c r="R4870" s="12"/>
      <c r="S4870" s="12"/>
      <c r="T4870" s="12"/>
      <c r="U4870" s="14"/>
      <c r="V4870" s="15"/>
      <c r="W4870" s="16" t="n">
        <f aca="false">A4870</f>
        <v>0</v>
      </c>
      <c r="X4870" s="17" t="e">
        <f aca="false">ifs(C4870="","",X4870="",NOW(),TRUE(),X4870)</f>
        <v>#VALUE!</v>
      </c>
      <c r="Y4870" s="17" t="e">
        <f aca="false">ifs(COUNTA(K4870:U4873)&lt;44,"",Y4870="",NOW(),TRUE(),Y4870)</f>
        <v>#VALUE!</v>
      </c>
    </row>
    <row r="4871" customFormat="false" ht="15.75" hidden="false" customHeight="false" outlineLevel="0" collapsed="false">
      <c r="A4871" s="9"/>
      <c r="B4871" s="10"/>
      <c r="C4871" s="10"/>
      <c r="D4871" s="10"/>
      <c r="E4871" s="10"/>
      <c r="F4871" s="10"/>
      <c r="G4871" s="10"/>
      <c r="H4871" s="10"/>
      <c r="I4871" s="18" t="n">
        <v>2</v>
      </c>
      <c r="J4871" s="18"/>
      <c r="K4871" s="19"/>
      <c r="L4871" s="19"/>
      <c r="M4871" s="18"/>
      <c r="N4871" s="18"/>
      <c r="O4871" s="18"/>
      <c r="P4871" s="19"/>
      <c r="Q4871" s="19"/>
      <c r="R4871" s="18"/>
      <c r="S4871" s="18"/>
      <c r="T4871" s="18"/>
      <c r="U4871" s="20"/>
      <c r="V4871" s="21"/>
      <c r="W4871" s="16"/>
      <c r="X4871" s="16"/>
      <c r="Y4871" s="16"/>
    </row>
    <row r="4872" customFormat="false" ht="15.75" hidden="false" customHeight="false" outlineLevel="0" collapsed="false">
      <c r="A4872" s="9"/>
      <c r="B4872" s="10"/>
      <c r="C4872" s="10"/>
      <c r="D4872" s="10"/>
      <c r="E4872" s="10"/>
      <c r="F4872" s="10"/>
      <c r="G4872" s="10"/>
      <c r="H4872" s="10"/>
      <c r="I4872" s="22" t="n">
        <v>3</v>
      </c>
      <c r="J4872" s="22"/>
      <c r="K4872" s="23"/>
      <c r="L4872" s="23"/>
      <c r="M4872" s="22"/>
      <c r="N4872" s="22"/>
      <c r="O4872" s="22"/>
      <c r="P4872" s="23"/>
      <c r="Q4872" s="23"/>
      <c r="R4872" s="22"/>
      <c r="S4872" s="22"/>
      <c r="T4872" s="22"/>
      <c r="U4872" s="24"/>
      <c r="V4872" s="15"/>
      <c r="W4872" s="16"/>
      <c r="X4872" s="16"/>
      <c r="Y4872" s="16"/>
    </row>
    <row r="4873" customFormat="false" ht="15.75" hidden="false" customHeight="false" outlineLevel="0" collapsed="false">
      <c r="A4873" s="9"/>
      <c r="B4873" s="10"/>
      <c r="C4873" s="10"/>
      <c r="D4873" s="10"/>
      <c r="E4873" s="10"/>
      <c r="F4873" s="10"/>
      <c r="G4873" s="10"/>
      <c r="H4873" s="10"/>
      <c r="I4873" s="25" t="n">
        <v>4</v>
      </c>
      <c r="J4873" s="25"/>
      <c r="K4873" s="26"/>
      <c r="L4873" s="26"/>
      <c r="M4873" s="25"/>
      <c r="N4873" s="25"/>
      <c r="O4873" s="25"/>
      <c r="P4873" s="26"/>
      <c r="Q4873" s="26"/>
      <c r="R4873" s="25"/>
      <c r="S4873" s="25"/>
      <c r="T4873" s="25"/>
      <c r="U4873" s="27"/>
      <c r="V4873" s="21"/>
      <c r="W4873" s="16"/>
      <c r="X4873" s="16"/>
      <c r="Y4873" s="16"/>
    </row>
    <row r="4874" customFormat="false" ht="15.75" hidden="false" customHeight="false" outlineLevel="0" collapsed="false">
      <c r="A4874" s="9"/>
      <c r="B4874" s="10"/>
      <c r="C4874" s="11"/>
      <c r="D4874" s="10"/>
      <c r="E4874" s="10"/>
      <c r="F4874" s="10"/>
      <c r="G4874" s="10"/>
      <c r="H4874" s="10"/>
      <c r="I4874" s="12" t="n">
        <v>1</v>
      </c>
      <c r="J4874" s="12"/>
      <c r="K4874" s="13"/>
      <c r="L4874" s="13"/>
      <c r="M4874" s="12"/>
      <c r="N4874" s="12"/>
      <c r="O4874" s="12"/>
      <c r="P4874" s="13"/>
      <c r="Q4874" s="13"/>
      <c r="R4874" s="12"/>
      <c r="S4874" s="12"/>
      <c r="T4874" s="12"/>
      <c r="U4874" s="14"/>
      <c r="V4874" s="15"/>
      <c r="W4874" s="16" t="n">
        <f aca="false">A4874</f>
        <v>0</v>
      </c>
      <c r="X4874" s="17" t="e">
        <f aca="false">ifs(C4874="","",X4874="",NOW(),TRUE(),X4874)</f>
        <v>#VALUE!</v>
      </c>
      <c r="Y4874" s="17" t="e">
        <f aca="false">ifs(COUNTA(K4874:U4877)&lt;44,"",Y4874="",NOW(),TRUE(),Y4874)</f>
        <v>#VALUE!</v>
      </c>
    </row>
    <row r="4875" customFormat="false" ht="15.75" hidden="false" customHeight="false" outlineLevel="0" collapsed="false">
      <c r="A4875" s="9"/>
      <c r="B4875" s="10"/>
      <c r="C4875" s="10"/>
      <c r="D4875" s="10"/>
      <c r="E4875" s="10"/>
      <c r="F4875" s="10"/>
      <c r="G4875" s="10"/>
      <c r="H4875" s="10"/>
      <c r="I4875" s="18" t="n">
        <v>2</v>
      </c>
      <c r="J4875" s="18"/>
      <c r="K4875" s="19"/>
      <c r="L4875" s="19"/>
      <c r="M4875" s="18"/>
      <c r="N4875" s="18"/>
      <c r="O4875" s="18"/>
      <c r="P4875" s="19"/>
      <c r="Q4875" s="19"/>
      <c r="R4875" s="18"/>
      <c r="S4875" s="18"/>
      <c r="T4875" s="18"/>
      <c r="U4875" s="20"/>
      <c r="V4875" s="21"/>
      <c r="W4875" s="16"/>
      <c r="X4875" s="16"/>
      <c r="Y4875" s="16"/>
    </row>
    <row r="4876" customFormat="false" ht="15.75" hidden="false" customHeight="false" outlineLevel="0" collapsed="false">
      <c r="A4876" s="9"/>
      <c r="B4876" s="10"/>
      <c r="C4876" s="10"/>
      <c r="D4876" s="10"/>
      <c r="E4876" s="10"/>
      <c r="F4876" s="10"/>
      <c r="G4876" s="10"/>
      <c r="H4876" s="10"/>
      <c r="I4876" s="22" t="n">
        <v>3</v>
      </c>
      <c r="J4876" s="22"/>
      <c r="K4876" s="23"/>
      <c r="L4876" s="23"/>
      <c r="M4876" s="22"/>
      <c r="N4876" s="22"/>
      <c r="O4876" s="22"/>
      <c r="P4876" s="23"/>
      <c r="Q4876" s="23"/>
      <c r="R4876" s="22"/>
      <c r="S4876" s="22"/>
      <c r="T4876" s="22"/>
      <c r="U4876" s="24"/>
      <c r="V4876" s="15"/>
      <c r="W4876" s="16"/>
      <c r="X4876" s="16"/>
      <c r="Y4876" s="16"/>
    </row>
    <row r="4877" customFormat="false" ht="15.75" hidden="false" customHeight="false" outlineLevel="0" collapsed="false">
      <c r="A4877" s="9"/>
      <c r="B4877" s="10"/>
      <c r="C4877" s="10"/>
      <c r="D4877" s="10"/>
      <c r="E4877" s="10"/>
      <c r="F4877" s="10"/>
      <c r="G4877" s="10"/>
      <c r="H4877" s="10"/>
      <c r="I4877" s="25" t="n">
        <v>4</v>
      </c>
      <c r="J4877" s="25"/>
      <c r="K4877" s="26"/>
      <c r="L4877" s="26"/>
      <c r="M4877" s="25"/>
      <c r="N4877" s="25"/>
      <c r="O4877" s="25"/>
      <c r="P4877" s="26"/>
      <c r="Q4877" s="26"/>
      <c r="R4877" s="25"/>
      <c r="S4877" s="25"/>
      <c r="T4877" s="25"/>
      <c r="U4877" s="27"/>
      <c r="V4877" s="21"/>
      <c r="W4877" s="16"/>
      <c r="X4877" s="16"/>
      <c r="Y4877" s="16"/>
    </row>
    <row r="4878" customFormat="false" ht="15.75" hidden="false" customHeight="false" outlineLevel="0" collapsed="false">
      <c r="A4878" s="9"/>
      <c r="B4878" s="10"/>
      <c r="C4878" s="11"/>
      <c r="D4878" s="10"/>
      <c r="E4878" s="10"/>
      <c r="F4878" s="10"/>
      <c r="G4878" s="10"/>
      <c r="H4878" s="10"/>
      <c r="I4878" s="12" t="n">
        <v>1</v>
      </c>
      <c r="J4878" s="12"/>
      <c r="K4878" s="13"/>
      <c r="L4878" s="13"/>
      <c r="M4878" s="12"/>
      <c r="N4878" s="12"/>
      <c r="O4878" s="12"/>
      <c r="P4878" s="13"/>
      <c r="Q4878" s="13"/>
      <c r="R4878" s="12"/>
      <c r="S4878" s="12"/>
      <c r="T4878" s="12"/>
      <c r="U4878" s="14"/>
      <c r="V4878" s="15"/>
      <c r="W4878" s="16" t="n">
        <f aca="false">A4878</f>
        <v>0</v>
      </c>
      <c r="X4878" s="17" t="e">
        <f aca="false">ifs(C4878="","",X4878="",NOW(),TRUE(),X4878)</f>
        <v>#VALUE!</v>
      </c>
      <c r="Y4878" s="17" t="e">
        <f aca="false">ifs(COUNTA(K4878:U4881)&lt;44,"",Y4878="",NOW(),TRUE(),Y4878)</f>
        <v>#VALUE!</v>
      </c>
    </row>
    <row r="4879" customFormat="false" ht="15.75" hidden="false" customHeight="false" outlineLevel="0" collapsed="false">
      <c r="A4879" s="9"/>
      <c r="B4879" s="10"/>
      <c r="C4879" s="10"/>
      <c r="D4879" s="10"/>
      <c r="E4879" s="10"/>
      <c r="F4879" s="10"/>
      <c r="G4879" s="10"/>
      <c r="H4879" s="10"/>
      <c r="I4879" s="18" t="n">
        <v>2</v>
      </c>
      <c r="J4879" s="18"/>
      <c r="K4879" s="19"/>
      <c r="L4879" s="19"/>
      <c r="M4879" s="18"/>
      <c r="N4879" s="18"/>
      <c r="O4879" s="18"/>
      <c r="P4879" s="19"/>
      <c r="Q4879" s="19"/>
      <c r="R4879" s="18"/>
      <c r="S4879" s="18"/>
      <c r="T4879" s="18"/>
      <c r="U4879" s="20"/>
      <c r="V4879" s="21"/>
      <c r="W4879" s="16"/>
      <c r="X4879" s="16"/>
      <c r="Y4879" s="16"/>
    </row>
    <row r="4880" customFormat="false" ht="15.75" hidden="false" customHeight="false" outlineLevel="0" collapsed="false">
      <c r="A4880" s="9"/>
      <c r="B4880" s="10"/>
      <c r="C4880" s="10"/>
      <c r="D4880" s="10"/>
      <c r="E4880" s="10"/>
      <c r="F4880" s="10"/>
      <c r="G4880" s="10"/>
      <c r="H4880" s="10"/>
      <c r="I4880" s="22" t="n">
        <v>3</v>
      </c>
      <c r="J4880" s="22"/>
      <c r="K4880" s="23"/>
      <c r="L4880" s="23"/>
      <c r="M4880" s="22"/>
      <c r="N4880" s="22"/>
      <c r="O4880" s="22"/>
      <c r="P4880" s="23"/>
      <c r="Q4880" s="23"/>
      <c r="R4880" s="22"/>
      <c r="S4880" s="22"/>
      <c r="T4880" s="22"/>
      <c r="U4880" s="24"/>
      <c r="V4880" s="15"/>
      <c r="W4880" s="16"/>
      <c r="X4880" s="16"/>
      <c r="Y4880" s="16"/>
    </row>
    <row r="4881" customFormat="false" ht="15.75" hidden="false" customHeight="false" outlineLevel="0" collapsed="false">
      <c r="A4881" s="9"/>
      <c r="B4881" s="10"/>
      <c r="C4881" s="10"/>
      <c r="D4881" s="10"/>
      <c r="E4881" s="10"/>
      <c r="F4881" s="10"/>
      <c r="G4881" s="10"/>
      <c r="H4881" s="10"/>
      <c r="I4881" s="25" t="n">
        <v>4</v>
      </c>
      <c r="J4881" s="25"/>
      <c r="K4881" s="26"/>
      <c r="L4881" s="26"/>
      <c r="M4881" s="25"/>
      <c r="N4881" s="25"/>
      <c r="O4881" s="25"/>
      <c r="P4881" s="26"/>
      <c r="Q4881" s="26"/>
      <c r="R4881" s="25"/>
      <c r="S4881" s="25"/>
      <c r="T4881" s="25"/>
      <c r="U4881" s="27"/>
      <c r="V4881" s="21"/>
      <c r="W4881" s="16"/>
      <c r="X4881" s="16"/>
      <c r="Y4881" s="16"/>
    </row>
    <row r="4882" customFormat="false" ht="15.75" hidden="false" customHeight="false" outlineLevel="0" collapsed="false">
      <c r="A4882" s="9"/>
      <c r="B4882" s="10"/>
      <c r="C4882" s="11"/>
      <c r="D4882" s="10"/>
      <c r="E4882" s="10"/>
      <c r="F4882" s="10"/>
      <c r="G4882" s="10"/>
      <c r="H4882" s="10"/>
      <c r="I4882" s="12" t="n">
        <v>1</v>
      </c>
      <c r="J4882" s="12"/>
      <c r="K4882" s="13"/>
      <c r="L4882" s="13"/>
      <c r="M4882" s="12"/>
      <c r="N4882" s="12"/>
      <c r="O4882" s="12"/>
      <c r="P4882" s="13"/>
      <c r="Q4882" s="13"/>
      <c r="R4882" s="12"/>
      <c r="S4882" s="12"/>
      <c r="T4882" s="12"/>
      <c r="U4882" s="14"/>
      <c r="V4882" s="15"/>
      <c r="W4882" s="16" t="n">
        <f aca="false">A4882</f>
        <v>0</v>
      </c>
      <c r="X4882" s="17" t="e">
        <f aca="false">ifs(C4882="","",X4882="",NOW(),TRUE(),X4882)</f>
        <v>#VALUE!</v>
      </c>
      <c r="Y4882" s="17" t="e">
        <f aca="false">ifs(COUNTA(K4882:U4885)&lt;44,"",Y4882="",NOW(),TRUE(),Y4882)</f>
        <v>#VALUE!</v>
      </c>
    </row>
    <row r="4883" customFormat="false" ht="15.75" hidden="false" customHeight="false" outlineLevel="0" collapsed="false">
      <c r="A4883" s="9"/>
      <c r="B4883" s="10"/>
      <c r="C4883" s="10"/>
      <c r="D4883" s="10"/>
      <c r="E4883" s="10"/>
      <c r="F4883" s="10"/>
      <c r="G4883" s="10"/>
      <c r="H4883" s="10"/>
      <c r="I4883" s="18" t="n">
        <v>2</v>
      </c>
      <c r="J4883" s="18"/>
      <c r="K4883" s="19"/>
      <c r="L4883" s="19"/>
      <c r="M4883" s="18"/>
      <c r="N4883" s="18"/>
      <c r="O4883" s="18"/>
      <c r="P4883" s="19"/>
      <c r="Q4883" s="19"/>
      <c r="R4883" s="18"/>
      <c r="S4883" s="18"/>
      <c r="T4883" s="18"/>
      <c r="U4883" s="20"/>
      <c r="V4883" s="21"/>
      <c r="W4883" s="16"/>
      <c r="X4883" s="16"/>
      <c r="Y4883" s="16"/>
    </row>
    <row r="4884" customFormat="false" ht="15.75" hidden="false" customHeight="false" outlineLevel="0" collapsed="false">
      <c r="A4884" s="9"/>
      <c r="B4884" s="10"/>
      <c r="C4884" s="10"/>
      <c r="D4884" s="10"/>
      <c r="E4884" s="10"/>
      <c r="F4884" s="10"/>
      <c r="G4884" s="10"/>
      <c r="H4884" s="10"/>
      <c r="I4884" s="22" t="n">
        <v>3</v>
      </c>
      <c r="J4884" s="22"/>
      <c r="K4884" s="23"/>
      <c r="L4884" s="23"/>
      <c r="M4884" s="22"/>
      <c r="N4884" s="22"/>
      <c r="O4884" s="22"/>
      <c r="P4884" s="23"/>
      <c r="Q4884" s="23"/>
      <c r="R4884" s="22"/>
      <c r="S4884" s="22"/>
      <c r="T4884" s="22"/>
      <c r="U4884" s="24"/>
      <c r="V4884" s="15"/>
      <c r="W4884" s="16"/>
      <c r="X4884" s="16"/>
      <c r="Y4884" s="16"/>
    </row>
    <row r="4885" customFormat="false" ht="15.75" hidden="false" customHeight="false" outlineLevel="0" collapsed="false">
      <c r="A4885" s="9"/>
      <c r="B4885" s="10"/>
      <c r="C4885" s="10"/>
      <c r="D4885" s="10"/>
      <c r="E4885" s="10"/>
      <c r="F4885" s="10"/>
      <c r="G4885" s="10"/>
      <c r="H4885" s="10"/>
      <c r="I4885" s="25" t="n">
        <v>4</v>
      </c>
      <c r="J4885" s="25"/>
      <c r="K4885" s="26"/>
      <c r="L4885" s="26"/>
      <c r="M4885" s="25"/>
      <c r="N4885" s="25"/>
      <c r="O4885" s="25"/>
      <c r="P4885" s="26"/>
      <c r="Q4885" s="26"/>
      <c r="R4885" s="25"/>
      <c r="S4885" s="25"/>
      <c r="T4885" s="25"/>
      <c r="U4885" s="27"/>
      <c r="V4885" s="21"/>
      <c r="W4885" s="16"/>
      <c r="X4885" s="16"/>
      <c r="Y4885" s="16"/>
    </row>
    <row r="4886" customFormat="false" ht="15.75" hidden="false" customHeight="false" outlineLevel="0" collapsed="false">
      <c r="A4886" s="9"/>
      <c r="B4886" s="10"/>
      <c r="C4886" s="11"/>
      <c r="D4886" s="10"/>
      <c r="E4886" s="10"/>
      <c r="F4886" s="10"/>
      <c r="G4886" s="10"/>
      <c r="H4886" s="10"/>
      <c r="I4886" s="12" t="n">
        <v>1</v>
      </c>
      <c r="J4886" s="12"/>
      <c r="K4886" s="13"/>
      <c r="L4886" s="13"/>
      <c r="M4886" s="12"/>
      <c r="N4886" s="12"/>
      <c r="O4886" s="12"/>
      <c r="P4886" s="13"/>
      <c r="Q4886" s="13"/>
      <c r="R4886" s="12"/>
      <c r="S4886" s="12"/>
      <c r="T4886" s="12"/>
      <c r="U4886" s="14"/>
      <c r="V4886" s="15"/>
      <c r="W4886" s="16" t="n">
        <f aca="false">A4886</f>
        <v>0</v>
      </c>
      <c r="X4886" s="17" t="e">
        <f aca="false">ifs(C4886="","",X4886="",NOW(),TRUE(),X4886)</f>
        <v>#VALUE!</v>
      </c>
      <c r="Y4886" s="17" t="e">
        <f aca="false">ifs(COUNTA(K4886:U4889)&lt;44,"",Y4886="",NOW(),TRUE(),Y4886)</f>
        <v>#VALUE!</v>
      </c>
    </row>
    <row r="4887" customFormat="false" ht="15.75" hidden="false" customHeight="false" outlineLevel="0" collapsed="false">
      <c r="A4887" s="9"/>
      <c r="B4887" s="10"/>
      <c r="C4887" s="10"/>
      <c r="D4887" s="10"/>
      <c r="E4887" s="10"/>
      <c r="F4887" s="10"/>
      <c r="G4887" s="10"/>
      <c r="H4887" s="10"/>
      <c r="I4887" s="18" t="n">
        <v>2</v>
      </c>
      <c r="J4887" s="18"/>
      <c r="K4887" s="19"/>
      <c r="L4887" s="19"/>
      <c r="M4887" s="18"/>
      <c r="N4887" s="18"/>
      <c r="O4887" s="18"/>
      <c r="P4887" s="19"/>
      <c r="Q4887" s="19"/>
      <c r="R4887" s="18"/>
      <c r="S4887" s="18"/>
      <c r="T4887" s="18"/>
      <c r="U4887" s="20"/>
      <c r="V4887" s="21"/>
      <c r="W4887" s="16"/>
      <c r="X4887" s="16"/>
      <c r="Y4887" s="16"/>
    </row>
    <row r="4888" customFormat="false" ht="15.75" hidden="false" customHeight="false" outlineLevel="0" collapsed="false">
      <c r="A4888" s="9"/>
      <c r="B4888" s="10"/>
      <c r="C4888" s="10"/>
      <c r="D4888" s="10"/>
      <c r="E4888" s="10"/>
      <c r="F4888" s="10"/>
      <c r="G4888" s="10"/>
      <c r="H4888" s="10"/>
      <c r="I4888" s="22" t="n">
        <v>3</v>
      </c>
      <c r="J4888" s="22"/>
      <c r="K4888" s="23"/>
      <c r="L4888" s="23"/>
      <c r="M4888" s="22"/>
      <c r="N4888" s="22"/>
      <c r="O4888" s="22"/>
      <c r="P4888" s="23"/>
      <c r="Q4888" s="23"/>
      <c r="R4888" s="22"/>
      <c r="S4888" s="22"/>
      <c r="T4888" s="22"/>
      <c r="U4888" s="24"/>
      <c r="V4888" s="15"/>
      <c r="W4888" s="16"/>
      <c r="X4888" s="16"/>
      <c r="Y4888" s="16"/>
    </row>
    <row r="4889" customFormat="false" ht="15.75" hidden="false" customHeight="false" outlineLevel="0" collapsed="false">
      <c r="A4889" s="9"/>
      <c r="B4889" s="10"/>
      <c r="C4889" s="10"/>
      <c r="D4889" s="10"/>
      <c r="E4889" s="10"/>
      <c r="F4889" s="10"/>
      <c r="G4889" s="10"/>
      <c r="H4889" s="10"/>
      <c r="I4889" s="25" t="n">
        <v>4</v>
      </c>
      <c r="J4889" s="25"/>
      <c r="K4889" s="26"/>
      <c r="L4889" s="26"/>
      <c r="M4889" s="25"/>
      <c r="N4889" s="25"/>
      <c r="O4889" s="25"/>
      <c r="P4889" s="26"/>
      <c r="Q4889" s="26"/>
      <c r="R4889" s="25"/>
      <c r="S4889" s="25"/>
      <c r="T4889" s="25"/>
      <c r="U4889" s="27"/>
      <c r="V4889" s="21"/>
      <c r="W4889" s="16"/>
      <c r="X4889" s="16"/>
      <c r="Y4889" s="16"/>
    </row>
    <row r="4890" customFormat="false" ht="15.75" hidden="false" customHeight="false" outlineLevel="0" collapsed="false">
      <c r="A4890" s="9"/>
      <c r="B4890" s="10"/>
      <c r="C4890" s="11"/>
      <c r="D4890" s="10"/>
      <c r="E4890" s="10"/>
      <c r="F4890" s="10"/>
      <c r="G4890" s="10"/>
      <c r="H4890" s="10"/>
      <c r="I4890" s="12" t="n">
        <v>1</v>
      </c>
      <c r="J4890" s="12"/>
      <c r="K4890" s="13"/>
      <c r="L4890" s="13"/>
      <c r="M4890" s="12"/>
      <c r="N4890" s="12"/>
      <c r="O4890" s="12"/>
      <c r="P4890" s="13"/>
      <c r="Q4890" s="13"/>
      <c r="R4890" s="12"/>
      <c r="S4890" s="12"/>
      <c r="T4890" s="12"/>
      <c r="U4890" s="14"/>
      <c r="V4890" s="15"/>
      <c r="W4890" s="16" t="n">
        <f aca="false">A4890</f>
        <v>0</v>
      </c>
      <c r="X4890" s="17" t="e">
        <f aca="false">ifs(C4890="","",X4890="",NOW(),TRUE(),X4890)</f>
        <v>#VALUE!</v>
      </c>
      <c r="Y4890" s="17" t="e">
        <f aca="false">ifs(COUNTA(K4890:U4893)&lt;44,"",Y4890="",NOW(),TRUE(),Y4890)</f>
        <v>#VALUE!</v>
      </c>
    </row>
    <row r="4891" customFormat="false" ht="15.75" hidden="false" customHeight="false" outlineLevel="0" collapsed="false">
      <c r="A4891" s="9"/>
      <c r="B4891" s="10"/>
      <c r="C4891" s="10"/>
      <c r="D4891" s="10"/>
      <c r="E4891" s="10"/>
      <c r="F4891" s="10"/>
      <c r="G4891" s="10"/>
      <c r="H4891" s="10"/>
      <c r="I4891" s="18" t="n">
        <v>2</v>
      </c>
      <c r="J4891" s="18"/>
      <c r="K4891" s="19"/>
      <c r="L4891" s="19"/>
      <c r="M4891" s="18"/>
      <c r="N4891" s="18"/>
      <c r="O4891" s="18"/>
      <c r="P4891" s="19"/>
      <c r="Q4891" s="19"/>
      <c r="R4891" s="18"/>
      <c r="S4891" s="18"/>
      <c r="T4891" s="18"/>
      <c r="U4891" s="20"/>
      <c r="V4891" s="21"/>
      <c r="W4891" s="16"/>
      <c r="X4891" s="16"/>
      <c r="Y4891" s="16"/>
    </row>
    <row r="4892" customFormat="false" ht="15.75" hidden="false" customHeight="false" outlineLevel="0" collapsed="false">
      <c r="A4892" s="9"/>
      <c r="B4892" s="10"/>
      <c r="C4892" s="10"/>
      <c r="D4892" s="10"/>
      <c r="E4892" s="10"/>
      <c r="F4892" s="10"/>
      <c r="G4892" s="10"/>
      <c r="H4892" s="10"/>
      <c r="I4892" s="22" t="n">
        <v>3</v>
      </c>
      <c r="J4892" s="22"/>
      <c r="K4892" s="23"/>
      <c r="L4892" s="23"/>
      <c r="M4892" s="22"/>
      <c r="N4892" s="22"/>
      <c r="O4892" s="22"/>
      <c r="P4892" s="23"/>
      <c r="Q4892" s="23"/>
      <c r="R4892" s="22"/>
      <c r="S4892" s="22"/>
      <c r="T4892" s="22"/>
      <c r="U4892" s="24"/>
      <c r="V4892" s="15"/>
      <c r="W4892" s="16"/>
      <c r="X4892" s="16"/>
      <c r="Y4892" s="16"/>
    </row>
    <row r="4893" customFormat="false" ht="15.75" hidden="false" customHeight="false" outlineLevel="0" collapsed="false">
      <c r="A4893" s="9"/>
      <c r="B4893" s="10"/>
      <c r="C4893" s="10"/>
      <c r="D4893" s="10"/>
      <c r="E4893" s="10"/>
      <c r="F4893" s="10"/>
      <c r="G4893" s="10"/>
      <c r="H4893" s="10"/>
      <c r="I4893" s="25" t="n">
        <v>4</v>
      </c>
      <c r="J4893" s="25"/>
      <c r="K4893" s="26"/>
      <c r="L4893" s="26"/>
      <c r="M4893" s="25"/>
      <c r="N4893" s="25"/>
      <c r="O4893" s="25"/>
      <c r="P4893" s="26"/>
      <c r="Q4893" s="26"/>
      <c r="R4893" s="25"/>
      <c r="S4893" s="25"/>
      <c r="T4893" s="25"/>
      <c r="U4893" s="27"/>
      <c r="V4893" s="21"/>
      <c r="W4893" s="16"/>
      <c r="X4893" s="16"/>
      <c r="Y4893" s="16"/>
    </row>
    <row r="4894" customFormat="false" ht="15.75" hidden="false" customHeight="false" outlineLevel="0" collapsed="false">
      <c r="A4894" s="9"/>
      <c r="B4894" s="10"/>
      <c r="C4894" s="11"/>
      <c r="D4894" s="10"/>
      <c r="E4894" s="10"/>
      <c r="F4894" s="10"/>
      <c r="G4894" s="10"/>
      <c r="H4894" s="10"/>
      <c r="I4894" s="12" t="n">
        <v>1</v>
      </c>
      <c r="J4894" s="12"/>
      <c r="K4894" s="13"/>
      <c r="L4894" s="13"/>
      <c r="M4894" s="12"/>
      <c r="N4894" s="12"/>
      <c r="O4894" s="12"/>
      <c r="P4894" s="13"/>
      <c r="Q4894" s="13"/>
      <c r="R4894" s="12"/>
      <c r="S4894" s="12"/>
      <c r="T4894" s="12"/>
      <c r="U4894" s="14"/>
      <c r="V4894" s="15"/>
      <c r="W4894" s="16" t="n">
        <f aca="false">A4894</f>
        <v>0</v>
      </c>
      <c r="X4894" s="17" t="e">
        <f aca="false">ifs(C4894="","",X4894="",NOW(),TRUE(),X4894)</f>
        <v>#VALUE!</v>
      </c>
      <c r="Y4894" s="17" t="e">
        <f aca="false">ifs(COUNTA(K4894:U4897)&lt;44,"",Y4894="",NOW(),TRUE(),Y4894)</f>
        <v>#VALUE!</v>
      </c>
    </row>
    <row r="4895" customFormat="false" ht="15.75" hidden="false" customHeight="false" outlineLevel="0" collapsed="false">
      <c r="A4895" s="9"/>
      <c r="B4895" s="10"/>
      <c r="C4895" s="10"/>
      <c r="D4895" s="10"/>
      <c r="E4895" s="10"/>
      <c r="F4895" s="10"/>
      <c r="G4895" s="10"/>
      <c r="H4895" s="10"/>
      <c r="I4895" s="18" t="n">
        <v>2</v>
      </c>
      <c r="J4895" s="18"/>
      <c r="K4895" s="19"/>
      <c r="L4895" s="19"/>
      <c r="M4895" s="18"/>
      <c r="N4895" s="18"/>
      <c r="O4895" s="18"/>
      <c r="P4895" s="19"/>
      <c r="Q4895" s="19"/>
      <c r="R4895" s="18"/>
      <c r="S4895" s="18"/>
      <c r="T4895" s="18"/>
      <c r="U4895" s="20"/>
      <c r="V4895" s="21"/>
      <c r="W4895" s="16"/>
      <c r="X4895" s="16"/>
      <c r="Y4895" s="16"/>
    </row>
    <row r="4896" customFormat="false" ht="15.75" hidden="false" customHeight="false" outlineLevel="0" collapsed="false">
      <c r="A4896" s="9"/>
      <c r="B4896" s="10"/>
      <c r="C4896" s="10"/>
      <c r="D4896" s="10"/>
      <c r="E4896" s="10"/>
      <c r="F4896" s="10"/>
      <c r="G4896" s="10"/>
      <c r="H4896" s="10"/>
      <c r="I4896" s="22" t="n">
        <v>3</v>
      </c>
      <c r="J4896" s="22"/>
      <c r="K4896" s="23"/>
      <c r="L4896" s="23"/>
      <c r="M4896" s="22"/>
      <c r="N4896" s="22"/>
      <c r="O4896" s="22"/>
      <c r="P4896" s="23"/>
      <c r="Q4896" s="23"/>
      <c r="R4896" s="22"/>
      <c r="S4896" s="22"/>
      <c r="T4896" s="22"/>
      <c r="U4896" s="24"/>
      <c r="V4896" s="15"/>
      <c r="W4896" s="16"/>
      <c r="X4896" s="16"/>
      <c r="Y4896" s="16"/>
    </row>
    <row r="4897" customFormat="false" ht="15.75" hidden="false" customHeight="false" outlineLevel="0" collapsed="false">
      <c r="A4897" s="9"/>
      <c r="B4897" s="10"/>
      <c r="C4897" s="10"/>
      <c r="D4897" s="10"/>
      <c r="E4897" s="10"/>
      <c r="F4897" s="10"/>
      <c r="G4897" s="10"/>
      <c r="H4897" s="10"/>
      <c r="I4897" s="25" t="n">
        <v>4</v>
      </c>
      <c r="J4897" s="25"/>
      <c r="K4897" s="26"/>
      <c r="L4897" s="26"/>
      <c r="M4897" s="25"/>
      <c r="N4897" s="25"/>
      <c r="O4897" s="25"/>
      <c r="P4897" s="26"/>
      <c r="Q4897" s="26"/>
      <c r="R4897" s="25"/>
      <c r="S4897" s="25"/>
      <c r="T4897" s="25"/>
      <c r="U4897" s="27"/>
      <c r="V4897" s="21"/>
      <c r="W4897" s="16"/>
      <c r="X4897" s="16"/>
      <c r="Y4897" s="16"/>
    </row>
    <row r="4898" customFormat="false" ht="15.75" hidden="false" customHeight="false" outlineLevel="0" collapsed="false">
      <c r="A4898" s="9"/>
      <c r="B4898" s="10"/>
      <c r="C4898" s="11"/>
      <c r="D4898" s="10"/>
      <c r="E4898" s="10"/>
      <c r="F4898" s="10"/>
      <c r="G4898" s="10"/>
      <c r="H4898" s="10"/>
      <c r="I4898" s="12" t="n">
        <v>1</v>
      </c>
      <c r="J4898" s="12"/>
      <c r="K4898" s="13"/>
      <c r="L4898" s="13"/>
      <c r="M4898" s="12"/>
      <c r="N4898" s="12"/>
      <c r="O4898" s="12"/>
      <c r="P4898" s="13"/>
      <c r="Q4898" s="13"/>
      <c r="R4898" s="12"/>
      <c r="S4898" s="12"/>
      <c r="T4898" s="12"/>
      <c r="U4898" s="14"/>
      <c r="V4898" s="15"/>
      <c r="W4898" s="16" t="n">
        <f aca="false">A4898</f>
        <v>0</v>
      </c>
      <c r="X4898" s="17" t="e">
        <f aca="false">ifs(C4898="","",X4898="",NOW(),TRUE(),X4898)</f>
        <v>#VALUE!</v>
      </c>
      <c r="Y4898" s="17" t="e">
        <f aca="false">ifs(COUNTA(K4898:U4901)&lt;44,"",Y4898="",NOW(),TRUE(),Y4898)</f>
        <v>#VALUE!</v>
      </c>
    </row>
    <row r="4899" customFormat="false" ht="15.75" hidden="false" customHeight="false" outlineLevel="0" collapsed="false">
      <c r="A4899" s="9"/>
      <c r="B4899" s="10"/>
      <c r="C4899" s="10"/>
      <c r="D4899" s="10"/>
      <c r="E4899" s="10"/>
      <c r="F4899" s="10"/>
      <c r="G4899" s="10"/>
      <c r="H4899" s="10"/>
      <c r="I4899" s="18" t="n">
        <v>2</v>
      </c>
      <c r="J4899" s="18"/>
      <c r="K4899" s="19"/>
      <c r="L4899" s="19"/>
      <c r="M4899" s="18"/>
      <c r="N4899" s="18"/>
      <c r="O4899" s="18"/>
      <c r="P4899" s="19"/>
      <c r="Q4899" s="19"/>
      <c r="R4899" s="18"/>
      <c r="S4899" s="18"/>
      <c r="T4899" s="18"/>
      <c r="U4899" s="20"/>
      <c r="V4899" s="21"/>
      <c r="W4899" s="16"/>
      <c r="X4899" s="16"/>
      <c r="Y4899" s="16"/>
    </row>
    <row r="4900" customFormat="false" ht="15.75" hidden="false" customHeight="false" outlineLevel="0" collapsed="false">
      <c r="A4900" s="9"/>
      <c r="B4900" s="10"/>
      <c r="C4900" s="10"/>
      <c r="D4900" s="10"/>
      <c r="E4900" s="10"/>
      <c r="F4900" s="10"/>
      <c r="G4900" s="10"/>
      <c r="H4900" s="10"/>
      <c r="I4900" s="22" t="n">
        <v>3</v>
      </c>
      <c r="J4900" s="22"/>
      <c r="K4900" s="23"/>
      <c r="L4900" s="23"/>
      <c r="M4900" s="22"/>
      <c r="N4900" s="22"/>
      <c r="O4900" s="22"/>
      <c r="P4900" s="23"/>
      <c r="Q4900" s="23"/>
      <c r="R4900" s="22"/>
      <c r="S4900" s="22"/>
      <c r="T4900" s="22"/>
      <c r="U4900" s="24"/>
      <c r="V4900" s="15"/>
      <c r="W4900" s="16"/>
      <c r="X4900" s="16"/>
      <c r="Y4900" s="16"/>
    </row>
    <row r="4901" customFormat="false" ht="15.75" hidden="false" customHeight="false" outlineLevel="0" collapsed="false">
      <c r="A4901" s="9"/>
      <c r="B4901" s="10"/>
      <c r="C4901" s="10"/>
      <c r="D4901" s="10"/>
      <c r="E4901" s="10"/>
      <c r="F4901" s="10"/>
      <c r="G4901" s="10"/>
      <c r="H4901" s="10"/>
      <c r="I4901" s="25" t="n">
        <v>4</v>
      </c>
      <c r="J4901" s="25"/>
      <c r="K4901" s="26"/>
      <c r="L4901" s="26"/>
      <c r="M4901" s="25"/>
      <c r="N4901" s="25"/>
      <c r="O4901" s="25"/>
      <c r="P4901" s="26"/>
      <c r="Q4901" s="26"/>
      <c r="R4901" s="25"/>
      <c r="S4901" s="25"/>
      <c r="T4901" s="25"/>
      <c r="U4901" s="27"/>
      <c r="V4901" s="21"/>
      <c r="W4901" s="16"/>
      <c r="X4901" s="16"/>
      <c r="Y4901" s="16"/>
    </row>
    <row r="4902" customFormat="false" ht="15.75" hidden="false" customHeight="false" outlineLevel="0" collapsed="false">
      <c r="A4902" s="9"/>
      <c r="B4902" s="10"/>
      <c r="C4902" s="11"/>
      <c r="D4902" s="10"/>
      <c r="E4902" s="10"/>
      <c r="F4902" s="10"/>
      <c r="G4902" s="10"/>
      <c r="H4902" s="10"/>
      <c r="I4902" s="12" t="n">
        <v>1</v>
      </c>
      <c r="J4902" s="12"/>
      <c r="K4902" s="13"/>
      <c r="L4902" s="13"/>
      <c r="M4902" s="12"/>
      <c r="N4902" s="12"/>
      <c r="O4902" s="12"/>
      <c r="P4902" s="13"/>
      <c r="Q4902" s="13"/>
      <c r="R4902" s="12"/>
      <c r="S4902" s="12"/>
      <c r="T4902" s="12"/>
      <c r="U4902" s="14"/>
      <c r="V4902" s="15"/>
      <c r="W4902" s="16" t="n">
        <f aca="false">A4902</f>
        <v>0</v>
      </c>
      <c r="X4902" s="17" t="e">
        <f aca="false">ifs(C4902="","",X4902="",NOW(),TRUE(),X4902)</f>
        <v>#VALUE!</v>
      </c>
      <c r="Y4902" s="17" t="e">
        <f aca="false">ifs(COUNTA(K4902:U4905)&lt;44,"",Y4902="",NOW(),TRUE(),Y4902)</f>
        <v>#VALUE!</v>
      </c>
    </row>
    <row r="4903" customFormat="false" ht="15.75" hidden="false" customHeight="false" outlineLevel="0" collapsed="false">
      <c r="A4903" s="9"/>
      <c r="B4903" s="10"/>
      <c r="C4903" s="10"/>
      <c r="D4903" s="10"/>
      <c r="E4903" s="10"/>
      <c r="F4903" s="10"/>
      <c r="G4903" s="10"/>
      <c r="H4903" s="10"/>
      <c r="I4903" s="18" t="n">
        <v>2</v>
      </c>
      <c r="J4903" s="18"/>
      <c r="K4903" s="19"/>
      <c r="L4903" s="19"/>
      <c r="M4903" s="18"/>
      <c r="N4903" s="18"/>
      <c r="O4903" s="18"/>
      <c r="P4903" s="19"/>
      <c r="Q4903" s="19"/>
      <c r="R4903" s="18"/>
      <c r="S4903" s="18"/>
      <c r="T4903" s="18"/>
      <c r="U4903" s="20"/>
      <c r="V4903" s="21"/>
      <c r="W4903" s="16"/>
      <c r="X4903" s="16"/>
      <c r="Y4903" s="16"/>
    </row>
    <row r="4904" customFormat="false" ht="15.75" hidden="false" customHeight="false" outlineLevel="0" collapsed="false">
      <c r="A4904" s="9"/>
      <c r="B4904" s="10"/>
      <c r="C4904" s="10"/>
      <c r="D4904" s="10"/>
      <c r="E4904" s="10"/>
      <c r="F4904" s="10"/>
      <c r="G4904" s="10"/>
      <c r="H4904" s="10"/>
      <c r="I4904" s="22" t="n">
        <v>3</v>
      </c>
      <c r="J4904" s="22"/>
      <c r="K4904" s="23"/>
      <c r="L4904" s="23"/>
      <c r="M4904" s="22"/>
      <c r="N4904" s="22"/>
      <c r="O4904" s="22"/>
      <c r="P4904" s="23"/>
      <c r="Q4904" s="23"/>
      <c r="R4904" s="22"/>
      <c r="S4904" s="22"/>
      <c r="T4904" s="22"/>
      <c r="U4904" s="24"/>
      <c r="V4904" s="15"/>
      <c r="W4904" s="16"/>
      <c r="X4904" s="16"/>
      <c r="Y4904" s="16"/>
    </row>
    <row r="4905" customFormat="false" ht="15.75" hidden="false" customHeight="false" outlineLevel="0" collapsed="false">
      <c r="A4905" s="9"/>
      <c r="B4905" s="10"/>
      <c r="C4905" s="10"/>
      <c r="D4905" s="10"/>
      <c r="E4905" s="10"/>
      <c r="F4905" s="10"/>
      <c r="G4905" s="10"/>
      <c r="H4905" s="10"/>
      <c r="I4905" s="25" t="n">
        <v>4</v>
      </c>
      <c r="J4905" s="25"/>
      <c r="K4905" s="26"/>
      <c r="L4905" s="26"/>
      <c r="M4905" s="25"/>
      <c r="N4905" s="25"/>
      <c r="O4905" s="25"/>
      <c r="P4905" s="26"/>
      <c r="Q4905" s="26"/>
      <c r="R4905" s="25"/>
      <c r="S4905" s="25"/>
      <c r="T4905" s="25"/>
      <c r="U4905" s="27"/>
      <c r="V4905" s="21"/>
      <c r="W4905" s="16"/>
      <c r="X4905" s="16"/>
      <c r="Y4905" s="16"/>
    </row>
    <row r="4906" customFormat="false" ht="15.75" hidden="false" customHeight="false" outlineLevel="0" collapsed="false">
      <c r="A4906" s="9"/>
      <c r="B4906" s="10"/>
      <c r="C4906" s="11"/>
      <c r="D4906" s="10"/>
      <c r="E4906" s="10"/>
      <c r="F4906" s="10"/>
      <c r="G4906" s="10"/>
      <c r="H4906" s="10"/>
      <c r="I4906" s="12" t="n">
        <v>1</v>
      </c>
      <c r="J4906" s="12"/>
      <c r="K4906" s="13"/>
      <c r="L4906" s="13"/>
      <c r="M4906" s="12"/>
      <c r="N4906" s="12"/>
      <c r="O4906" s="12"/>
      <c r="P4906" s="13"/>
      <c r="Q4906" s="13"/>
      <c r="R4906" s="12"/>
      <c r="S4906" s="12"/>
      <c r="T4906" s="12"/>
      <c r="U4906" s="14"/>
      <c r="V4906" s="15"/>
      <c r="W4906" s="16" t="n">
        <f aca="false">A4906</f>
        <v>0</v>
      </c>
      <c r="X4906" s="17" t="e">
        <f aca="false">ifs(C4906="","",X4906="",NOW(),TRUE(),X4906)</f>
        <v>#VALUE!</v>
      </c>
      <c r="Y4906" s="17" t="e">
        <f aca="false">ifs(COUNTA(K4906:U4909)&lt;44,"",Y4906="",NOW(),TRUE(),Y4906)</f>
        <v>#VALUE!</v>
      </c>
    </row>
    <row r="4907" customFormat="false" ht="15.75" hidden="false" customHeight="false" outlineLevel="0" collapsed="false">
      <c r="A4907" s="9"/>
      <c r="B4907" s="10"/>
      <c r="C4907" s="10"/>
      <c r="D4907" s="10"/>
      <c r="E4907" s="10"/>
      <c r="F4907" s="10"/>
      <c r="G4907" s="10"/>
      <c r="H4907" s="10"/>
      <c r="I4907" s="18" t="n">
        <v>2</v>
      </c>
      <c r="J4907" s="18"/>
      <c r="K4907" s="19"/>
      <c r="L4907" s="19"/>
      <c r="M4907" s="18"/>
      <c r="N4907" s="18"/>
      <c r="O4907" s="18"/>
      <c r="P4907" s="19"/>
      <c r="Q4907" s="19"/>
      <c r="R4907" s="18"/>
      <c r="S4907" s="18"/>
      <c r="T4907" s="18"/>
      <c r="U4907" s="20"/>
      <c r="V4907" s="21"/>
      <c r="W4907" s="16"/>
      <c r="X4907" s="16"/>
      <c r="Y4907" s="16"/>
    </row>
    <row r="4908" customFormat="false" ht="15.75" hidden="false" customHeight="false" outlineLevel="0" collapsed="false">
      <c r="A4908" s="9"/>
      <c r="B4908" s="10"/>
      <c r="C4908" s="10"/>
      <c r="D4908" s="10"/>
      <c r="E4908" s="10"/>
      <c r="F4908" s="10"/>
      <c r="G4908" s="10"/>
      <c r="H4908" s="10"/>
      <c r="I4908" s="22" t="n">
        <v>3</v>
      </c>
      <c r="J4908" s="22"/>
      <c r="K4908" s="23"/>
      <c r="L4908" s="23"/>
      <c r="M4908" s="22"/>
      <c r="N4908" s="22"/>
      <c r="O4908" s="22"/>
      <c r="P4908" s="23"/>
      <c r="Q4908" s="23"/>
      <c r="R4908" s="22"/>
      <c r="S4908" s="22"/>
      <c r="T4908" s="22"/>
      <c r="U4908" s="24"/>
      <c r="V4908" s="15"/>
      <c r="W4908" s="16"/>
      <c r="X4908" s="16"/>
      <c r="Y4908" s="16"/>
    </row>
    <row r="4909" customFormat="false" ht="15.75" hidden="false" customHeight="false" outlineLevel="0" collapsed="false">
      <c r="A4909" s="9"/>
      <c r="B4909" s="10"/>
      <c r="C4909" s="10"/>
      <c r="D4909" s="10"/>
      <c r="E4909" s="10"/>
      <c r="F4909" s="10"/>
      <c r="G4909" s="10"/>
      <c r="H4909" s="10"/>
      <c r="I4909" s="25" t="n">
        <v>4</v>
      </c>
      <c r="J4909" s="25"/>
      <c r="K4909" s="26"/>
      <c r="L4909" s="26"/>
      <c r="M4909" s="25"/>
      <c r="N4909" s="25"/>
      <c r="O4909" s="25"/>
      <c r="P4909" s="26"/>
      <c r="Q4909" s="26"/>
      <c r="R4909" s="25"/>
      <c r="S4909" s="25"/>
      <c r="T4909" s="25"/>
      <c r="U4909" s="27"/>
      <c r="V4909" s="21"/>
      <c r="W4909" s="16"/>
      <c r="X4909" s="16"/>
      <c r="Y4909" s="16"/>
    </row>
    <row r="4910" customFormat="false" ht="15.75" hidden="false" customHeight="false" outlineLevel="0" collapsed="false">
      <c r="A4910" s="9"/>
      <c r="B4910" s="10"/>
      <c r="C4910" s="11"/>
      <c r="D4910" s="10"/>
      <c r="E4910" s="10"/>
      <c r="F4910" s="10"/>
      <c r="G4910" s="10"/>
      <c r="H4910" s="10"/>
      <c r="I4910" s="12" t="n">
        <v>1</v>
      </c>
      <c r="J4910" s="12"/>
      <c r="K4910" s="13"/>
      <c r="L4910" s="13"/>
      <c r="M4910" s="12"/>
      <c r="N4910" s="12"/>
      <c r="O4910" s="12"/>
      <c r="P4910" s="13"/>
      <c r="Q4910" s="13"/>
      <c r="R4910" s="12"/>
      <c r="S4910" s="12"/>
      <c r="T4910" s="12"/>
      <c r="U4910" s="14"/>
      <c r="V4910" s="15"/>
      <c r="W4910" s="16" t="n">
        <f aca="false">A4910</f>
        <v>0</v>
      </c>
      <c r="X4910" s="17" t="e">
        <f aca="false">ifs(C4910="","",X4910="",NOW(),TRUE(),X4910)</f>
        <v>#VALUE!</v>
      </c>
      <c r="Y4910" s="17" t="e">
        <f aca="false">ifs(COUNTA(K4910:U4913)&lt;44,"",Y4910="",NOW(),TRUE(),Y4910)</f>
        <v>#VALUE!</v>
      </c>
    </row>
    <row r="4911" customFormat="false" ht="15.75" hidden="false" customHeight="false" outlineLevel="0" collapsed="false">
      <c r="A4911" s="9"/>
      <c r="B4911" s="10"/>
      <c r="C4911" s="10"/>
      <c r="D4911" s="10"/>
      <c r="E4911" s="10"/>
      <c r="F4911" s="10"/>
      <c r="G4911" s="10"/>
      <c r="H4911" s="10"/>
      <c r="I4911" s="18" t="n">
        <v>2</v>
      </c>
      <c r="J4911" s="18"/>
      <c r="K4911" s="19"/>
      <c r="L4911" s="19"/>
      <c r="M4911" s="18"/>
      <c r="N4911" s="18"/>
      <c r="O4911" s="18"/>
      <c r="P4911" s="19"/>
      <c r="Q4911" s="19"/>
      <c r="R4911" s="18"/>
      <c r="S4911" s="18"/>
      <c r="T4911" s="18"/>
      <c r="U4911" s="20"/>
      <c r="V4911" s="21"/>
      <c r="W4911" s="16"/>
      <c r="X4911" s="16"/>
      <c r="Y4911" s="16"/>
    </row>
    <row r="4912" customFormat="false" ht="15.75" hidden="false" customHeight="false" outlineLevel="0" collapsed="false">
      <c r="A4912" s="9"/>
      <c r="B4912" s="10"/>
      <c r="C4912" s="10"/>
      <c r="D4912" s="10"/>
      <c r="E4912" s="10"/>
      <c r="F4912" s="10"/>
      <c r="G4912" s="10"/>
      <c r="H4912" s="10"/>
      <c r="I4912" s="22" t="n">
        <v>3</v>
      </c>
      <c r="J4912" s="22"/>
      <c r="K4912" s="23"/>
      <c r="L4912" s="23"/>
      <c r="M4912" s="22"/>
      <c r="N4912" s="22"/>
      <c r="O4912" s="22"/>
      <c r="P4912" s="23"/>
      <c r="Q4912" s="23"/>
      <c r="R4912" s="22"/>
      <c r="S4912" s="22"/>
      <c r="T4912" s="22"/>
      <c r="U4912" s="24"/>
      <c r="V4912" s="15"/>
      <c r="W4912" s="16"/>
      <c r="X4912" s="16"/>
      <c r="Y4912" s="16"/>
    </row>
    <row r="4913" customFormat="false" ht="15.75" hidden="false" customHeight="false" outlineLevel="0" collapsed="false">
      <c r="A4913" s="9"/>
      <c r="B4913" s="10"/>
      <c r="C4913" s="10"/>
      <c r="D4913" s="10"/>
      <c r="E4913" s="10"/>
      <c r="F4913" s="10"/>
      <c r="G4913" s="10"/>
      <c r="H4913" s="10"/>
      <c r="I4913" s="25" t="n">
        <v>4</v>
      </c>
      <c r="J4913" s="25"/>
      <c r="K4913" s="26"/>
      <c r="L4913" s="26"/>
      <c r="M4913" s="25"/>
      <c r="N4913" s="25"/>
      <c r="O4913" s="25"/>
      <c r="P4913" s="26"/>
      <c r="Q4913" s="26"/>
      <c r="R4913" s="25"/>
      <c r="S4913" s="25"/>
      <c r="T4913" s="25"/>
      <c r="U4913" s="27"/>
      <c r="V4913" s="21"/>
      <c r="W4913" s="16"/>
      <c r="X4913" s="16"/>
      <c r="Y4913" s="16"/>
    </row>
    <row r="4914" customFormat="false" ht="15.75" hidden="false" customHeight="false" outlineLevel="0" collapsed="false">
      <c r="A4914" s="9"/>
      <c r="B4914" s="10"/>
      <c r="C4914" s="11"/>
      <c r="D4914" s="10"/>
      <c r="E4914" s="10"/>
      <c r="F4914" s="10"/>
      <c r="G4914" s="10"/>
      <c r="H4914" s="10"/>
      <c r="I4914" s="12" t="n">
        <v>1</v>
      </c>
      <c r="J4914" s="12"/>
      <c r="K4914" s="13"/>
      <c r="L4914" s="13"/>
      <c r="M4914" s="12"/>
      <c r="N4914" s="12"/>
      <c r="O4914" s="12"/>
      <c r="P4914" s="13"/>
      <c r="Q4914" s="13"/>
      <c r="R4914" s="12"/>
      <c r="S4914" s="12"/>
      <c r="T4914" s="12"/>
      <c r="U4914" s="14"/>
      <c r="V4914" s="15"/>
      <c r="W4914" s="16" t="n">
        <f aca="false">A4914</f>
        <v>0</v>
      </c>
      <c r="X4914" s="17" t="e">
        <f aca="false">ifs(C4914="","",X4914="",NOW(),TRUE(),X4914)</f>
        <v>#VALUE!</v>
      </c>
      <c r="Y4914" s="17" t="e">
        <f aca="false">ifs(COUNTA(K4914:U4917)&lt;44,"",Y4914="",NOW(),TRUE(),Y4914)</f>
        <v>#VALUE!</v>
      </c>
    </row>
    <row r="4915" customFormat="false" ht="15.75" hidden="false" customHeight="false" outlineLevel="0" collapsed="false">
      <c r="A4915" s="9"/>
      <c r="B4915" s="10"/>
      <c r="C4915" s="10"/>
      <c r="D4915" s="10"/>
      <c r="E4915" s="10"/>
      <c r="F4915" s="10"/>
      <c r="G4915" s="10"/>
      <c r="H4915" s="10"/>
      <c r="I4915" s="18" t="n">
        <v>2</v>
      </c>
      <c r="J4915" s="18"/>
      <c r="K4915" s="19"/>
      <c r="L4915" s="19"/>
      <c r="M4915" s="18"/>
      <c r="N4915" s="18"/>
      <c r="O4915" s="18"/>
      <c r="P4915" s="19"/>
      <c r="Q4915" s="19"/>
      <c r="R4915" s="18"/>
      <c r="S4915" s="18"/>
      <c r="T4915" s="18"/>
      <c r="U4915" s="20"/>
      <c r="V4915" s="21"/>
      <c r="W4915" s="16"/>
      <c r="X4915" s="16"/>
      <c r="Y4915" s="16"/>
    </row>
    <row r="4916" customFormat="false" ht="15.75" hidden="false" customHeight="false" outlineLevel="0" collapsed="false">
      <c r="A4916" s="9"/>
      <c r="B4916" s="10"/>
      <c r="C4916" s="10"/>
      <c r="D4916" s="10"/>
      <c r="E4916" s="10"/>
      <c r="F4916" s="10"/>
      <c r="G4916" s="10"/>
      <c r="H4916" s="10"/>
      <c r="I4916" s="22" t="n">
        <v>3</v>
      </c>
      <c r="J4916" s="22"/>
      <c r="K4916" s="23"/>
      <c r="L4916" s="23"/>
      <c r="M4916" s="22"/>
      <c r="N4916" s="22"/>
      <c r="O4916" s="22"/>
      <c r="P4916" s="23"/>
      <c r="Q4916" s="23"/>
      <c r="R4916" s="22"/>
      <c r="S4916" s="22"/>
      <c r="T4916" s="22"/>
      <c r="U4916" s="24"/>
      <c r="V4916" s="15"/>
      <c r="W4916" s="16"/>
      <c r="X4916" s="16"/>
      <c r="Y4916" s="16"/>
    </row>
    <row r="4917" customFormat="false" ht="15.75" hidden="false" customHeight="false" outlineLevel="0" collapsed="false">
      <c r="A4917" s="9"/>
      <c r="B4917" s="10"/>
      <c r="C4917" s="10"/>
      <c r="D4917" s="10"/>
      <c r="E4917" s="10"/>
      <c r="F4917" s="10"/>
      <c r="G4917" s="10"/>
      <c r="H4917" s="10"/>
      <c r="I4917" s="25" t="n">
        <v>4</v>
      </c>
      <c r="J4917" s="25"/>
      <c r="K4917" s="26"/>
      <c r="L4917" s="26"/>
      <c r="M4917" s="25"/>
      <c r="N4917" s="25"/>
      <c r="O4917" s="25"/>
      <c r="P4917" s="26"/>
      <c r="Q4917" s="26"/>
      <c r="R4917" s="25"/>
      <c r="S4917" s="25"/>
      <c r="T4917" s="25"/>
      <c r="U4917" s="27"/>
      <c r="V4917" s="21"/>
      <c r="W4917" s="16"/>
      <c r="X4917" s="16"/>
      <c r="Y4917" s="16"/>
    </row>
    <row r="4918" customFormat="false" ht="15.75" hidden="false" customHeight="false" outlineLevel="0" collapsed="false">
      <c r="A4918" s="9"/>
      <c r="B4918" s="10"/>
      <c r="C4918" s="11"/>
      <c r="D4918" s="10"/>
      <c r="E4918" s="10"/>
      <c r="F4918" s="10"/>
      <c r="G4918" s="10"/>
      <c r="H4918" s="10"/>
      <c r="I4918" s="12" t="n">
        <v>1</v>
      </c>
      <c r="J4918" s="12"/>
      <c r="K4918" s="13"/>
      <c r="L4918" s="13"/>
      <c r="M4918" s="12"/>
      <c r="N4918" s="12"/>
      <c r="O4918" s="12"/>
      <c r="P4918" s="13"/>
      <c r="Q4918" s="13"/>
      <c r="R4918" s="12"/>
      <c r="S4918" s="12"/>
      <c r="T4918" s="12"/>
      <c r="U4918" s="14"/>
      <c r="V4918" s="15"/>
      <c r="W4918" s="16" t="n">
        <f aca="false">A4918</f>
        <v>0</v>
      </c>
      <c r="X4918" s="17" t="e">
        <f aca="false">ifs(C4918="","",X4918="",NOW(),TRUE(),X4918)</f>
        <v>#VALUE!</v>
      </c>
      <c r="Y4918" s="17" t="e">
        <f aca="false">ifs(COUNTA(K4918:U4921)&lt;44,"",Y4918="",NOW(),TRUE(),Y4918)</f>
        <v>#VALUE!</v>
      </c>
    </row>
    <row r="4919" customFormat="false" ht="15.75" hidden="false" customHeight="false" outlineLevel="0" collapsed="false">
      <c r="A4919" s="9"/>
      <c r="B4919" s="10"/>
      <c r="C4919" s="10"/>
      <c r="D4919" s="10"/>
      <c r="E4919" s="10"/>
      <c r="F4919" s="10"/>
      <c r="G4919" s="10"/>
      <c r="H4919" s="10"/>
      <c r="I4919" s="18" t="n">
        <v>2</v>
      </c>
      <c r="J4919" s="18"/>
      <c r="K4919" s="19"/>
      <c r="L4919" s="19"/>
      <c r="M4919" s="18"/>
      <c r="N4919" s="18"/>
      <c r="O4919" s="18"/>
      <c r="P4919" s="19"/>
      <c r="Q4919" s="19"/>
      <c r="R4919" s="18"/>
      <c r="S4919" s="18"/>
      <c r="T4919" s="18"/>
      <c r="U4919" s="20"/>
      <c r="V4919" s="21"/>
      <c r="W4919" s="16"/>
      <c r="X4919" s="16"/>
      <c r="Y4919" s="16"/>
    </row>
    <row r="4920" customFormat="false" ht="15.75" hidden="false" customHeight="false" outlineLevel="0" collapsed="false">
      <c r="A4920" s="9"/>
      <c r="B4920" s="10"/>
      <c r="C4920" s="10"/>
      <c r="D4920" s="10"/>
      <c r="E4920" s="10"/>
      <c r="F4920" s="10"/>
      <c r="G4920" s="10"/>
      <c r="H4920" s="10"/>
      <c r="I4920" s="22" t="n">
        <v>3</v>
      </c>
      <c r="J4920" s="22"/>
      <c r="K4920" s="23"/>
      <c r="L4920" s="23"/>
      <c r="M4920" s="22"/>
      <c r="N4920" s="22"/>
      <c r="O4920" s="22"/>
      <c r="P4920" s="23"/>
      <c r="Q4920" s="23"/>
      <c r="R4920" s="22"/>
      <c r="S4920" s="22"/>
      <c r="T4920" s="22"/>
      <c r="U4920" s="24"/>
      <c r="V4920" s="15"/>
      <c r="W4920" s="16"/>
      <c r="X4920" s="16"/>
      <c r="Y4920" s="16"/>
    </row>
    <row r="4921" customFormat="false" ht="15.75" hidden="false" customHeight="false" outlineLevel="0" collapsed="false">
      <c r="A4921" s="9"/>
      <c r="B4921" s="10"/>
      <c r="C4921" s="10"/>
      <c r="D4921" s="10"/>
      <c r="E4921" s="10"/>
      <c r="F4921" s="10"/>
      <c r="G4921" s="10"/>
      <c r="H4921" s="10"/>
      <c r="I4921" s="25" t="n">
        <v>4</v>
      </c>
      <c r="J4921" s="25"/>
      <c r="K4921" s="26"/>
      <c r="L4921" s="26"/>
      <c r="M4921" s="25"/>
      <c r="N4921" s="25"/>
      <c r="O4921" s="25"/>
      <c r="P4921" s="26"/>
      <c r="Q4921" s="26"/>
      <c r="R4921" s="25"/>
      <c r="S4921" s="25"/>
      <c r="T4921" s="25"/>
      <c r="U4921" s="27"/>
      <c r="V4921" s="21"/>
      <c r="W4921" s="16"/>
      <c r="X4921" s="16"/>
      <c r="Y4921" s="16"/>
    </row>
    <row r="4922" customFormat="false" ht="15.75" hidden="false" customHeight="false" outlineLevel="0" collapsed="false">
      <c r="A4922" s="9"/>
      <c r="B4922" s="10"/>
      <c r="C4922" s="11"/>
      <c r="D4922" s="10"/>
      <c r="E4922" s="10"/>
      <c r="F4922" s="10"/>
      <c r="G4922" s="10"/>
      <c r="H4922" s="10"/>
      <c r="I4922" s="12" t="n">
        <v>1</v>
      </c>
      <c r="J4922" s="12"/>
      <c r="K4922" s="13"/>
      <c r="L4922" s="13"/>
      <c r="M4922" s="12"/>
      <c r="N4922" s="12"/>
      <c r="O4922" s="12"/>
      <c r="P4922" s="13"/>
      <c r="Q4922" s="13"/>
      <c r="R4922" s="12"/>
      <c r="S4922" s="12"/>
      <c r="T4922" s="12"/>
      <c r="U4922" s="14"/>
      <c r="V4922" s="15"/>
      <c r="W4922" s="16" t="n">
        <f aca="false">A4922</f>
        <v>0</v>
      </c>
      <c r="X4922" s="17" t="e">
        <f aca="false">ifs(C4922="","",X4922="",NOW(),TRUE(),X4922)</f>
        <v>#VALUE!</v>
      </c>
      <c r="Y4922" s="17" t="e">
        <f aca="false">ifs(COUNTA(K4922:U4925)&lt;44,"",Y4922="",NOW(),TRUE(),Y4922)</f>
        <v>#VALUE!</v>
      </c>
    </row>
    <row r="4923" customFormat="false" ht="15.75" hidden="false" customHeight="false" outlineLevel="0" collapsed="false">
      <c r="A4923" s="9"/>
      <c r="B4923" s="10"/>
      <c r="C4923" s="10"/>
      <c r="D4923" s="10"/>
      <c r="E4923" s="10"/>
      <c r="F4923" s="10"/>
      <c r="G4923" s="10"/>
      <c r="H4923" s="10"/>
      <c r="I4923" s="18" t="n">
        <v>2</v>
      </c>
      <c r="J4923" s="18"/>
      <c r="K4923" s="19"/>
      <c r="L4923" s="19"/>
      <c r="M4923" s="18"/>
      <c r="N4923" s="18"/>
      <c r="O4923" s="18"/>
      <c r="P4923" s="19"/>
      <c r="Q4923" s="19"/>
      <c r="R4923" s="18"/>
      <c r="S4923" s="18"/>
      <c r="T4923" s="18"/>
      <c r="U4923" s="20"/>
      <c r="V4923" s="21"/>
      <c r="W4923" s="16"/>
      <c r="X4923" s="16"/>
      <c r="Y4923" s="16"/>
    </row>
    <row r="4924" customFormat="false" ht="15.75" hidden="false" customHeight="false" outlineLevel="0" collapsed="false">
      <c r="A4924" s="9"/>
      <c r="B4924" s="10"/>
      <c r="C4924" s="10"/>
      <c r="D4924" s="10"/>
      <c r="E4924" s="10"/>
      <c r="F4924" s="10"/>
      <c r="G4924" s="10"/>
      <c r="H4924" s="10"/>
      <c r="I4924" s="22" t="n">
        <v>3</v>
      </c>
      <c r="J4924" s="22"/>
      <c r="K4924" s="23"/>
      <c r="L4924" s="23"/>
      <c r="M4924" s="22"/>
      <c r="N4924" s="22"/>
      <c r="O4924" s="22"/>
      <c r="P4924" s="23"/>
      <c r="Q4924" s="23"/>
      <c r="R4924" s="22"/>
      <c r="S4924" s="22"/>
      <c r="T4924" s="22"/>
      <c r="U4924" s="24"/>
      <c r="V4924" s="15"/>
      <c r="W4924" s="16"/>
      <c r="X4924" s="16"/>
      <c r="Y4924" s="16"/>
    </row>
    <row r="4925" customFormat="false" ht="15.75" hidden="false" customHeight="false" outlineLevel="0" collapsed="false">
      <c r="A4925" s="9"/>
      <c r="B4925" s="10"/>
      <c r="C4925" s="10"/>
      <c r="D4925" s="10"/>
      <c r="E4925" s="10"/>
      <c r="F4925" s="10"/>
      <c r="G4925" s="10"/>
      <c r="H4925" s="10"/>
      <c r="I4925" s="25" t="n">
        <v>4</v>
      </c>
      <c r="J4925" s="25"/>
      <c r="K4925" s="26"/>
      <c r="L4925" s="26"/>
      <c r="M4925" s="25"/>
      <c r="N4925" s="25"/>
      <c r="O4925" s="25"/>
      <c r="P4925" s="26"/>
      <c r="Q4925" s="26"/>
      <c r="R4925" s="25"/>
      <c r="S4925" s="25"/>
      <c r="T4925" s="25"/>
      <c r="U4925" s="27"/>
      <c r="V4925" s="21"/>
      <c r="W4925" s="16"/>
      <c r="X4925" s="16"/>
      <c r="Y4925" s="16"/>
    </row>
    <row r="4926" customFormat="false" ht="15.75" hidden="false" customHeight="false" outlineLevel="0" collapsed="false">
      <c r="A4926" s="9"/>
      <c r="B4926" s="10"/>
      <c r="C4926" s="11"/>
      <c r="D4926" s="10"/>
      <c r="E4926" s="10"/>
      <c r="F4926" s="10"/>
      <c r="G4926" s="10"/>
      <c r="H4926" s="10"/>
      <c r="I4926" s="12" t="n">
        <v>1</v>
      </c>
      <c r="J4926" s="12"/>
      <c r="K4926" s="13"/>
      <c r="L4926" s="13"/>
      <c r="M4926" s="12"/>
      <c r="N4926" s="12"/>
      <c r="O4926" s="12"/>
      <c r="P4926" s="13"/>
      <c r="Q4926" s="13"/>
      <c r="R4926" s="12"/>
      <c r="S4926" s="12"/>
      <c r="T4926" s="12"/>
      <c r="U4926" s="14"/>
      <c r="V4926" s="15"/>
      <c r="W4926" s="16" t="n">
        <f aca="false">A4926</f>
        <v>0</v>
      </c>
      <c r="X4926" s="17" t="e">
        <f aca="false">ifs(C4926="","",X4926="",NOW(),TRUE(),X4926)</f>
        <v>#VALUE!</v>
      </c>
      <c r="Y4926" s="17" t="e">
        <f aca="false">ifs(COUNTA(K4926:U4929)&lt;44,"",Y4926="",NOW(),TRUE(),Y4926)</f>
        <v>#VALUE!</v>
      </c>
    </row>
    <row r="4927" customFormat="false" ht="15.75" hidden="false" customHeight="false" outlineLevel="0" collapsed="false">
      <c r="A4927" s="9"/>
      <c r="B4927" s="10"/>
      <c r="C4927" s="10"/>
      <c r="D4927" s="10"/>
      <c r="E4927" s="10"/>
      <c r="F4927" s="10"/>
      <c r="G4927" s="10"/>
      <c r="H4927" s="10"/>
      <c r="I4927" s="18" t="n">
        <v>2</v>
      </c>
      <c r="J4927" s="18"/>
      <c r="K4927" s="19"/>
      <c r="L4927" s="19"/>
      <c r="M4927" s="18"/>
      <c r="N4927" s="18"/>
      <c r="O4927" s="18"/>
      <c r="P4927" s="19"/>
      <c r="Q4927" s="19"/>
      <c r="R4927" s="18"/>
      <c r="S4927" s="18"/>
      <c r="T4927" s="18"/>
      <c r="U4927" s="20"/>
      <c r="V4927" s="21"/>
      <c r="W4927" s="16"/>
      <c r="X4927" s="16"/>
      <c r="Y4927" s="16"/>
    </row>
    <row r="4928" customFormat="false" ht="15.75" hidden="false" customHeight="false" outlineLevel="0" collapsed="false">
      <c r="A4928" s="9"/>
      <c r="B4928" s="10"/>
      <c r="C4928" s="10"/>
      <c r="D4928" s="10"/>
      <c r="E4928" s="10"/>
      <c r="F4928" s="10"/>
      <c r="G4928" s="10"/>
      <c r="H4928" s="10"/>
      <c r="I4928" s="22" t="n">
        <v>3</v>
      </c>
      <c r="J4928" s="22"/>
      <c r="K4928" s="23"/>
      <c r="L4928" s="23"/>
      <c r="M4928" s="22"/>
      <c r="N4928" s="22"/>
      <c r="O4928" s="22"/>
      <c r="P4928" s="23"/>
      <c r="Q4928" s="23"/>
      <c r="R4928" s="22"/>
      <c r="S4928" s="22"/>
      <c r="T4928" s="22"/>
      <c r="U4928" s="24"/>
      <c r="V4928" s="15"/>
      <c r="W4928" s="16"/>
      <c r="X4928" s="16"/>
      <c r="Y4928" s="16"/>
    </row>
    <row r="4929" customFormat="false" ht="15.75" hidden="false" customHeight="false" outlineLevel="0" collapsed="false">
      <c r="A4929" s="9"/>
      <c r="B4929" s="10"/>
      <c r="C4929" s="10"/>
      <c r="D4929" s="10"/>
      <c r="E4929" s="10"/>
      <c r="F4929" s="10"/>
      <c r="G4929" s="10"/>
      <c r="H4929" s="10"/>
      <c r="I4929" s="25" t="n">
        <v>4</v>
      </c>
      <c r="J4929" s="25"/>
      <c r="K4929" s="26"/>
      <c r="L4929" s="26"/>
      <c r="M4929" s="25"/>
      <c r="N4929" s="25"/>
      <c r="O4929" s="25"/>
      <c r="P4929" s="26"/>
      <c r="Q4929" s="26"/>
      <c r="R4929" s="25"/>
      <c r="S4929" s="25"/>
      <c r="T4929" s="25"/>
      <c r="U4929" s="27"/>
      <c r="V4929" s="21"/>
      <c r="W4929" s="16"/>
      <c r="X4929" s="16"/>
      <c r="Y4929" s="16"/>
    </row>
    <row r="4930" customFormat="false" ht="15.75" hidden="false" customHeight="false" outlineLevel="0" collapsed="false">
      <c r="A4930" s="9"/>
      <c r="B4930" s="10"/>
      <c r="C4930" s="11"/>
      <c r="D4930" s="10"/>
      <c r="E4930" s="10"/>
      <c r="F4930" s="10"/>
      <c r="G4930" s="10"/>
      <c r="H4930" s="10"/>
      <c r="I4930" s="12" t="n">
        <v>1</v>
      </c>
      <c r="J4930" s="12"/>
      <c r="K4930" s="13"/>
      <c r="L4930" s="13"/>
      <c r="M4930" s="12"/>
      <c r="N4930" s="12"/>
      <c r="O4930" s="12"/>
      <c r="P4930" s="13"/>
      <c r="Q4930" s="13"/>
      <c r="R4930" s="12"/>
      <c r="S4930" s="12"/>
      <c r="T4930" s="12"/>
      <c r="U4930" s="14"/>
      <c r="V4930" s="15"/>
      <c r="W4930" s="16" t="n">
        <f aca="false">A4930</f>
        <v>0</v>
      </c>
      <c r="X4930" s="17" t="e">
        <f aca="false">ifs(C4930="","",X4930="",NOW(),TRUE(),X4930)</f>
        <v>#VALUE!</v>
      </c>
      <c r="Y4930" s="17" t="e">
        <f aca="false">ifs(COUNTA(K4930:U4933)&lt;44,"",Y4930="",NOW(),TRUE(),Y4930)</f>
        <v>#VALUE!</v>
      </c>
    </row>
    <row r="4931" customFormat="false" ht="15.75" hidden="false" customHeight="false" outlineLevel="0" collapsed="false">
      <c r="A4931" s="9"/>
      <c r="B4931" s="10"/>
      <c r="C4931" s="10"/>
      <c r="D4931" s="10"/>
      <c r="E4931" s="10"/>
      <c r="F4931" s="10"/>
      <c r="G4931" s="10"/>
      <c r="H4931" s="10"/>
      <c r="I4931" s="18" t="n">
        <v>2</v>
      </c>
      <c r="J4931" s="18"/>
      <c r="K4931" s="19"/>
      <c r="L4931" s="19"/>
      <c r="M4931" s="18"/>
      <c r="N4931" s="18"/>
      <c r="O4931" s="18"/>
      <c r="P4931" s="19"/>
      <c r="Q4931" s="19"/>
      <c r="R4931" s="18"/>
      <c r="S4931" s="18"/>
      <c r="T4931" s="18"/>
      <c r="U4931" s="20"/>
      <c r="V4931" s="21"/>
      <c r="W4931" s="16"/>
      <c r="X4931" s="16"/>
      <c r="Y4931" s="16"/>
    </row>
    <row r="4932" customFormat="false" ht="15.75" hidden="false" customHeight="false" outlineLevel="0" collapsed="false">
      <c r="A4932" s="9"/>
      <c r="B4932" s="10"/>
      <c r="C4932" s="10"/>
      <c r="D4932" s="10"/>
      <c r="E4932" s="10"/>
      <c r="F4932" s="10"/>
      <c r="G4932" s="10"/>
      <c r="H4932" s="10"/>
      <c r="I4932" s="22" t="n">
        <v>3</v>
      </c>
      <c r="J4932" s="22"/>
      <c r="K4932" s="23"/>
      <c r="L4932" s="23"/>
      <c r="M4932" s="22"/>
      <c r="N4932" s="22"/>
      <c r="O4932" s="22"/>
      <c r="P4932" s="23"/>
      <c r="Q4932" s="23"/>
      <c r="R4932" s="22"/>
      <c r="S4932" s="22"/>
      <c r="T4932" s="22"/>
      <c r="U4932" s="24"/>
      <c r="V4932" s="15"/>
      <c r="W4932" s="16"/>
      <c r="X4932" s="16"/>
      <c r="Y4932" s="16"/>
    </row>
    <row r="4933" customFormat="false" ht="15.75" hidden="false" customHeight="false" outlineLevel="0" collapsed="false">
      <c r="A4933" s="9"/>
      <c r="B4933" s="10"/>
      <c r="C4933" s="10"/>
      <c r="D4933" s="10"/>
      <c r="E4933" s="10"/>
      <c r="F4933" s="10"/>
      <c r="G4933" s="10"/>
      <c r="H4933" s="10"/>
      <c r="I4933" s="25" t="n">
        <v>4</v>
      </c>
      <c r="J4933" s="25"/>
      <c r="K4933" s="26"/>
      <c r="L4933" s="26"/>
      <c r="M4933" s="25"/>
      <c r="N4933" s="25"/>
      <c r="O4933" s="25"/>
      <c r="P4933" s="26"/>
      <c r="Q4933" s="26"/>
      <c r="R4933" s="25"/>
      <c r="S4933" s="25"/>
      <c r="T4933" s="25"/>
      <c r="U4933" s="27"/>
      <c r="V4933" s="21"/>
      <c r="W4933" s="16"/>
      <c r="X4933" s="16"/>
      <c r="Y4933" s="16"/>
    </row>
    <row r="4934" customFormat="false" ht="15.75" hidden="false" customHeight="false" outlineLevel="0" collapsed="false">
      <c r="A4934" s="9"/>
      <c r="B4934" s="10"/>
      <c r="C4934" s="11"/>
      <c r="D4934" s="10"/>
      <c r="E4934" s="10"/>
      <c r="F4934" s="10"/>
      <c r="G4934" s="10"/>
      <c r="H4934" s="10"/>
      <c r="I4934" s="12" t="n">
        <v>1</v>
      </c>
      <c r="J4934" s="12"/>
      <c r="K4934" s="13"/>
      <c r="L4934" s="13"/>
      <c r="M4934" s="12"/>
      <c r="N4934" s="12"/>
      <c r="O4934" s="12"/>
      <c r="P4934" s="13"/>
      <c r="Q4934" s="13"/>
      <c r="R4934" s="12"/>
      <c r="S4934" s="12"/>
      <c r="T4934" s="12"/>
      <c r="U4934" s="14"/>
      <c r="V4934" s="15"/>
      <c r="W4934" s="16" t="n">
        <f aca="false">A4934</f>
        <v>0</v>
      </c>
      <c r="X4934" s="17" t="e">
        <f aca="false">ifs(C4934="","",X4934="",NOW(),TRUE(),X4934)</f>
        <v>#VALUE!</v>
      </c>
      <c r="Y4934" s="17" t="e">
        <f aca="false">ifs(COUNTA(K4934:U4937)&lt;44,"",Y4934="",NOW(),TRUE(),Y4934)</f>
        <v>#VALUE!</v>
      </c>
    </row>
    <row r="4935" customFormat="false" ht="15.75" hidden="false" customHeight="false" outlineLevel="0" collapsed="false">
      <c r="A4935" s="9"/>
      <c r="B4935" s="10"/>
      <c r="C4935" s="10"/>
      <c r="D4935" s="10"/>
      <c r="E4935" s="10"/>
      <c r="F4935" s="10"/>
      <c r="G4935" s="10"/>
      <c r="H4935" s="10"/>
      <c r="I4935" s="18" t="n">
        <v>2</v>
      </c>
      <c r="J4935" s="18"/>
      <c r="K4935" s="19"/>
      <c r="L4935" s="19"/>
      <c r="M4935" s="18"/>
      <c r="N4935" s="18"/>
      <c r="O4935" s="18"/>
      <c r="P4935" s="19"/>
      <c r="Q4935" s="19"/>
      <c r="R4935" s="18"/>
      <c r="S4935" s="18"/>
      <c r="T4935" s="18"/>
      <c r="U4935" s="20"/>
      <c r="V4935" s="21"/>
      <c r="W4935" s="16"/>
      <c r="X4935" s="16"/>
      <c r="Y4935" s="16"/>
    </row>
    <row r="4936" customFormat="false" ht="15.75" hidden="false" customHeight="false" outlineLevel="0" collapsed="false">
      <c r="A4936" s="9"/>
      <c r="B4936" s="10"/>
      <c r="C4936" s="10"/>
      <c r="D4936" s="10"/>
      <c r="E4936" s="10"/>
      <c r="F4936" s="10"/>
      <c r="G4936" s="10"/>
      <c r="H4936" s="10"/>
      <c r="I4936" s="22" t="n">
        <v>3</v>
      </c>
      <c r="J4936" s="22"/>
      <c r="K4936" s="23"/>
      <c r="L4936" s="23"/>
      <c r="M4936" s="22"/>
      <c r="N4936" s="22"/>
      <c r="O4936" s="22"/>
      <c r="P4936" s="23"/>
      <c r="Q4936" s="23"/>
      <c r="R4936" s="22"/>
      <c r="S4936" s="22"/>
      <c r="T4936" s="22"/>
      <c r="U4936" s="24"/>
      <c r="V4936" s="15"/>
      <c r="W4936" s="16"/>
      <c r="X4936" s="16"/>
      <c r="Y4936" s="16"/>
    </row>
    <row r="4937" customFormat="false" ht="15.75" hidden="false" customHeight="false" outlineLevel="0" collapsed="false">
      <c r="A4937" s="9"/>
      <c r="B4937" s="10"/>
      <c r="C4937" s="10"/>
      <c r="D4937" s="10"/>
      <c r="E4937" s="10"/>
      <c r="F4937" s="10"/>
      <c r="G4937" s="10"/>
      <c r="H4937" s="10"/>
      <c r="I4937" s="25" t="n">
        <v>4</v>
      </c>
      <c r="J4937" s="25"/>
      <c r="K4937" s="26"/>
      <c r="L4937" s="26"/>
      <c r="M4937" s="25"/>
      <c r="N4937" s="25"/>
      <c r="O4937" s="25"/>
      <c r="P4937" s="26"/>
      <c r="Q4937" s="26"/>
      <c r="R4937" s="25"/>
      <c r="S4937" s="25"/>
      <c r="T4937" s="25"/>
      <c r="U4937" s="27"/>
      <c r="V4937" s="21"/>
      <c r="W4937" s="16"/>
      <c r="X4937" s="16"/>
      <c r="Y4937" s="16"/>
    </row>
    <row r="4938" customFormat="false" ht="15.75" hidden="false" customHeight="false" outlineLevel="0" collapsed="false">
      <c r="A4938" s="9"/>
      <c r="B4938" s="10"/>
      <c r="C4938" s="11"/>
      <c r="D4938" s="10"/>
      <c r="E4938" s="10"/>
      <c r="F4938" s="10"/>
      <c r="G4938" s="10"/>
      <c r="H4938" s="10"/>
      <c r="I4938" s="12" t="n">
        <v>1</v>
      </c>
      <c r="J4938" s="12"/>
      <c r="K4938" s="13"/>
      <c r="L4938" s="13"/>
      <c r="M4938" s="12"/>
      <c r="N4938" s="12"/>
      <c r="O4938" s="12"/>
      <c r="P4938" s="13"/>
      <c r="Q4938" s="13"/>
      <c r="R4938" s="12"/>
      <c r="S4938" s="12"/>
      <c r="T4938" s="12"/>
      <c r="U4938" s="14"/>
      <c r="V4938" s="15"/>
      <c r="W4938" s="16" t="n">
        <f aca="false">A4938</f>
        <v>0</v>
      </c>
      <c r="X4938" s="17" t="e">
        <f aca="false">ifs(C4938="","",X4938="",NOW(),TRUE(),X4938)</f>
        <v>#VALUE!</v>
      </c>
      <c r="Y4938" s="17" t="e">
        <f aca="false">ifs(COUNTA(K4938:U4941)&lt;44,"",Y4938="",NOW(),TRUE(),Y4938)</f>
        <v>#VALUE!</v>
      </c>
    </row>
    <row r="4939" customFormat="false" ht="15.75" hidden="false" customHeight="false" outlineLevel="0" collapsed="false">
      <c r="A4939" s="9"/>
      <c r="B4939" s="10"/>
      <c r="C4939" s="10"/>
      <c r="D4939" s="10"/>
      <c r="E4939" s="10"/>
      <c r="F4939" s="10"/>
      <c r="G4939" s="10"/>
      <c r="H4939" s="10"/>
      <c r="I4939" s="18" t="n">
        <v>2</v>
      </c>
      <c r="J4939" s="18"/>
      <c r="K4939" s="19"/>
      <c r="L4939" s="19"/>
      <c r="M4939" s="18"/>
      <c r="N4939" s="18"/>
      <c r="O4939" s="18"/>
      <c r="P4939" s="19"/>
      <c r="Q4939" s="19"/>
      <c r="R4939" s="18"/>
      <c r="S4939" s="18"/>
      <c r="T4939" s="18"/>
      <c r="U4939" s="20"/>
      <c r="V4939" s="21"/>
      <c r="W4939" s="16"/>
      <c r="X4939" s="16"/>
      <c r="Y4939" s="16"/>
    </row>
    <row r="4940" customFormat="false" ht="15.75" hidden="false" customHeight="false" outlineLevel="0" collapsed="false">
      <c r="A4940" s="9"/>
      <c r="B4940" s="10"/>
      <c r="C4940" s="10"/>
      <c r="D4940" s="10"/>
      <c r="E4940" s="10"/>
      <c r="F4940" s="10"/>
      <c r="G4940" s="10"/>
      <c r="H4940" s="10"/>
      <c r="I4940" s="22" t="n">
        <v>3</v>
      </c>
      <c r="J4940" s="22"/>
      <c r="K4940" s="23"/>
      <c r="L4940" s="23"/>
      <c r="M4940" s="22"/>
      <c r="N4940" s="22"/>
      <c r="O4940" s="22"/>
      <c r="P4940" s="23"/>
      <c r="Q4940" s="23"/>
      <c r="R4940" s="22"/>
      <c r="S4940" s="22"/>
      <c r="T4940" s="22"/>
      <c r="U4940" s="24"/>
      <c r="V4940" s="15"/>
      <c r="W4940" s="16"/>
      <c r="X4940" s="16"/>
      <c r="Y4940" s="16"/>
    </row>
    <row r="4941" customFormat="false" ht="15.75" hidden="false" customHeight="false" outlineLevel="0" collapsed="false">
      <c r="A4941" s="9"/>
      <c r="B4941" s="10"/>
      <c r="C4941" s="10"/>
      <c r="D4941" s="10"/>
      <c r="E4941" s="10"/>
      <c r="F4941" s="10"/>
      <c r="G4941" s="10"/>
      <c r="H4941" s="10"/>
      <c r="I4941" s="25" t="n">
        <v>4</v>
      </c>
      <c r="J4941" s="25"/>
      <c r="K4941" s="26"/>
      <c r="L4941" s="26"/>
      <c r="M4941" s="25"/>
      <c r="N4941" s="25"/>
      <c r="O4941" s="25"/>
      <c r="P4941" s="26"/>
      <c r="Q4941" s="26"/>
      <c r="R4941" s="25"/>
      <c r="S4941" s="25"/>
      <c r="T4941" s="25"/>
      <c r="U4941" s="27"/>
      <c r="V4941" s="21"/>
      <c r="W4941" s="16"/>
      <c r="X4941" s="16"/>
      <c r="Y4941" s="16"/>
    </row>
    <row r="4942" customFormat="false" ht="15.75" hidden="false" customHeight="false" outlineLevel="0" collapsed="false">
      <c r="A4942" s="9"/>
      <c r="B4942" s="10"/>
      <c r="C4942" s="11"/>
      <c r="D4942" s="10"/>
      <c r="E4942" s="10"/>
      <c r="F4942" s="10"/>
      <c r="G4942" s="10"/>
      <c r="H4942" s="10"/>
      <c r="I4942" s="12" t="n">
        <v>1</v>
      </c>
      <c r="J4942" s="12"/>
      <c r="K4942" s="13"/>
      <c r="L4942" s="13"/>
      <c r="M4942" s="12"/>
      <c r="N4942" s="12"/>
      <c r="O4942" s="12"/>
      <c r="P4942" s="13"/>
      <c r="Q4942" s="13"/>
      <c r="R4942" s="12"/>
      <c r="S4942" s="12"/>
      <c r="T4942" s="12"/>
      <c r="U4942" s="14"/>
      <c r="V4942" s="15"/>
      <c r="W4942" s="16" t="n">
        <f aca="false">A4942</f>
        <v>0</v>
      </c>
      <c r="X4942" s="17" t="e">
        <f aca="false">ifs(C4942="","",X4942="",NOW(),TRUE(),X4942)</f>
        <v>#VALUE!</v>
      </c>
      <c r="Y4942" s="17" t="e">
        <f aca="false">ifs(COUNTA(K4942:U4945)&lt;44,"",Y4942="",NOW(),TRUE(),Y4942)</f>
        <v>#VALUE!</v>
      </c>
    </row>
    <row r="4943" customFormat="false" ht="15.75" hidden="false" customHeight="false" outlineLevel="0" collapsed="false">
      <c r="A4943" s="9"/>
      <c r="B4943" s="10"/>
      <c r="C4943" s="10"/>
      <c r="D4943" s="10"/>
      <c r="E4943" s="10"/>
      <c r="F4943" s="10"/>
      <c r="G4943" s="10"/>
      <c r="H4943" s="10"/>
      <c r="I4943" s="18" t="n">
        <v>2</v>
      </c>
      <c r="J4943" s="18"/>
      <c r="K4943" s="19"/>
      <c r="L4943" s="19"/>
      <c r="M4943" s="18"/>
      <c r="N4943" s="18"/>
      <c r="O4943" s="18"/>
      <c r="P4943" s="19"/>
      <c r="Q4943" s="19"/>
      <c r="R4943" s="18"/>
      <c r="S4943" s="18"/>
      <c r="T4943" s="18"/>
      <c r="U4943" s="20"/>
      <c r="V4943" s="21"/>
      <c r="W4943" s="16"/>
      <c r="X4943" s="16"/>
      <c r="Y4943" s="16"/>
    </row>
    <row r="4944" customFormat="false" ht="15.75" hidden="false" customHeight="false" outlineLevel="0" collapsed="false">
      <c r="A4944" s="9"/>
      <c r="B4944" s="10"/>
      <c r="C4944" s="10"/>
      <c r="D4944" s="10"/>
      <c r="E4944" s="10"/>
      <c r="F4944" s="10"/>
      <c r="G4944" s="10"/>
      <c r="H4944" s="10"/>
      <c r="I4944" s="22" t="n">
        <v>3</v>
      </c>
      <c r="J4944" s="22"/>
      <c r="K4944" s="23"/>
      <c r="L4944" s="23"/>
      <c r="M4944" s="22"/>
      <c r="N4944" s="22"/>
      <c r="O4944" s="22"/>
      <c r="P4944" s="23"/>
      <c r="Q4944" s="23"/>
      <c r="R4944" s="22"/>
      <c r="S4944" s="22"/>
      <c r="T4944" s="22"/>
      <c r="U4944" s="24"/>
      <c r="V4944" s="15"/>
      <c r="W4944" s="16"/>
      <c r="X4944" s="16"/>
      <c r="Y4944" s="16"/>
    </row>
    <row r="4945" customFormat="false" ht="15.75" hidden="false" customHeight="false" outlineLevel="0" collapsed="false">
      <c r="A4945" s="9"/>
      <c r="B4945" s="10"/>
      <c r="C4945" s="10"/>
      <c r="D4945" s="10"/>
      <c r="E4945" s="10"/>
      <c r="F4945" s="10"/>
      <c r="G4945" s="10"/>
      <c r="H4945" s="10"/>
      <c r="I4945" s="25" t="n">
        <v>4</v>
      </c>
      <c r="J4945" s="25"/>
      <c r="K4945" s="26"/>
      <c r="L4945" s="26"/>
      <c r="M4945" s="25"/>
      <c r="N4945" s="25"/>
      <c r="O4945" s="25"/>
      <c r="P4945" s="26"/>
      <c r="Q4945" s="26"/>
      <c r="R4945" s="25"/>
      <c r="S4945" s="25"/>
      <c r="T4945" s="25"/>
      <c r="U4945" s="27"/>
      <c r="V4945" s="21"/>
      <c r="W4945" s="16"/>
      <c r="X4945" s="16"/>
      <c r="Y4945" s="16"/>
    </row>
    <row r="4946" customFormat="false" ht="15.75" hidden="false" customHeight="false" outlineLevel="0" collapsed="false">
      <c r="A4946" s="9"/>
      <c r="B4946" s="10"/>
      <c r="C4946" s="11"/>
      <c r="D4946" s="10"/>
      <c r="E4946" s="10"/>
      <c r="F4946" s="10"/>
      <c r="G4946" s="10"/>
      <c r="H4946" s="10"/>
      <c r="I4946" s="12" t="n">
        <v>1</v>
      </c>
      <c r="J4946" s="12"/>
      <c r="K4946" s="13"/>
      <c r="L4946" s="13"/>
      <c r="M4946" s="12"/>
      <c r="N4946" s="12"/>
      <c r="O4946" s="12"/>
      <c r="P4946" s="13"/>
      <c r="Q4946" s="13"/>
      <c r="R4946" s="12"/>
      <c r="S4946" s="12"/>
      <c r="T4946" s="12"/>
      <c r="U4946" s="14"/>
      <c r="V4946" s="15"/>
      <c r="W4946" s="16" t="n">
        <f aca="false">A4946</f>
        <v>0</v>
      </c>
      <c r="X4946" s="17" t="e">
        <f aca="false">ifs(C4946="","",X4946="",NOW(),TRUE(),X4946)</f>
        <v>#VALUE!</v>
      </c>
      <c r="Y4946" s="17" t="e">
        <f aca="false">ifs(COUNTA(K4946:U4949)&lt;44,"",Y4946="",NOW(),TRUE(),Y4946)</f>
        <v>#VALUE!</v>
      </c>
    </row>
    <row r="4947" customFormat="false" ht="15.75" hidden="false" customHeight="false" outlineLevel="0" collapsed="false">
      <c r="A4947" s="9"/>
      <c r="B4947" s="10"/>
      <c r="C4947" s="10"/>
      <c r="D4947" s="10"/>
      <c r="E4947" s="10"/>
      <c r="F4947" s="10"/>
      <c r="G4947" s="10"/>
      <c r="H4947" s="10"/>
      <c r="I4947" s="18" t="n">
        <v>2</v>
      </c>
      <c r="J4947" s="18"/>
      <c r="K4947" s="19"/>
      <c r="L4947" s="19"/>
      <c r="M4947" s="18"/>
      <c r="N4947" s="18"/>
      <c r="O4947" s="18"/>
      <c r="P4947" s="19"/>
      <c r="Q4947" s="19"/>
      <c r="R4947" s="18"/>
      <c r="S4947" s="18"/>
      <c r="T4947" s="18"/>
      <c r="U4947" s="20"/>
      <c r="V4947" s="21"/>
      <c r="W4947" s="16"/>
      <c r="X4947" s="16"/>
      <c r="Y4947" s="16"/>
    </row>
    <row r="4948" customFormat="false" ht="15.75" hidden="false" customHeight="false" outlineLevel="0" collapsed="false">
      <c r="A4948" s="9"/>
      <c r="B4948" s="10"/>
      <c r="C4948" s="10"/>
      <c r="D4948" s="10"/>
      <c r="E4948" s="10"/>
      <c r="F4948" s="10"/>
      <c r="G4948" s="10"/>
      <c r="H4948" s="10"/>
      <c r="I4948" s="22" t="n">
        <v>3</v>
      </c>
      <c r="J4948" s="22"/>
      <c r="K4948" s="23"/>
      <c r="L4948" s="23"/>
      <c r="M4948" s="22"/>
      <c r="N4948" s="22"/>
      <c r="O4948" s="22"/>
      <c r="P4948" s="23"/>
      <c r="Q4948" s="23"/>
      <c r="R4948" s="22"/>
      <c r="S4948" s="22"/>
      <c r="T4948" s="22"/>
      <c r="U4948" s="24"/>
      <c r="V4948" s="15"/>
      <c r="W4948" s="16"/>
      <c r="X4948" s="16"/>
      <c r="Y4948" s="16"/>
    </row>
    <row r="4949" customFormat="false" ht="15.75" hidden="false" customHeight="false" outlineLevel="0" collapsed="false">
      <c r="A4949" s="9"/>
      <c r="B4949" s="10"/>
      <c r="C4949" s="10"/>
      <c r="D4949" s="10"/>
      <c r="E4949" s="10"/>
      <c r="F4949" s="10"/>
      <c r="G4949" s="10"/>
      <c r="H4949" s="10"/>
      <c r="I4949" s="25" t="n">
        <v>4</v>
      </c>
      <c r="J4949" s="25"/>
      <c r="K4949" s="26"/>
      <c r="L4949" s="26"/>
      <c r="M4949" s="25"/>
      <c r="N4949" s="25"/>
      <c r="O4949" s="25"/>
      <c r="P4949" s="26"/>
      <c r="Q4949" s="26"/>
      <c r="R4949" s="25"/>
      <c r="S4949" s="25"/>
      <c r="T4949" s="25"/>
      <c r="U4949" s="27"/>
      <c r="V4949" s="21"/>
      <c r="W4949" s="16"/>
      <c r="X4949" s="16"/>
      <c r="Y4949" s="16"/>
    </row>
    <row r="4950" customFormat="false" ht="15.75" hidden="false" customHeight="false" outlineLevel="0" collapsed="false">
      <c r="A4950" s="9"/>
      <c r="B4950" s="10"/>
      <c r="C4950" s="11"/>
      <c r="D4950" s="10"/>
      <c r="E4950" s="10"/>
      <c r="F4950" s="10"/>
      <c r="G4950" s="10"/>
      <c r="H4950" s="10"/>
      <c r="I4950" s="12" t="n">
        <v>1</v>
      </c>
      <c r="J4950" s="12"/>
      <c r="K4950" s="13"/>
      <c r="L4950" s="13"/>
      <c r="M4950" s="12"/>
      <c r="N4950" s="12"/>
      <c r="O4950" s="12"/>
      <c r="P4950" s="13"/>
      <c r="Q4950" s="13"/>
      <c r="R4950" s="12"/>
      <c r="S4950" s="12"/>
      <c r="T4950" s="12"/>
      <c r="U4950" s="14"/>
      <c r="V4950" s="15"/>
      <c r="W4950" s="16" t="n">
        <f aca="false">A4950</f>
        <v>0</v>
      </c>
      <c r="X4950" s="17" t="e">
        <f aca="false">ifs(C4950="","",X4950="",NOW(),TRUE(),X4950)</f>
        <v>#VALUE!</v>
      </c>
      <c r="Y4950" s="17" t="e">
        <f aca="false">ifs(COUNTA(K4950:U4953)&lt;44,"",Y4950="",NOW(),TRUE(),Y4950)</f>
        <v>#VALUE!</v>
      </c>
    </row>
    <row r="4951" customFormat="false" ht="15.75" hidden="false" customHeight="false" outlineLevel="0" collapsed="false">
      <c r="A4951" s="9"/>
      <c r="B4951" s="10"/>
      <c r="C4951" s="10"/>
      <c r="D4951" s="10"/>
      <c r="E4951" s="10"/>
      <c r="F4951" s="10"/>
      <c r="G4951" s="10"/>
      <c r="H4951" s="10"/>
      <c r="I4951" s="18" t="n">
        <v>2</v>
      </c>
      <c r="J4951" s="18"/>
      <c r="K4951" s="19"/>
      <c r="L4951" s="19"/>
      <c r="M4951" s="18"/>
      <c r="N4951" s="18"/>
      <c r="O4951" s="18"/>
      <c r="P4951" s="19"/>
      <c r="Q4951" s="19"/>
      <c r="R4951" s="18"/>
      <c r="S4951" s="18"/>
      <c r="T4951" s="18"/>
      <c r="U4951" s="20"/>
      <c r="V4951" s="21"/>
      <c r="W4951" s="16"/>
      <c r="X4951" s="16"/>
      <c r="Y4951" s="16"/>
    </row>
    <row r="4952" customFormat="false" ht="15.75" hidden="false" customHeight="false" outlineLevel="0" collapsed="false">
      <c r="A4952" s="9"/>
      <c r="B4952" s="10"/>
      <c r="C4952" s="10"/>
      <c r="D4952" s="10"/>
      <c r="E4952" s="10"/>
      <c r="F4952" s="10"/>
      <c r="G4952" s="10"/>
      <c r="H4952" s="10"/>
      <c r="I4952" s="22" t="n">
        <v>3</v>
      </c>
      <c r="J4952" s="22"/>
      <c r="K4952" s="23"/>
      <c r="L4952" s="23"/>
      <c r="M4952" s="22"/>
      <c r="N4952" s="22"/>
      <c r="O4952" s="22"/>
      <c r="P4952" s="23"/>
      <c r="Q4952" s="23"/>
      <c r="R4952" s="22"/>
      <c r="S4952" s="22"/>
      <c r="T4952" s="22"/>
      <c r="U4952" s="24"/>
      <c r="V4952" s="15"/>
      <c r="W4952" s="16"/>
      <c r="X4952" s="16"/>
      <c r="Y4952" s="16"/>
    </row>
    <row r="4953" customFormat="false" ht="15.75" hidden="false" customHeight="false" outlineLevel="0" collapsed="false">
      <c r="A4953" s="9"/>
      <c r="B4953" s="10"/>
      <c r="C4953" s="10"/>
      <c r="D4953" s="10"/>
      <c r="E4953" s="10"/>
      <c r="F4953" s="10"/>
      <c r="G4953" s="10"/>
      <c r="H4953" s="10"/>
      <c r="I4953" s="25" t="n">
        <v>4</v>
      </c>
      <c r="J4953" s="25"/>
      <c r="K4953" s="26"/>
      <c r="L4953" s="26"/>
      <c r="M4953" s="25"/>
      <c r="N4953" s="25"/>
      <c r="O4953" s="25"/>
      <c r="P4953" s="26"/>
      <c r="Q4953" s="26"/>
      <c r="R4953" s="25"/>
      <c r="S4953" s="25"/>
      <c r="T4953" s="25"/>
      <c r="U4953" s="27"/>
      <c r="V4953" s="21"/>
      <c r="W4953" s="16"/>
      <c r="X4953" s="16"/>
      <c r="Y4953" s="16"/>
    </row>
    <row r="4954" customFormat="false" ht="15.75" hidden="false" customHeight="false" outlineLevel="0" collapsed="false">
      <c r="A4954" s="9"/>
      <c r="B4954" s="10"/>
      <c r="C4954" s="11"/>
      <c r="D4954" s="10"/>
      <c r="E4954" s="10"/>
      <c r="F4954" s="10"/>
      <c r="G4954" s="10"/>
      <c r="H4954" s="10"/>
      <c r="I4954" s="12" t="n">
        <v>1</v>
      </c>
      <c r="J4954" s="12"/>
      <c r="K4954" s="13"/>
      <c r="L4954" s="13"/>
      <c r="M4954" s="12"/>
      <c r="N4954" s="12"/>
      <c r="O4954" s="12"/>
      <c r="P4954" s="13"/>
      <c r="Q4954" s="13"/>
      <c r="R4954" s="12"/>
      <c r="S4954" s="12"/>
      <c r="T4954" s="12"/>
      <c r="U4954" s="14"/>
      <c r="V4954" s="15"/>
      <c r="W4954" s="16" t="n">
        <f aca="false">A4954</f>
        <v>0</v>
      </c>
      <c r="X4954" s="17" t="e">
        <f aca="false">ifs(C4954="","",X4954="",NOW(),TRUE(),X4954)</f>
        <v>#VALUE!</v>
      </c>
      <c r="Y4954" s="17" t="e">
        <f aca="false">ifs(COUNTA(K4954:U4957)&lt;44,"",Y4954="",NOW(),TRUE(),Y4954)</f>
        <v>#VALUE!</v>
      </c>
    </row>
    <row r="4955" customFormat="false" ht="15.75" hidden="false" customHeight="false" outlineLevel="0" collapsed="false">
      <c r="A4955" s="9"/>
      <c r="B4955" s="10"/>
      <c r="C4955" s="10"/>
      <c r="D4955" s="10"/>
      <c r="E4955" s="10"/>
      <c r="F4955" s="10"/>
      <c r="G4955" s="10"/>
      <c r="H4955" s="10"/>
      <c r="I4955" s="18" t="n">
        <v>2</v>
      </c>
      <c r="J4955" s="18"/>
      <c r="K4955" s="19"/>
      <c r="L4955" s="19"/>
      <c r="M4955" s="18"/>
      <c r="N4955" s="18"/>
      <c r="O4955" s="18"/>
      <c r="P4955" s="19"/>
      <c r="Q4955" s="19"/>
      <c r="R4955" s="18"/>
      <c r="S4955" s="18"/>
      <c r="T4955" s="18"/>
      <c r="U4955" s="20"/>
      <c r="V4955" s="21"/>
      <c r="W4955" s="16"/>
      <c r="X4955" s="16"/>
      <c r="Y4955" s="16"/>
    </row>
    <row r="4956" customFormat="false" ht="15.75" hidden="false" customHeight="false" outlineLevel="0" collapsed="false">
      <c r="A4956" s="9"/>
      <c r="B4956" s="10"/>
      <c r="C4956" s="10"/>
      <c r="D4956" s="10"/>
      <c r="E4956" s="10"/>
      <c r="F4956" s="10"/>
      <c r="G4956" s="10"/>
      <c r="H4956" s="10"/>
      <c r="I4956" s="22" t="n">
        <v>3</v>
      </c>
      <c r="J4956" s="22"/>
      <c r="K4956" s="23"/>
      <c r="L4956" s="23"/>
      <c r="M4956" s="22"/>
      <c r="N4956" s="22"/>
      <c r="O4956" s="22"/>
      <c r="P4956" s="23"/>
      <c r="Q4956" s="23"/>
      <c r="R4956" s="22"/>
      <c r="S4956" s="22"/>
      <c r="T4956" s="22"/>
      <c r="U4956" s="24"/>
      <c r="V4956" s="15"/>
      <c r="W4956" s="16"/>
      <c r="X4956" s="16"/>
      <c r="Y4956" s="16"/>
    </row>
    <row r="4957" customFormat="false" ht="15.75" hidden="false" customHeight="false" outlineLevel="0" collapsed="false">
      <c r="A4957" s="9"/>
      <c r="B4957" s="10"/>
      <c r="C4957" s="10"/>
      <c r="D4957" s="10"/>
      <c r="E4957" s="10"/>
      <c r="F4957" s="10"/>
      <c r="G4957" s="10"/>
      <c r="H4957" s="10"/>
      <c r="I4957" s="25" t="n">
        <v>4</v>
      </c>
      <c r="J4957" s="25"/>
      <c r="K4957" s="26"/>
      <c r="L4957" s="26"/>
      <c r="M4957" s="25"/>
      <c r="N4957" s="25"/>
      <c r="O4957" s="25"/>
      <c r="P4957" s="26"/>
      <c r="Q4957" s="26"/>
      <c r="R4957" s="25"/>
      <c r="S4957" s="25"/>
      <c r="T4957" s="25"/>
      <c r="U4957" s="27"/>
      <c r="V4957" s="21"/>
      <c r="W4957" s="16"/>
      <c r="X4957" s="16"/>
      <c r="Y4957" s="16"/>
    </row>
    <row r="4958" customFormat="false" ht="15.75" hidden="false" customHeight="false" outlineLevel="0" collapsed="false">
      <c r="A4958" s="9"/>
      <c r="B4958" s="10"/>
      <c r="C4958" s="11"/>
      <c r="D4958" s="10"/>
      <c r="E4958" s="10"/>
      <c r="F4958" s="10"/>
      <c r="G4958" s="10"/>
      <c r="H4958" s="10"/>
      <c r="I4958" s="12" t="n">
        <v>1</v>
      </c>
      <c r="J4958" s="12"/>
      <c r="K4958" s="13"/>
      <c r="L4958" s="13"/>
      <c r="M4958" s="12"/>
      <c r="N4958" s="12"/>
      <c r="O4958" s="12"/>
      <c r="P4958" s="13"/>
      <c r="Q4958" s="13"/>
      <c r="R4958" s="12"/>
      <c r="S4958" s="12"/>
      <c r="T4958" s="12"/>
      <c r="U4958" s="14"/>
      <c r="V4958" s="15"/>
      <c r="W4958" s="16" t="n">
        <f aca="false">A4958</f>
        <v>0</v>
      </c>
      <c r="X4958" s="17" t="e">
        <f aca="false">ifs(C4958="","",X4958="",NOW(),TRUE(),X4958)</f>
        <v>#VALUE!</v>
      </c>
      <c r="Y4958" s="17" t="e">
        <f aca="false">ifs(COUNTA(K4958:U4961)&lt;44,"",Y4958="",NOW(),TRUE(),Y4958)</f>
        <v>#VALUE!</v>
      </c>
    </row>
    <row r="4959" customFormat="false" ht="15.75" hidden="false" customHeight="false" outlineLevel="0" collapsed="false">
      <c r="A4959" s="9"/>
      <c r="B4959" s="10"/>
      <c r="C4959" s="10"/>
      <c r="D4959" s="10"/>
      <c r="E4959" s="10"/>
      <c r="F4959" s="10"/>
      <c r="G4959" s="10"/>
      <c r="H4959" s="10"/>
      <c r="I4959" s="18" t="n">
        <v>2</v>
      </c>
      <c r="J4959" s="18"/>
      <c r="K4959" s="19"/>
      <c r="L4959" s="19"/>
      <c r="M4959" s="18"/>
      <c r="N4959" s="18"/>
      <c r="O4959" s="18"/>
      <c r="P4959" s="19"/>
      <c r="Q4959" s="19"/>
      <c r="R4959" s="18"/>
      <c r="S4959" s="18"/>
      <c r="T4959" s="18"/>
      <c r="U4959" s="20"/>
      <c r="V4959" s="21"/>
      <c r="W4959" s="16"/>
      <c r="X4959" s="16"/>
      <c r="Y4959" s="16"/>
    </row>
    <row r="4960" customFormat="false" ht="15.75" hidden="false" customHeight="false" outlineLevel="0" collapsed="false">
      <c r="A4960" s="9"/>
      <c r="B4960" s="10"/>
      <c r="C4960" s="10"/>
      <c r="D4960" s="10"/>
      <c r="E4960" s="10"/>
      <c r="F4960" s="10"/>
      <c r="G4960" s="10"/>
      <c r="H4960" s="10"/>
      <c r="I4960" s="22" t="n">
        <v>3</v>
      </c>
      <c r="J4960" s="22"/>
      <c r="K4960" s="23"/>
      <c r="L4960" s="23"/>
      <c r="M4960" s="22"/>
      <c r="N4960" s="22"/>
      <c r="O4960" s="22"/>
      <c r="P4960" s="23"/>
      <c r="Q4960" s="23"/>
      <c r="R4960" s="22"/>
      <c r="S4960" s="22"/>
      <c r="T4960" s="22"/>
      <c r="U4960" s="24"/>
      <c r="V4960" s="15"/>
      <c r="W4960" s="16"/>
      <c r="X4960" s="16"/>
      <c r="Y4960" s="16"/>
    </row>
    <row r="4961" customFormat="false" ht="15.75" hidden="false" customHeight="false" outlineLevel="0" collapsed="false">
      <c r="A4961" s="9"/>
      <c r="B4961" s="10"/>
      <c r="C4961" s="10"/>
      <c r="D4961" s="10"/>
      <c r="E4961" s="10"/>
      <c r="F4961" s="10"/>
      <c r="G4961" s="10"/>
      <c r="H4961" s="10"/>
      <c r="I4961" s="25" t="n">
        <v>4</v>
      </c>
      <c r="J4961" s="25"/>
      <c r="K4961" s="26"/>
      <c r="L4961" s="26"/>
      <c r="M4961" s="25"/>
      <c r="N4961" s="25"/>
      <c r="O4961" s="25"/>
      <c r="P4961" s="26"/>
      <c r="Q4961" s="26"/>
      <c r="R4961" s="25"/>
      <c r="S4961" s="25"/>
      <c r="T4961" s="25"/>
      <c r="U4961" s="27"/>
      <c r="V4961" s="21"/>
      <c r="W4961" s="16"/>
      <c r="X4961" s="16"/>
      <c r="Y4961" s="16"/>
    </row>
    <row r="4962" customFormat="false" ht="15.75" hidden="false" customHeight="false" outlineLevel="0" collapsed="false">
      <c r="A4962" s="9"/>
      <c r="B4962" s="10"/>
      <c r="C4962" s="11"/>
      <c r="D4962" s="10"/>
      <c r="E4962" s="10"/>
      <c r="F4962" s="10"/>
      <c r="G4962" s="10"/>
      <c r="H4962" s="10"/>
      <c r="I4962" s="12" t="n">
        <v>1</v>
      </c>
      <c r="J4962" s="12"/>
      <c r="K4962" s="13"/>
      <c r="L4962" s="13"/>
      <c r="M4962" s="12"/>
      <c r="N4962" s="12"/>
      <c r="O4962" s="12"/>
      <c r="P4962" s="13"/>
      <c r="Q4962" s="13"/>
      <c r="R4962" s="12"/>
      <c r="S4962" s="12"/>
      <c r="T4962" s="12"/>
      <c r="U4962" s="14"/>
      <c r="V4962" s="15"/>
      <c r="W4962" s="16" t="n">
        <f aca="false">A4962</f>
        <v>0</v>
      </c>
      <c r="X4962" s="17" t="e">
        <f aca="false">ifs(C4962="","",X4962="",NOW(),TRUE(),X4962)</f>
        <v>#VALUE!</v>
      </c>
      <c r="Y4962" s="17" t="e">
        <f aca="false">ifs(COUNTA(K4962:U4965)&lt;44,"",Y4962="",NOW(),TRUE(),Y4962)</f>
        <v>#VALUE!</v>
      </c>
    </row>
    <row r="4963" customFormat="false" ht="15.75" hidden="false" customHeight="false" outlineLevel="0" collapsed="false">
      <c r="A4963" s="9"/>
      <c r="B4963" s="10"/>
      <c r="C4963" s="10"/>
      <c r="D4963" s="10"/>
      <c r="E4963" s="10"/>
      <c r="F4963" s="10"/>
      <c r="G4963" s="10"/>
      <c r="H4963" s="10"/>
      <c r="I4963" s="18" t="n">
        <v>2</v>
      </c>
      <c r="J4963" s="18"/>
      <c r="K4963" s="19"/>
      <c r="L4963" s="19"/>
      <c r="M4963" s="18"/>
      <c r="N4963" s="18"/>
      <c r="O4963" s="18"/>
      <c r="P4963" s="19"/>
      <c r="Q4963" s="19"/>
      <c r="R4963" s="18"/>
      <c r="S4963" s="18"/>
      <c r="T4963" s="18"/>
      <c r="U4963" s="20"/>
      <c r="V4963" s="21"/>
      <c r="W4963" s="16"/>
      <c r="X4963" s="16"/>
      <c r="Y4963" s="16"/>
    </row>
    <row r="4964" customFormat="false" ht="15.75" hidden="false" customHeight="false" outlineLevel="0" collapsed="false">
      <c r="A4964" s="9"/>
      <c r="B4964" s="10"/>
      <c r="C4964" s="10"/>
      <c r="D4964" s="10"/>
      <c r="E4964" s="10"/>
      <c r="F4964" s="10"/>
      <c r="G4964" s="10"/>
      <c r="H4964" s="10"/>
      <c r="I4964" s="22" t="n">
        <v>3</v>
      </c>
      <c r="J4964" s="22"/>
      <c r="K4964" s="23"/>
      <c r="L4964" s="23"/>
      <c r="M4964" s="22"/>
      <c r="N4964" s="22"/>
      <c r="O4964" s="22"/>
      <c r="P4964" s="23"/>
      <c r="Q4964" s="23"/>
      <c r="R4964" s="22"/>
      <c r="S4964" s="22"/>
      <c r="T4964" s="22"/>
      <c r="U4964" s="24"/>
      <c r="V4964" s="15"/>
      <c r="W4964" s="16"/>
      <c r="X4964" s="16"/>
      <c r="Y4964" s="16"/>
    </row>
    <row r="4965" customFormat="false" ht="15.75" hidden="false" customHeight="false" outlineLevel="0" collapsed="false">
      <c r="A4965" s="9"/>
      <c r="B4965" s="10"/>
      <c r="C4965" s="10"/>
      <c r="D4965" s="10"/>
      <c r="E4965" s="10"/>
      <c r="F4965" s="10"/>
      <c r="G4965" s="10"/>
      <c r="H4965" s="10"/>
      <c r="I4965" s="25" t="n">
        <v>4</v>
      </c>
      <c r="J4965" s="25"/>
      <c r="K4965" s="26"/>
      <c r="L4965" s="26"/>
      <c r="M4965" s="25"/>
      <c r="N4965" s="25"/>
      <c r="O4965" s="25"/>
      <c r="P4965" s="26"/>
      <c r="Q4965" s="26"/>
      <c r="R4965" s="25"/>
      <c r="S4965" s="25"/>
      <c r="T4965" s="25"/>
      <c r="U4965" s="27"/>
      <c r="V4965" s="21"/>
      <c r="W4965" s="16"/>
      <c r="X4965" s="16"/>
      <c r="Y4965" s="16"/>
    </row>
    <row r="4966" customFormat="false" ht="15.75" hidden="false" customHeight="false" outlineLevel="0" collapsed="false">
      <c r="A4966" s="9"/>
      <c r="B4966" s="10"/>
      <c r="C4966" s="11"/>
      <c r="D4966" s="10"/>
      <c r="E4966" s="10"/>
      <c r="F4966" s="10"/>
      <c r="G4966" s="10"/>
      <c r="H4966" s="10"/>
      <c r="I4966" s="12" t="n">
        <v>1</v>
      </c>
      <c r="J4966" s="12"/>
      <c r="K4966" s="13"/>
      <c r="L4966" s="13"/>
      <c r="M4966" s="12"/>
      <c r="N4966" s="12"/>
      <c r="O4966" s="12"/>
      <c r="P4966" s="13"/>
      <c r="Q4966" s="13"/>
      <c r="R4966" s="12"/>
      <c r="S4966" s="12"/>
      <c r="T4966" s="12"/>
      <c r="U4966" s="14"/>
      <c r="V4966" s="15"/>
      <c r="W4966" s="16" t="n">
        <f aca="false">A4966</f>
        <v>0</v>
      </c>
      <c r="X4966" s="17" t="e">
        <f aca="false">ifs(C4966="","",X4966="",NOW(),TRUE(),X4966)</f>
        <v>#VALUE!</v>
      </c>
      <c r="Y4966" s="17" t="e">
        <f aca="false">ifs(COUNTA(K4966:U4969)&lt;44,"",Y4966="",NOW(),TRUE(),Y4966)</f>
        <v>#VALUE!</v>
      </c>
    </row>
    <row r="4967" customFormat="false" ht="15.75" hidden="false" customHeight="false" outlineLevel="0" collapsed="false">
      <c r="A4967" s="9"/>
      <c r="B4967" s="10"/>
      <c r="C4967" s="10"/>
      <c r="D4967" s="10"/>
      <c r="E4967" s="10"/>
      <c r="F4967" s="10"/>
      <c r="G4967" s="10"/>
      <c r="H4967" s="10"/>
      <c r="I4967" s="18" t="n">
        <v>2</v>
      </c>
      <c r="J4967" s="18"/>
      <c r="K4967" s="19"/>
      <c r="L4967" s="19"/>
      <c r="M4967" s="18"/>
      <c r="N4967" s="18"/>
      <c r="O4967" s="18"/>
      <c r="P4967" s="19"/>
      <c r="Q4967" s="19"/>
      <c r="R4967" s="18"/>
      <c r="S4967" s="18"/>
      <c r="T4967" s="18"/>
      <c r="U4967" s="20"/>
      <c r="V4967" s="21"/>
      <c r="W4967" s="16"/>
      <c r="X4967" s="16"/>
      <c r="Y4967" s="16"/>
    </row>
    <row r="4968" customFormat="false" ht="15.75" hidden="false" customHeight="false" outlineLevel="0" collapsed="false">
      <c r="A4968" s="9"/>
      <c r="B4968" s="10"/>
      <c r="C4968" s="10"/>
      <c r="D4968" s="10"/>
      <c r="E4968" s="10"/>
      <c r="F4968" s="10"/>
      <c r="G4968" s="10"/>
      <c r="H4968" s="10"/>
      <c r="I4968" s="22" t="n">
        <v>3</v>
      </c>
      <c r="J4968" s="22"/>
      <c r="K4968" s="23"/>
      <c r="L4968" s="23"/>
      <c r="M4968" s="22"/>
      <c r="N4968" s="22"/>
      <c r="O4968" s="22"/>
      <c r="P4968" s="23"/>
      <c r="Q4968" s="23"/>
      <c r="R4968" s="22"/>
      <c r="S4968" s="22"/>
      <c r="T4968" s="22"/>
      <c r="U4968" s="24"/>
      <c r="V4968" s="15"/>
      <c r="W4968" s="16"/>
      <c r="X4968" s="16"/>
      <c r="Y4968" s="16"/>
    </row>
    <row r="4969" customFormat="false" ht="15.75" hidden="false" customHeight="false" outlineLevel="0" collapsed="false">
      <c r="A4969" s="9"/>
      <c r="B4969" s="10"/>
      <c r="C4969" s="10"/>
      <c r="D4969" s="10"/>
      <c r="E4969" s="10"/>
      <c r="F4969" s="10"/>
      <c r="G4969" s="10"/>
      <c r="H4969" s="10"/>
      <c r="I4969" s="25" t="n">
        <v>4</v>
      </c>
      <c r="J4969" s="25"/>
      <c r="K4969" s="26"/>
      <c r="L4969" s="26"/>
      <c r="M4969" s="25"/>
      <c r="N4969" s="25"/>
      <c r="O4969" s="25"/>
      <c r="P4969" s="26"/>
      <c r="Q4969" s="26"/>
      <c r="R4969" s="25"/>
      <c r="S4969" s="25"/>
      <c r="T4969" s="25"/>
      <c r="U4969" s="27"/>
      <c r="V4969" s="21"/>
      <c r="W4969" s="16"/>
      <c r="X4969" s="16"/>
      <c r="Y4969" s="16"/>
    </row>
    <row r="4970" customFormat="false" ht="15.75" hidden="false" customHeight="false" outlineLevel="0" collapsed="false">
      <c r="A4970" s="9"/>
      <c r="B4970" s="10"/>
      <c r="C4970" s="11"/>
      <c r="D4970" s="10"/>
      <c r="E4970" s="10"/>
      <c r="F4970" s="10"/>
      <c r="G4970" s="10"/>
      <c r="H4970" s="10"/>
      <c r="I4970" s="12" t="n">
        <v>1</v>
      </c>
      <c r="J4970" s="12"/>
      <c r="K4970" s="13"/>
      <c r="L4970" s="13"/>
      <c r="M4970" s="12"/>
      <c r="N4970" s="12"/>
      <c r="O4970" s="12"/>
      <c r="P4970" s="13"/>
      <c r="Q4970" s="13"/>
      <c r="R4970" s="12"/>
      <c r="S4970" s="12"/>
      <c r="T4970" s="12"/>
      <c r="U4970" s="14"/>
      <c r="V4970" s="15"/>
      <c r="W4970" s="16" t="n">
        <f aca="false">A4970</f>
        <v>0</v>
      </c>
      <c r="X4970" s="17" t="e">
        <f aca="false">ifs(C4970="","",X4970="",NOW(),TRUE(),X4970)</f>
        <v>#VALUE!</v>
      </c>
      <c r="Y4970" s="17" t="e">
        <f aca="false">ifs(COUNTA(K4970:U4973)&lt;44,"",Y4970="",NOW(),TRUE(),Y4970)</f>
        <v>#VALUE!</v>
      </c>
    </row>
    <row r="4971" customFormat="false" ht="15.75" hidden="false" customHeight="false" outlineLevel="0" collapsed="false">
      <c r="A4971" s="9"/>
      <c r="B4971" s="10"/>
      <c r="C4971" s="10"/>
      <c r="D4971" s="10"/>
      <c r="E4971" s="10"/>
      <c r="F4971" s="10"/>
      <c r="G4971" s="10"/>
      <c r="H4971" s="10"/>
      <c r="I4971" s="18" t="n">
        <v>2</v>
      </c>
      <c r="J4971" s="18"/>
      <c r="K4971" s="19"/>
      <c r="L4971" s="19"/>
      <c r="M4971" s="18"/>
      <c r="N4971" s="18"/>
      <c r="O4971" s="18"/>
      <c r="P4971" s="19"/>
      <c r="Q4971" s="19"/>
      <c r="R4971" s="18"/>
      <c r="S4971" s="18"/>
      <c r="T4971" s="18"/>
      <c r="U4971" s="20"/>
      <c r="V4971" s="21"/>
      <c r="W4971" s="16"/>
      <c r="X4971" s="16"/>
      <c r="Y4971" s="16"/>
    </row>
    <row r="4972" customFormat="false" ht="15.75" hidden="false" customHeight="false" outlineLevel="0" collapsed="false">
      <c r="A4972" s="9"/>
      <c r="B4972" s="10"/>
      <c r="C4972" s="10"/>
      <c r="D4972" s="10"/>
      <c r="E4972" s="10"/>
      <c r="F4972" s="10"/>
      <c r="G4972" s="10"/>
      <c r="H4972" s="10"/>
      <c r="I4972" s="22" t="n">
        <v>3</v>
      </c>
      <c r="J4972" s="22"/>
      <c r="K4972" s="23"/>
      <c r="L4972" s="23"/>
      <c r="M4972" s="22"/>
      <c r="N4972" s="22"/>
      <c r="O4972" s="22"/>
      <c r="P4972" s="23"/>
      <c r="Q4972" s="23"/>
      <c r="R4972" s="22"/>
      <c r="S4972" s="22"/>
      <c r="T4972" s="22"/>
      <c r="U4972" s="24"/>
      <c r="V4972" s="15"/>
      <c r="W4972" s="16"/>
      <c r="X4972" s="16"/>
      <c r="Y4972" s="16"/>
    </row>
    <row r="4973" customFormat="false" ht="15.75" hidden="false" customHeight="false" outlineLevel="0" collapsed="false">
      <c r="A4973" s="9"/>
      <c r="B4973" s="10"/>
      <c r="C4973" s="10"/>
      <c r="D4973" s="10"/>
      <c r="E4973" s="10"/>
      <c r="F4973" s="10"/>
      <c r="G4973" s="10"/>
      <c r="H4973" s="10"/>
      <c r="I4973" s="25" t="n">
        <v>4</v>
      </c>
      <c r="J4973" s="25"/>
      <c r="K4973" s="26"/>
      <c r="L4973" s="26"/>
      <c r="M4973" s="25"/>
      <c r="N4973" s="25"/>
      <c r="O4973" s="25"/>
      <c r="P4973" s="26"/>
      <c r="Q4973" s="26"/>
      <c r="R4973" s="25"/>
      <c r="S4973" s="25"/>
      <c r="T4973" s="25"/>
      <c r="U4973" s="27"/>
      <c r="V4973" s="21"/>
      <c r="W4973" s="16"/>
      <c r="X4973" s="16"/>
      <c r="Y4973" s="16"/>
    </row>
    <row r="4974" customFormat="false" ht="15.75" hidden="false" customHeight="false" outlineLevel="0" collapsed="false">
      <c r="A4974" s="9"/>
      <c r="B4974" s="10"/>
      <c r="C4974" s="11"/>
      <c r="D4974" s="10"/>
      <c r="E4974" s="10"/>
      <c r="F4974" s="10"/>
      <c r="G4974" s="10"/>
      <c r="H4974" s="10"/>
      <c r="I4974" s="12" t="n">
        <v>1</v>
      </c>
      <c r="J4974" s="12"/>
      <c r="K4974" s="13"/>
      <c r="L4974" s="13"/>
      <c r="M4974" s="12"/>
      <c r="N4974" s="12"/>
      <c r="O4974" s="12"/>
      <c r="P4974" s="13"/>
      <c r="Q4974" s="13"/>
      <c r="R4974" s="12"/>
      <c r="S4974" s="12"/>
      <c r="T4974" s="12"/>
      <c r="U4974" s="14"/>
      <c r="V4974" s="15"/>
      <c r="W4974" s="16" t="n">
        <f aca="false">A4974</f>
        <v>0</v>
      </c>
      <c r="X4974" s="17" t="e">
        <f aca="false">ifs(C4974="","",X4974="",NOW(),TRUE(),X4974)</f>
        <v>#VALUE!</v>
      </c>
      <c r="Y4974" s="17" t="e">
        <f aca="false">ifs(COUNTA(K4974:U4977)&lt;44,"",Y4974="",NOW(),TRUE(),Y4974)</f>
        <v>#VALUE!</v>
      </c>
    </row>
    <row r="4975" customFormat="false" ht="15.75" hidden="false" customHeight="false" outlineLevel="0" collapsed="false">
      <c r="A4975" s="9"/>
      <c r="B4975" s="10"/>
      <c r="C4975" s="10"/>
      <c r="D4975" s="10"/>
      <c r="E4975" s="10"/>
      <c r="F4975" s="10"/>
      <c r="G4975" s="10"/>
      <c r="H4975" s="10"/>
      <c r="I4975" s="18" t="n">
        <v>2</v>
      </c>
      <c r="J4975" s="18"/>
      <c r="K4975" s="19"/>
      <c r="L4975" s="19"/>
      <c r="M4975" s="18"/>
      <c r="N4975" s="18"/>
      <c r="O4975" s="18"/>
      <c r="P4975" s="19"/>
      <c r="Q4975" s="19"/>
      <c r="R4975" s="18"/>
      <c r="S4975" s="18"/>
      <c r="T4975" s="18"/>
      <c r="U4975" s="20"/>
      <c r="V4975" s="21"/>
      <c r="W4975" s="16"/>
      <c r="X4975" s="16"/>
      <c r="Y4975" s="16"/>
    </row>
    <row r="4976" customFormat="false" ht="15.75" hidden="false" customHeight="false" outlineLevel="0" collapsed="false">
      <c r="A4976" s="9"/>
      <c r="B4976" s="10"/>
      <c r="C4976" s="10"/>
      <c r="D4976" s="10"/>
      <c r="E4976" s="10"/>
      <c r="F4976" s="10"/>
      <c r="G4976" s="10"/>
      <c r="H4976" s="10"/>
      <c r="I4976" s="22" t="n">
        <v>3</v>
      </c>
      <c r="J4976" s="22"/>
      <c r="K4976" s="23"/>
      <c r="L4976" s="23"/>
      <c r="M4976" s="22"/>
      <c r="N4976" s="22"/>
      <c r="O4976" s="22"/>
      <c r="P4976" s="23"/>
      <c r="Q4976" s="23"/>
      <c r="R4976" s="22"/>
      <c r="S4976" s="22"/>
      <c r="T4976" s="22"/>
      <c r="U4976" s="24"/>
      <c r="V4976" s="15"/>
      <c r="W4976" s="16"/>
      <c r="X4976" s="16"/>
      <c r="Y4976" s="16"/>
    </row>
    <row r="4977" customFormat="false" ht="15.75" hidden="false" customHeight="false" outlineLevel="0" collapsed="false">
      <c r="A4977" s="9"/>
      <c r="B4977" s="10"/>
      <c r="C4977" s="10"/>
      <c r="D4977" s="10"/>
      <c r="E4977" s="10"/>
      <c r="F4977" s="10"/>
      <c r="G4977" s="10"/>
      <c r="H4977" s="10"/>
      <c r="I4977" s="25" t="n">
        <v>4</v>
      </c>
      <c r="J4977" s="25"/>
      <c r="K4977" s="26"/>
      <c r="L4977" s="26"/>
      <c r="M4977" s="25"/>
      <c r="N4977" s="25"/>
      <c r="O4977" s="25"/>
      <c r="P4977" s="26"/>
      <c r="Q4977" s="26"/>
      <c r="R4977" s="25"/>
      <c r="S4977" s="25"/>
      <c r="T4977" s="25"/>
      <c r="U4977" s="27"/>
      <c r="V4977" s="21"/>
      <c r="W4977" s="16"/>
      <c r="X4977" s="16"/>
      <c r="Y4977" s="16"/>
    </row>
  </sheetData>
  <mergeCells count="13684">
    <mergeCell ref="A2:A5"/>
    <mergeCell ref="B2:B5"/>
    <mergeCell ref="C2:C5"/>
    <mergeCell ref="D2:D5"/>
    <mergeCell ref="E2:E5"/>
    <mergeCell ref="F2:F5"/>
    <mergeCell ref="G2:G5"/>
    <mergeCell ref="H2:H5"/>
    <mergeCell ref="W2:W5"/>
    <mergeCell ref="X2:X5"/>
    <mergeCell ref="Y2:Y5"/>
    <mergeCell ref="A6:A9"/>
    <mergeCell ref="B6:B9"/>
    <mergeCell ref="C6:C9"/>
    <mergeCell ref="D6:D9"/>
    <mergeCell ref="E6:E9"/>
    <mergeCell ref="F6:F9"/>
    <mergeCell ref="G6:G9"/>
    <mergeCell ref="H6:H9"/>
    <mergeCell ref="W6:W9"/>
    <mergeCell ref="X6:X9"/>
    <mergeCell ref="Y6:Y9"/>
    <mergeCell ref="A10:A13"/>
    <mergeCell ref="B10:B13"/>
    <mergeCell ref="C10:C13"/>
    <mergeCell ref="D10:D13"/>
    <mergeCell ref="E10:E13"/>
    <mergeCell ref="F10:F13"/>
    <mergeCell ref="G10:G13"/>
    <mergeCell ref="H10:H13"/>
    <mergeCell ref="W10:W13"/>
    <mergeCell ref="X10:X13"/>
    <mergeCell ref="Y10:Y13"/>
    <mergeCell ref="A14:A17"/>
    <mergeCell ref="B14:B17"/>
    <mergeCell ref="C14:C17"/>
    <mergeCell ref="D14:D17"/>
    <mergeCell ref="E14:E17"/>
    <mergeCell ref="F14:F17"/>
    <mergeCell ref="G14:G17"/>
    <mergeCell ref="H14:H17"/>
    <mergeCell ref="W14:W17"/>
    <mergeCell ref="X14:X17"/>
    <mergeCell ref="Y14:Y17"/>
    <mergeCell ref="A18:A21"/>
    <mergeCell ref="B18:B21"/>
    <mergeCell ref="C18:C21"/>
    <mergeCell ref="D18:D21"/>
    <mergeCell ref="E18:E21"/>
    <mergeCell ref="F18:F21"/>
    <mergeCell ref="G18:G21"/>
    <mergeCell ref="H18:H21"/>
    <mergeCell ref="W18:W21"/>
    <mergeCell ref="X18:X21"/>
    <mergeCell ref="Y18:Y21"/>
    <mergeCell ref="A22:A25"/>
    <mergeCell ref="B22:B25"/>
    <mergeCell ref="C22:C25"/>
    <mergeCell ref="D22:D25"/>
    <mergeCell ref="E22:E25"/>
    <mergeCell ref="F22:F25"/>
    <mergeCell ref="G22:G25"/>
    <mergeCell ref="H22:H25"/>
    <mergeCell ref="W22:W25"/>
    <mergeCell ref="X22:X25"/>
    <mergeCell ref="Y22:Y25"/>
    <mergeCell ref="A26:A29"/>
    <mergeCell ref="B26:B29"/>
    <mergeCell ref="C26:C29"/>
    <mergeCell ref="D26:D29"/>
    <mergeCell ref="E26:E29"/>
    <mergeCell ref="F26:F29"/>
    <mergeCell ref="G26:G29"/>
    <mergeCell ref="H26:H29"/>
    <mergeCell ref="W26:W29"/>
    <mergeCell ref="X26:X29"/>
    <mergeCell ref="Y26:Y29"/>
    <mergeCell ref="A30:A33"/>
    <mergeCell ref="B30:B33"/>
    <mergeCell ref="C30:C33"/>
    <mergeCell ref="D30:D33"/>
    <mergeCell ref="E30:E33"/>
    <mergeCell ref="F30:F33"/>
    <mergeCell ref="G30:G33"/>
    <mergeCell ref="H30:H33"/>
    <mergeCell ref="W30:W33"/>
    <mergeCell ref="X30:X33"/>
    <mergeCell ref="Y30:Y33"/>
    <mergeCell ref="A34:A37"/>
    <mergeCell ref="B34:B37"/>
    <mergeCell ref="C34:C37"/>
    <mergeCell ref="D34:D37"/>
    <mergeCell ref="E34:E37"/>
    <mergeCell ref="F34:F37"/>
    <mergeCell ref="G34:G37"/>
    <mergeCell ref="H34:H37"/>
    <mergeCell ref="W34:W37"/>
    <mergeCell ref="X34:X37"/>
    <mergeCell ref="Y34:Y37"/>
    <mergeCell ref="A38:A41"/>
    <mergeCell ref="B38:B41"/>
    <mergeCell ref="C38:C41"/>
    <mergeCell ref="D38:D41"/>
    <mergeCell ref="E38:E41"/>
    <mergeCell ref="F38:F41"/>
    <mergeCell ref="G38:G41"/>
    <mergeCell ref="H38:H41"/>
    <mergeCell ref="W38:W41"/>
    <mergeCell ref="X38:X41"/>
    <mergeCell ref="Y38:Y41"/>
    <mergeCell ref="A42:A45"/>
    <mergeCell ref="B42:B45"/>
    <mergeCell ref="C42:C45"/>
    <mergeCell ref="D42:D45"/>
    <mergeCell ref="E42:E45"/>
    <mergeCell ref="F42:F45"/>
    <mergeCell ref="G42:G45"/>
    <mergeCell ref="H42:H45"/>
    <mergeCell ref="W42:W45"/>
    <mergeCell ref="X42:X45"/>
    <mergeCell ref="Y42:Y45"/>
    <mergeCell ref="A46:A49"/>
    <mergeCell ref="B46:B49"/>
    <mergeCell ref="C46:C49"/>
    <mergeCell ref="D46:D49"/>
    <mergeCell ref="E46:E49"/>
    <mergeCell ref="F46:F49"/>
    <mergeCell ref="G46:G49"/>
    <mergeCell ref="H46:H49"/>
    <mergeCell ref="W46:W49"/>
    <mergeCell ref="X46:X49"/>
    <mergeCell ref="Y46:Y49"/>
    <mergeCell ref="A50:A53"/>
    <mergeCell ref="B50:B53"/>
    <mergeCell ref="C50:C53"/>
    <mergeCell ref="D50:D53"/>
    <mergeCell ref="E50:E53"/>
    <mergeCell ref="F50:F53"/>
    <mergeCell ref="G50:G53"/>
    <mergeCell ref="H50:H53"/>
    <mergeCell ref="W50:W53"/>
    <mergeCell ref="X50:X53"/>
    <mergeCell ref="Y50:Y53"/>
    <mergeCell ref="A54:A57"/>
    <mergeCell ref="B54:B57"/>
    <mergeCell ref="C54:C57"/>
    <mergeCell ref="D54:D57"/>
    <mergeCell ref="E54:E57"/>
    <mergeCell ref="F54:F57"/>
    <mergeCell ref="G54:G57"/>
    <mergeCell ref="H54:H57"/>
    <mergeCell ref="W54:W57"/>
    <mergeCell ref="X54:X57"/>
    <mergeCell ref="Y54:Y57"/>
    <mergeCell ref="A58:A61"/>
    <mergeCell ref="B58:B61"/>
    <mergeCell ref="C58:C61"/>
    <mergeCell ref="D58:D61"/>
    <mergeCell ref="E58:E61"/>
    <mergeCell ref="F58:F61"/>
    <mergeCell ref="G58:G61"/>
    <mergeCell ref="H58:H61"/>
    <mergeCell ref="W58:W61"/>
    <mergeCell ref="X58:X61"/>
    <mergeCell ref="Y58:Y61"/>
    <mergeCell ref="A62:A65"/>
    <mergeCell ref="B62:B65"/>
    <mergeCell ref="C62:C65"/>
    <mergeCell ref="D62:D65"/>
    <mergeCell ref="E62:E65"/>
    <mergeCell ref="F62:F65"/>
    <mergeCell ref="G62:G65"/>
    <mergeCell ref="H62:H65"/>
    <mergeCell ref="W62:W65"/>
    <mergeCell ref="X62:X65"/>
    <mergeCell ref="Y62:Y65"/>
    <mergeCell ref="A66:A69"/>
    <mergeCell ref="B66:B69"/>
    <mergeCell ref="C66:C69"/>
    <mergeCell ref="D66:D69"/>
    <mergeCell ref="E66:E69"/>
    <mergeCell ref="F66:F69"/>
    <mergeCell ref="G66:G69"/>
    <mergeCell ref="H66:H69"/>
    <mergeCell ref="W66:W69"/>
    <mergeCell ref="X66:X69"/>
    <mergeCell ref="Y66:Y69"/>
    <mergeCell ref="A70:A73"/>
    <mergeCell ref="B70:B73"/>
    <mergeCell ref="C70:C73"/>
    <mergeCell ref="D70:D73"/>
    <mergeCell ref="E70:E73"/>
    <mergeCell ref="F70:F73"/>
    <mergeCell ref="G70:G73"/>
    <mergeCell ref="H70:H73"/>
    <mergeCell ref="W70:W73"/>
    <mergeCell ref="X70:X73"/>
    <mergeCell ref="Y70:Y73"/>
    <mergeCell ref="A74:A77"/>
    <mergeCell ref="B74:B77"/>
    <mergeCell ref="C74:C77"/>
    <mergeCell ref="D74:D77"/>
    <mergeCell ref="E74:E77"/>
    <mergeCell ref="F74:F77"/>
    <mergeCell ref="G74:G77"/>
    <mergeCell ref="H74:H77"/>
    <mergeCell ref="W74:W77"/>
    <mergeCell ref="X74:X77"/>
    <mergeCell ref="Y74:Y77"/>
    <mergeCell ref="A78:A81"/>
    <mergeCell ref="B78:B81"/>
    <mergeCell ref="C78:C81"/>
    <mergeCell ref="D78:D81"/>
    <mergeCell ref="E78:E81"/>
    <mergeCell ref="F78:F81"/>
    <mergeCell ref="G78:G81"/>
    <mergeCell ref="H78:H81"/>
    <mergeCell ref="W78:W81"/>
    <mergeCell ref="X78:X81"/>
    <mergeCell ref="Y78:Y81"/>
    <mergeCell ref="A82:A85"/>
    <mergeCell ref="B82:B85"/>
    <mergeCell ref="C82:C85"/>
    <mergeCell ref="D82:D85"/>
    <mergeCell ref="E82:E85"/>
    <mergeCell ref="F82:F85"/>
    <mergeCell ref="G82:G85"/>
    <mergeCell ref="H82:H85"/>
    <mergeCell ref="W82:W85"/>
    <mergeCell ref="X82:X85"/>
    <mergeCell ref="Y82:Y85"/>
    <mergeCell ref="A86:A89"/>
    <mergeCell ref="B86:B89"/>
    <mergeCell ref="C86:C89"/>
    <mergeCell ref="D86:D89"/>
    <mergeCell ref="E86:E89"/>
    <mergeCell ref="F86:F89"/>
    <mergeCell ref="G86:G89"/>
    <mergeCell ref="H86:H89"/>
    <mergeCell ref="W86:W89"/>
    <mergeCell ref="X86:X89"/>
    <mergeCell ref="Y86:Y89"/>
    <mergeCell ref="A90:A93"/>
    <mergeCell ref="B90:B93"/>
    <mergeCell ref="C90:C93"/>
    <mergeCell ref="D90:D93"/>
    <mergeCell ref="E90:E93"/>
    <mergeCell ref="F90:F93"/>
    <mergeCell ref="G90:G93"/>
    <mergeCell ref="H90:H93"/>
    <mergeCell ref="W90:W93"/>
    <mergeCell ref="X90:X93"/>
    <mergeCell ref="Y90:Y93"/>
    <mergeCell ref="A94:A97"/>
    <mergeCell ref="B94:B97"/>
    <mergeCell ref="C94:C97"/>
    <mergeCell ref="D94:D97"/>
    <mergeCell ref="E94:E97"/>
    <mergeCell ref="F94:F97"/>
    <mergeCell ref="G94:G97"/>
    <mergeCell ref="H94:H97"/>
    <mergeCell ref="W94:W97"/>
    <mergeCell ref="X94:X97"/>
    <mergeCell ref="Y94:Y97"/>
    <mergeCell ref="A98:A101"/>
    <mergeCell ref="B98:B101"/>
    <mergeCell ref="C98:C101"/>
    <mergeCell ref="D98:D101"/>
    <mergeCell ref="E98:E101"/>
    <mergeCell ref="F98:F101"/>
    <mergeCell ref="G98:G101"/>
    <mergeCell ref="H98:H101"/>
    <mergeCell ref="W98:W101"/>
    <mergeCell ref="X98:X101"/>
    <mergeCell ref="Y98:Y101"/>
    <mergeCell ref="A102:A105"/>
    <mergeCell ref="B102:B105"/>
    <mergeCell ref="C102:C105"/>
    <mergeCell ref="D102:D105"/>
    <mergeCell ref="E102:E105"/>
    <mergeCell ref="F102:F105"/>
    <mergeCell ref="G102:G105"/>
    <mergeCell ref="H102:H105"/>
    <mergeCell ref="W102:W105"/>
    <mergeCell ref="X102:X105"/>
    <mergeCell ref="Y102:Y105"/>
    <mergeCell ref="A106:A109"/>
    <mergeCell ref="B106:B109"/>
    <mergeCell ref="C106:C109"/>
    <mergeCell ref="D106:D109"/>
    <mergeCell ref="E106:E109"/>
    <mergeCell ref="F106:F109"/>
    <mergeCell ref="G106:G109"/>
    <mergeCell ref="H106:H109"/>
    <mergeCell ref="W106:W109"/>
    <mergeCell ref="X106:X109"/>
    <mergeCell ref="Y106:Y109"/>
    <mergeCell ref="A110:A113"/>
    <mergeCell ref="B110:B113"/>
    <mergeCell ref="C110:C113"/>
    <mergeCell ref="D110:D113"/>
    <mergeCell ref="E110:E113"/>
    <mergeCell ref="F110:F113"/>
    <mergeCell ref="G110:G113"/>
    <mergeCell ref="H110:H113"/>
    <mergeCell ref="W110:W113"/>
    <mergeCell ref="X110:X113"/>
    <mergeCell ref="Y110:Y113"/>
    <mergeCell ref="A114:A117"/>
    <mergeCell ref="B114:B117"/>
    <mergeCell ref="C114:C117"/>
    <mergeCell ref="D114:D117"/>
    <mergeCell ref="E114:E117"/>
    <mergeCell ref="F114:F117"/>
    <mergeCell ref="G114:G117"/>
    <mergeCell ref="H114:H117"/>
    <mergeCell ref="W114:W117"/>
    <mergeCell ref="X114:X117"/>
    <mergeCell ref="Y114:Y117"/>
    <mergeCell ref="A118:A121"/>
    <mergeCell ref="B118:B121"/>
    <mergeCell ref="C118:C121"/>
    <mergeCell ref="D118:D121"/>
    <mergeCell ref="E118:E121"/>
    <mergeCell ref="F118:F121"/>
    <mergeCell ref="G118:G121"/>
    <mergeCell ref="H118:H121"/>
    <mergeCell ref="W118:W121"/>
    <mergeCell ref="X118:X121"/>
    <mergeCell ref="Y118:Y121"/>
    <mergeCell ref="A122:A125"/>
    <mergeCell ref="B122:B125"/>
    <mergeCell ref="C122:C125"/>
    <mergeCell ref="D122:D125"/>
    <mergeCell ref="E122:E125"/>
    <mergeCell ref="F122:F125"/>
    <mergeCell ref="G122:G125"/>
    <mergeCell ref="H122:H125"/>
    <mergeCell ref="W122:W125"/>
    <mergeCell ref="X122:X125"/>
    <mergeCell ref="Y122:Y125"/>
    <mergeCell ref="A126:A129"/>
    <mergeCell ref="B126:B129"/>
    <mergeCell ref="C126:C129"/>
    <mergeCell ref="D126:D129"/>
    <mergeCell ref="E126:E129"/>
    <mergeCell ref="F126:F129"/>
    <mergeCell ref="G126:G129"/>
    <mergeCell ref="H126:H129"/>
    <mergeCell ref="W126:W129"/>
    <mergeCell ref="X126:X129"/>
    <mergeCell ref="Y126:Y129"/>
    <mergeCell ref="A130:A133"/>
    <mergeCell ref="B130:B133"/>
    <mergeCell ref="C130:C133"/>
    <mergeCell ref="D130:D133"/>
    <mergeCell ref="E130:E133"/>
    <mergeCell ref="F130:F133"/>
    <mergeCell ref="G130:G133"/>
    <mergeCell ref="H130:H133"/>
    <mergeCell ref="W130:W133"/>
    <mergeCell ref="X130:X133"/>
    <mergeCell ref="Y130:Y133"/>
    <mergeCell ref="A134:A137"/>
    <mergeCell ref="B134:B137"/>
    <mergeCell ref="C134:C137"/>
    <mergeCell ref="D134:D137"/>
    <mergeCell ref="E134:E137"/>
    <mergeCell ref="F134:F137"/>
    <mergeCell ref="G134:G137"/>
    <mergeCell ref="H134:H137"/>
    <mergeCell ref="W134:W137"/>
    <mergeCell ref="X134:X137"/>
    <mergeCell ref="Y134:Y137"/>
    <mergeCell ref="A138:A141"/>
    <mergeCell ref="B138:B141"/>
    <mergeCell ref="C138:C141"/>
    <mergeCell ref="D138:D141"/>
    <mergeCell ref="E138:E141"/>
    <mergeCell ref="F138:F141"/>
    <mergeCell ref="G138:G141"/>
    <mergeCell ref="H138:H141"/>
    <mergeCell ref="W138:W141"/>
    <mergeCell ref="X138:X141"/>
    <mergeCell ref="Y138:Y141"/>
    <mergeCell ref="A142:A145"/>
    <mergeCell ref="B142:B145"/>
    <mergeCell ref="C142:C145"/>
    <mergeCell ref="D142:D145"/>
    <mergeCell ref="E142:E145"/>
    <mergeCell ref="F142:F145"/>
    <mergeCell ref="G142:G145"/>
    <mergeCell ref="H142:H145"/>
    <mergeCell ref="W142:W145"/>
    <mergeCell ref="X142:X145"/>
    <mergeCell ref="Y142:Y145"/>
    <mergeCell ref="A146:A149"/>
    <mergeCell ref="B146:B149"/>
    <mergeCell ref="C146:C149"/>
    <mergeCell ref="D146:D149"/>
    <mergeCell ref="E146:E149"/>
    <mergeCell ref="F146:F149"/>
    <mergeCell ref="G146:G149"/>
    <mergeCell ref="H146:H149"/>
    <mergeCell ref="W146:W149"/>
    <mergeCell ref="X146:X149"/>
    <mergeCell ref="Y146:Y149"/>
    <mergeCell ref="A150:A153"/>
    <mergeCell ref="B150:B153"/>
    <mergeCell ref="C150:C153"/>
    <mergeCell ref="D150:D153"/>
    <mergeCell ref="E150:E153"/>
    <mergeCell ref="F150:F153"/>
    <mergeCell ref="G150:G153"/>
    <mergeCell ref="H150:H153"/>
    <mergeCell ref="W150:W153"/>
    <mergeCell ref="X150:X153"/>
    <mergeCell ref="Y150:Y153"/>
    <mergeCell ref="A154:A157"/>
    <mergeCell ref="B154:B157"/>
    <mergeCell ref="C154:C157"/>
    <mergeCell ref="D154:D157"/>
    <mergeCell ref="E154:E157"/>
    <mergeCell ref="F154:F157"/>
    <mergeCell ref="G154:G157"/>
    <mergeCell ref="H154:H157"/>
    <mergeCell ref="W154:W157"/>
    <mergeCell ref="X154:X157"/>
    <mergeCell ref="Y154:Y157"/>
    <mergeCell ref="A158:A161"/>
    <mergeCell ref="B158:B161"/>
    <mergeCell ref="C158:C161"/>
    <mergeCell ref="D158:D161"/>
    <mergeCell ref="E158:E161"/>
    <mergeCell ref="F158:F161"/>
    <mergeCell ref="G158:G161"/>
    <mergeCell ref="H158:H161"/>
    <mergeCell ref="W158:W161"/>
    <mergeCell ref="X158:X161"/>
    <mergeCell ref="Y158:Y161"/>
    <mergeCell ref="A162:A165"/>
    <mergeCell ref="B162:B165"/>
    <mergeCell ref="C162:C165"/>
    <mergeCell ref="D162:D165"/>
    <mergeCell ref="E162:E165"/>
    <mergeCell ref="F162:F165"/>
    <mergeCell ref="G162:G165"/>
    <mergeCell ref="H162:H165"/>
    <mergeCell ref="W162:W165"/>
    <mergeCell ref="X162:X165"/>
    <mergeCell ref="Y162:Y165"/>
    <mergeCell ref="A166:A169"/>
    <mergeCell ref="B166:B169"/>
    <mergeCell ref="C166:C169"/>
    <mergeCell ref="D166:D169"/>
    <mergeCell ref="E166:E169"/>
    <mergeCell ref="F166:F169"/>
    <mergeCell ref="G166:G169"/>
    <mergeCell ref="H166:H169"/>
    <mergeCell ref="W166:W169"/>
    <mergeCell ref="X166:X169"/>
    <mergeCell ref="Y166:Y169"/>
    <mergeCell ref="A170:A173"/>
    <mergeCell ref="B170:B173"/>
    <mergeCell ref="C170:C173"/>
    <mergeCell ref="D170:D173"/>
    <mergeCell ref="E170:E173"/>
    <mergeCell ref="F170:F173"/>
    <mergeCell ref="G170:G173"/>
    <mergeCell ref="H170:H173"/>
    <mergeCell ref="W170:W173"/>
    <mergeCell ref="X170:X173"/>
    <mergeCell ref="Y170:Y173"/>
    <mergeCell ref="A174:A177"/>
    <mergeCell ref="B174:B177"/>
    <mergeCell ref="C174:C177"/>
    <mergeCell ref="D174:D177"/>
    <mergeCell ref="E174:E177"/>
    <mergeCell ref="F174:F177"/>
    <mergeCell ref="G174:G177"/>
    <mergeCell ref="H174:H177"/>
    <mergeCell ref="W174:W177"/>
    <mergeCell ref="X174:X177"/>
    <mergeCell ref="Y174:Y177"/>
    <mergeCell ref="A178:A181"/>
    <mergeCell ref="B178:B181"/>
    <mergeCell ref="C178:C181"/>
    <mergeCell ref="D178:D181"/>
    <mergeCell ref="E178:E181"/>
    <mergeCell ref="F178:F181"/>
    <mergeCell ref="G178:G181"/>
    <mergeCell ref="H178:H181"/>
    <mergeCell ref="W178:W181"/>
    <mergeCell ref="X178:X181"/>
    <mergeCell ref="Y178:Y181"/>
    <mergeCell ref="A182:A185"/>
    <mergeCell ref="B182:B185"/>
    <mergeCell ref="C182:C185"/>
    <mergeCell ref="D182:D185"/>
    <mergeCell ref="E182:E185"/>
    <mergeCell ref="F182:F185"/>
    <mergeCell ref="G182:G185"/>
    <mergeCell ref="H182:H185"/>
    <mergeCell ref="W182:W185"/>
    <mergeCell ref="X182:X185"/>
    <mergeCell ref="Y182:Y185"/>
    <mergeCell ref="A186:A189"/>
    <mergeCell ref="B186:B189"/>
    <mergeCell ref="C186:C189"/>
    <mergeCell ref="D186:D189"/>
    <mergeCell ref="E186:E189"/>
    <mergeCell ref="F186:F189"/>
    <mergeCell ref="G186:G189"/>
    <mergeCell ref="H186:H189"/>
    <mergeCell ref="W186:W189"/>
    <mergeCell ref="X186:X189"/>
    <mergeCell ref="Y186:Y189"/>
    <mergeCell ref="A190:A193"/>
    <mergeCell ref="B190:B193"/>
    <mergeCell ref="C190:C193"/>
    <mergeCell ref="D190:D193"/>
    <mergeCell ref="E190:E193"/>
    <mergeCell ref="F190:F193"/>
    <mergeCell ref="G190:G193"/>
    <mergeCell ref="H190:H193"/>
    <mergeCell ref="W190:W193"/>
    <mergeCell ref="X190:X193"/>
    <mergeCell ref="Y190:Y193"/>
    <mergeCell ref="A194:A197"/>
    <mergeCell ref="B194:B197"/>
    <mergeCell ref="C194:C197"/>
    <mergeCell ref="D194:D197"/>
    <mergeCell ref="E194:E197"/>
    <mergeCell ref="F194:F197"/>
    <mergeCell ref="G194:G197"/>
    <mergeCell ref="H194:H197"/>
    <mergeCell ref="W194:W197"/>
    <mergeCell ref="X194:X197"/>
    <mergeCell ref="Y194:Y197"/>
    <mergeCell ref="A198:A201"/>
    <mergeCell ref="B198:B201"/>
    <mergeCell ref="C198:C201"/>
    <mergeCell ref="D198:D201"/>
    <mergeCell ref="E198:E201"/>
    <mergeCell ref="F198:F201"/>
    <mergeCell ref="G198:G201"/>
    <mergeCell ref="H198:H201"/>
    <mergeCell ref="W198:W201"/>
    <mergeCell ref="X198:X201"/>
    <mergeCell ref="Y198:Y201"/>
    <mergeCell ref="A202:A205"/>
    <mergeCell ref="B202:B205"/>
    <mergeCell ref="C202:C205"/>
    <mergeCell ref="D202:D205"/>
    <mergeCell ref="E202:E205"/>
    <mergeCell ref="F202:F205"/>
    <mergeCell ref="G202:G205"/>
    <mergeCell ref="H202:H205"/>
    <mergeCell ref="W202:W205"/>
    <mergeCell ref="X202:X205"/>
    <mergeCell ref="Y202:Y205"/>
    <mergeCell ref="A206:A209"/>
    <mergeCell ref="B206:B209"/>
    <mergeCell ref="C206:C209"/>
    <mergeCell ref="D206:D209"/>
    <mergeCell ref="E206:E209"/>
    <mergeCell ref="F206:F209"/>
    <mergeCell ref="G206:G209"/>
    <mergeCell ref="H206:H209"/>
    <mergeCell ref="W206:W209"/>
    <mergeCell ref="X206:X209"/>
    <mergeCell ref="Y206:Y209"/>
    <mergeCell ref="A210:A213"/>
    <mergeCell ref="B210:B213"/>
    <mergeCell ref="C210:C213"/>
    <mergeCell ref="D210:D213"/>
    <mergeCell ref="E210:E213"/>
    <mergeCell ref="F210:F213"/>
    <mergeCell ref="G210:G213"/>
    <mergeCell ref="H210:H213"/>
    <mergeCell ref="W210:W213"/>
    <mergeCell ref="X210:X213"/>
    <mergeCell ref="Y210:Y213"/>
    <mergeCell ref="A214:A217"/>
    <mergeCell ref="B214:B217"/>
    <mergeCell ref="C214:C217"/>
    <mergeCell ref="D214:D217"/>
    <mergeCell ref="E214:E217"/>
    <mergeCell ref="F214:F217"/>
    <mergeCell ref="G214:G217"/>
    <mergeCell ref="H214:H217"/>
    <mergeCell ref="W214:W217"/>
    <mergeCell ref="X214:X217"/>
    <mergeCell ref="Y214:Y217"/>
    <mergeCell ref="A218:A221"/>
    <mergeCell ref="B218:B221"/>
    <mergeCell ref="C218:C221"/>
    <mergeCell ref="D218:D221"/>
    <mergeCell ref="E218:E221"/>
    <mergeCell ref="F218:F221"/>
    <mergeCell ref="G218:G221"/>
    <mergeCell ref="H218:H221"/>
    <mergeCell ref="W218:W221"/>
    <mergeCell ref="X218:X221"/>
    <mergeCell ref="Y218:Y221"/>
    <mergeCell ref="A222:A225"/>
    <mergeCell ref="B222:B225"/>
    <mergeCell ref="C222:C225"/>
    <mergeCell ref="D222:D225"/>
    <mergeCell ref="E222:E225"/>
    <mergeCell ref="F222:F225"/>
    <mergeCell ref="G222:G225"/>
    <mergeCell ref="H222:H225"/>
    <mergeCell ref="W222:W225"/>
    <mergeCell ref="X222:X225"/>
    <mergeCell ref="Y222:Y225"/>
    <mergeCell ref="A226:A229"/>
    <mergeCell ref="B226:B229"/>
    <mergeCell ref="C226:C229"/>
    <mergeCell ref="D226:D229"/>
    <mergeCell ref="E226:E229"/>
    <mergeCell ref="F226:F229"/>
    <mergeCell ref="G226:G229"/>
    <mergeCell ref="H226:H229"/>
    <mergeCell ref="W226:W229"/>
    <mergeCell ref="X226:X229"/>
    <mergeCell ref="Y226:Y229"/>
    <mergeCell ref="A230:A233"/>
    <mergeCell ref="B230:B233"/>
    <mergeCell ref="C230:C233"/>
    <mergeCell ref="D230:D233"/>
    <mergeCell ref="E230:E233"/>
    <mergeCell ref="F230:F233"/>
    <mergeCell ref="G230:G233"/>
    <mergeCell ref="H230:H233"/>
    <mergeCell ref="W230:W233"/>
    <mergeCell ref="X230:X233"/>
    <mergeCell ref="Y230:Y233"/>
    <mergeCell ref="A234:A237"/>
    <mergeCell ref="B234:B237"/>
    <mergeCell ref="C234:C237"/>
    <mergeCell ref="D234:D237"/>
    <mergeCell ref="E234:E237"/>
    <mergeCell ref="F234:F237"/>
    <mergeCell ref="G234:G237"/>
    <mergeCell ref="H234:H237"/>
    <mergeCell ref="W234:W237"/>
    <mergeCell ref="X234:X237"/>
    <mergeCell ref="Y234:Y237"/>
    <mergeCell ref="A238:A241"/>
    <mergeCell ref="B238:B241"/>
    <mergeCell ref="C238:C241"/>
    <mergeCell ref="D238:D241"/>
    <mergeCell ref="E238:E241"/>
    <mergeCell ref="F238:F241"/>
    <mergeCell ref="G238:G241"/>
    <mergeCell ref="H238:H241"/>
    <mergeCell ref="W238:W241"/>
    <mergeCell ref="X238:X241"/>
    <mergeCell ref="Y238:Y241"/>
    <mergeCell ref="A242:A245"/>
    <mergeCell ref="B242:B245"/>
    <mergeCell ref="C242:C245"/>
    <mergeCell ref="D242:D245"/>
    <mergeCell ref="E242:E245"/>
    <mergeCell ref="F242:F245"/>
    <mergeCell ref="G242:G245"/>
    <mergeCell ref="H242:H245"/>
    <mergeCell ref="W242:W245"/>
    <mergeCell ref="X242:X245"/>
    <mergeCell ref="Y242:Y245"/>
    <mergeCell ref="A246:A249"/>
    <mergeCell ref="B246:B249"/>
    <mergeCell ref="C246:C249"/>
    <mergeCell ref="D246:D249"/>
    <mergeCell ref="E246:E249"/>
    <mergeCell ref="F246:F249"/>
    <mergeCell ref="G246:G249"/>
    <mergeCell ref="H246:H249"/>
    <mergeCell ref="W246:W249"/>
    <mergeCell ref="X246:X249"/>
    <mergeCell ref="Y246:Y249"/>
    <mergeCell ref="A250:A253"/>
    <mergeCell ref="B250:B253"/>
    <mergeCell ref="C250:C253"/>
    <mergeCell ref="D250:D253"/>
    <mergeCell ref="E250:E253"/>
    <mergeCell ref="F250:F253"/>
    <mergeCell ref="G250:G253"/>
    <mergeCell ref="H250:H253"/>
    <mergeCell ref="W250:W253"/>
    <mergeCell ref="X250:X253"/>
    <mergeCell ref="Y250:Y253"/>
    <mergeCell ref="A254:A257"/>
    <mergeCell ref="B254:B257"/>
    <mergeCell ref="C254:C257"/>
    <mergeCell ref="D254:D257"/>
    <mergeCell ref="E254:E257"/>
    <mergeCell ref="F254:F257"/>
    <mergeCell ref="G254:G257"/>
    <mergeCell ref="H254:H257"/>
    <mergeCell ref="W254:W257"/>
    <mergeCell ref="X254:X257"/>
    <mergeCell ref="Y254:Y257"/>
    <mergeCell ref="A258:A261"/>
    <mergeCell ref="B258:B261"/>
    <mergeCell ref="C258:C261"/>
    <mergeCell ref="D258:D261"/>
    <mergeCell ref="E258:E261"/>
    <mergeCell ref="F258:F261"/>
    <mergeCell ref="G258:G261"/>
    <mergeCell ref="H258:H261"/>
    <mergeCell ref="W258:W261"/>
    <mergeCell ref="X258:X261"/>
    <mergeCell ref="Y258:Y261"/>
    <mergeCell ref="A262:A265"/>
    <mergeCell ref="B262:B265"/>
    <mergeCell ref="C262:C265"/>
    <mergeCell ref="D262:D265"/>
    <mergeCell ref="E262:E265"/>
    <mergeCell ref="F262:F265"/>
    <mergeCell ref="G262:G265"/>
    <mergeCell ref="H262:H265"/>
    <mergeCell ref="W262:W265"/>
    <mergeCell ref="X262:X265"/>
    <mergeCell ref="Y262:Y265"/>
    <mergeCell ref="A266:A269"/>
    <mergeCell ref="B266:B269"/>
    <mergeCell ref="C266:C269"/>
    <mergeCell ref="D266:D269"/>
    <mergeCell ref="E266:E269"/>
    <mergeCell ref="F266:F269"/>
    <mergeCell ref="G266:G269"/>
    <mergeCell ref="H266:H269"/>
    <mergeCell ref="W266:W269"/>
    <mergeCell ref="X266:X269"/>
    <mergeCell ref="Y266:Y269"/>
    <mergeCell ref="A270:A273"/>
    <mergeCell ref="B270:B273"/>
    <mergeCell ref="C270:C273"/>
    <mergeCell ref="D270:D273"/>
    <mergeCell ref="E270:E273"/>
    <mergeCell ref="F270:F273"/>
    <mergeCell ref="G270:G273"/>
    <mergeCell ref="H270:H273"/>
    <mergeCell ref="W270:W273"/>
    <mergeCell ref="X270:X273"/>
    <mergeCell ref="Y270:Y273"/>
    <mergeCell ref="A274:A277"/>
    <mergeCell ref="B274:B277"/>
    <mergeCell ref="C274:C277"/>
    <mergeCell ref="D274:D277"/>
    <mergeCell ref="E274:E277"/>
    <mergeCell ref="F274:F277"/>
    <mergeCell ref="G274:G277"/>
    <mergeCell ref="H274:H277"/>
    <mergeCell ref="W274:W277"/>
    <mergeCell ref="X274:X277"/>
    <mergeCell ref="Y274:Y277"/>
    <mergeCell ref="A278:A281"/>
    <mergeCell ref="B278:B281"/>
    <mergeCell ref="C278:C281"/>
    <mergeCell ref="D278:D281"/>
    <mergeCell ref="E278:E281"/>
    <mergeCell ref="F278:F281"/>
    <mergeCell ref="G278:G281"/>
    <mergeCell ref="H278:H281"/>
    <mergeCell ref="W278:W281"/>
    <mergeCell ref="X278:X281"/>
    <mergeCell ref="Y278:Y281"/>
    <mergeCell ref="A282:A285"/>
    <mergeCell ref="B282:B285"/>
    <mergeCell ref="C282:C285"/>
    <mergeCell ref="D282:D285"/>
    <mergeCell ref="E282:E285"/>
    <mergeCell ref="F282:F285"/>
    <mergeCell ref="G282:G285"/>
    <mergeCell ref="H282:H285"/>
    <mergeCell ref="W282:W285"/>
    <mergeCell ref="X282:X285"/>
    <mergeCell ref="Y282:Y285"/>
    <mergeCell ref="A286:A289"/>
    <mergeCell ref="B286:B289"/>
    <mergeCell ref="C286:C289"/>
    <mergeCell ref="D286:D289"/>
    <mergeCell ref="E286:E289"/>
    <mergeCell ref="F286:F289"/>
    <mergeCell ref="G286:G289"/>
    <mergeCell ref="H286:H289"/>
    <mergeCell ref="W286:W289"/>
    <mergeCell ref="X286:X289"/>
    <mergeCell ref="Y286:Y289"/>
    <mergeCell ref="A290:A293"/>
    <mergeCell ref="B290:B293"/>
    <mergeCell ref="C290:C293"/>
    <mergeCell ref="D290:D293"/>
    <mergeCell ref="E290:E293"/>
    <mergeCell ref="F290:F293"/>
    <mergeCell ref="G290:G293"/>
    <mergeCell ref="H290:H293"/>
    <mergeCell ref="W290:W293"/>
    <mergeCell ref="X290:X293"/>
    <mergeCell ref="Y290:Y293"/>
    <mergeCell ref="A294:A297"/>
    <mergeCell ref="B294:B297"/>
    <mergeCell ref="C294:C297"/>
    <mergeCell ref="D294:D297"/>
    <mergeCell ref="E294:E297"/>
    <mergeCell ref="F294:F297"/>
    <mergeCell ref="G294:G297"/>
    <mergeCell ref="H294:H297"/>
    <mergeCell ref="W294:W297"/>
    <mergeCell ref="X294:X297"/>
    <mergeCell ref="Y294:Y297"/>
    <mergeCell ref="A298:A301"/>
    <mergeCell ref="B298:B301"/>
    <mergeCell ref="C298:C301"/>
    <mergeCell ref="D298:D301"/>
    <mergeCell ref="E298:E301"/>
    <mergeCell ref="F298:F301"/>
    <mergeCell ref="G298:G301"/>
    <mergeCell ref="H298:H301"/>
    <mergeCell ref="W298:W301"/>
    <mergeCell ref="X298:X301"/>
    <mergeCell ref="Y298:Y301"/>
    <mergeCell ref="A302:A305"/>
    <mergeCell ref="B302:B305"/>
    <mergeCell ref="C302:C305"/>
    <mergeCell ref="D302:D305"/>
    <mergeCell ref="E302:E305"/>
    <mergeCell ref="F302:F305"/>
    <mergeCell ref="G302:G305"/>
    <mergeCell ref="H302:H305"/>
    <mergeCell ref="W302:W305"/>
    <mergeCell ref="X302:X305"/>
    <mergeCell ref="Y302:Y305"/>
    <mergeCell ref="A306:A309"/>
    <mergeCell ref="B306:B309"/>
    <mergeCell ref="C306:C309"/>
    <mergeCell ref="D306:D309"/>
    <mergeCell ref="E306:E309"/>
    <mergeCell ref="F306:F309"/>
    <mergeCell ref="G306:G309"/>
    <mergeCell ref="H306:H309"/>
    <mergeCell ref="W306:W309"/>
    <mergeCell ref="X306:X309"/>
    <mergeCell ref="Y306:Y309"/>
    <mergeCell ref="A310:A313"/>
    <mergeCell ref="B310:B313"/>
    <mergeCell ref="C310:C313"/>
    <mergeCell ref="D310:D313"/>
    <mergeCell ref="E310:E313"/>
    <mergeCell ref="F310:F313"/>
    <mergeCell ref="G310:G313"/>
    <mergeCell ref="H310:H313"/>
    <mergeCell ref="W310:W313"/>
    <mergeCell ref="X310:X313"/>
    <mergeCell ref="Y310:Y313"/>
    <mergeCell ref="A314:A317"/>
    <mergeCell ref="B314:B317"/>
    <mergeCell ref="C314:C317"/>
    <mergeCell ref="D314:D317"/>
    <mergeCell ref="E314:E317"/>
    <mergeCell ref="F314:F317"/>
    <mergeCell ref="G314:G317"/>
    <mergeCell ref="H314:H317"/>
    <mergeCell ref="W314:W317"/>
    <mergeCell ref="X314:X317"/>
    <mergeCell ref="Y314:Y317"/>
    <mergeCell ref="A318:A321"/>
    <mergeCell ref="B318:B321"/>
    <mergeCell ref="C318:C321"/>
    <mergeCell ref="D318:D321"/>
    <mergeCell ref="E318:E321"/>
    <mergeCell ref="F318:F321"/>
    <mergeCell ref="G318:G321"/>
    <mergeCell ref="H318:H321"/>
    <mergeCell ref="W318:W321"/>
    <mergeCell ref="X318:X321"/>
    <mergeCell ref="Y318:Y321"/>
    <mergeCell ref="A322:A325"/>
    <mergeCell ref="B322:B325"/>
    <mergeCell ref="C322:C325"/>
    <mergeCell ref="D322:D325"/>
    <mergeCell ref="E322:E325"/>
    <mergeCell ref="F322:F325"/>
    <mergeCell ref="G322:G325"/>
    <mergeCell ref="H322:H325"/>
    <mergeCell ref="W322:W325"/>
    <mergeCell ref="X322:X325"/>
    <mergeCell ref="Y322:Y325"/>
    <mergeCell ref="A326:A329"/>
    <mergeCell ref="B326:B329"/>
    <mergeCell ref="C326:C329"/>
    <mergeCell ref="D326:D329"/>
    <mergeCell ref="E326:E329"/>
    <mergeCell ref="F326:F329"/>
    <mergeCell ref="G326:G329"/>
    <mergeCell ref="H326:H329"/>
    <mergeCell ref="W326:W329"/>
    <mergeCell ref="X326:X329"/>
    <mergeCell ref="Y326:Y329"/>
    <mergeCell ref="A330:A333"/>
    <mergeCell ref="B330:B333"/>
    <mergeCell ref="C330:C333"/>
    <mergeCell ref="D330:D333"/>
    <mergeCell ref="E330:E333"/>
    <mergeCell ref="F330:F333"/>
    <mergeCell ref="G330:G333"/>
    <mergeCell ref="H330:H333"/>
    <mergeCell ref="W330:W333"/>
    <mergeCell ref="X330:X333"/>
    <mergeCell ref="Y330:Y333"/>
    <mergeCell ref="A334:A337"/>
    <mergeCell ref="B334:B337"/>
    <mergeCell ref="C334:C337"/>
    <mergeCell ref="D334:D337"/>
    <mergeCell ref="E334:E337"/>
    <mergeCell ref="F334:F337"/>
    <mergeCell ref="G334:G337"/>
    <mergeCell ref="H334:H337"/>
    <mergeCell ref="W334:W337"/>
    <mergeCell ref="X334:X337"/>
    <mergeCell ref="Y334:Y337"/>
    <mergeCell ref="A338:A341"/>
    <mergeCell ref="B338:B341"/>
    <mergeCell ref="C338:C341"/>
    <mergeCell ref="D338:D341"/>
    <mergeCell ref="E338:E341"/>
    <mergeCell ref="F338:F341"/>
    <mergeCell ref="G338:G341"/>
    <mergeCell ref="H338:H341"/>
    <mergeCell ref="W338:W341"/>
    <mergeCell ref="X338:X341"/>
    <mergeCell ref="Y338:Y341"/>
    <mergeCell ref="A342:A345"/>
    <mergeCell ref="B342:B345"/>
    <mergeCell ref="C342:C345"/>
    <mergeCell ref="D342:D345"/>
    <mergeCell ref="E342:E345"/>
    <mergeCell ref="F342:F345"/>
    <mergeCell ref="G342:G345"/>
    <mergeCell ref="H342:H345"/>
    <mergeCell ref="W342:W345"/>
    <mergeCell ref="X342:X345"/>
    <mergeCell ref="Y342:Y345"/>
    <mergeCell ref="A346:A349"/>
    <mergeCell ref="B346:B349"/>
    <mergeCell ref="C346:C349"/>
    <mergeCell ref="D346:D349"/>
    <mergeCell ref="E346:E349"/>
    <mergeCell ref="F346:F349"/>
    <mergeCell ref="G346:G349"/>
    <mergeCell ref="H346:H349"/>
    <mergeCell ref="W346:W349"/>
    <mergeCell ref="X346:X349"/>
    <mergeCell ref="Y346:Y349"/>
    <mergeCell ref="A350:A353"/>
    <mergeCell ref="B350:B353"/>
    <mergeCell ref="C350:C353"/>
    <mergeCell ref="D350:D353"/>
    <mergeCell ref="E350:E353"/>
    <mergeCell ref="F350:F353"/>
    <mergeCell ref="G350:G353"/>
    <mergeCell ref="H350:H353"/>
    <mergeCell ref="W350:W353"/>
    <mergeCell ref="X350:X353"/>
    <mergeCell ref="Y350:Y353"/>
    <mergeCell ref="A354:A357"/>
    <mergeCell ref="B354:B357"/>
    <mergeCell ref="C354:C357"/>
    <mergeCell ref="D354:D357"/>
    <mergeCell ref="E354:E357"/>
    <mergeCell ref="F354:F357"/>
    <mergeCell ref="G354:G357"/>
    <mergeCell ref="H354:H357"/>
    <mergeCell ref="W354:W357"/>
    <mergeCell ref="X354:X357"/>
    <mergeCell ref="Y354:Y357"/>
    <mergeCell ref="A358:A361"/>
    <mergeCell ref="B358:B361"/>
    <mergeCell ref="C358:C361"/>
    <mergeCell ref="D358:D361"/>
    <mergeCell ref="E358:E361"/>
    <mergeCell ref="F358:F361"/>
    <mergeCell ref="G358:G361"/>
    <mergeCell ref="H358:H361"/>
    <mergeCell ref="W358:W361"/>
    <mergeCell ref="X358:X361"/>
    <mergeCell ref="Y358:Y361"/>
    <mergeCell ref="A362:A365"/>
    <mergeCell ref="B362:B365"/>
    <mergeCell ref="C362:C365"/>
    <mergeCell ref="D362:D365"/>
    <mergeCell ref="E362:E365"/>
    <mergeCell ref="F362:F365"/>
    <mergeCell ref="G362:G365"/>
    <mergeCell ref="H362:H365"/>
    <mergeCell ref="W362:W365"/>
    <mergeCell ref="X362:X365"/>
    <mergeCell ref="Y362:Y365"/>
    <mergeCell ref="A366:A369"/>
    <mergeCell ref="B366:B369"/>
    <mergeCell ref="C366:C369"/>
    <mergeCell ref="D366:D369"/>
    <mergeCell ref="E366:E369"/>
    <mergeCell ref="F366:F369"/>
    <mergeCell ref="G366:G369"/>
    <mergeCell ref="H366:H369"/>
    <mergeCell ref="W366:W369"/>
    <mergeCell ref="X366:X369"/>
    <mergeCell ref="Y366:Y369"/>
    <mergeCell ref="A370:A373"/>
    <mergeCell ref="B370:B373"/>
    <mergeCell ref="C370:C373"/>
    <mergeCell ref="D370:D373"/>
    <mergeCell ref="E370:E373"/>
    <mergeCell ref="F370:F373"/>
    <mergeCell ref="G370:G373"/>
    <mergeCell ref="H370:H373"/>
    <mergeCell ref="W370:W373"/>
    <mergeCell ref="X370:X373"/>
    <mergeCell ref="Y370:Y373"/>
    <mergeCell ref="A374:A377"/>
    <mergeCell ref="B374:B377"/>
    <mergeCell ref="C374:C377"/>
    <mergeCell ref="D374:D377"/>
    <mergeCell ref="E374:E377"/>
    <mergeCell ref="F374:F377"/>
    <mergeCell ref="G374:G377"/>
    <mergeCell ref="H374:H377"/>
    <mergeCell ref="W374:W377"/>
    <mergeCell ref="X374:X377"/>
    <mergeCell ref="Y374:Y377"/>
    <mergeCell ref="A378:A381"/>
    <mergeCell ref="B378:B381"/>
    <mergeCell ref="C378:C381"/>
    <mergeCell ref="D378:D381"/>
    <mergeCell ref="E378:E381"/>
    <mergeCell ref="F378:F381"/>
    <mergeCell ref="G378:G381"/>
    <mergeCell ref="H378:H381"/>
    <mergeCell ref="W378:W381"/>
    <mergeCell ref="X378:X381"/>
    <mergeCell ref="Y378:Y381"/>
    <mergeCell ref="A382:A385"/>
    <mergeCell ref="B382:B385"/>
    <mergeCell ref="C382:C385"/>
    <mergeCell ref="D382:D385"/>
    <mergeCell ref="E382:E385"/>
    <mergeCell ref="F382:F385"/>
    <mergeCell ref="G382:G385"/>
    <mergeCell ref="H382:H385"/>
    <mergeCell ref="W382:W385"/>
    <mergeCell ref="X382:X385"/>
    <mergeCell ref="Y382:Y385"/>
    <mergeCell ref="A386:A389"/>
    <mergeCell ref="B386:B389"/>
    <mergeCell ref="C386:C389"/>
    <mergeCell ref="D386:D389"/>
    <mergeCell ref="E386:E389"/>
    <mergeCell ref="F386:F389"/>
    <mergeCell ref="G386:G389"/>
    <mergeCell ref="H386:H389"/>
    <mergeCell ref="W386:W389"/>
    <mergeCell ref="X386:X389"/>
    <mergeCell ref="Y386:Y389"/>
    <mergeCell ref="A390:A393"/>
    <mergeCell ref="B390:B393"/>
    <mergeCell ref="C390:C393"/>
    <mergeCell ref="D390:D393"/>
    <mergeCell ref="E390:E393"/>
    <mergeCell ref="F390:F393"/>
    <mergeCell ref="G390:G393"/>
    <mergeCell ref="H390:H393"/>
    <mergeCell ref="W390:W393"/>
    <mergeCell ref="X390:X393"/>
    <mergeCell ref="Y390:Y393"/>
    <mergeCell ref="A394:A397"/>
    <mergeCell ref="B394:B397"/>
    <mergeCell ref="C394:C397"/>
    <mergeCell ref="D394:D397"/>
    <mergeCell ref="E394:E397"/>
    <mergeCell ref="F394:F397"/>
    <mergeCell ref="G394:G397"/>
    <mergeCell ref="H394:H397"/>
    <mergeCell ref="W394:W397"/>
    <mergeCell ref="X394:X397"/>
    <mergeCell ref="Y394:Y397"/>
    <mergeCell ref="A398:A401"/>
    <mergeCell ref="B398:B401"/>
    <mergeCell ref="C398:C401"/>
    <mergeCell ref="D398:D401"/>
    <mergeCell ref="E398:E401"/>
    <mergeCell ref="F398:F401"/>
    <mergeCell ref="G398:G401"/>
    <mergeCell ref="H398:H401"/>
    <mergeCell ref="W398:W401"/>
    <mergeCell ref="X398:X401"/>
    <mergeCell ref="Y398:Y401"/>
    <mergeCell ref="A402:A405"/>
    <mergeCell ref="B402:B405"/>
    <mergeCell ref="C402:C405"/>
    <mergeCell ref="D402:D405"/>
    <mergeCell ref="E402:E405"/>
    <mergeCell ref="F402:F405"/>
    <mergeCell ref="G402:G405"/>
    <mergeCell ref="H402:H405"/>
    <mergeCell ref="W402:W405"/>
    <mergeCell ref="X402:X405"/>
    <mergeCell ref="Y402:Y405"/>
    <mergeCell ref="A406:A409"/>
    <mergeCell ref="B406:B409"/>
    <mergeCell ref="C406:C409"/>
    <mergeCell ref="D406:D409"/>
    <mergeCell ref="E406:E409"/>
    <mergeCell ref="F406:F409"/>
    <mergeCell ref="G406:G409"/>
    <mergeCell ref="H406:H409"/>
    <mergeCell ref="W406:W409"/>
    <mergeCell ref="X406:X409"/>
    <mergeCell ref="Y406:Y409"/>
    <mergeCell ref="A410:A413"/>
    <mergeCell ref="B410:B413"/>
    <mergeCell ref="C410:C413"/>
    <mergeCell ref="D410:D413"/>
    <mergeCell ref="E410:E413"/>
    <mergeCell ref="F410:F413"/>
    <mergeCell ref="G410:G413"/>
    <mergeCell ref="H410:H413"/>
    <mergeCell ref="W410:W413"/>
    <mergeCell ref="X410:X413"/>
    <mergeCell ref="Y410:Y413"/>
    <mergeCell ref="A414:A417"/>
    <mergeCell ref="B414:B417"/>
    <mergeCell ref="C414:C417"/>
    <mergeCell ref="D414:D417"/>
    <mergeCell ref="E414:E417"/>
    <mergeCell ref="F414:F417"/>
    <mergeCell ref="G414:G417"/>
    <mergeCell ref="H414:H417"/>
    <mergeCell ref="W414:W417"/>
    <mergeCell ref="X414:X417"/>
    <mergeCell ref="Y414:Y417"/>
    <mergeCell ref="A418:A421"/>
    <mergeCell ref="B418:B421"/>
    <mergeCell ref="C418:C421"/>
    <mergeCell ref="D418:D421"/>
    <mergeCell ref="E418:E421"/>
    <mergeCell ref="F418:F421"/>
    <mergeCell ref="G418:G421"/>
    <mergeCell ref="H418:H421"/>
    <mergeCell ref="W418:W421"/>
    <mergeCell ref="X418:X421"/>
    <mergeCell ref="Y418:Y421"/>
    <mergeCell ref="A422:A425"/>
    <mergeCell ref="B422:B425"/>
    <mergeCell ref="C422:C425"/>
    <mergeCell ref="D422:D425"/>
    <mergeCell ref="E422:E425"/>
    <mergeCell ref="F422:F425"/>
    <mergeCell ref="G422:G425"/>
    <mergeCell ref="H422:H425"/>
    <mergeCell ref="W422:W425"/>
    <mergeCell ref="X422:X425"/>
    <mergeCell ref="Y422:Y425"/>
    <mergeCell ref="A426:A429"/>
    <mergeCell ref="B426:B429"/>
    <mergeCell ref="C426:C429"/>
    <mergeCell ref="D426:D429"/>
    <mergeCell ref="E426:E429"/>
    <mergeCell ref="F426:F429"/>
    <mergeCell ref="G426:G429"/>
    <mergeCell ref="H426:H429"/>
    <mergeCell ref="W426:W429"/>
    <mergeCell ref="X426:X429"/>
    <mergeCell ref="Y426:Y429"/>
    <mergeCell ref="A430:A433"/>
    <mergeCell ref="B430:B433"/>
    <mergeCell ref="C430:C433"/>
    <mergeCell ref="D430:D433"/>
    <mergeCell ref="E430:E433"/>
    <mergeCell ref="F430:F433"/>
    <mergeCell ref="G430:G433"/>
    <mergeCell ref="H430:H433"/>
    <mergeCell ref="W430:W433"/>
    <mergeCell ref="X430:X433"/>
    <mergeCell ref="Y430:Y433"/>
    <mergeCell ref="A434:A437"/>
    <mergeCell ref="B434:B437"/>
    <mergeCell ref="C434:C437"/>
    <mergeCell ref="D434:D437"/>
    <mergeCell ref="E434:E437"/>
    <mergeCell ref="F434:F437"/>
    <mergeCell ref="G434:G437"/>
    <mergeCell ref="H434:H437"/>
    <mergeCell ref="W434:W437"/>
    <mergeCell ref="X434:X437"/>
    <mergeCell ref="Y434:Y437"/>
    <mergeCell ref="A438:A441"/>
    <mergeCell ref="B438:B441"/>
    <mergeCell ref="C438:C441"/>
    <mergeCell ref="D438:D441"/>
    <mergeCell ref="E438:E441"/>
    <mergeCell ref="F438:F441"/>
    <mergeCell ref="G438:G441"/>
    <mergeCell ref="H438:H441"/>
    <mergeCell ref="W438:W441"/>
    <mergeCell ref="X438:X441"/>
    <mergeCell ref="Y438:Y441"/>
    <mergeCell ref="A442:A445"/>
    <mergeCell ref="B442:B445"/>
    <mergeCell ref="C442:C445"/>
    <mergeCell ref="D442:D445"/>
    <mergeCell ref="E442:E445"/>
    <mergeCell ref="F442:F445"/>
    <mergeCell ref="G442:G445"/>
    <mergeCell ref="H442:H445"/>
    <mergeCell ref="W442:W445"/>
    <mergeCell ref="X442:X445"/>
    <mergeCell ref="Y442:Y445"/>
    <mergeCell ref="A446:A449"/>
    <mergeCell ref="B446:B449"/>
    <mergeCell ref="C446:C449"/>
    <mergeCell ref="D446:D449"/>
    <mergeCell ref="E446:E449"/>
    <mergeCell ref="F446:F449"/>
    <mergeCell ref="G446:G449"/>
    <mergeCell ref="H446:H449"/>
    <mergeCell ref="W446:W449"/>
    <mergeCell ref="X446:X449"/>
    <mergeCell ref="Y446:Y449"/>
    <mergeCell ref="A450:A453"/>
    <mergeCell ref="B450:B453"/>
    <mergeCell ref="C450:C453"/>
    <mergeCell ref="D450:D453"/>
    <mergeCell ref="E450:E453"/>
    <mergeCell ref="F450:F453"/>
    <mergeCell ref="G450:G453"/>
    <mergeCell ref="H450:H453"/>
    <mergeCell ref="W450:W453"/>
    <mergeCell ref="X450:X453"/>
    <mergeCell ref="Y450:Y453"/>
    <mergeCell ref="A454:A457"/>
    <mergeCell ref="B454:B457"/>
    <mergeCell ref="C454:C457"/>
    <mergeCell ref="D454:D457"/>
    <mergeCell ref="E454:E457"/>
    <mergeCell ref="F454:F457"/>
    <mergeCell ref="G454:G457"/>
    <mergeCell ref="H454:H457"/>
    <mergeCell ref="W454:W457"/>
    <mergeCell ref="X454:X457"/>
    <mergeCell ref="Y454:Y457"/>
    <mergeCell ref="A458:A461"/>
    <mergeCell ref="B458:B461"/>
    <mergeCell ref="C458:C461"/>
    <mergeCell ref="D458:D461"/>
    <mergeCell ref="E458:E461"/>
    <mergeCell ref="F458:F461"/>
    <mergeCell ref="G458:G461"/>
    <mergeCell ref="H458:H461"/>
    <mergeCell ref="W458:W461"/>
    <mergeCell ref="X458:X461"/>
    <mergeCell ref="Y458:Y461"/>
    <mergeCell ref="A462:A465"/>
    <mergeCell ref="B462:B465"/>
    <mergeCell ref="C462:C465"/>
    <mergeCell ref="D462:D465"/>
    <mergeCell ref="E462:E465"/>
    <mergeCell ref="F462:F465"/>
    <mergeCell ref="G462:G465"/>
    <mergeCell ref="H462:H465"/>
    <mergeCell ref="W462:W465"/>
    <mergeCell ref="X462:X465"/>
    <mergeCell ref="Y462:Y465"/>
    <mergeCell ref="A466:A469"/>
    <mergeCell ref="B466:B469"/>
    <mergeCell ref="C466:C469"/>
    <mergeCell ref="D466:D469"/>
    <mergeCell ref="E466:E469"/>
    <mergeCell ref="F466:F469"/>
    <mergeCell ref="G466:G469"/>
    <mergeCell ref="H466:H469"/>
    <mergeCell ref="W466:W469"/>
    <mergeCell ref="X466:X469"/>
    <mergeCell ref="Y466:Y469"/>
    <mergeCell ref="A470:A473"/>
    <mergeCell ref="B470:B473"/>
    <mergeCell ref="C470:C473"/>
    <mergeCell ref="D470:D473"/>
    <mergeCell ref="E470:E473"/>
    <mergeCell ref="F470:F473"/>
    <mergeCell ref="G470:G473"/>
    <mergeCell ref="H470:H473"/>
    <mergeCell ref="W470:W473"/>
    <mergeCell ref="X470:X473"/>
    <mergeCell ref="Y470:Y473"/>
    <mergeCell ref="A474:A477"/>
    <mergeCell ref="B474:B477"/>
    <mergeCell ref="C474:C477"/>
    <mergeCell ref="D474:D477"/>
    <mergeCell ref="E474:E477"/>
    <mergeCell ref="F474:F477"/>
    <mergeCell ref="G474:G477"/>
    <mergeCell ref="H474:H477"/>
    <mergeCell ref="W474:W477"/>
    <mergeCell ref="X474:X477"/>
    <mergeCell ref="Y474:Y477"/>
    <mergeCell ref="A478:A481"/>
    <mergeCell ref="B478:B481"/>
    <mergeCell ref="C478:C481"/>
    <mergeCell ref="D478:D481"/>
    <mergeCell ref="E478:E481"/>
    <mergeCell ref="F478:F481"/>
    <mergeCell ref="G478:G481"/>
    <mergeCell ref="H478:H481"/>
    <mergeCell ref="W478:W481"/>
    <mergeCell ref="X478:X481"/>
    <mergeCell ref="Y478:Y481"/>
    <mergeCell ref="A482:A485"/>
    <mergeCell ref="B482:B485"/>
    <mergeCell ref="C482:C485"/>
    <mergeCell ref="D482:D485"/>
    <mergeCell ref="E482:E485"/>
    <mergeCell ref="F482:F485"/>
    <mergeCell ref="G482:G485"/>
    <mergeCell ref="H482:H485"/>
    <mergeCell ref="W482:W485"/>
    <mergeCell ref="X482:X485"/>
    <mergeCell ref="Y482:Y485"/>
    <mergeCell ref="A486:A489"/>
    <mergeCell ref="B486:B489"/>
    <mergeCell ref="C486:C489"/>
    <mergeCell ref="D486:D489"/>
    <mergeCell ref="E486:E489"/>
    <mergeCell ref="F486:F489"/>
    <mergeCell ref="G486:G489"/>
    <mergeCell ref="H486:H489"/>
    <mergeCell ref="W486:W489"/>
    <mergeCell ref="X486:X489"/>
    <mergeCell ref="Y486:Y489"/>
    <mergeCell ref="A490:A493"/>
    <mergeCell ref="B490:B493"/>
    <mergeCell ref="C490:C493"/>
    <mergeCell ref="D490:D493"/>
    <mergeCell ref="E490:E493"/>
    <mergeCell ref="F490:F493"/>
    <mergeCell ref="G490:G493"/>
    <mergeCell ref="H490:H493"/>
    <mergeCell ref="W490:W493"/>
    <mergeCell ref="X490:X493"/>
    <mergeCell ref="Y490:Y493"/>
    <mergeCell ref="A494:A497"/>
    <mergeCell ref="B494:B497"/>
    <mergeCell ref="C494:C497"/>
    <mergeCell ref="D494:D497"/>
    <mergeCell ref="E494:E497"/>
    <mergeCell ref="F494:F497"/>
    <mergeCell ref="G494:G497"/>
    <mergeCell ref="H494:H497"/>
    <mergeCell ref="W494:W497"/>
    <mergeCell ref="X494:X497"/>
    <mergeCell ref="Y494:Y497"/>
    <mergeCell ref="A498:A501"/>
    <mergeCell ref="B498:B501"/>
    <mergeCell ref="C498:C501"/>
    <mergeCell ref="D498:D501"/>
    <mergeCell ref="E498:E501"/>
    <mergeCell ref="F498:F501"/>
    <mergeCell ref="G498:G501"/>
    <mergeCell ref="H498:H501"/>
    <mergeCell ref="W498:W501"/>
    <mergeCell ref="X498:X501"/>
    <mergeCell ref="Y498:Y501"/>
    <mergeCell ref="A502:A505"/>
    <mergeCell ref="B502:B505"/>
    <mergeCell ref="C502:C505"/>
    <mergeCell ref="D502:D505"/>
    <mergeCell ref="E502:E505"/>
    <mergeCell ref="F502:F505"/>
    <mergeCell ref="G502:G505"/>
    <mergeCell ref="H502:H505"/>
    <mergeCell ref="W502:W505"/>
    <mergeCell ref="X502:X505"/>
    <mergeCell ref="Y502:Y505"/>
    <mergeCell ref="A506:A509"/>
    <mergeCell ref="B506:B509"/>
    <mergeCell ref="C506:C509"/>
    <mergeCell ref="D506:D509"/>
    <mergeCell ref="E506:E509"/>
    <mergeCell ref="F506:F509"/>
    <mergeCell ref="G506:G509"/>
    <mergeCell ref="H506:H509"/>
    <mergeCell ref="W506:W509"/>
    <mergeCell ref="X506:X509"/>
    <mergeCell ref="Y506:Y509"/>
    <mergeCell ref="A510:A513"/>
    <mergeCell ref="B510:B513"/>
    <mergeCell ref="C510:C513"/>
    <mergeCell ref="D510:D513"/>
    <mergeCell ref="E510:E513"/>
    <mergeCell ref="F510:F513"/>
    <mergeCell ref="G510:G513"/>
    <mergeCell ref="H510:H513"/>
    <mergeCell ref="W510:W513"/>
    <mergeCell ref="X510:X513"/>
    <mergeCell ref="Y510:Y513"/>
    <mergeCell ref="A514:A517"/>
    <mergeCell ref="B514:B517"/>
    <mergeCell ref="C514:C517"/>
    <mergeCell ref="D514:D517"/>
    <mergeCell ref="E514:E517"/>
    <mergeCell ref="F514:F517"/>
    <mergeCell ref="G514:G517"/>
    <mergeCell ref="H514:H517"/>
    <mergeCell ref="W514:W517"/>
    <mergeCell ref="X514:X517"/>
    <mergeCell ref="Y514:Y517"/>
    <mergeCell ref="A518:A521"/>
    <mergeCell ref="B518:B521"/>
    <mergeCell ref="C518:C521"/>
    <mergeCell ref="D518:D521"/>
    <mergeCell ref="E518:E521"/>
    <mergeCell ref="F518:F521"/>
    <mergeCell ref="G518:G521"/>
    <mergeCell ref="H518:H521"/>
    <mergeCell ref="W518:W521"/>
    <mergeCell ref="X518:X521"/>
    <mergeCell ref="Y518:Y521"/>
    <mergeCell ref="A522:A525"/>
    <mergeCell ref="B522:B525"/>
    <mergeCell ref="C522:C525"/>
    <mergeCell ref="D522:D525"/>
    <mergeCell ref="E522:E525"/>
    <mergeCell ref="F522:F525"/>
    <mergeCell ref="G522:G525"/>
    <mergeCell ref="H522:H525"/>
    <mergeCell ref="W522:W525"/>
    <mergeCell ref="X522:X525"/>
    <mergeCell ref="Y522:Y525"/>
    <mergeCell ref="A526:A529"/>
    <mergeCell ref="B526:B529"/>
    <mergeCell ref="C526:C529"/>
    <mergeCell ref="D526:D529"/>
    <mergeCell ref="E526:E529"/>
    <mergeCell ref="F526:F529"/>
    <mergeCell ref="G526:G529"/>
    <mergeCell ref="H526:H529"/>
    <mergeCell ref="W526:W529"/>
    <mergeCell ref="X526:X529"/>
    <mergeCell ref="Y526:Y529"/>
    <mergeCell ref="A530:A533"/>
    <mergeCell ref="B530:B533"/>
    <mergeCell ref="C530:C533"/>
    <mergeCell ref="D530:D533"/>
    <mergeCell ref="E530:E533"/>
    <mergeCell ref="F530:F533"/>
    <mergeCell ref="G530:G533"/>
    <mergeCell ref="H530:H533"/>
    <mergeCell ref="W530:W533"/>
    <mergeCell ref="X530:X533"/>
    <mergeCell ref="Y530:Y533"/>
    <mergeCell ref="A534:A537"/>
    <mergeCell ref="B534:B537"/>
    <mergeCell ref="C534:C537"/>
    <mergeCell ref="D534:D537"/>
    <mergeCell ref="E534:E537"/>
    <mergeCell ref="F534:F537"/>
    <mergeCell ref="G534:G537"/>
    <mergeCell ref="H534:H537"/>
    <mergeCell ref="W534:W537"/>
    <mergeCell ref="X534:X537"/>
    <mergeCell ref="Y534:Y537"/>
    <mergeCell ref="A538:A541"/>
    <mergeCell ref="B538:B541"/>
    <mergeCell ref="C538:C541"/>
    <mergeCell ref="D538:D541"/>
    <mergeCell ref="E538:E541"/>
    <mergeCell ref="F538:F541"/>
    <mergeCell ref="G538:G541"/>
    <mergeCell ref="H538:H541"/>
    <mergeCell ref="W538:W541"/>
    <mergeCell ref="X538:X541"/>
    <mergeCell ref="Y538:Y541"/>
    <mergeCell ref="A542:A545"/>
    <mergeCell ref="B542:B545"/>
    <mergeCell ref="C542:C545"/>
    <mergeCell ref="D542:D545"/>
    <mergeCell ref="E542:E545"/>
    <mergeCell ref="F542:F545"/>
    <mergeCell ref="G542:G545"/>
    <mergeCell ref="H542:H545"/>
    <mergeCell ref="W542:W545"/>
    <mergeCell ref="X542:X545"/>
    <mergeCell ref="Y542:Y545"/>
    <mergeCell ref="A546:A549"/>
    <mergeCell ref="B546:B549"/>
    <mergeCell ref="C546:C549"/>
    <mergeCell ref="D546:D549"/>
    <mergeCell ref="E546:E549"/>
    <mergeCell ref="F546:F549"/>
    <mergeCell ref="G546:G549"/>
    <mergeCell ref="H546:H549"/>
    <mergeCell ref="W546:W549"/>
    <mergeCell ref="X546:X549"/>
    <mergeCell ref="Y546:Y549"/>
    <mergeCell ref="A550:A553"/>
    <mergeCell ref="B550:B553"/>
    <mergeCell ref="C550:C553"/>
    <mergeCell ref="D550:D553"/>
    <mergeCell ref="E550:E553"/>
    <mergeCell ref="F550:F553"/>
    <mergeCell ref="G550:G553"/>
    <mergeCell ref="H550:H553"/>
    <mergeCell ref="W550:W553"/>
    <mergeCell ref="X550:X553"/>
    <mergeCell ref="Y550:Y553"/>
    <mergeCell ref="A554:A557"/>
    <mergeCell ref="B554:B557"/>
    <mergeCell ref="C554:C557"/>
    <mergeCell ref="D554:D557"/>
    <mergeCell ref="E554:E557"/>
    <mergeCell ref="F554:F557"/>
    <mergeCell ref="G554:G557"/>
    <mergeCell ref="H554:H557"/>
    <mergeCell ref="W554:W557"/>
    <mergeCell ref="X554:X557"/>
    <mergeCell ref="Y554:Y557"/>
    <mergeCell ref="A558:A561"/>
    <mergeCell ref="B558:B561"/>
    <mergeCell ref="C558:C561"/>
    <mergeCell ref="D558:D561"/>
    <mergeCell ref="E558:E561"/>
    <mergeCell ref="F558:F561"/>
    <mergeCell ref="G558:G561"/>
    <mergeCell ref="H558:H561"/>
    <mergeCell ref="W558:W561"/>
    <mergeCell ref="X558:X561"/>
    <mergeCell ref="Y558:Y561"/>
    <mergeCell ref="A562:A565"/>
    <mergeCell ref="B562:B565"/>
    <mergeCell ref="C562:C565"/>
    <mergeCell ref="D562:D565"/>
    <mergeCell ref="E562:E565"/>
    <mergeCell ref="F562:F565"/>
    <mergeCell ref="G562:G565"/>
    <mergeCell ref="H562:H565"/>
    <mergeCell ref="W562:W565"/>
    <mergeCell ref="X562:X565"/>
    <mergeCell ref="Y562:Y565"/>
    <mergeCell ref="A566:A569"/>
    <mergeCell ref="B566:B569"/>
    <mergeCell ref="C566:C569"/>
    <mergeCell ref="D566:D569"/>
    <mergeCell ref="E566:E569"/>
    <mergeCell ref="F566:F569"/>
    <mergeCell ref="G566:G569"/>
    <mergeCell ref="H566:H569"/>
    <mergeCell ref="W566:W569"/>
    <mergeCell ref="X566:X569"/>
    <mergeCell ref="Y566:Y569"/>
    <mergeCell ref="A570:A573"/>
    <mergeCell ref="B570:B573"/>
    <mergeCell ref="C570:C573"/>
    <mergeCell ref="D570:D573"/>
    <mergeCell ref="E570:E573"/>
    <mergeCell ref="F570:F573"/>
    <mergeCell ref="G570:G573"/>
    <mergeCell ref="H570:H573"/>
    <mergeCell ref="W570:W573"/>
    <mergeCell ref="X570:X573"/>
    <mergeCell ref="Y570:Y573"/>
    <mergeCell ref="A574:A577"/>
    <mergeCell ref="B574:B577"/>
    <mergeCell ref="C574:C577"/>
    <mergeCell ref="D574:D577"/>
    <mergeCell ref="E574:E577"/>
    <mergeCell ref="F574:F577"/>
    <mergeCell ref="G574:G577"/>
    <mergeCell ref="H574:H577"/>
    <mergeCell ref="W574:W577"/>
    <mergeCell ref="X574:X577"/>
    <mergeCell ref="Y574:Y577"/>
    <mergeCell ref="A578:A581"/>
    <mergeCell ref="B578:B581"/>
    <mergeCell ref="C578:C581"/>
    <mergeCell ref="D578:D581"/>
    <mergeCell ref="E578:E581"/>
    <mergeCell ref="F578:F581"/>
    <mergeCell ref="G578:G581"/>
    <mergeCell ref="H578:H581"/>
    <mergeCell ref="W578:W581"/>
    <mergeCell ref="X578:X581"/>
    <mergeCell ref="Y578:Y581"/>
    <mergeCell ref="A582:A585"/>
    <mergeCell ref="B582:B585"/>
    <mergeCell ref="C582:C585"/>
    <mergeCell ref="D582:D585"/>
    <mergeCell ref="E582:E585"/>
    <mergeCell ref="F582:F585"/>
    <mergeCell ref="G582:G585"/>
    <mergeCell ref="H582:H585"/>
    <mergeCell ref="W582:W585"/>
    <mergeCell ref="X582:X585"/>
    <mergeCell ref="Y582:Y585"/>
    <mergeCell ref="A586:A589"/>
    <mergeCell ref="B586:B589"/>
    <mergeCell ref="C586:C589"/>
    <mergeCell ref="D586:D589"/>
    <mergeCell ref="E586:E589"/>
    <mergeCell ref="F586:F589"/>
    <mergeCell ref="G586:G589"/>
    <mergeCell ref="H586:H589"/>
    <mergeCell ref="W586:W589"/>
    <mergeCell ref="X586:X589"/>
    <mergeCell ref="Y586:Y589"/>
    <mergeCell ref="A590:A593"/>
    <mergeCell ref="B590:B593"/>
    <mergeCell ref="C590:C593"/>
    <mergeCell ref="D590:D593"/>
    <mergeCell ref="E590:E593"/>
    <mergeCell ref="F590:F593"/>
    <mergeCell ref="G590:G593"/>
    <mergeCell ref="H590:H593"/>
    <mergeCell ref="W590:W593"/>
    <mergeCell ref="X590:X593"/>
    <mergeCell ref="Y590:Y593"/>
    <mergeCell ref="A594:A597"/>
    <mergeCell ref="B594:B597"/>
    <mergeCell ref="C594:C597"/>
    <mergeCell ref="D594:D597"/>
    <mergeCell ref="E594:E597"/>
    <mergeCell ref="F594:F597"/>
    <mergeCell ref="G594:G597"/>
    <mergeCell ref="H594:H597"/>
    <mergeCell ref="W594:W597"/>
    <mergeCell ref="X594:X597"/>
    <mergeCell ref="Y594:Y597"/>
    <mergeCell ref="A598:A601"/>
    <mergeCell ref="B598:B601"/>
    <mergeCell ref="C598:C601"/>
    <mergeCell ref="D598:D601"/>
    <mergeCell ref="E598:E601"/>
    <mergeCell ref="F598:F601"/>
    <mergeCell ref="G598:G601"/>
    <mergeCell ref="H598:H601"/>
    <mergeCell ref="W598:W601"/>
    <mergeCell ref="X598:X601"/>
    <mergeCell ref="Y598:Y601"/>
    <mergeCell ref="A602:A605"/>
    <mergeCell ref="B602:B605"/>
    <mergeCell ref="C602:C605"/>
    <mergeCell ref="D602:D605"/>
    <mergeCell ref="E602:E605"/>
    <mergeCell ref="F602:F605"/>
    <mergeCell ref="G602:G605"/>
    <mergeCell ref="H602:H605"/>
    <mergeCell ref="W602:W605"/>
    <mergeCell ref="X602:X605"/>
    <mergeCell ref="Y602:Y605"/>
    <mergeCell ref="A606:A609"/>
    <mergeCell ref="B606:B609"/>
    <mergeCell ref="C606:C609"/>
    <mergeCell ref="D606:D609"/>
    <mergeCell ref="E606:E609"/>
    <mergeCell ref="F606:F609"/>
    <mergeCell ref="G606:G609"/>
    <mergeCell ref="H606:H609"/>
    <mergeCell ref="W606:W609"/>
    <mergeCell ref="X606:X609"/>
    <mergeCell ref="Y606:Y609"/>
    <mergeCell ref="A610:A613"/>
    <mergeCell ref="B610:B613"/>
    <mergeCell ref="C610:C613"/>
    <mergeCell ref="D610:D613"/>
    <mergeCell ref="E610:E613"/>
    <mergeCell ref="F610:F613"/>
    <mergeCell ref="G610:G613"/>
    <mergeCell ref="H610:H613"/>
    <mergeCell ref="W610:W613"/>
    <mergeCell ref="X610:X613"/>
    <mergeCell ref="Y610:Y613"/>
    <mergeCell ref="A614:A617"/>
    <mergeCell ref="B614:B617"/>
    <mergeCell ref="C614:C617"/>
    <mergeCell ref="D614:D617"/>
    <mergeCell ref="E614:E617"/>
    <mergeCell ref="F614:F617"/>
    <mergeCell ref="G614:G617"/>
    <mergeCell ref="H614:H617"/>
    <mergeCell ref="W614:W617"/>
    <mergeCell ref="X614:X617"/>
    <mergeCell ref="Y614:Y617"/>
    <mergeCell ref="A618:A621"/>
    <mergeCell ref="B618:B621"/>
    <mergeCell ref="C618:C621"/>
    <mergeCell ref="D618:D621"/>
    <mergeCell ref="E618:E621"/>
    <mergeCell ref="F618:F621"/>
    <mergeCell ref="G618:G621"/>
    <mergeCell ref="H618:H621"/>
    <mergeCell ref="W618:W621"/>
    <mergeCell ref="X618:X621"/>
    <mergeCell ref="Y618:Y621"/>
    <mergeCell ref="A622:A625"/>
    <mergeCell ref="B622:B625"/>
    <mergeCell ref="C622:C625"/>
    <mergeCell ref="D622:D625"/>
    <mergeCell ref="E622:E625"/>
    <mergeCell ref="F622:F625"/>
    <mergeCell ref="G622:G625"/>
    <mergeCell ref="H622:H625"/>
    <mergeCell ref="W622:W625"/>
    <mergeCell ref="X622:X625"/>
    <mergeCell ref="Y622:Y625"/>
    <mergeCell ref="A626:A629"/>
    <mergeCell ref="B626:B629"/>
    <mergeCell ref="C626:C629"/>
    <mergeCell ref="D626:D629"/>
    <mergeCell ref="E626:E629"/>
    <mergeCell ref="F626:F629"/>
    <mergeCell ref="G626:G629"/>
    <mergeCell ref="H626:H629"/>
    <mergeCell ref="W626:W629"/>
    <mergeCell ref="X626:X629"/>
    <mergeCell ref="Y626:Y629"/>
    <mergeCell ref="A630:A633"/>
    <mergeCell ref="B630:B633"/>
    <mergeCell ref="C630:C633"/>
    <mergeCell ref="D630:D633"/>
    <mergeCell ref="E630:E633"/>
    <mergeCell ref="F630:F633"/>
    <mergeCell ref="G630:G633"/>
    <mergeCell ref="H630:H633"/>
    <mergeCell ref="W630:W633"/>
    <mergeCell ref="X630:X633"/>
    <mergeCell ref="Y630:Y633"/>
    <mergeCell ref="A634:A637"/>
    <mergeCell ref="B634:B637"/>
    <mergeCell ref="C634:C637"/>
    <mergeCell ref="D634:D637"/>
    <mergeCell ref="E634:E637"/>
    <mergeCell ref="F634:F637"/>
    <mergeCell ref="G634:G637"/>
    <mergeCell ref="H634:H637"/>
    <mergeCell ref="W634:W637"/>
    <mergeCell ref="X634:X637"/>
    <mergeCell ref="Y634:Y637"/>
    <mergeCell ref="A638:A641"/>
    <mergeCell ref="B638:B641"/>
    <mergeCell ref="C638:C641"/>
    <mergeCell ref="D638:D641"/>
    <mergeCell ref="E638:E641"/>
    <mergeCell ref="F638:F641"/>
    <mergeCell ref="G638:G641"/>
    <mergeCell ref="H638:H641"/>
    <mergeCell ref="W638:W641"/>
    <mergeCell ref="X638:X641"/>
    <mergeCell ref="Y638:Y641"/>
    <mergeCell ref="A642:A645"/>
    <mergeCell ref="B642:B645"/>
    <mergeCell ref="C642:C645"/>
    <mergeCell ref="D642:D645"/>
    <mergeCell ref="E642:E645"/>
    <mergeCell ref="F642:F645"/>
    <mergeCell ref="G642:G645"/>
    <mergeCell ref="H642:H645"/>
    <mergeCell ref="W642:W645"/>
    <mergeCell ref="X642:X645"/>
    <mergeCell ref="Y642:Y645"/>
    <mergeCell ref="A646:A649"/>
    <mergeCell ref="B646:B649"/>
    <mergeCell ref="C646:C649"/>
    <mergeCell ref="D646:D649"/>
    <mergeCell ref="E646:E649"/>
    <mergeCell ref="F646:F649"/>
    <mergeCell ref="G646:G649"/>
    <mergeCell ref="H646:H649"/>
    <mergeCell ref="W646:W649"/>
    <mergeCell ref="X646:X649"/>
    <mergeCell ref="Y646:Y649"/>
    <mergeCell ref="A650:A653"/>
    <mergeCell ref="B650:B653"/>
    <mergeCell ref="C650:C653"/>
    <mergeCell ref="D650:D653"/>
    <mergeCell ref="E650:E653"/>
    <mergeCell ref="F650:F653"/>
    <mergeCell ref="G650:G653"/>
    <mergeCell ref="H650:H653"/>
    <mergeCell ref="W650:W653"/>
    <mergeCell ref="X650:X653"/>
    <mergeCell ref="Y650:Y653"/>
    <mergeCell ref="A654:A657"/>
    <mergeCell ref="B654:B657"/>
    <mergeCell ref="C654:C657"/>
    <mergeCell ref="D654:D657"/>
    <mergeCell ref="E654:E657"/>
    <mergeCell ref="F654:F657"/>
    <mergeCell ref="G654:G657"/>
    <mergeCell ref="H654:H657"/>
    <mergeCell ref="W654:W657"/>
    <mergeCell ref="X654:X657"/>
    <mergeCell ref="Y654:Y657"/>
    <mergeCell ref="A658:A661"/>
    <mergeCell ref="B658:B661"/>
    <mergeCell ref="C658:C661"/>
    <mergeCell ref="D658:D661"/>
    <mergeCell ref="E658:E661"/>
    <mergeCell ref="F658:F661"/>
    <mergeCell ref="G658:G661"/>
    <mergeCell ref="H658:H661"/>
    <mergeCell ref="W658:W661"/>
    <mergeCell ref="X658:X661"/>
    <mergeCell ref="Y658:Y661"/>
    <mergeCell ref="A662:A665"/>
    <mergeCell ref="B662:B665"/>
    <mergeCell ref="C662:C665"/>
    <mergeCell ref="D662:D665"/>
    <mergeCell ref="E662:E665"/>
    <mergeCell ref="F662:F665"/>
    <mergeCell ref="G662:G665"/>
    <mergeCell ref="H662:H665"/>
    <mergeCell ref="W662:W665"/>
    <mergeCell ref="X662:X665"/>
    <mergeCell ref="Y662:Y665"/>
    <mergeCell ref="A666:A669"/>
    <mergeCell ref="B666:B669"/>
    <mergeCell ref="C666:C669"/>
    <mergeCell ref="D666:D669"/>
    <mergeCell ref="E666:E669"/>
    <mergeCell ref="F666:F669"/>
    <mergeCell ref="G666:G669"/>
    <mergeCell ref="H666:H669"/>
    <mergeCell ref="W666:W669"/>
    <mergeCell ref="X666:X669"/>
    <mergeCell ref="Y666:Y669"/>
    <mergeCell ref="A670:A673"/>
    <mergeCell ref="B670:B673"/>
    <mergeCell ref="C670:C673"/>
    <mergeCell ref="D670:D673"/>
    <mergeCell ref="E670:E673"/>
    <mergeCell ref="F670:F673"/>
    <mergeCell ref="G670:G673"/>
    <mergeCell ref="H670:H673"/>
    <mergeCell ref="W670:W673"/>
    <mergeCell ref="X670:X673"/>
    <mergeCell ref="Y670:Y673"/>
    <mergeCell ref="A674:A677"/>
    <mergeCell ref="B674:B677"/>
    <mergeCell ref="C674:C677"/>
    <mergeCell ref="D674:D677"/>
    <mergeCell ref="E674:E677"/>
    <mergeCell ref="F674:F677"/>
    <mergeCell ref="G674:G677"/>
    <mergeCell ref="H674:H677"/>
    <mergeCell ref="W674:W677"/>
    <mergeCell ref="X674:X677"/>
    <mergeCell ref="Y674:Y677"/>
    <mergeCell ref="A678:A681"/>
    <mergeCell ref="B678:B681"/>
    <mergeCell ref="C678:C681"/>
    <mergeCell ref="D678:D681"/>
    <mergeCell ref="E678:E681"/>
    <mergeCell ref="F678:F681"/>
    <mergeCell ref="G678:G681"/>
    <mergeCell ref="H678:H681"/>
    <mergeCell ref="W678:W681"/>
    <mergeCell ref="X678:X681"/>
    <mergeCell ref="Y678:Y681"/>
    <mergeCell ref="A682:A685"/>
    <mergeCell ref="B682:B685"/>
    <mergeCell ref="C682:C685"/>
    <mergeCell ref="D682:D685"/>
    <mergeCell ref="E682:E685"/>
    <mergeCell ref="F682:F685"/>
    <mergeCell ref="G682:G685"/>
    <mergeCell ref="H682:H685"/>
    <mergeCell ref="W682:W685"/>
    <mergeCell ref="X682:X685"/>
    <mergeCell ref="Y682:Y685"/>
    <mergeCell ref="A686:A689"/>
    <mergeCell ref="B686:B689"/>
    <mergeCell ref="C686:C689"/>
    <mergeCell ref="D686:D689"/>
    <mergeCell ref="E686:E689"/>
    <mergeCell ref="F686:F689"/>
    <mergeCell ref="G686:G689"/>
    <mergeCell ref="H686:H689"/>
    <mergeCell ref="W686:W689"/>
    <mergeCell ref="X686:X689"/>
    <mergeCell ref="Y686:Y689"/>
    <mergeCell ref="A690:A693"/>
    <mergeCell ref="B690:B693"/>
    <mergeCell ref="C690:C693"/>
    <mergeCell ref="D690:D693"/>
    <mergeCell ref="E690:E693"/>
    <mergeCell ref="F690:F693"/>
    <mergeCell ref="G690:G693"/>
    <mergeCell ref="H690:H693"/>
    <mergeCell ref="W690:W693"/>
    <mergeCell ref="X690:X693"/>
    <mergeCell ref="Y690:Y693"/>
    <mergeCell ref="A694:A697"/>
    <mergeCell ref="B694:B697"/>
    <mergeCell ref="C694:C697"/>
    <mergeCell ref="D694:D697"/>
    <mergeCell ref="E694:E697"/>
    <mergeCell ref="F694:F697"/>
    <mergeCell ref="G694:G697"/>
    <mergeCell ref="H694:H697"/>
    <mergeCell ref="W694:W697"/>
    <mergeCell ref="X694:X697"/>
    <mergeCell ref="Y694:Y697"/>
    <mergeCell ref="A698:A701"/>
    <mergeCell ref="B698:B701"/>
    <mergeCell ref="C698:C701"/>
    <mergeCell ref="D698:D701"/>
    <mergeCell ref="E698:E701"/>
    <mergeCell ref="F698:F701"/>
    <mergeCell ref="G698:G701"/>
    <mergeCell ref="H698:H701"/>
    <mergeCell ref="W698:W701"/>
    <mergeCell ref="X698:X701"/>
    <mergeCell ref="Y698:Y701"/>
    <mergeCell ref="A702:A705"/>
    <mergeCell ref="B702:B705"/>
    <mergeCell ref="C702:C705"/>
    <mergeCell ref="D702:D705"/>
    <mergeCell ref="E702:E705"/>
    <mergeCell ref="F702:F705"/>
    <mergeCell ref="G702:G705"/>
    <mergeCell ref="H702:H705"/>
    <mergeCell ref="W702:W705"/>
    <mergeCell ref="X702:X705"/>
    <mergeCell ref="Y702:Y705"/>
    <mergeCell ref="A706:A709"/>
    <mergeCell ref="B706:B709"/>
    <mergeCell ref="C706:C709"/>
    <mergeCell ref="D706:D709"/>
    <mergeCell ref="E706:E709"/>
    <mergeCell ref="F706:F709"/>
    <mergeCell ref="G706:G709"/>
    <mergeCell ref="H706:H709"/>
    <mergeCell ref="W706:W709"/>
    <mergeCell ref="X706:X709"/>
    <mergeCell ref="Y706:Y709"/>
    <mergeCell ref="A710:A713"/>
    <mergeCell ref="B710:B713"/>
    <mergeCell ref="C710:C713"/>
    <mergeCell ref="D710:D713"/>
    <mergeCell ref="E710:E713"/>
    <mergeCell ref="F710:F713"/>
    <mergeCell ref="G710:G713"/>
    <mergeCell ref="H710:H713"/>
    <mergeCell ref="W710:W713"/>
    <mergeCell ref="X710:X713"/>
    <mergeCell ref="Y710:Y713"/>
    <mergeCell ref="A714:A717"/>
    <mergeCell ref="B714:B717"/>
    <mergeCell ref="C714:C717"/>
    <mergeCell ref="D714:D717"/>
    <mergeCell ref="E714:E717"/>
    <mergeCell ref="F714:F717"/>
    <mergeCell ref="G714:G717"/>
    <mergeCell ref="H714:H717"/>
    <mergeCell ref="W714:W717"/>
    <mergeCell ref="X714:X717"/>
    <mergeCell ref="Y714:Y717"/>
    <mergeCell ref="A718:A721"/>
    <mergeCell ref="B718:B721"/>
    <mergeCell ref="C718:C721"/>
    <mergeCell ref="D718:D721"/>
    <mergeCell ref="E718:E721"/>
    <mergeCell ref="F718:F721"/>
    <mergeCell ref="G718:G721"/>
    <mergeCell ref="H718:H721"/>
    <mergeCell ref="W718:W721"/>
    <mergeCell ref="X718:X721"/>
    <mergeCell ref="Y718:Y721"/>
    <mergeCell ref="A722:A725"/>
    <mergeCell ref="B722:B725"/>
    <mergeCell ref="C722:C725"/>
    <mergeCell ref="D722:D725"/>
    <mergeCell ref="E722:E725"/>
    <mergeCell ref="F722:F725"/>
    <mergeCell ref="G722:G725"/>
    <mergeCell ref="H722:H725"/>
    <mergeCell ref="W722:W725"/>
    <mergeCell ref="X722:X725"/>
    <mergeCell ref="Y722:Y725"/>
    <mergeCell ref="A726:A729"/>
    <mergeCell ref="B726:B729"/>
    <mergeCell ref="C726:C729"/>
    <mergeCell ref="D726:D729"/>
    <mergeCell ref="E726:E729"/>
    <mergeCell ref="F726:F729"/>
    <mergeCell ref="G726:G729"/>
    <mergeCell ref="H726:H729"/>
    <mergeCell ref="W726:W729"/>
    <mergeCell ref="X726:X729"/>
    <mergeCell ref="Y726:Y729"/>
    <mergeCell ref="A730:A733"/>
    <mergeCell ref="B730:B733"/>
    <mergeCell ref="C730:C733"/>
    <mergeCell ref="D730:D733"/>
    <mergeCell ref="E730:E733"/>
    <mergeCell ref="F730:F733"/>
    <mergeCell ref="G730:G733"/>
    <mergeCell ref="H730:H733"/>
    <mergeCell ref="W730:W733"/>
    <mergeCell ref="X730:X733"/>
    <mergeCell ref="Y730:Y733"/>
    <mergeCell ref="A734:A737"/>
    <mergeCell ref="B734:B737"/>
    <mergeCell ref="C734:C737"/>
    <mergeCell ref="D734:D737"/>
    <mergeCell ref="E734:E737"/>
    <mergeCell ref="F734:F737"/>
    <mergeCell ref="G734:G737"/>
    <mergeCell ref="H734:H737"/>
    <mergeCell ref="W734:W737"/>
    <mergeCell ref="X734:X737"/>
    <mergeCell ref="Y734:Y737"/>
    <mergeCell ref="A738:A741"/>
    <mergeCell ref="B738:B741"/>
    <mergeCell ref="C738:C741"/>
    <mergeCell ref="D738:D741"/>
    <mergeCell ref="E738:E741"/>
    <mergeCell ref="F738:F741"/>
    <mergeCell ref="G738:G741"/>
    <mergeCell ref="H738:H741"/>
    <mergeCell ref="W738:W741"/>
    <mergeCell ref="X738:X741"/>
    <mergeCell ref="Y738:Y741"/>
    <mergeCell ref="A742:A745"/>
    <mergeCell ref="B742:B745"/>
    <mergeCell ref="C742:C745"/>
    <mergeCell ref="D742:D745"/>
    <mergeCell ref="E742:E745"/>
    <mergeCell ref="F742:F745"/>
    <mergeCell ref="G742:G745"/>
    <mergeCell ref="H742:H745"/>
    <mergeCell ref="W742:W745"/>
    <mergeCell ref="X742:X745"/>
    <mergeCell ref="Y742:Y745"/>
    <mergeCell ref="A746:A749"/>
    <mergeCell ref="B746:B749"/>
    <mergeCell ref="C746:C749"/>
    <mergeCell ref="D746:D749"/>
    <mergeCell ref="E746:E749"/>
    <mergeCell ref="F746:F749"/>
    <mergeCell ref="G746:G749"/>
    <mergeCell ref="H746:H749"/>
    <mergeCell ref="W746:W749"/>
    <mergeCell ref="X746:X749"/>
    <mergeCell ref="Y746:Y749"/>
    <mergeCell ref="A750:A753"/>
    <mergeCell ref="B750:B753"/>
    <mergeCell ref="C750:C753"/>
    <mergeCell ref="D750:D753"/>
    <mergeCell ref="E750:E753"/>
    <mergeCell ref="F750:F753"/>
    <mergeCell ref="G750:G753"/>
    <mergeCell ref="H750:H753"/>
    <mergeCell ref="W750:W753"/>
    <mergeCell ref="X750:X753"/>
    <mergeCell ref="Y750:Y753"/>
    <mergeCell ref="A754:A757"/>
    <mergeCell ref="B754:B757"/>
    <mergeCell ref="C754:C757"/>
    <mergeCell ref="D754:D757"/>
    <mergeCell ref="E754:E757"/>
    <mergeCell ref="F754:F757"/>
    <mergeCell ref="G754:G757"/>
    <mergeCell ref="H754:H757"/>
    <mergeCell ref="W754:W757"/>
    <mergeCell ref="X754:X757"/>
    <mergeCell ref="Y754:Y757"/>
    <mergeCell ref="A758:A761"/>
    <mergeCell ref="B758:B761"/>
    <mergeCell ref="C758:C761"/>
    <mergeCell ref="D758:D761"/>
    <mergeCell ref="E758:E761"/>
    <mergeCell ref="F758:F761"/>
    <mergeCell ref="G758:G761"/>
    <mergeCell ref="H758:H761"/>
    <mergeCell ref="W758:W761"/>
    <mergeCell ref="X758:X761"/>
    <mergeCell ref="Y758:Y761"/>
    <mergeCell ref="A762:A765"/>
    <mergeCell ref="B762:B765"/>
    <mergeCell ref="C762:C765"/>
    <mergeCell ref="D762:D765"/>
    <mergeCell ref="E762:E765"/>
    <mergeCell ref="F762:F765"/>
    <mergeCell ref="G762:G765"/>
    <mergeCell ref="H762:H765"/>
    <mergeCell ref="W762:W765"/>
    <mergeCell ref="X762:X765"/>
    <mergeCell ref="Y762:Y765"/>
    <mergeCell ref="A766:A769"/>
    <mergeCell ref="B766:B769"/>
    <mergeCell ref="C766:C769"/>
    <mergeCell ref="D766:D769"/>
    <mergeCell ref="E766:E769"/>
    <mergeCell ref="F766:F769"/>
    <mergeCell ref="G766:G769"/>
    <mergeCell ref="H766:H769"/>
    <mergeCell ref="W766:W769"/>
    <mergeCell ref="X766:X769"/>
    <mergeCell ref="Y766:Y769"/>
    <mergeCell ref="A770:A773"/>
    <mergeCell ref="B770:B773"/>
    <mergeCell ref="C770:C773"/>
    <mergeCell ref="D770:D773"/>
    <mergeCell ref="E770:E773"/>
    <mergeCell ref="F770:F773"/>
    <mergeCell ref="G770:G773"/>
    <mergeCell ref="H770:H773"/>
    <mergeCell ref="W770:W773"/>
    <mergeCell ref="X770:X773"/>
    <mergeCell ref="Y770:Y773"/>
    <mergeCell ref="A774:A777"/>
    <mergeCell ref="B774:B777"/>
    <mergeCell ref="C774:C777"/>
    <mergeCell ref="D774:D777"/>
    <mergeCell ref="E774:E777"/>
    <mergeCell ref="F774:F777"/>
    <mergeCell ref="G774:G777"/>
    <mergeCell ref="H774:H777"/>
    <mergeCell ref="W774:W777"/>
    <mergeCell ref="X774:X777"/>
    <mergeCell ref="Y774:Y777"/>
    <mergeCell ref="A778:A781"/>
    <mergeCell ref="B778:B781"/>
    <mergeCell ref="C778:C781"/>
    <mergeCell ref="D778:D781"/>
    <mergeCell ref="E778:E781"/>
    <mergeCell ref="F778:F781"/>
    <mergeCell ref="G778:G781"/>
    <mergeCell ref="H778:H781"/>
    <mergeCell ref="W778:W781"/>
    <mergeCell ref="X778:X781"/>
    <mergeCell ref="Y778:Y781"/>
    <mergeCell ref="A782:A785"/>
    <mergeCell ref="B782:B785"/>
    <mergeCell ref="C782:C785"/>
    <mergeCell ref="D782:D785"/>
    <mergeCell ref="E782:E785"/>
    <mergeCell ref="F782:F785"/>
    <mergeCell ref="G782:G785"/>
    <mergeCell ref="H782:H785"/>
    <mergeCell ref="W782:W785"/>
    <mergeCell ref="X782:X785"/>
    <mergeCell ref="Y782:Y785"/>
    <mergeCell ref="A786:A789"/>
    <mergeCell ref="B786:B789"/>
    <mergeCell ref="C786:C789"/>
    <mergeCell ref="D786:D789"/>
    <mergeCell ref="E786:E789"/>
    <mergeCell ref="F786:F789"/>
    <mergeCell ref="G786:G789"/>
    <mergeCell ref="H786:H789"/>
    <mergeCell ref="W786:W789"/>
    <mergeCell ref="X786:X789"/>
    <mergeCell ref="Y786:Y789"/>
    <mergeCell ref="A790:A793"/>
    <mergeCell ref="B790:B793"/>
    <mergeCell ref="C790:C793"/>
    <mergeCell ref="D790:D793"/>
    <mergeCell ref="E790:E793"/>
    <mergeCell ref="F790:F793"/>
    <mergeCell ref="G790:G793"/>
    <mergeCell ref="H790:H793"/>
    <mergeCell ref="W790:W793"/>
    <mergeCell ref="X790:X793"/>
    <mergeCell ref="Y790:Y793"/>
    <mergeCell ref="A794:A797"/>
    <mergeCell ref="B794:B797"/>
    <mergeCell ref="C794:C797"/>
    <mergeCell ref="D794:D797"/>
    <mergeCell ref="E794:E797"/>
    <mergeCell ref="F794:F797"/>
    <mergeCell ref="G794:G797"/>
    <mergeCell ref="H794:H797"/>
    <mergeCell ref="W794:W797"/>
    <mergeCell ref="X794:X797"/>
    <mergeCell ref="Y794:Y797"/>
    <mergeCell ref="A798:A801"/>
    <mergeCell ref="B798:B801"/>
    <mergeCell ref="C798:C801"/>
    <mergeCell ref="D798:D801"/>
    <mergeCell ref="E798:E801"/>
    <mergeCell ref="F798:F801"/>
    <mergeCell ref="G798:G801"/>
    <mergeCell ref="H798:H801"/>
    <mergeCell ref="W798:W801"/>
    <mergeCell ref="X798:X801"/>
    <mergeCell ref="Y798:Y801"/>
    <mergeCell ref="A802:A805"/>
    <mergeCell ref="B802:B805"/>
    <mergeCell ref="C802:C805"/>
    <mergeCell ref="D802:D805"/>
    <mergeCell ref="E802:E805"/>
    <mergeCell ref="F802:F805"/>
    <mergeCell ref="G802:G805"/>
    <mergeCell ref="H802:H805"/>
    <mergeCell ref="W802:W805"/>
    <mergeCell ref="X802:X805"/>
    <mergeCell ref="Y802:Y805"/>
    <mergeCell ref="A806:A809"/>
    <mergeCell ref="B806:B809"/>
    <mergeCell ref="C806:C809"/>
    <mergeCell ref="D806:D809"/>
    <mergeCell ref="E806:E809"/>
    <mergeCell ref="F806:F809"/>
    <mergeCell ref="G806:G809"/>
    <mergeCell ref="H806:H809"/>
    <mergeCell ref="W806:W809"/>
    <mergeCell ref="X806:X809"/>
    <mergeCell ref="Y806:Y809"/>
    <mergeCell ref="A810:A813"/>
    <mergeCell ref="B810:B813"/>
    <mergeCell ref="C810:C813"/>
    <mergeCell ref="D810:D813"/>
    <mergeCell ref="E810:E813"/>
    <mergeCell ref="F810:F813"/>
    <mergeCell ref="G810:G813"/>
    <mergeCell ref="H810:H813"/>
    <mergeCell ref="W810:W813"/>
    <mergeCell ref="X810:X813"/>
    <mergeCell ref="Y810:Y813"/>
    <mergeCell ref="A814:A817"/>
    <mergeCell ref="B814:B817"/>
    <mergeCell ref="C814:C817"/>
    <mergeCell ref="D814:D817"/>
    <mergeCell ref="E814:E817"/>
    <mergeCell ref="F814:F817"/>
    <mergeCell ref="G814:G817"/>
    <mergeCell ref="H814:H817"/>
    <mergeCell ref="W814:W817"/>
    <mergeCell ref="X814:X817"/>
    <mergeCell ref="Y814:Y817"/>
    <mergeCell ref="A818:A821"/>
    <mergeCell ref="B818:B821"/>
    <mergeCell ref="C818:C821"/>
    <mergeCell ref="D818:D821"/>
    <mergeCell ref="E818:E821"/>
    <mergeCell ref="F818:F821"/>
    <mergeCell ref="G818:G821"/>
    <mergeCell ref="H818:H821"/>
    <mergeCell ref="W818:W821"/>
    <mergeCell ref="X818:X821"/>
    <mergeCell ref="Y818:Y821"/>
    <mergeCell ref="A822:A825"/>
    <mergeCell ref="B822:B825"/>
    <mergeCell ref="C822:C825"/>
    <mergeCell ref="D822:D825"/>
    <mergeCell ref="E822:E825"/>
    <mergeCell ref="F822:F825"/>
    <mergeCell ref="G822:G825"/>
    <mergeCell ref="H822:H825"/>
    <mergeCell ref="W822:W825"/>
    <mergeCell ref="X822:X825"/>
    <mergeCell ref="Y822:Y825"/>
    <mergeCell ref="A826:A829"/>
    <mergeCell ref="B826:B829"/>
    <mergeCell ref="C826:C829"/>
    <mergeCell ref="D826:D829"/>
    <mergeCell ref="E826:E829"/>
    <mergeCell ref="F826:F829"/>
    <mergeCell ref="G826:G829"/>
    <mergeCell ref="H826:H829"/>
    <mergeCell ref="W826:W829"/>
    <mergeCell ref="X826:X829"/>
    <mergeCell ref="Y826:Y829"/>
    <mergeCell ref="A830:A833"/>
    <mergeCell ref="B830:B833"/>
    <mergeCell ref="C830:C833"/>
    <mergeCell ref="D830:D833"/>
    <mergeCell ref="E830:E833"/>
    <mergeCell ref="F830:F833"/>
    <mergeCell ref="G830:G833"/>
    <mergeCell ref="H830:H833"/>
    <mergeCell ref="W830:W833"/>
    <mergeCell ref="X830:X833"/>
    <mergeCell ref="Y830:Y833"/>
    <mergeCell ref="A834:A837"/>
    <mergeCell ref="B834:B837"/>
    <mergeCell ref="C834:C837"/>
    <mergeCell ref="D834:D837"/>
    <mergeCell ref="E834:E837"/>
    <mergeCell ref="F834:F837"/>
    <mergeCell ref="G834:G837"/>
    <mergeCell ref="H834:H837"/>
    <mergeCell ref="W834:W837"/>
    <mergeCell ref="X834:X837"/>
    <mergeCell ref="Y834:Y837"/>
    <mergeCell ref="A838:A841"/>
    <mergeCell ref="B838:B841"/>
    <mergeCell ref="C838:C841"/>
    <mergeCell ref="D838:D841"/>
    <mergeCell ref="E838:E841"/>
    <mergeCell ref="F838:F841"/>
    <mergeCell ref="G838:G841"/>
    <mergeCell ref="H838:H841"/>
    <mergeCell ref="W838:W841"/>
    <mergeCell ref="X838:X841"/>
    <mergeCell ref="Y838:Y841"/>
    <mergeCell ref="A842:A845"/>
    <mergeCell ref="B842:B845"/>
    <mergeCell ref="C842:C845"/>
    <mergeCell ref="D842:D845"/>
    <mergeCell ref="E842:E845"/>
    <mergeCell ref="F842:F845"/>
    <mergeCell ref="G842:G845"/>
    <mergeCell ref="H842:H845"/>
    <mergeCell ref="W842:W845"/>
    <mergeCell ref="X842:X845"/>
    <mergeCell ref="Y842:Y845"/>
    <mergeCell ref="A846:A849"/>
    <mergeCell ref="B846:B849"/>
    <mergeCell ref="C846:C849"/>
    <mergeCell ref="D846:D849"/>
    <mergeCell ref="E846:E849"/>
    <mergeCell ref="F846:F849"/>
    <mergeCell ref="G846:G849"/>
    <mergeCell ref="H846:H849"/>
    <mergeCell ref="W846:W849"/>
    <mergeCell ref="X846:X849"/>
    <mergeCell ref="Y846:Y849"/>
    <mergeCell ref="A850:A853"/>
    <mergeCell ref="B850:B853"/>
    <mergeCell ref="C850:C853"/>
    <mergeCell ref="D850:D853"/>
    <mergeCell ref="E850:E853"/>
    <mergeCell ref="F850:F853"/>
    <mergeCell ref="G850:G853"/>
    <mergeCell ref="H850:H853"/>
    <mergeCell ref="W850:W853"/>
    <mergeCell ref="X850:X853"/>
    <mergeCell ref="Y850:Y853"/>
    <mergeCell ref="A854:A857"/>
    <mergeCell ref="B854:B857"/>
    <mergeCell ref="C854:C857"/>
    <mergeCell ref="D854:D857"/>
    <mergeCell ref="E854:E857"/>
    <mergeCell ref="F854:F857"/>
    <mergeCell ref="G854:G857"/>
    <mergeCell ref="H854:H857"/>
    <mergeCell ref="W854:W857"/>
    <mergeCell ref="X854:X857"/>
    <mergeCell ref="Y854:Y857"/>
    <mergeCell ref="A858:A861"/>
    <mergeCell ref="B858:B861"/>
    <mergeCell ref="C858:C861"/>
    <mergeCell ref="D858:D861"/>
    <mergeCell ref="E858:E861"/>
    <mergeCell ref="F858:F861"/>
    <mergeCell ref="G858:G861"/>
    <mergeCell ref="H858:H861"/>
    <mergeCell ref="W858:W861"/>
    <mergeCell ref="X858:X861"/>
    <mergeCell ref="Y858:Y861"/>
    <mergeCell ref="A862:A865"/>
    <mergeCell ref="B862:B865"/>
    <mergeCell ref="C862:C865"/>
    <mergeCell ref="D862:D865"/>
    <mergeCell ref="E862:E865"/>
    <mergeCell ref="F862:F865"/>
    <mergeCell ref="G862:G865"/>
    <mergeCell ref="H862:H865"/>
    <mergeCell ref="W862:W865"/>
    <mergeCell ref="X862:X865"/>
    <mergeCell ref="Y862:Y865"/>
    <mergeCell ref="A866:A869"/>
    <mergeCell ref="B866:B869"/>
    <mergeCell ref="C866:C869"/>
    <mergeCell ref="D866:D869"/>
    <mergeCell ref="E866:E869"/>
    <mergeCell ref="F866:F869"/>
    <mergeCell ref="G866:G869"/>
    <mergeCell ref="H866:H869"/>
    <mergeCell ref="W866:W869"/>
    <mergeCell ref="X866:X869"/>
    <mergeCell ref="Y866:Y869"/>
    <mergeCell ref="A870:A873"/>
    <mergeCell ref="B870:B873"/>
    <mergeCell ref="C870:C873"/>
    <mergeCell ref="D870:D873"/>
    <mergeCell ref="E870:E873"/>
    <mergeCell ref="F870:F873"/>
    <mergeCell ref="G870:G873"/>
    <mergeCell ref="H870:H873"/>
    <mergeCell ref="W870:W873"/>
    <mergeCell ref="X870:X873"/>
    <mergeCell ref="Y870:Y873"/>
    <mergeCell ref="A874:A877"/>
    <mergeCell ref="B874:B877"/>
    <mergeCell ref="C874:C877"/>
    <mergeCell ref="D874:D877"/>
    <mergeCell ref="E874:E877"/>
    <mergeCell ref="F874:F877"/>
    <mergeCell ref="G874:G877"/>
    <mergeCell ref="H874:H877"/>
    <mergeCell ref="W874:W877"/>
    <mergeCell ref="X874:X877"/>
    <mergeCell ref="Y874:Y877"/>
    <mergeCell ref="A878:A881"/>
    <mergeCell ref="B878:B881"/>
    <mergeCell ref="C878:C881"/>
    <mergeCell ref="D878:D881"/>
    <mergeCell ref="E878:E881"/>
    <mergeCell ref="F878:F881"/>
    <mergeCell ref="G878:G881"/>
    <mergeCell ref="H878:H881"/>
    <mergeCell ref="W878:W881"/>
    <mergeCell ref="X878:X881"/>
    <mergeCell ref="Y878:Y881"/>
    <mergeCell ref="A882:A885"/>
    <mergeCell ref="B882:B885"/>
    <mergeCell ref="C882:C885"/>
    <mergeCell ref="D882:D885"/>
    <mergeCell ref="E882:E885"/>
    <mergeCell ref="F882:F885"/>
    <mergeCell ref="G882:G885"/>
    <mergeCell ref="H882:H885"/>
    <mergeCell ref="W882:W885"/>
    <mergeCell ref="X882:X885"/>
    <mergeCell ref="Y882:Y885"/>
    <mergeCell ref="A886:A889"/>
    <mergeCell ref="B886:B889"/>
    <mergeCell ref="C886:C889"/>
    <mergeCell ref="D886:D889"/>
    <mergeCell ref="E886:E889"/>
    <mergeCell ref="F886:F889"/>
    <mergeCell ref="G886:G889"/>
    <mergeCell ref="H886:H889"/>
    <mergeCell ref="W886:W889"/>
    <mergeCell ref="X886:X889"/>
    <mergeCell ref="Y886:Y889"/>
    <mergeCell ref="A890:A893"/>
    <mergeCell ref="B890:B893"/>
    <mergeCell ref="C890:C893"/>
    <mergeCell ref="D890:D893"/>
    <mergeCell ref="E890:E893"/>
    <mergeCell ref="F890:F893"/>
    <mergeCell ref="G890:G893"/>
    <mergeCell ref="H890:H893"/>
    <mergeCell ref="W890:W893"/>
    <mergeCell ref="X890:X893"/>
    <mergeCell ref="Y890:Y893"/>
    <mergeCell ref="A894:A897"/>
    <mergeCell ref="B894:B897"/>
    <mergeCell ref="C894:C897"/>
    <mergeCell ref="D894:D897"/>
    <mergeCell ref="E894:E897"/>
    <mergeCell ref="F894:F897"/>
    <mergeCell ref="G894:G897"/>
    <mergeCell ref="H894:H897"/>
    <mergeCell ref="W894:W897"/>
    <mergeCell ref="X894:X897"/>
    <mergeCell ref="Y894:Y897"/>
    <mergeCell ref="A898:A901"/>
    <mergeCell ref="B898:B901"/>
    <mergeCell ref="C898:C901"/>
    <mergeCell ref="D898:D901"/>
    <mergeCell ref="E898:E901"/>
    <mergeCell ref="F898:F901"/>
    <mergeCell ref="G898:G901"/>
    <mergeCell ref="H898:H901"/>
    <mergeCell ref="W898:W901"/>
    <mergeCell ref="X898:X901"/>
    <mergeCell ref="Y898:Y901"/>
    <mergeCell ref="A902:A905"/>
    <mergeCell ref="B902:B905"/>
    <mergeCell ref="C902:C905"/>
    <mergeCell ref="D902:D905"/>
    <mergeCell ref="E902:E905"/>
    <mergeCell ref="F902:F905"/>
    <mergeCell ref="G902:G905"/>
    <mergeCell ref="H902:H905"/>
    <mergeCell ref="W902:W905"/>
    <mergeCell ref="X902:X905"/>
    <mergeCell ref="Y902:Y905"/>
    <mergeCell ref="A906:A909"/>
    <mergeCell ref="B906:B909"/>
    <mergeCell ref="C906:C909"/>
    <mergeCell ref="D906:D909"/>
    <mergeCell ref="E906:E909"/>
    <mergeCell ref="F906:F909"/>
    <mergeCell ref="G906:G909"/>
    <mergeCell ref="H906:H909"/>
    <mergeCell ref="W906:W909"/>
    <mergeCell ref="X906:X909"/>
    <mergeCell ref="Y906:Y909"/>
    <mergeCell ref="A910:A913"/>
    <mergeCell ref="B910:B913"/>
    <mergeCell ref="C910:C913"/>
    <mergeCell ref="D910:D913"/>
    <mergeCell ref="E910:E913"/>
    <mergeCell ref="F910:F913"/>
    <mergeCell ref="G910:G913"/>
    <mergeCell ref="H910:H913"/>
    <mergeCell ref="W910:W913"/>
    <mergeCell ref="X910:X913"/>
    <mergeCell ref="Y910:Y913"/>
    <mergeCell ref="A914:A917"/>
    <mergeCell ref="B914:B917"/>
    <mergeCell ref="C914:C917"/>
    <mergeCell ref="D914:D917"/>
    <mergeCell ref="E914:E917"/>
    <mergeCell ref="F914:F917"/>
    <mergeCell ref="G914:G917"/>
    <mergeCell ref="H914:H917"/>
    <mergeCell ref="W914:W917"/>
    <mergeCell ref="X914:X917"/>
    <mergeCell ref="Y914:Y917"/>
    <mergeCell ref="A918:A921"/>
    <mergeCell ref="B918:B921"/>
    <mergeCell ref="C918:C921"/>
    <mergeCell ref="D918:D921"/>
    <mergeCell ref="E918:E921"/>
    <mergeCell ref="F918:F921"/>
    <mergeCell ref="G918:G921"/>
    <mergeCell ref="H918:H921"/>
    <mergeCell ref="W918:W921"/>
    <mergeCell ref="X918:X921"/>
    <mergeCell ref="Y918:Y921"/>
    <mergeCell ref="A922:A925"/>
    <mergeCell ref="B922:B925"/>
    <mergeCell ref="C922:C925"/>
    <mergeCell ref="D922:D925"/>
    <mergeCell ref="E922:E925"/>
    <mergeCell ref="F922:F925"/>
    <mergeCell ref="G922:G925"/>
    <mergeCell ref="H922:H925"/>
    <mergeCell ref="W922:W925"/>
    <mergeCell ref="X922:X925"/>
    <mergeCell ref="Y922:Y925"/>
    <mergeCell ref="A926:A929"/>
    <mergeCell ref="B926:B929"/>
    <mergeCell ref="C926:C929"/>
    <mergeCell ref="D926:D929"/>
    <mergeCell ref="E926:E929"/>
    <mergeCell ref="F926:F929"/>
    <mergeCell ref="G926:G929"/>
    <mergeCell ref="H926:H929"/>
    <mergeCell ref="W926:W929"/>
    <mergeCell ref="X926:X929"/>
    <mergeCell ref="Y926:Y929"/>
    <mergeCell ref="A930:A933"/>
    <mergeCell ref="B930:B933"/>
    <mergeCell ref="C930:C933"/>
    <mergeCell ref="D930:D933"/>
    <mergeCell ref="E930:E933"/>
    <mergeCell ref="F930:F933"/>
    <mergeCell ref="G930:G933"/>
    <mergeCell ref="H930:H933"/>
    <mergeCell ref="W930:W933"/>
    <mergeCell ref="X930:X933"/>
    <mergeCell ref="Y930:Y933"/>
    <mergeCell ref="A934:A937"/>
    <mergeCell ref="B934:B937"/>
    <mergeCell ref="C934:C937"/>
    <mergeCell ref="D934:D937"/>
    <mergeCell ref="E934:E937"/>
    <mergeCell ref="F934:F937"/>
    <mergeCell ref="G934:G937"/>
    <mergeCell ref="H934:H937"/>
    <mergeCell ref="W934:W937"/>
    <mergeCell ref="X934:X937"/>
    <mergeCell ref="Y934:Y937"/>
    <mergeCell ref="A938:A941"/>
    <mergeCell ref="B938:B941"/>
    <mergeCell ref="C938:C941"/>
    <mergeCell ref="D938:D941"/>
    <mergeCell ref="E938:E941"/>
    <mergeCell ref="F938:F941"/>
    <mergeCell ref="G938:G941"/>
    <mergeCell ref="H938:H941"/>
    <mergeCell ref="W938:W941"/>
    <mergeCell ref="X938:X941"/>
    <mergeCell ref="Y938:Y941"/>
    <mergeCell ref="A942:A945"/>
    <mergeCell ref="B942:B945"/>
    <mergeCell ref="C942:C945"/>
    <mergeCell ref="D942:D945"/>
    <mergeCell ref="E942:E945"/>
    <mergeCell ref="F942:F945"/>
    <mergeCell ref="G942:G945"/>
    <mergeCell ref="H942:H945"/>
    <mergeCell ref="W942:W945"/>
    <mergeCell ref="X942:X945"/>
    <mergeCell ref="Y942:Y945"/>
    <mergeCell ref="A946:A949"/>
    <mergeCell ref="B946:B949"/>
    <mergeCell ref="C946:C949"/>
    <mergeCell ref="D946:D949"/>
    <mergeCell ref="E946:E949"/>
    <mergeCell ref="F946:F949"/>
    <mergeCell ref="G946:G949"/>
    <mergeCell ref="H946:H949"/>
    <mergeCell ref="W946:W949"/>
    <mergeCell ref="X946:X949"/>
    <mergeCell ref="Y946:Y949"/>
    <mergeCell ref="A950:A953"/>
    <mergeCell ref="B950:B953"/>
    <mergeCell ref="C950:C953"/>
    <mergeCell ref="D950:D953"/>
    <mergeCell ref="E950:E953"/>
    <mergeCell ref="F950:F953"/>
    <mergeCell ref="G950:G953"/>
    <mergeCell ref="H950:H953"/>
    <mergeCell ref="W950:W953"/>
    <mergeCell ref="X950:X953"/>
    <mergeCell ref="Y950:Y953"/>
    <mergeCell ref="A954:A957"/>
    <mergeCell ref="B954:B957"/>
    <mergeCell ref="C954:C957"/>
    <mergeCell ref="D954:D957"/>
    <mergeCell ref="E954:E957"/>
    <mergeCell ref="F954:F957"/>
    <mergeCell ref="G954:G957"/>
    <mergeCell ref="H954:H957"/>
    <mergeCell ref="W954:W957"/>
    <mergeCell ref="X954:X957"/>
    <mergeCell ref="Y954:Y957"/>
    <mergeCell ref="A958:A961"/>
    <mergeCell ref="B958:B961"/>
    <mergeCell ref="C958:C961"/>
    <mergeCell ref="D958:D961"/>
    <mergeCell ref="E958:E961"/>
    <mergeCell ref="F958:F961"/>
    <mergeCell ref="G958:G961"/>
    <mergeCell ref="H958:H961"/>
    <mergeCell ref="W958:W961"/>
    <mergeCell ref="X958:X961"/>
    <mergeCell ref="Y958:Y961"/>
    <mergeCell ref="A962:A965"/>
    <mergeCell ref="B962:B965"/>
    <mergeCell ref="C962:C965"/>
    <mergeCell ref="D962:D965"/>
    <mergeCell ref="E962:E965"/>
    <mergeCell ref="F962:F965"/>
    <mergeCell ref="G962:G965"/>
    <mergeCell ref="H962:H965"/>
    <mergeCell ref="W962:W965"/>
    <mergeCell ref="X962:X965"/>
    <mergeCell ref="Y962:Y965"/>
    <mergeCell ref="A966:A969"/>
    <mergeCell ref="B966:B969"/>
    <mergeCell ref="C966:C969"/>
    <mergeCell ref="D966:D969"/>
    <mergeCell ref="E966:E969"/>
    <mergeCell ref="F966:F969"/>
    <mergeCell ref="G966:G969"/>
    <mergeCell ref="H966:H969"/>
    <mergeCell ref="W966:W969"/>
    <mergeCell ref="X966:X969"/>
    <mergeCell ref="Y966:Y969"/>
    <mergeCell ref="A970:A973"/>
    <mergeCell ref="B970:B973"/>
    <mergeCell ref="C970:C973"/>
    <mergeCell ref="D970:D973"/>
    <mergeCell ref="E970:E973"/>
    <mergeCell ref="F970:F973"/>
    <mergeCell ref="G970:G973"/>
    <mergeCell ref="H970:H973"/>
    <mergeCell ref="W970:W973"/>
    <mergeCell ref="X970:X973"/>
    <mergeCell ref="Y970:Y973"/>
    <mergeCell ref="A974:A977"/>
    <mergeCell ref="B974:B977"/>
    <mergeCell ref="C974:C977"/>
    <mergeCell ref="D974:D977"/>
    <mergeCell ref="E974:E977"/>
    <mergeCell ref="F974:F977"/>
    <mergeCell ref="G974:G977"/>
    <mergeCell ref="H974:H977"/>
    <mergeCell ref="W974:W977"/>
    <mergeCell ref="X974:X977"/>
    <mergeCell ref="Y974:Y977"/>
    <mergeCell ref="A978:A981"/>
    <mergeCell ref="B978:B981"/>
    <mergeCell ref="C978:C981"/>
    <mergeCell ref="D978:D981"/>
    <mergeCell ref="E978:E981"/>
    <mergeCell ref="F978:F981"/>
    <mergeCell ref="G978:G981"/>
    <mergeCell ref="H978:H981"/>
    <mergeCell ref="W978:W981"/>
    <mergeCell ref="X978:X981"/>
    <mergeCell ref="Y978:Y981"/>
    <mergeCell ref="A982:A985"/>
    <mergeCell ref="B982:B985"/>
    <mergeCell ref="C982:C985"/>
    <mergeCell ref="D982:D985"/>
    <mergeCell ref="E982:E985"/>
    <mergeCell ref="F982:F985"/>
    <mergeCell ref="G982:G985"/>
    <mergeCell ref="H982:H985"/>
    <mergeCell ref="W982:W985"/>
    <mergeCell ref="X982:X985"/>
    <mergeCell ref="Y982:Y985"/>
    <mergeCell ref="A986:A989"/>
    <mergeCell ref="B986:B989"/>
    <mergeCell ref="C986:C989"/>
    <mergeCell ref="D986:D989"/>
    <mergeCell ref="E986:E989"/>
    <mergeCell ref="F986:F989"/>
    <mergeCell ref="G986:G989"/>
    <mergeCell ref="H986:H989"/>
    <mergeCell ref="W986:W989"/>
    <mergeCell ref="X986:X989"/>
    <mergeCell ref="Y986:Y989"/>
    <mergeCell ref="A990:A993"/>
    <mergeCell ref="B990:B993"/>
    <mergeCell ref="C990:C993"/>
    <mergeCell ref="D990:D993"/>
    <mergeCell ref="E990:E993"/>
    <mergeCell ref="F990:F993"/>
    <mergeCell ref="G990:G993"/>
    <mergeCell ref="H990:H993"/>
    <mergeCell ref="W990:W993"/>
    <mergeCell ref="X990:X993"/>
    <mergeCell ref="Y990:Y993"/>
    <mergeCell ref="A994:A997"/>
    <mergeCell ref="B994:B997"/>
    <mergeCell ref="C994:C997"/>
    <mergeCell ref="D994:D997"/>
    <mergeCell ref="E994:E997"/>
    <mergeCell ref="F994:F997"/>
    <mergeCell ref="G994:G997"/>
    <mergeCell ref="H994:H997"/>
    <mergeCell ref="W994:W997"/>
    <mergeCell ref="X994:X997"/>
    <mergeCell ref="Y994:Y997"/>
    <mergeCell ref="A998:A1001"/>
    <mergeCell ref="B998:B1001"/>
    <mergeCell ref="C998:C1001"/>
    <mergeCell ref="D998:D1001"/>
    <mergeCell ref="E998:E1001"/>
    <mergeCell ref="F998:F1001"/>
    <mergeCell ref="G998:G1001"/>
    <mergeCell ref="H998:H1001"/>
    <mergeCell ref="W998:W1001"/>
    <mergeCell ref="X998:X1001"/>
    <mergeCell ref="Y998:Y1001"/>
    <mergeCell ref="A1002:A1005"/>
    <mergeCell ref="B1002:B1005"/>
    <mergeCell ref="C1002:C1005"/>
    <mergeCell ref="D1002:D1005"/>
    <mergeCell ref="E1002:E1005"/>
    <mergeCell ref="F1002:F1005"/>
    <mergeCell ref="G1002:G1005"/>
    <mergeCell ref="H1002:H1005"/>
    <mergeCell ref="W1002:W1005"/>
    <mergeCell ref="X1002:X1005"/>
    <mergeCell ref="Y1002:Y1005"/>
    <mergeCell ref="A1006:A1009"/>
    <mergeCell ref="B1006:B1009"/>
    <mergeCell ref="C1006:C1009"/>
    <mergeCell ref="D1006:D1009"/>
    <mergeCell ref="E1006:E1009"/>
    <mergeCell ref="F1006:F1009"/>
    <mergeCell ref="G1006:G1009"/>
    <mergeCell ref="H1006:H1009"/>
    <mergeCell ref="W1006:W1009"/>
    <mergeCell ref="X1006:X1009"/>
    <mergeCell ref="Y1006:Y1009"/>
    <mergeCell ref="A1010:A1013"/>
    <mergeCell ref="B1010:B1013"/>
    <mergeCell ref="C1010:C1013"/>
    <mergeCell ref="D1010:D1013"/>
    <mergeCell ref="E1010:E1013"/>
    <mergeCell ref="F1010:F1013"/>
    <mergeCell ref="G1010:G1013"/>
    <mergeCell ref="H1010:H1013"/>
    <mergeCell ref="W1010:W1013"/>
    <mergeCell ref="X1010:X1013"/>
    <mergeCell ref="Y1010:Y1013"/>
    <mergeCell ref="A1014:A1017"/>
    <mergeCell ref="B1014:B1017"/>
    <mergeCell ref="C1014:C1017"/>
    <mergeCell ref="D1014:D1017"/>
    <mergeCell ref="E1014:E1017"/>
    <mergeCell ref="F1014:F1017"/>
    <mergeCell ref="G1014:G1017"/>
    <mergeCell ref="H1014:H1017"/>
    <mergeCell ref="W1014:W1017"/>
    <mergeCell ref="X1014:X1017"/>
    <mergeCell ref="Y1014:Y1017"/>
    <mergeCell ref="A1018:A1021"/>
    <mergeCell ref="B1018:B1021"/>
    <mergeCell ref="C1018:C1021"/>
    <mergeCell ref="D1018:D1021"/>
    <mergeCell ref="E1018:E1021"/>
    <mergeCell ref="F1018:F1021"/>
    <mergeCell ref="G1018:G1021"/>
    <mergeCell ref="H1018:H1021"/>
    <mergeCell ref="W1018:W1021"/>
    <mergeCell ref="X1018:X1021"/>
    <mergeCell ref="Y1018:Y1021"/>
    <mergeCell ref="A1022:A1025"/>
    <mergeCell ref="B1022:B1025"/>
    <mergeCell ref="C1022:C1025"/>
    <mergeCell ref="D1022:D1025"/>
    <mergeCell ref="E1022:E1025"/>
    <mergeCell ref="F1022:F1025"/>
    <mergeCell ref="G1022:G1025"/>
    <mergeCell ref="H1022:H1025"/>
    <mergeCell ref="W1022:W1025"/>
    <mergeCell ref="X1022:X1025"/>
    <mergeCell ref="Y1022:Y1025"/>
    <mergeCell ref="A1026:A1029"/>
    <mergeCell ref="B1026:B1029"/>
    <mergeCell ref="C1026:C1029"/>
    <mergeCell ref="D1026:D1029"/>
    <mergeCell ref="E1026:E1029"/>
    <mergeCell ref="F1026:F1029"/>
    <mergeCell ref="G1026:G1029"/>
    <mergeCell ref="H1026:H1029"/>
    <mergeCell ref="W1026:W1029"/>
    <mergeCell ref="X1026:X1029"/>
    <mergeCell ref="Y1026:Y1029"/>
    <mergeCell ref="A1030:A1033"/>
    <mergeCell ref="B1030:B1033"/>
    <mergeCell ref="C1030:C1033"/>
    <mergeCell ref="D1030:D1033"/>
    <mergeCell ref="E1030:E1033"/>
    <mergeCell ref="F1030:F1033"/>
    <mergeCell ref="G1030:G1033"/>
    <mergeCell ref="H1030:H1033"/>
    <mergeCell ref="W1030:W1033"/>
    <mergeCell ref="X1030:X1033"/>
    <mergeCell ref="Y1030:Y1033"/>
    <mergeCell ref="A1034:A1037"/>
    <mergeCell ref="B1034:B1037"/>
    <mergeCell ref="C1034:C1037"/>
    <mergeCell ref="D1034:D1037"/>
    <mergeCell ref="E1034:E1037"/>
    <mergeCell ref="F1034:F1037"/>
    <mergeCell ref="G1034:G1037"/>
    <mergeCell ref="H1034:H1037"/>
    <mergeCell ref="W1034:W1037"/>
    <mergeCell ref="X1034:X1037"/>
    <mergeCell ref="Y1034:Y1037"/>
    <mergeCell ref="A1038:A1041"/>
    <mergeCell ref="B1038:B1041"/>
    <mergeCell ref="C1038:C1041"/>
    <mergeCell ref="D1038:D1041"/>
    <mergeCell ref="E1038:E1041"/>
    <mergeCell ref="F1038:F1041"/>
    <mergeCell ref="G1038:G1041"/>
    <mergeCell ref="H1038:H1041"/>
    <mergeCell ref="W1038:W1041"/>
    <mergeCell ref="X1038:X1041"/>
    <mergeCell ref="Y1038:Y1041"/>
    <mergeCell ref="A1042:A1045"/>
    <mergeCell ref="B1042:B1045"/>
    <mergeCell ref="C1042:C1045"/>
    <mergeCell ref="D1042:D1045"/>
    <mergeCell ref="E1042:E1045"/>
    <mergeCell ref="F1042:F1045"/>
    <mergeCell ref="G1042:G1045"/>
    <mergeCell ref="H1042:H1045"/>
    <mergeCell ref="W1042:W1045"/>
    <mergeCell ref="X1042:X1045"/>
    <mergeCell ref="Y1042:Y1045"/>
    <mergeCell ref="A1046:A1049"/>
    <mergeCell ref="B1046:B1049"/>
    <mergeCell ref="C1046:C1049"/>
    <mergeCell ref="D1046:D1049"/>
    <mergeCell ref="E1046:E1049"/>
    <mergeCell ref="F1046:F1049"/>
    <mergeCell ref="G1046:G1049"/>
    <mergeCell ref="H1046:H1049"/>
    <mergeCell ref="W1046:W1049"/>
    <mergeCell ref="X1046:X1049"/>
    <mergeCell ref="Y1046:Y1049"/>
    <mergeCell ref="A1050:A1053"/>
    <mergeCell ref="B1050:B1053"/>
    <mergeCell ref="C1050:C1053"/>
    <mergeCell ref="D1050:D1053"/>
    <mergeCell ref="E1050:E1053"/>
    <mergeCell ref="F1050:F1053"/>
    <mergeCell ref="G1050:G1053"/>
    <mergeCell ref="H1050:H1053"/>
    <mergeCell ref="W1050:W1053"/>
    <mergeCell ref="X1050:X1053"/>
    <mergeCell ref="Y1050:Y1053"/>
    <mergeCell ref="A1054:A1057"/>
    <mergeCell ref="B1054:B1057"/>
    <mergeCell ref="C1054:C1057"/>
    <mergeCell ref="D1054:D1057"/>
    <mergeCell ref="E1054:E1057"/>
    <mergeCell ref="F1054:F1057"/>
    <mergeCell ref="G1054:G1057"/>
    <mergeCell ref="H1054:H1057"/>
    <mergeCell ref="W1054:W1057"/>
    <mergeCell ref="X1054:X1057"/>
    <mergeCell ref="Y1054:Y1057"/>
    <mergeCell ref="A1058:A1061"/>
    <mergeCell ref="B1058:B1061"/>
    <mergeCell ref="C1058:C1061"/>
    <mergeCell ref="D1058:D1061"/>
    <mergeCell ref="E1058:E1061"/>
    <mergeCell ref="F1058:F1061"/>
    <mergeCell ref="G1058:G1061"/>
    <mergeCell ref="H1058:H1061"/>
    <mergeCell ref="W1058:W1061"/>
    <mergeCell ref="X1058:X1061"/>
    <mergeCell ref="Y1058:Y1061"/>
    <mergeCell ref="A1062:A1065"/>
    <mergeCell ref="B1062:B1065"/>
    <mergeCell ref="C1062:C1065"/>
    <mergeCell ref="D1062:D1065"/>
    <mergeCell ref="E1062:E1065"/>
    <mergeCell ref="F1062:F1065"/>
    <mergeCell ref="G1062:G1065"/>
    <mergeCell ref="H1062:H1065"/>
    <mergeCell ref="W1062:W1065"/>
    <mergeCell ref="X1062:X1065"/>
    <mergeCell ref="Y1062:Y1065"/>
    <mergeCell ref="A1066:A1069"/>
    <mergeCell ref="B1066:B1069"/>
    <mergeCell ref="C1066:C1069"/>
    <mergeCell ref="D1066:D1069"/>
    <mergeCell ref="E1066:E1069"/>
    <mergeCell ref="F1066:F1069"/>
    <mergeCell ref="G1066:G1069"/>
    <mergeCell ref="H1066:H1069"/>
    <mergeCell ref="W1066:W1069"/>
    <mergeCell ref="X1066:X1069"/>
    <mergeCell ref="Y1066:Y1069"/>
    <mergeCell ref="A1070:A1073"/>
    <mergeCell ref="B1070:B1073"/>
    <mergeCell ref="C1070:C1073"/>
    <mergeCell ref="D1070:D1073"/>
    <mergeCell ref="E1070:E1073"/>
    <mergeCell ref="F1070:F1073"/>
    <mergeCell ref="G1070:G1073"/>
    <mergeCell ref="H1070:H1073"/>
    <mergeCell ref="W1070:W1073"/>
    <mergeCell ref="X1070:X1073"/>
    <mergeCell ref="Y1070:Y1073"/>
    <mergeCell ref="A1074:A1077"/>
    <mergeCell ref="B1074:B1077"/>
    <mergeCell ref="C1074:C1077"/>
    <mergeCell ref="D1074:D1077"/>
    <mergeCell ref="E1074:E1077"/>
    <mergeCell ref="F1074:F1077"/>
    <mergeCell ref="G1074:G1077"/>
    <mergeCell ref="H1074:H1077"/>
    <mergeCell ref="W1074:W1077"/>
    <mergeCell ref="X1074:X1077"/>
    <mergeCell ref="Y1074:Y1077"/>
    <mergeCell ref="A1078:A1081"/>
    <mergeCell ref="B1078:B1081"/>
    <mergeCell ref="C1078:C1081"/>
    <mergeCell ref="D1078:D1081"/>
    <mergeCell ref="E1078:E1081"/>
    <mergeCell ref="F1078:F1081"/>
    <mergeCell ref="G1078:G1081"/>
    <mergeCell ref="H1078:H1081"/>
    <mergeCell ref="W1078:W1081"/>
    <mergeCell ref="X1078:X1081"/>
    <mergeCell ref="Y1078:Y1081"/>
    <mergeCell ref="A1082:A1085"/>
    <mergeCell ref="B1082:B1085"/>
    <mergeCell ref="C1082:C1085"/>
    <mergeCell ref="D1082:D1085"/>
    <mergeCell ref="E1082:E1085"/>
    <mergeCell ref="F1082:F1085"/>
    <mergeCell ref="G1082:G1085"/>
    <mergeCell ref="H1082:H1085"/>
    <mergeCell ref="W1082:W1085"/>
    <mergeCell ref="X1082:X1085"/>
    <mergeCell ref="Y1082:Y1085"/>
    <mergeCell ref="A1086:A1089"/>
    <mergeCell ref="B1086:B1089"/>
    <mergeCell ref="C1086:C1089"/>
    <mergeCell ref="D1086:D1089"/>
    <mergeCell ref="E1086:E1089"/>
    <mergeCell ref="F1086:F1089"/>
    <mergeCell ref="G1086:G1089"/>
    <mergeCell ref="H1086:H1089"/>
    <mergeCell ref="W1086:W1089"/>
    <mergeCell ref="X1086:X1089"/>
    <mergeCell ref="Y1086:Y1089"/>
    <mergeCell ref="A1090:A1093"/>
    <mergeCell ref="B1090:B1093"/>
    <mergeCell ref="C1090:C1093"/>
    <mergeCell ref="D1090:D1093"/>
    <mergeCell ref="E1090:E1093"/>
    <mergeCell ref="F1090:F1093"/>
    <mergeCell ref="G1090:G1093"/>
    <mergeCell ref="H1090:H1093"/>
    <mergeCell ref="W1090:W1093"/>
    <mergeCell ref="X1090:X1093"/>
    <mergeCell ref="Y1090:Y1093"/>
    <mergeCell ref="A1094:A1097"/>
    <mergeCell ref="B1094:B1097"/>
    <mergeCell ref="C1094:C1097"/>
    <mergeCell ref="D1094:D1097"/>
    <mergeCell ref="E1094:E1097"/>
    <mergeCell ref="F1094:F1097"/>
    <mergeCell ref="G1094:G1097"/>
    <mergeCell ref="H1094:H1097"/>
    <mergeCell ref="W1094:W1097"/>
    <mergeCell ref="X1094:X1097"/>
    <mergeCell ref="Y1094:Y1097"/>
    <mergeCell ref="A1098:A1101"/>
    <mergeCell ref="B1098:B1101"/>
    <mergeCell ref="C1098:C1101"/>
    <mergeCell ref="D1098:D1101"/>
    <mergeCell ref="E1098:E1101"/>
    <mergeCell ref="F1098:F1101"/>
    <mergeCell ref="G1098:G1101"/>
    <mergeCell ref="H1098:H1101"/>
    <mergeCell ref="W1098:W1101"/>
    <mergeCell ref="X1098:X1101"/>
    <mergeCell ref="Y1098:Y1101"/>
    <mergeCell ref="A1102:A1105"/>
    <mergeCell ref="B1102:B1105"/>
    <mergeCell ref="C1102:C1105"/>
    <mergeCell ref="D1102:D1105"/>
    <mergeCell ref="E1102:E1105"/>
    <mergeCell ref="F1102:F1105"/>
    <mergeCell ref="G1102:G1105"/>
    <mergeCell ref="H1102:H1105"/>
    <mergeCell ref="W1102:W1105"/>
    <mergeCell ref="X1102:X1105"/>
    <mergeCell ref="Y1102:Y1105"/>
    <mergeCell ref="A1106:A1109"/>
    <mergeCell ref="B1106:B1109"/>
    <mergeCell ref="C1106:C1109"/>
    <mergeCell ref="D1106:D1109"/>
    <mergeCell ref="E1106:E1109"/>
    <mergeCell ref="F1106:F1109"/>
    <mergeCell ref="G1106:G1109"/>
    <mergeCell ref="H1106:H1109"/>
    <mergeCell ref="W1106:W1109"/>
    <mergeCell ref="X1106:X1109"/>
    <mergeCell ref="Y1106:Y1109"/>
    <mergeCell ref="A1110:A1113"/>
    <mergeCell ref="B1110:B1113"/>
    <mergeCell ref="C1110:C1113"/>
    <mergeCell ref="D1110:D1113"/>
    <mergeCell ref="E1110:E1113"/>
    <mergeCell ref="F1110:F1113"/>
    <mergeCell ref="G1110:G1113"/>
    <mergeCell ref="H1110:H1113"/>
    <mergeCell ref="W1110:W1113"/>
    <mergeCell ref="X1110:X1113"/>
    <mergeCell ref="Y1110:Y1113"/>
    <mergeCell ref="A1114:A1117"/>
    <mergeCell ref="B1114:B1117"/>
    <mergeCell ref="C1114:C1117"/>
    <mergeCell ref="D1114:D1117"/>
    <mergeCell ref="E1114:E1117"/>
    <mergeCell ref="F1114:F1117"/>
    <mergeCell ref="G1114:G1117"/>
    <mergeCell ref="H1114:H1117"/>
    <mergeCell ref="W1114:W1117"/>
    <mergeCell ref="X1114:X1117"/>
    <mergeCell ref="Y1114:Y1117"/>
    <mergeCell ref="A1118:A1121"/>
    <mergeCell ref="B1118:B1121"/>
    <mergeCell ref="C1118:C1121"/>
    <mergeCell ref="D1118:D1121"/>
    <mergeCell ref="E1118:E1121"/>
    <mergeCell ref="F1118:F1121"/>
    <mergeCell ref="G1118:G1121"/>
    <mergeCell ref="H1118:H1121"/>
    <mergeCell ref="W1118:W1121"/>
    <mergeCell ref="X1118:X1121"/>
    <mergeCell ref="Y1118:Y1121"/>
    <mergeCell ref="A1122:A1125"/>
    <mergeCell ref="B1122:B1125"/>
    <mergeCell ref="C1122:C1125"/>
    <mergeCell ref="D1122:D1125"/>
    <mergeCell ref="E1122:E1125"/>
    <mergeCell ref="F1122:F1125"/>
    <mergeCell ref="G1122:G1125"/>
    <mergeCell ref="H1122:H1125"/>
    <mergeCell ref="W1122:W1125"/>
    <mergeCell ref="X1122:X1125"/>
    <mergeCell ref="Y1122:Y1125"/>
    <mergeCell ref="A1126:A1129"/>
    <mergeCell ref="B1126:B1129"/>
    <mergeCell ref="C1126:C1129"/>
    <mergeCell ref="D1126:D1129"/>
    <mergeCell ref="E1126:E1129"/>
    <mergeCell ref="F1126:F1129"/>
    <mergeCell ref="G1126:G1129"/>
    <mergeCell ref="H1126:H1129"/>
    <mergeCell ref="W1126:W1129"/>
    <mergeCell ref="X1126:X1129"/>
    <mergeCell ref="Y1126:Y1129"/>
    <mergeCell ref="A1130:A1133"/>
    <mergeCell ref="B1130:B1133"/>
    <mergeCell ref="C1130:C1133"/>
    <mergeCell ref="D1130:D1133"/>
    <mergeCell ref="E1130:E1133"/>
    <mergeCell ref="F1130:F1133"/>
    <mergeCell ref="G1130:G1133"/>
    <mergeCell ref="H1130:H1133"/>
    <mergeCell ref="W1130:W1133"/>
    <mergeCell ref="X1130:X1133"/>
    <mergeCell ref="Y1130:Y1133"/>
    <mergeCell ref="A1134:A1137"/>
    <mergeCell ref="B1134:B1137"/>
    <mergeCell ref="C1134:C1137"/>
    <mergeCell ref="D1134:D1137"/>
    <mergeCell ref="E1134:E1137"/>
    <mergeCell ref="F1134:F1137"/>
    <mergeCell ref="G1134:G1137"/>
    <mergeCell ref="H1134:H1137"/>
    <mergeCell ref="W1134:W1137"/>
    <mergeCell ref="X1134:X1137"/>
    <mergeCell ref="Y1134:Y1137"/>
    <mergeCell ref="A1138:A1141"/>
    <mergeCell ref="B1138:B1141"/>
    <mergeCell ref="C1138:C1141"/>
    <mergeCell ref="D1138:D1141"/>
    <mergeCell ref="E1138:E1141"/>
    <mergeCell ref="F1138:F1141"/>
    <mergeCell ref="G1138:G1141"/>
    <mergeCell ref="H1138:H1141"/>
    <mergeCell ref="W1138:W1141"/>
    <mergeCell ref="X1138:X1141"/>
    <mergeCell ref="Y1138:Y1141"/>
    <mergeCell ref="A1142:A1145"/>
    <mergeCell ref="B1142:B1145"/>
    <mergeCell ref="C1142:C1145"/>
    <mergeCell ref="D1142:D1145"/>
    <mergeCell ref="E1142:E1145"/>
    <mergeCell ref="F1142:F1145"/>
    <mergeCell ref="G1142:G1145"/>
    <mergeCell ref="H1142:H1145"/>
    <mergeCell ref="W1142:W1145"/>
    <mergeCell ref="X1142:X1145"/>
    <mergeCell ref="Y1142:Y1145"/>
    <mergeCell ref="A1146:A1149"/>
    <mergeCell ref="B1146:B1149"/>
    <mergeCell ref="C1146:C1149"/>
    <mergeCell ref="D1146:D1149"/>
    <mergeCell ref="E1146:E1149"/>
    <mergeCell ref="F1146:F1149"/>
    <mergeCell ref="G1146:G1149"/>
    <mergeCell ref="H1146:H1149"/>
    <mergeCell ref="W1146:W1149"/>
    <mergeCell ref="X1146:X1149"/>
    <mergeCell ref="Y1146:Y1149"/>
    <mergeCell ref="A1150:A1153"/>
    <mergeCell ref="B1150:B1153"/>
    <mergeCell ref="C1150:C1153"/>
    <mergeCell ref="D1150:D1153"/>
    <mergeCell ref="E1150:E1153"/>
    <mergeCell ref="F1150:F1153"/>
    <mergeCell ref="G1150:G1153"/>
    <mergeCell ref="H1150:H1153"/>
    <mergeCell ref="W1150:W1153"/>
    <mergeCell ref="X1150:X1153"/>
    <mergeCell ref="Y1150:Y1153"/>
    <mergeCell ref="A1154:A1157"/>
    <mergeCell ref="B1154:B1157"/>
    <mergeCell ref="C1154:C1157"/>
    <mergeCell ref="D1154:D1157"/>
    <mergeCell ref="E1154:E1157"/>
    <mergeCell ref="F1154:F1157"/>
    <mergeCell ref="G1154:G1157"/>
    <mergeCell ref="H1154:H1157"/>
    <mergeCell ref="W1154:W1157"/>
    <mergeCell ref="X1154:X1157"/>
    <mergeCell ref="Y1154:Y1157"/>
    <mergeCell ref="A1158:A1161"/>
    <mergeCell ref="B1158:B1161"/>
    <mergeCell ref="C1158:C1161"/>
    <mergeCell ref="D1158:D1161"/>
    <mergeCell ref="E1158:E1161"/>
    <mergeCell ref="F1158:F1161"/>
    <mergeCell ref="G1158:G1161"/>
    <mergeCell ref="H1158:H1161"/>
    <mergeCell ref="W1158:W1161"/>
    <mergeCell ref="X1158:X1161"/>
    <mergeCell ref="Y1158:Y1161"/>
    <mergeCell ref="A1162:A1165"/>
    <mergeCell ref="B1162:B1165"/>
    <mergeCell ref="C1162:C1165"/>
    <mergeCell ref="D1162:D1165"/>
    <mergeCell ref="E1162:E1165"/>
    <mergeCell ref="F1162:F1165"/>
    <mergeCell ref="G1162:G1165"/>
    <mergeCell ref="H1162:H1165"/>
    <mergeCell ref="W1162:W1165"/>
    <mergeCell ref="X1162:X1165"/>
    <mergeCell ref="Y1162:Y1165"/>
    <mergeCell ref="A1166:A1169"/>
    <mergeCell ref="B1166:B1169"/>
    <mergeCell ref="C1166:C1169"/>
    <mergeCell ref="D1166:D1169"/>
    <mergeCell ref="E1166:E1169"/>
    <mergeCell ref="F1166:F1169"/>
    <mergeCell ref="G1166:G1169"/>
    <mergeCell ref="H1166:H1169"/>
    <mergeCell ref="W1166:W1169"/>
    <mergeCell ref="X1166:X1169"/>
    <mergeCell ref="Y1166:Y1169"/>
    <mergeCell ref="A1170:A1173"/>
    <mergeCell ref="B1170:B1173"/>
    <mergeCell ref="C1170:C1173"/>
    <mergeCell ref="D1170:D1173"/>
    <mergeCell ref="E1170:E1173"/>
    <mergeCell ref="F1170:F1173"/>
    <mergeCell ref="G1170:G1173"/>
    <mergeCell ref="H1170:H1173"/>
    <mergeCell ref="W1170:W1173"/>
    <mergeCell ref="X1170:X1173"/>
    <mergeCell ref="Y1170:Y1173"/>
    <mergeCell ref="A1174:A1177"/>
    <mergeCell ref="B1174:B1177"/>
    <mergeCell ref="C1174:C1177"/>
    <mergeCell ref="D1174:D1177"/>
    <mergeCell ref="E1174:E1177"/>
    <mergeCell ref="F1174:F1177"/>
    <mergeCell ref="G1174:G1177"/>
    <mergeCell ref="H1174:H1177"/>
    <mergeCell ref="W1174:W1177"/>
    <mergeCell ref="X1174:X1177"/>
    <mergeCell ref="Y1174:Y1177"/>
    <mergeCell ref="A1178:A1181"/>
    <mergeCell ref="B1178:B1181"/>
    <mergeCell ref="C1178:C1181"/>
    <mergeCell ref="D1178:D1181"/>
    <mergeCell ref="E1178:E1181"/>
    <mergeCell ref="F1178:F1181"/>
    <mergeCell ref="G1178:G1181"/>
    <mergeCell ref="H1178:H1181"/>
    <mergeCell ref="W1178:W1181"/>
    <mergeCell ref="X1178:X1181"/>
    <mergeCell ref="Y1178:Y1181"/>
    <mergeCell ref="A1182:A1185"/>
    <mergeCell ref="B1182:B1185"/>
    <mergeCell ref="C1182:C1185"/>
    <mergeCell ref="D1182:D1185"/>
    <mergeCell ref="E1182:E1185"/>
    <mergeCell ref="F1182:F1185"/>
    <mergeCell ref="G1182:G1185"/>
    <mergeCell ref="H1182:H1185"/>
    <mergeCell ref="W1182:W1185"/>
    <mergeCell ref="X1182:X1185"/>
    <mergeCell ref="Y1182:Y1185"/>
    <mergeCell ref="A1186:A1189"/>
    <mergeCell ref="B1186:B1189"/>
    <mergeCell ref="C1186:C1189"/>
    <mergeCell ref="D1186:D1189"/>
    <mergeCell ref="E1186:E1189"/>
    <mergeCell ref="F1186:F1189"/>
    <mergeCell ref="G1186:G1189"/>
    <mergeCell ref="H1186:H1189"/>
    <mergeCell ref="W1186:W1189"/>
    <mergeCell ref="X1186:X1189"/>
    <mergeCell ref="Y1186:Y1189"/>
    <mergeCell ref="A1190:A1193"/>
    <mergeCell ref="B1190:B1193"/>
    <mergeCell ref="C1190:C1193"/>
    <mergeCell ref="D1190:D1193"/>
    <mergeCell ref="E1190:E1193"/>
    <mergeCell ref="F1190:F1193"/>
    <mergeCell ref="G1190:G1193"/>
    <mergeCell ref="H1190:H1193"/>
    <mergeCell ref="W1190:W1193"/>
    <mergeCell ref="X1190:X1193"/>
    <mergeCell ref="Y1190:Y1193"/>
    <mergeCell ref="A1194:A1197"/>
    <mergeCell ref="B1194:B1197"/>
    <mergeCell ref="C1194:C1197"/>
    <mergeCell ref="D1194:D1197"/>
    <mergeCell ref="E1194:E1197"/>
    <mergeCell ref="F1194:F1197"/>
    <mergeCell ref="G1194:G1197"/>
    <mergeCell ref="H1194:H1197"/>
    <mergeCell ref="W1194:W1197"/>
    <mergeCell ref="X1194:X1197"/>
    <mergeCell ref="Y1194:Y1197"/>
    <mergeCell ref="A1198:A1201"/>
    <mergeCell ref="B1198:B1201"/>
    <mergeCell ref="C1198:C1201"/>
    <mergeCell ref="D1198:D1201"/>
    <mergeCell ref="E1198:E1201"/>
    <mergeCell ref="F1198:F1201"/>
    <mergeCell ref="G1198:G1201"/>
    <mergeCell ref="H1198:H1201"/>
    <mergeCell ref="W1198:W1201"/>
    <mergeCell ref="X1198:X1201"/>
    <mergeCell ref="Y1198:Y1201"/>
    <mergeCell ref="A1202:A1205"/>
    <mergeCell ref="B1202:B1205"/>
    <mergeCell ref="C1202:C1205"/>
    <mergeCell ref="D1202:D1205"/>
    <mergeCell ref="E1202:E1205"/>
    <mergeCell ref="F1202:F1205"/>
    <mergeCell ref="G1202:G1205"/>
    <mergeCell ref="H1202:H1205"/>
    <mergeCell ref="W1202:W1205"/>
    <mergeCell ref="X1202:X1205"/>
    <mergeCell ref="Y1202:Y1205"/>
    <mergeCell ref="A1206:A1209"/>
    <mergeCell ref="B1206:B1209"/>
    <mergeCell ref="C1206:C1209"/>
    <mergeCell ref="D1206:D1209"/>
    <mergeCell ref="E1206:E1209"/>
    <mergeCell ref="F1206:F1209"/>
    <mergeCell ref="G1206:G1209"/>
    <mergeCell ref="H1206:H1209"/>
    <mergeCell ref="W1206:W1209"/>
    <mergeCell ref="X1206:X1209"/>
    <mergeCell ref="Y1206:Y1209"/>
    <mergeCell ref="A1210:A1213"/>
    <mergeCell ref="B1210:B1213"/>
    <mergeCell ref="C1210:C1213"/>
    <mergeCell ref="D1210:D1213"/>
    <mergeCell ref="E1210:E1213"/>
    <mergeCell ref="F1210:F1213"/>
    <mergeCell ref="G1210:G1213"/>
    <mergeCell ref="H1210:H1213"/>
    <mergeCell ref="W1210:W1213"/>
    <mergeCell ref="X1210:X1213"/>
    <mergeCell ref="Y1210:Y1213"/>
    <mergeCell ref="A1214:A1217"/>
    <mergeCell ref="B1214:B1217"/>
    <mergeCell ref="C1214:C1217"/>
    <mergeCell ref="D1214:D1217"/>
    <mergeCell ref="E1214:E1217"/>
    <mergeCell ref="F1214:F1217"/>
    <mergeCell ref="G1214:G1217"/>
    <mergeCell ref="H1214:H1217"/>
    <mergeCell ref="W1214:W1217"/>
    <mergeCell ref="X1214:X1217"/>
    <mergeCell ref="Y1214:Y1217"/>
    <mergeCell ref="A1218:A1221"/>
    <mergeCell ref="B1218:B1221"/>
    <mergeCell ref="C1218:C1221"/>
    <mergeCell ref="D1218:D1221"/>
    <mergeCell ref="E1218:E1221"/>
    <mergeCell ref="F1218:F1221"/>
    <mergeCell ref="G1218:G1221"/>
    <mergeCell ref="H1218:H1221"/>
    <mergeCell ref="W1218:W1221"/>
    <mergeCell ref="X1218:X1221"/>
    <mergeCell ref="Y1218:Y1221"/>
    <mergeCell ref="A1222:A1225"/>
    <mergeCell ref="B1222:B1225"/>
    <mergeCell ref="C1222:C1225"/>
    <mergeCell ref="D1222:D1225"/>
    <mergeCell ref="E1222:E1225"/>
    <mergeCell ref="F1222:F1225"/>
    <mergeCell ref="G1222:G1225"/>
    <mergeCell ref="H1222:H1225"/>
    <mergeCell ref="W1222:W1225"/>
    <mergeCell ref="X1222:X1225"/>
    <mergeCell ref="Y1222:Y1225"/>
    <mergeCell ref="A1226:A1229"/>
    <mergeCell ref="B1226:B1229"/>
    <mergeCell ref="C1226:C1229"/>
    <mergeCell ref="D1226:D1229"/>
    <mergeCell ref="E1226:E1229"/>
    <mergeCell ref="F1226:F1229"/>
    <mergeCell ref="G1226:G1229"/>
    <mergeCell ref="H1226:H1229"/>
    <mergeCell ref="W1226:W1229"/>
    <mergeCell ref="X1226:X1229"/>
    <mergeCell ref="Y1226:Y1229"/>
    <mergeCell ref="A1230:A1233"/>
    <mergeCell ref="B1230:B1233"/>
    <mergeCell ref="C1230:C1233"/>
    <mergeCell ref="D1230:D1233"/>
    <mergeCell ref="E1230:E1233"/>
    <mergeCell ref="F1230:F1233"/>
    <mergeCell ref="G1230:G1233"/>
    <mergeCell ref="H1230:H1233"/>
    <mergeCell ref="W1230:W1233"/>
    <mergeCell ref="X1230:X1233"/>
    <mergeCell ref="Y1230:Y1233"/>
    <mergeCell ref="A1234:A1237"/>
    <mergeCell ref="B1234:B1237"/>
    <mergeCell ref="C1234:C1237"/>
    <mergeCell ref="D1234:D1237"/>
    <mergeCell ref="E1234:E1237"/>
    <mergeCell ref="F1234:F1237"/>
    <mergeCell ref="G1234:G1237"/>
    <mergeCell ref="H1234:H1237"/>
    <mergeCell ref="W1234:W1237"/>
    <mergeCell ref="X1234:X1237"/>
    <mergeCell ref="Y1234:Y1237"/>
    <mergeCell ref="A1238:A1241"/>
    <mergeCell ref="B1238:B1241"/>
    <mergeCell ref="C1238:C1241"/>
    <mergeCell ref="D1238:D1241"/>
    <mergeCell ref="E1238:E1241"/>
    <mergeCell ref="F1238:F1241"/>
    <mergeCell ref="G1238:G1241"/>
    <mergeCell ref="H1238:H1241"/>
    <mergeCell ref="W1238:W1241"/>
    <mergeCell ref="X1238:X1241"/>
    <mergeCell ref="Y1238:Y1241"/>
    <mergeCell ref="A1242:A1245"/>
    <mergeCell ref="B1242:B1245"/>
    <mergeCell ref="C1242:C1245"/>
    <mergeCell ref="D1242:D1245"/>
    <mergeCell ref="E1242:E1245"/>
    <mergeCell ref="F1242:F1245"/>
    <mergeCell ref="G1242:G1245"/>
    <mergeCell ref="H1242:H1245"/>
    <mergeCell ref="W1242:W1245"/>
    <mergeCell ref="X1242:X1245"/>
    <mergeCell ref="Y1242:Y1245"/>
    <mergeCell ref="A1246:A1249"/>
    <mergeCell ref="B1246:B1249"/>
    <mergeCell ref="C1246:C1249"/>
    <mergeCell ref="D1246:D1249"/>
    <mergeCell ref="E1246:E1249"/>
    <mergeCell ref="F1246:F1249"/>
    <mergeCell ref="G1246:G1249"/>
    <mergeCell ref="H1246:H1249"/>
    <mergeCell ref="W1246:W1249"/>
    <mergeCell ref="X1246:X1249"/>
    <mergeCell ref="Y1246:Y1249"/>
    <mergeCell ref="A1250:A1253"/>
    <mergeCell ref="B1250:B1253"/>
    <mergeCell ref="C1250:C1253"/>
    <mergeCell ref="D1250:D1253"/>
    <mergeCell ref="E1250:E1253"/>
    <mergeCell ref="F1250:F1253"/>
    <mergeCell ref="G1250:G1253"/>
    <mergeCell ref="H1250:H1253"/>
    <mergeCell ref="W1250:W1253"/>
    <mergeCell ref="X1250:X1253"/>
    <mergeCell ref="Y1250:Y1253"/>
    <mergeCell ref="A1254:A1257"/>
    <mergeCell ref="B1254:B1257"/>
    <mergeCell ref="C1254:C1257"/>
    <mergeCell ref="D1254:D1257"/>
    <mergeCell ref="E1254:E1257"/>
    <mergeCell ref="F1254:F1257"/>
    <mergeCell ref="G1254:G1257"/>
    <mergeCell ref="H1254:H1257"/>
    <mergeCell ref="W1254:W1257"/>
    <mergeCell ref="X1254:X1257"/>
    <mergeCell ref="Y1254:Y1257"/>
    <mergeCell ref="A1258:A1261"/>
    <mergeCell ref="B1258:B1261"/>
    <mergeCell ref="C1258:C1261"/>
    <mergeCell ref="D1258:D1261"/>
    <mergeCell ref="E1258:E1261"/>
    <mergeCell ref="F1258:F1261"/>
    <mergeCell ref="G1258:G1261"/>
    <mergeCell ref="H1258:H1261"/>
    <mergeCell ref="W1258:W1261"/>
    <mergeCell ref="X1258:X1261"/>
    <mergeCell ref="Y1258:Y1261"/>
    <mergeCell ref="A1262:A1265"/>
    <mergeCell ref="B1262:B1265"/>
    <mergeCell ref="C1262:C1265"/>
    <mergeCell ref="D1262:D1265"/>
    <mergeCell ref="E1262:E1265"/>
    <mergeCell ref="F1262:F1265"/>
    <mergeCell ref="G1262:G1265"/>
    <mergeCell ref="H1262:H1265"/>
    <mergeCell ref="W1262:W1265"/>
    <mergeCell ref="X1262:X1265"/>
    <mergeCell ref="Y1262:Y1265"/>
    <mergeCell ref="A1266:A1269"/>
    <mergeCell ref="B1266:B1269"/>
    <mergeCell ref="C1266:C1269"/>
    <mergeCell ref="D1266:D1269"/>
    <mergeCell ref="E1266:E1269"/>
    <mergeCell ref="F1266:F1269"/>
    <mergeCell ref="G1266:G1269"/>
    <mergeCell ref="H1266:H1269"/>
    <mergeCell ref="W1266:W1269"/>
    <mergeCell ref="X1266:X1269"/>
    <mergeCell ref="Y1266:Y1269"/>
    <mergeCell ref="A1270:A1273"/>
    <mergeCell ref="B1270:B1273"/>
    <mergeCell ref="C1270:C1273"/>
    <mergeCell ref="D1270:D1273"/>
    <mergeCell ref="E1270:E1273"/>
    <mergeCell ref="F1270:F1273"/>
    <mergeCell ref="G1270:G1273"/>
    <mergeCell ref="H1270:H1273"/>
    <mergeCell ref="W1270:W1273"/>
    <mergeCell ref="X1270:X1273"/>
    <mergeCell ref="Y1270:Y1273"/>
    <mergeCell ref="A1274:A1277"/>
    <mergeCell ref="B1274:B1277"/>
    <mergeCell ref="C1274:C1277"/>
    <mergeCell ref="D1274:D1277"/>
    <mergeCell ref="E1274:E1277"/>
    <mergeCell ref="F1274:F1277"/>
    <mergeCell ref="G1274:G1277"/>
    <mergeCell ref="H1274:H1277"/>
    <mergeCell ref="W1274:W1277"/>
    <mergeCell ref="X1274:X1277"/>
    <mergeCell ref="Y1274:Y1277"/>
    <mergeCell ref="A1278:A1281"/>
    <mergeCell ref="B1278:B1281"/>
    <mergeCell ref="C1278:C1281"/>
    <mergeCell ref="D1278:D1281"/>
    <mergeCell ref="E1278:E1281"/>
    <mergeCell ref="F1278:F1281"/>
    <mergeCell ref="G1278:G1281"/>
    <mergeCell ref="H1278:H1281"/>
    <mergeCell ref="W1278:W1281"/>
    <mergeCell ref="X1278:X1281"/>
    <mergeCell ref="Y1278:Y1281"/>
    <mergeCell ref="A1282:A1285"/>
    <mergeCell ref="B1282:B1285"/>
    <mergeCell ref="C1282:C1285"/>
    <mergeCell ref="D1282:D1285"/>
    <mergeCell ref="E1282:E1285"/>
    <mergeCell ref="F1282:F1285"/>
    <mergeCell ref="G1282:G1285"/>
    <mergeCell ref="H1282:H1285"/>
    <mergeCell ref="W1282:W1285"/>
    <mergeCell ref="X1282:X1285"/>
    <mergeCell ref="Y1282:Y1285"/>
    <mergeCell ref="A1286:A1289"/>
    <mergeCell ref="B1286:B1289"/>
    <mergeCell ref="C1286:C1289"/>
    <mergeCell ref="D1286:D1289"/>
    <mergeCell ref="E1286:E1289"/>
    <mergeCell ref="F1286:F1289"/>
    <mergeCell ref="G1286:G1289"/>
    <mergeCell ref="H1286:H1289"/>
    <mergeCell ref="W1286:W1289"/>
    <mergeCell ref="X1286:X1289"/>
    <mergeCell ref="Y1286:Y1289"/>
    <mergeCell ref="A1290:A1293"/>
    <mergeCell ref="B1290:B1293"/>
    <mergeCell ref="C1290:C1293"/>
    <mergeCell ref="D1290:D1293"/>
    <mergeCell ref="E1290:E1293"/>
    <mergeCell ref="F1290:F1293"/>
    <mergeCell ref="G1290:G1293"/>
    <mergeCell ref="H1290:H1293"/>
    <mergeCell ref="W1290:W1293"/>
    <mergeCell ref="X1290:X1293"/>
    <mergeCell ref="Y1290:Y1293"/>
    <mergeCell ref="A1294:A1297"/>
    <mergeCell ref="B1294:B1297"/>
    <mergeCell ref="C1294:C1297"/>
    <mergeCell ref="D1294:D1297"/>
    <mergeCell ref="E1294:E1297"/>
    <mergeCell ref="F1294:F1297"/>
    <mergeCell ref="G1294:G1297"/>
    <mergeCell ref="H1294:H1297"/>
    <mergeCell ref="W1294:W1297"/>
    <mergeCell ref="X1294:X1297"/>
    <mergeCell ref="Y1294:Y1297"/>
    <mergeCell ref="A1298:A1301"/>
    <mergeCell ref="B1298:B1301"/>
    <mergeCell ref="C1298:C1301"/>
    <mergeCell ref="D1298:D1301"/>
    <mergeCell ref="E1298:E1301"/>
    <mergeCell ref="F1298:F1301"/>
    <mergeCell ref="G1298:G1301"/>
    <mergeCell ref="H1298:H1301"/>
    <mergeCell ref="W1298:W1301"/>
    <mergeCell ref="X1298:X1301"/>
    <mergeCell ref="Y1298:Y1301"/>
    <mergeCell ref="A1302:A1305"/>
    <mergeCell ref="B1302:B1305"/>
    <mergeCell ref="C1302:C1305"/>
    <mergeCell ref="D1302:D1305"/>
    <mergeCell ref="E1302:E1305"/>
    <mergeCell ref="F1302:F1305"/>
    <mergeCell ref="G1302:G1305"/>
    <mergeCell ref="H1302:H1305"/>
    <mergeCell ref="W1302:W1305"/>
    <mergeCell ref="X1302:X1305"/>
    <mergeCell ref="Y1302:Y1305"/>
    <mergeCell ref="A1306:A1309"/>
    <mergeCell ref="B1306:B1309"/>
    <mergeCell ref="C1306:C1309"/>
    <mergeCell ref="D1306:D1309"/>
    <mergeCell ref="E1306:E1309"/>
    <mergeCell ref="F1306:F1309"/>
    <mergeCell ref="G1306:G1309"/>
    <mergeCell ref="H1306:H1309"/>
    <mergeCell ref="W1306:W1309"/>
    <mergeCell ref="X1306:X1309"/>
    <mergeCell ref="Y1306:Y1309"/>
    <mergeCell ref="A1310:A1313"/>
    <mergeCell ref="B1310:B1313"/>
    <mergeCell ref="C1310:C1313"/>
    <mergeCell ref="D1310:D1313"/>
    <mergeCell ref="E1310:E1313"/>
    <mergeCell ref="F1310:F1313"/>
    <mergeCell ref="G1310:G1313"/>
    <mergeCell ref="H1310:H1313"/>
    <mergeCell ref="W1310:W1313"/>
    <mergeCell ref="X1310:X1313"/>
    <mergeCell ref="Y1310:Y1313"/>
    <mergeCell ref="A1314:A1317"/>
    <mergeCell ref="B1314:B1317"/>
    <mergeCell ref="C1314:C1317"/>
    <mergeCell ref="D1314:D1317"/>
    <mergeCell ref="E1314:E1317"/>
    <mergeCell ref="F1314:F1317"/>
    <mergeCell ref="G1314:G1317"/>
    <mergeCell ref="H1314:H1317"/>
    <mergeCell ref="W1314:W1317"/>
    <mergeCell ref="X1314:X1317"/>
    <mergeCell ref="Y1314:Y1317"/>
    <mergeCell ref="A1318:A1321"/>
    <mergeCell ref="B1318:B1321"/>
    <mergeCell ref="C1318:C1321"/>
    <mergeCell ref="D1318:D1321"/>
    <mergeCell ref="E1318:E1321"/>
    <mergeCell ref="F1318:F1321"/>
    <mergeCell ref="G1318:G1321"/>
    <mergeCell ref="H1318:H1321"/>
    <mergeCell ref="W1318:W1321"/>
    <mergeCell ref="X1318:X1321"/>
    <mergeCell ref="Y1318:Y1321"/>
    <mergeCell ref="A1322:A1325"/>
    <mergeCell ref="B1322:B1325"/>
    <mergeCell ref="C1322:C1325"/>
    <mergeCell ref="D1322:D1325"/>
    <mergeCell ref="E1322:E1325"/>
    <mergeCell ref="F1322:F1325"/>
    <mergeCell ref="G1322:G1325"/>
    <mergeCell ref="H1322:H1325"/>
    <mergeCell ref="W1322:W1325"/>
    <mergeCell ref="X1322:X1325"/>
    <mergeCell ref="Y1322:Y1325"/>
    <mergeCell ref="A1326:A1329"/>
    <mergeCell ref="B1326:B1329"/>
    <mergeCell ref="C1326:C1329"/>
    <mergeCell ref="D1326:D1329"/>
    <mergeCell ref="E1326:E1329"/>
    <mergeCell ref="F1326:F1329"/>
    <mergeCell ref="G1326:G1329"/>
    <mergeCell ref="H1326:H1329"/>
    <mergeCell ref="W1326:W1329"/>
    <mergeCell ref="X1326:X1329"/>
    <mergeCell ref="Y1326:Y1329"/>
    <mergeCell ref="A1330:A1333"/>
    <mergeCell ref="B1330:B1333"/>
    <mergeCell ref="C1330:C1333"/>
    <mergeCell ref="D1330:D1333"/>
    <mergeCell ref="E1330:E1333"/>
    <mergeCell ref="F1330:F1333"/>
    <mergeCell ref="G1330:G1333"/>
    <mergeCell ref="H1330:H1333"/>
    <mergeCell ref="W1330:W1333"/>
    <mergeCell ref="X1330:X1333"/>
    <mergeCell ref="Y1330:Y1333"/>
    <mergeCell ref="A1334:A1337"/>
    <mergeCell ref="B1334:B1337"/>
    <mergeCell ref="C1334:C1337"/>
    <mergeCell ref="D1334:D1337"/>
    <mergeCell ref="E1334:E1337"/>
    <mergeCell ref="F1334:F1337"/>
    <mergeCell ref="G1334:G1337"/>
    <mergeCell ref="H1334:H1337"/>
    <mergeCell ref="W1334:W1337"/>
    <mergeCell ref="X1334:X1337"/>
    <mergeCell ref="Y1334:Y1337"/>
    <mergeCell ref="A1338:A1341"/>
    <mergeCell ref="B1338:B1341"/>
    <mergeCell ref="C1338:C1341"/>
    <mergeCell ref="D1338:D1341"/>
    <mergeCell ref="E1338:E1341"/>
    <mergeCell ref="F1338:F1341"/>
    <mergeCell ref="G1338:G1341"/>
    <mergeCell ref="H1338:H1341"/>
    <mergeCell ref="W1338:W1341"/>
    <mergeCell ref="X1338:X1341"/>
    <mergeCell ref="Y1338:Y1341"/>
    <mergeCell ref="A1342:A1345"/>
    <mergeCell ref="B1342:B1345"/>
    <mergeCell ref="C1342:C1345"/>
    <mergeCell ref="D1342:D1345"/>
    <mergeCell ref="E1342:E1345"/>
    <mergeCell ref="F1342:F1345"/>
    <mergeCell ref="G1342:G1345"/>
    <mergeCell ref="H1342:H1345"/>
    <mergeCell ref="W1342:W1345"/>
    <mergeCell ref="X1342:X1345"/>
    <mergeCell ref="Y1342:Y1345"/>
    <mergeCell ref="A1346:A1349"/>
    <mergeCell ref="B1346:B1349"/>
    <mergeCell ref="C1346:C1349"/>
    <mergeCell ref="D1346:D1349"/>
    <mergeCell ref="E1346:E1349"/>
    <mergeCell ref="F1346:F1349"/>
    <mergeCell ref="G1346:G1349"/>
    <mergeCell ref="H1346:H1349"/>
    <mergeCell ref="W1346:W1349"/>
    <mergeCell ref="X1346:X1349"/>
    <mergeCell ref="Y1346:Y1349"/>
    <mergeCell ref="A1350:A1353"/>
    <mergeCell ref="B1350:B1353"/>
    <mergeCell ref="C1350:C1353"/>
    <mergeCell ref="D1350:D1353"/>
    <mergeCell ref="E1350:E1353"/>
    <mergeCell ref="F1350:F1353"/>
    <mergeCell ref="G1350:G1353"/>
    <mergeCell ref="H1350:H1353"/>
    <mergeCell ref="W1350:W1353"/>
    <mergeCell ref="X1350:X1353"/>
    <mergeCell ref="Y1350:Y1353"/>
    <mergeCell ref="A1354:A1357"/>
    <mergeCell ref="B1354:B1357"/>
    <mergeCell ref="C1354:C1357"/>
    <mergeCell ref="D1354:D1357"/>
    <mergeCell ref="E1354:E1357"/>
    <mergeCell ref="F1354:F1357"/>
    <mergeCell ref="G1354:G1357"/>
    <mergeCell ref="H1354:H1357"/>
    <mergeCell ref="W1354:W1357"/>
    <mergeCell ref="X1354:X1357"/>
    <mergeCell ref="Y1354:Y1357"/>
    <mergeCell ref="A1358:A1361"/>
    <mergeCell ref="B1358:B1361"/>
    <mergeCell ref="C1358:C1361"/>
    <mergeCell ref="D1358:D1361"/>
    <mergeCell ref="E1358:E1361"/>
    <mergeCell ref="F1358:F1361"/>
    <mergeCell ref="G1358:G1361"/>
    <mergeCell ref="H1358:H1361"/>
    <mergeCell ref="W1358:W1361"/>
    <mergeCell ref="X1358:X1361"/>
    <mergeCell ref="Y1358:Y1361"/>
    <mergeCell ref="A1362:A1365"/>
    <mergeCell ref="B1362:B1365"/>
    <mergeCell ref="C1362:C1365"/>
    <mergeCell ref="D1362:D1365"/>
    <mergeCell ref="E1362:E1365"/>
    <mergeCell ref="F1362:F1365"/>
    <mergeCell ref="G1362:G1365"/>
    <mergeCell ref="H1362:H1365"/>
    <mergeCell ref="W1362:W1365"/>
    <mergeCell ref="X1362:X1365"/>
    <mergeCell ref="Y1362:Y1365"/>
    <mergeCell ref="A1366:A1369"/>
    <mergeCell ref="B1366:B1369"/>
    <mergeCell ref="C1366:C1369"/>
    <mergeCell ref="D1366:D1369"/>
    <mergeCell ref="E1366:E1369"/>
    <mergeCell ref="F1366:F1369"/>
    <mergeCell ref="G1366:G1369"/>
    <mergeCell ref="H1366:H1369"/>
    <mergeCell ref="W1366:W1369"/>
    <mergeCell ref="X1366:X1369"/>
    <mergeCell ref="Y1366:Y1369"/>
    <mergeCell ref="A1370:A1373"/>
    <mergeCell ref="B1370:B1373"/>
    <mergeCell ref="C1370:C1373"/>
    <mergeCell ref="D1370:D1373"/>
    <mergeCell ref="E1370:E1373"/>
    <mergeCell ref="F1370:F1373"/>
    <mergeCell ref="G1370:G1373"/>
    <mergeCell ref="H1370:H1373"/>
    <mergeCell ref="W1370:W1373"/>
    <mergeCell ref="X1370:X1373"/>
    <mergeCell ref="Y1370:Y1373"/>
    <mergeCell ref="A1374:A1377"/>
    <mergeCell ref="B1374:B1377"/>
    <mergeCell ref="C1374:C1377"/>
    <mergeCell ref="D1374:D1377"/>
    <mergeCell ref="E1374:E1377"/>
    <mergeCell ref="F1374:F1377"/>
    <mergeCell ref="G1374:G1377"/>
    <mergeCell ref="H1374:H1377"/>
    <mergeCell ref="W1374:W1377"/>
    <mergeCell ref="X1374:X1377"/>
    <mergeCell ref="Y1374:Y1377"/>
    <mergeCell ref="A1378:A1381"/>
    <mergeCell ref="B1378:B1381"/>
    <mergeCell ref="C1378:C1381"/>
    <mergeCell ref="D1378:D1381"/>
    <mergeCell ref="E1378:E1381"/>
    <mergeCell ref="F1378:F1381"/>
    <mergeCell ref="G1378:G1381"/>
    <mergeCell ref="H1378:H1381"/>
    <mergeCell ref="W1378:W1381"/>
    <mergeCell ref="X1378:X1381"/>
    <mergeCell ref="Y1378:Y1381"/>
    <mergeCell ref="A1382:A1385"/>
    <mergeCell ref="B1382:B1385"/>
    <mergeCell ref="C1382:C1385"/>
    <mergeCell ref="D1382:D1385"/>
    <mergeCell ref="E1382:E1385"/>
    <mergeCell ref="F1382:F1385"/>
    <mergeCell ref="G1382:G1385"/>
    <mergeCell ref="H1382:H1385"/>
    <mergeCell ref="W1382:W1385"/>
    <mergeCell ref="X1382:X1385"/>
    <mergeCell ref="Y1382:Y1385"/>
    <mergeCell ref="A1386:A1389"/>
    <mergeCell ref="B1386:B1389"/>
    <mergeCell ref="C1386:C1389"/>
    <mergeCell ref="D1386:D1389"/>
    <mergeCell ref="E1386:E1389"/>
    <mergeCell ref="F1386:F1389"/>
    <mergeCell ref="G1386:G1389"/>
    <mergeCell ref="H1386:H1389"/>
    <mergeCell ref="W1386:W1389"/>
    <mergeCell ref="X1386:X1389"/>
    <mergeCell ref="Y1386:Y1389"/>
    <mergeCell ref="A1390:A1393"/>
    <mergeCell ref="B1390:B1393"/>
    <mergeCell ref="C1390:C1393"/>
    <mergeCell ref="D1390:D1393"/>
    <mergeCell ref="E1390:E1393"/>
    <mergeCell ref="F1390:F1393"/>
    <mergeCell ref="G1390:G1393"/>
    <mergeCell ref="H1390:H1393"/>
    <mergeCell ref="W1390:W1393"/>
    <mergeCell ref="X1390:X1393"/>
    <mergeCell ref="Y1390:Y1393"/>
    <mergeCell ref="A1394:A1397"/>
    <mergeCell ref="B1394:B1397"/>
    <mergeCell ref="C1394:C1397"/>
    <mergeCell ref="D1394:D1397"/>
    <mergeCell ref="E1394:E1397"/>
    <mergeCell ref="F1394:F1397"/>
    <mergeCell ref="G1394:G1397"/>
    <mergeCell ref="H1394:H1397"/>
    <mergeCell ref="W1394:W1397"/>
    <mergeCell ref="X1394:X1397"/>
    <mergeCell ref="Y1394:Y1397"/>
    <mergeCell ref="A1398:A1401"/>
    <mergeCell ref="B1398:B1401"/>
    <mergeCell ref="C1398:C1401"/>
    <mergeCell ref="D1398:D1401"/>
    <mergeCell ref="E1398:E1401"/>
    <mergeCell ref="F1398:F1401"/>
    <mergeCell ref="G1398:G1401"/>
    <mergeCell ref="H1398:H1401"/>
    <mergeCell ref="W1398:W1401"/>
    <mergeCell ref="X1398:X1401"/>
    <mergeCell ref="Y1398:Y1401"/>
    <mergeCell ref="A1402:A1405"/>
    <mergeCell ref="B1402:B1405"/>
    <mergeCell ref="C1402:C1405"/>
    <mergeCell ref="D1402:D1405"/>
    <mergeCell ref="E1402:E1405"/>
    <mergeCell ref="F1402:F1405"/>
    <mergeCell ref="G1402:G1405"/>
    <mergeCell ref="H1402:H1405"/>
    <mergeCell ref="W1402:W1405"/>
    <mergeCell ref="X1402:X1405"/>
    <mergeCell ref="Y1402:Y1405"/>
    <mergeCell ref="A1406:A1409"/>
    <mergeCell ref="B1406:B1409"/>
    <mergeCell ref="C1406:C1409"/>
    <mergeCell ref="D1406:D1409"/>
    <mergeCell ref="E1406:E1409"/>
    <mergeCell ref="F1406:F1409"/>
    <mergeCell ref="G1406:G1409"/>
    <mergeCell ref="H1406:H1409"/>
    <mergeCell ref="W1406:W1409"/>
    <mergeCell ref="X1406:X1409"/>
    <mergeCell ref="Y1406:Y1409"/>
    <mergeCell ref="A1410:A1413"/>
    <mergeCell ref="B1410:B1413"/>
    <mergeCell ref="C1410:C1413"/>
    <mergeCell ref="D1410:D1413"/>
    <mergeCell ref="E1410:E1413"/>
    <mergeCell ref="F1410:F1413"/>
    <mergeCell ref="G1410:G1413"/>
    <mergeCell ref="H1410:H1413"/>
    <mergeCell ref="W1410:W1413"/>
    <mergeCell ref="X1410:X1413"/>
    <mergeCell ref="Y1410:Y1413"/>
    <mergeCell ref="A1414:A1417"/>
    <mergeCell ref="B1414:B1417"/>
    <mergeCell ref="C1414:C1417"/>
    <mergeCell ref="D1414:D1417"/>
    <mergeCell ref="E1414:E1417"/>
    <mergeCell ref="F1414:F1417"/>
    <mergeCell ref="G1414:G1417"/>
    <mergeCell ref="H1414:H1417"/>
    <mergeCell ref="W1414:W1417"/>
    <mergeCell ref="X1414:X1417"/>
    <mergeCell ref="Y1414:Y1417"/>
    <mergeCell ref="A1418:A1421"/>
    <mergeCell ref="B1418:B1421"/>
    <mergeCell ref="C1418:C1421"/>
    <mergeCell ref="D1418:D1421"/>
    <mergeCell ref="E1418:E1421"/>
    <mergeCell ref="F1418:F1421"/>
    <mergeCell ref="G1418:G1421"/>
    <mergeCell ref="H1418:H1421"/>
    <mergeCell ref="W1418:W1421"/>
    <mergeCell ref="X1418:X1421"/>
    <mergeCell ref="Y1418:Y1421"/>
    <mergeCell ref="A1422:A1425"/>
    <mergeCell ref="B1422:B1425"/>
    <mergeCell ref="C1422:C1425"/>
    <mergeCell ref="D1422:D1425"/>
    <mergeCell ref="E1422:E1425"/>
    <mergeCell ref="F1422:F1425"/>
    <mergeCell ref="G1422:G1425"/>
    <mergeCell ref="H1422:H1425"/>
    <mergeCell ref="W1422:W1425"/>
    <mergeCell ref="X1422:X1425"/>
    <mergeCell ref="Y1422:Y1425"/>
    <mergeCell ref="A1426:A1429"/>
    <mergeCell ref="B1426:B1429"/>
    <mergeCell ref="C1426:C1429"/>
    <mergeCell ref="D1426:D1429"/>
    <mergeCell ref="E1426:E1429"/>
    <mergeCell ref="F1426:F1429"/>
    <mergeCell ref="G1426:G1429"/>
    <mergeCell ref="H1426:H1429"/>
    <mergeCell ref="W1426:W1429"/>
    <mergeCell ref="X1426:X1429"/>
    <mergeCell ref="Y1426:Y1429"/>
    <mergeCell ref="A1430:A1433"/>
    <mergeCell ref="B1430:B1433"/>
    <mergeCell ref="C1430:C1433"/>
    <mergeCell ref="D1430:D1433"/>
    <mergeCell ref="E1430:E1433"/>
    <mergeCell ref="F1430:F1433"/>
    <mergeCell ref="G1430:G1433"/>
    <mergeCell ref="H1430:H1433"/>
    <mergeCell ref="W1430:W1433"/>
    <mergeCell ref="X1430:X1433"/>
    <mergeCell ref="Y1430:Y1433"/>
    <mergeCell ref="A1434:A1437"/>
    <mergeCell ref="B1434:B1437"/>
    <mergeCell ref="C1434:C1437"/>
    <mergeCell ref="D1434:D1437"/>
    <mergeCell ref="E1434:E1437"/>
    <mergeCell ref="F1434:F1437"/>
    <mergeCell ref="G1434:G1437"/>
    <mergeCell ref="H1434:H1437"/>
    <mergeCell ref="W1434:W1437"/>
    <mergeCell ref="X1434:X1437"/>
    <mergeCell ref="Y1434:Y1437"/>
    <mergeCell ref="A1438:A1441"/>
    <mergeCell ref="B1438:B1441"/>
    <mergeCell ref="C1438:C1441"/>
    <mergeCell ref="D1438:D1441"/>
    <mergeCell ref="E1438:E1441"/>
    <mergeCell ref="F1438:F1441"/>
    <mergeCell ref="G1438:G1441"/>
    <mergeCell ref="H1438:H1441"/>
    <mergeCell ref="W1438:W1441"/>
    <mergeCell ref="X1438:X1441"/>
    <mergeCell ref="Y1438:Y1441"/>
    <mergeCell ref="A1442:A1445"/>
    <mergeCell ref="B1442:B1445"/>
    <mergeCell ref="C1442:C1445"/>
    <mergeCell ref="D1442:D1445"/>
    <mergeCell ref="E1442:E1445"/>
    <mergeCell ref="F1442:F1445"/>
    <mergeCell ref="G1442:G1445"/>
    <mergeCell ref="H1442:H1445"/>
    <mergeCell ref="W1442:W1445"/>
    <mergeCell ref="X1442:X1445"/>
    <mergeCell ref="Y1442:Y1445"/>
    <mergeCell ref="A1446:A1449"/>
    <mergeCell ref="B1446:B1449"/>
    <mergeCell ref="C1446:C1449"/>
    <mergeCell ref="D1446:D1449"/>
    <mergeCell ref="E1446:E1449"/>
    <mergeCell ref="F1446:F1449"/>
    <mergeCell ref="G1446:G1449"/>
    <mergeCell ref="H1446:H1449"/>
    <mergeCell ref="W1446:W1449"/>
    <mergeCell ref="X1446:X1449"/>
    <mergeCell ref="Y1446:Y1449"/>
    <mergeCell ref="A1450:A1453"/>
    <mergeCell ref="B1450:B1453"/>
    <mergeCell ref="C1450:C1453"/>
    <mergeCell ref="D1450:D1453"/>
    <mergeCell ref="E1450:E1453"/>
    <mergeCell ref="F1450:F1453"/>
    <mergeCell ref="G1450:G1453"/>
    <mergeCell ref="H1450:H1453"/>
    <mergeCell ref="W1450:W1453"/>
    <mergeCell ref="X1450:X1453"/>
    <mergeCell ref="Y1450:Y1453"/>
    <mergeCell ref="A1454:A1457"/>
    <mergeCell ref="B1454:B1457"/>
    <mergeCell ref="C1454:C1457"/>
    <mergeCell ref="D1454:D1457"/>
    <mergeCell ref="E1454:E1457"/>
    <mergeCell ref="F1454:F1457"/>
    <mergeCell ref="G1454:G1457"/>
    <mergeCell ref="H1454:H1457"/>
    <mergeCell ref="W1454:W1457"/>
    <mergeCell ref="X1454:X1457"/>
    <mergeCell ref="Y1454:Y1457"/>
    <mergeCell ref="A1458:A1461"/>
    <mergeCell ref="B1458:B1461"/>
    <mergeCell ref="C1458:C1461"/>
    <mergeCell ref="D1458:D1461"/>
    <mergeCell ref="E1458:E1461"/>
    <mergeCell ref="F1458:F1461"/>
    <mergeCell ref="G1458:G1461"/>
    <mergeCell ref="H1458:H1461"/>
    <mergeCell ref="W1458:W1461"/>
    <mergeCell ref="X1458:X1461"/>
    <mergeCell ref="Y1458:Y1461"/>
    <mergeCell ref="A1462:A1465"/>
    <mergeCell ref="B1462:B1465"/>
    <mergeCell ref="C1462:C1465"/>
    <mergeCell ref="D1462:D1465"/>
    <mergeCell ref="E1462:E1465"/>
    <mergeCell ref="F1462:F1465"/>
    <mergeCell ref="G1462:G1465"/>
    <mergeCell ref="H1462:H1465"/>
    <mergeCell ref="W1462:W1465"/>
    <mergeCell ref="X1462:X1465"/>
    <mergeCell ref="Y1462:Y1465"/>
    <mergeCell ref="A1466:A1469"/>
    <mergeCell ref="B1466:B1469"/>
    <mergeCell ref="C1466:C1469"/>
    <mergeCell ref="D1466:D1469"/>
    <mergeCell ref="E1466:E1469"/>
    <mergeCell ref="F1466:F1469"/>
    <mergeCell ref="G1466:G1469"/>
    <mergeCell ref="H1466:H1469"/>
    <mergeCell ref="W1466:W1469"/>
    <mergeCell ref="X1466:X1469"/>
    <mergeCell ref="Y1466:Y1469"/>
    <mergeCell ref="A1470:A1473"/>
    <mergeCell ref="B1470:B1473"/>
    <mergeCell ref="C1470:C1473"/>
    <mergeCell ref="D1470:D1473"/>
    <mergeCell ref="E1470:E1473"/>
    <mergeCell ref="F1470:F1473"/>
    <mergeCell ref="G1470:G1473"/>
    <mergeCell ref="H1470:H1473"/>
    <mergeCell ref="W1470:W1473"/>
    <mergeCell ref="X1470:X1473"/>
    <mergeCell ref="Y1470:Y1473"/>
    <mergeCell ref="A1474:A1477"/>
    <mergeCell ref="B1474:B1477"/>
    <mergeCell ref="C1474:C1477"/>
    <mergeCell ref="D1474:D1477"/>
    <mergeCell ref="E1474:E1477"/>
    <mergeCell ref="F1474:F1477"/>
    <mergeCell ref="G1474:G1477"/>
    <mergeCell ref="H1474:H1477"/>
    <mergeCell ref="W1474:W1477"/>
    <mergeCell ref="X1474:X1477"/>
    <mergeCell ref="Y1474:Y1477"/>
    <mergeCell ref="A1478:A1481"/>
    <mergeCell ref="B1478:B1481"/>
    <mergeCell ref="C1478:C1481"/>
    <mergeCell ref="D1478:D1481"/>
    <mergeCell ref="E1478:E1481"/>
    <mergeCell ref="F1478:F1481"/>
    <mergeCell ref="G1478:G1481"/>
    <mergeCell ref="H1478:H1481"/>
    <mergeCell ref="W1478:W1481"/>
    <mergeCell ref="X1478:X1481"/>
    <mergeCell ref="Y1478:Y1481"/>
    <mergeCell ref="A1482:A1485"/>
    <mergeCell ref="B1482:B1485"/>
    <mergeCell ref="C1482:C1485"/>
    <mergeCell ref="D1482:D1485"/>
    <mergeCell ref="E1482:E1485"/>
    <mergeCell ref="F1482:F1485"/>
    <mergeCell ref="G1482:G1485"/>
    <mergeCell ref="H1482:H1485"/>
    <mergeCell ref="W1482:W1485"/>
    <mergeCell ref="X1482:X1485"/>
    <mergeCell ref="Y1482:Y1485"/>
    <mergeCell ref="A1486:A1489"/>
    <mergeCell ref="B1486:B1489"/>
    <mergeCell ref="C1486:C1489"/>
    <mergeCell ref="D1486:D1489"/>
    <mergeCell ref="E1486:E1489"/>
    <mergeCell ref="F1486:F1489"/>
    <mergeCell ref="G1486:G1489"/>
    <mergeCell ref="H1486:H1489"/>
    <mergeCell ref="W1486:W1489"/>
    <mergeCell ref="X1486:X1489"/>
    <mergeCell ref="Y1486:Y1489"/>
    <mergeCell ref="A1490:A1493"/>
    <mergeCell ref="B1490:B1493"/>
    <mergeCell ref="C1490:C1493"/>
    <mergeCell ref="D1490:D1493"/>
    <mergeCell ref="E1490:E1493"/>
    <mergeCell ref="F1490:F1493"/>
    <mergeCell ref="G1490:G1493"/>
    <mergeCell ref="H1490:H1493"/>
    <mergeCell ref="W1490:W1493"/>
    <mergeCell ref="X1490:X1493"/>
    <mergeCell ref="Y1490:Y1493"/>
    <mergeCell ref="A1494:A1497"/>
    <mergeCell ref="B1494:B1497"/>
    <mergeCell ref="C1494:C1497"/>
    <mergeCell ref="D1494:D1497"/>
    <mergeCell ref="E1494:E1497"/>
    <mergeCell ref="F1494:F1497"/>
    <mergeCell ref="G1494:G1497"/>
    <mergeCell ref="H1494:H1497"/>
    <mergeCell ref="W1494:W1497"/>
    <mergeCell ref="X1494:X1497"/>
    <mergeCell ref="Y1494:Y1497"/>
    <mergeCell ref="A1498:A1501"/>
    <mergeCell ref="B1498:B1501"/>
    <mergeCell ref="C1498:C1501"/>
    <mergeCell ref="D1498:D1501"/>
    <mergeCell ref="E1498:E1501"/>
    <mergeCell ref="F1498:F1501"/>
    <mergeCell ref="G1498:G1501"/>
    <mergeCell ref="H1498:H1501"/>
    <mergeCell ref="W1498:W1501"/>
    <mergeCell ref="X1498:X1501"/>
    <mergeCell ref="Y1498:Y1501"/>
    <mergeCell ref="A1502:A1505"/>
    <mergeCell ref="B1502:B1505"/>
    <mergeCell ref="C1502:C1505"/>
    <mergeCell ref="D1502:D1505"/>
    <mergeCell ref="E1502:E1505"/>
    <mergeCell ref="F1502:F1505"/>
    <mergeCell ref="G1502:G1505"/>
    <mergeCell ref="H1502:H1505"/>
    <mergeCell ref="W1502:W1505"/>
    <mergeCell ref="X1502:X1505"/>
    <mergeCell ref="Y1502:Y1505"/>
    <mergeCell ref="A1506:A1509"/>
    <mergeCell ref="B1506:B1509"/>
    <mergeCell ref="C1506:C1509"/>
    <mergeCell ref="D1506:D1509"/>
    <mergeCell ref="E1506:E1509"/>
    <mergeCell ref="F1506:F1509"/>
    <mergeCell ref="G1506:G1509"/>
    <mergeCell ref="H1506:H1509"/>
    <mergeCell ref="W1506:W1509"/>
    <mergeCell ref="X1506:X1509"/>
    <mergeCell ref="Y1506:Y1509"/>
    <mergeCell ref="A1510:A1513"/>
    <mergeCell ref="B1510:B1513"/>
    <mergeCell ref="C1510:C1513"/>
    <mergeCell ref="D1510:D1513"/>
    <mergeCell ref="E1510:E1513"/>
    <mergeCell ref="F1510:F1513"/>
    <mergeCell ref="G1510:G1513"/>
    <mergeCell ref="H1510:H1513"/>
    <mergeCell ref="W1510:W1513"/>
    <mergeCell ref="X1510:X1513"/>
    <mergeCell ref="Y1510:Y1513"/>
    <mergeCell ref="A1514:A1517"/>
    <mergeCell ref="B1514:B1517"/>
    <mergeCell ref="C1514:C1517"/>
    <mergeCell ref="D1514:D1517"/>
    <mergeCell ref="E1514:E1517"/>
    <mergeCell ref="F1514:F1517"/>
    <mergeCell ref="G1514:G1517"/>
    <mergeCell ref="H1514:H1517"/>
    <mergeCell ref="W1514:W1517"/>
    <mergeCell ref="X1514:X1517"/>
    <mergeCell ref="Y1514:Y1517"/>
    <mergeCell ref="A1518:A1521"/>
    <mergeCell ref="B1518:B1521"/>
    <mergeCell ref="C1518:C1521"/>
    <mergeCell ref="D1518:D1521"/>
    <mergeCell ref="E1518:E1521"/>
    <mergeCell ref="F1518:F1521"/>
    <mergeCell ref="G1518:G1521"/>
    <mergeCell ref="H1518:H1521"/>
    <mergeCell ref="W1518:W1521"/>
    <mergeCell ref="X1518:X1521"/>
    <mergeCell ref="Y1518:Y1521"/>
    <mergeCell ref="A1522:A1525"/>
    <mergeCell ref="B1522:B1525"/>
    <mergeCell ref="C1522:C1525"/>
    <mergeCell ref="D1522:D1525"/>
    <mergeCell ref="E1522:E1525"/>
    <mergeCell ref="F1522:F1525"/>
    <mergeCell ref="G1522:G1525"/>
    <mergeCell ref="H1522:H1525"/>
    <mergeCell ref="W1522:W1525"/>
    <mergeCell ref="X1522:X1525"/>
    <mergeCell ref="Y1522:Y1525"/>
    <mergeCell ref="A1526:A1529"/>
    <mergeCell ref="B1526:B1529"/>
    <mergeCell ref="C1526:C1529"/>
    <mergeCell ref="D1526:D1529"/>
    <mergeCell ref="E1526:E1529"/>
    <mergeCell ref="F1526:F1529"/>
    <mergeCell ref="G1526:G1529"/>
    <mergeCell ref="H1526:H1529"/>
    <mergeCell ref="W1526:W1529"/>
    <mergeCell ref="X1526:X1529"/>
    <mergeCell ref="Y1526:Y1529"/>
    <mergeCell ref="A1530:A1533"/>
    <mergeCell ref="B1530:B1533"/>
    <mergeCell ref="C1530:C1533"/>
    <mergeCell ref="D1530:D1533"/>
    <mergeCell ref="E1530:E1533"/>
    <mergeCell ref="F1530:F1533"/>
    <mergeCell ref="G1530:G1533"/>
    <mergeCell ref="H1530:H1533"/>
    <mergeCell ref="W1530:W1533"/>
    <mergeCell ref="X1530:X1533"/>
    <mergeCell ref="Y1530:Y1533"/>
    <mergeCell ref="A1534:A1537"/>
    <mergeCell ref="B1534:B1537"/>
    <mergeCell ref="C1534:C1537"/>
    <mergeCell ref="D1534:D1537"/>
    <mergeCell ref="E1534:E1537"/>
    <mergeCell ref="F1534:F1537"/>
    <mergeCell ref="G1534:G1537"/>
    <mergeCell ref="H1534:H1537"/>
    <mergeCell ref="W1534:W1537"/>
    <mergeCell ref="X1534:X1537"/>
    <mergeCell ref="Y1534:Y1537"/>
    <mergeCell ref="A1538:A1541"/>
    <mergeCell ref="B1538:B1541"/>
    <mergeCell ref="C1538:C1541"/>
    <mergeCell ref="D1538:D1541"/>
    <mergeCell ref="E1538:E1541"/>
    <mergeCell ref="F1538:F1541"/>
    <mergeCell ref="G1538:G1541"/>
    <mergeCell ref="H1538:H1541"/>
    <mergeCell ref="W1538:W1541"/>
    <mergeCell ref="X1538:X1541"/>
    <mergeCell ref="Y1538:Y1541"/>
    <mergeCell ref="A1542:A1545"/>
    <mergeCell ref="B1542:B1545"/>
    <mergeCell ref="C1542:C1545"/>
    <mergeCell ref="D1542:D1545"/>
    <mergeCell ref="E1542:E1545"/>
    <mergeCell ref="F1542:F1545"/>
    <mergeCell ref="G1542:G1545"/>
    <mergeCell ref="H1542:H1545"/>
    <mergeCell ref="W1542:W1545"/>
    <mergeCell ref="X1542:X1545"/>
    <mergeCell ref="Y1542:Y1545"/>
    <mergeCell ref="A1546:A1549"/>
    <mergeCell ref="B1546:B1549"/>
    <mergeCell ref="C1546:C1549"/>
    <mergeCell ref="D1546:D1549"/>
    <mergeCell ref="E1546:E1549"/>
    <mergeCell ref="F1546:F1549"/>
    <mergeCell ref="G1546:G1549"/>
    <mergeCell ref="H1546:H1549"/>
    <mergeCell ref="W1546:W1549"/>
    <mergeCell ref="X1546:X1549"/>
    <mergeCell ref="Y1546:Y1549"/>
    <mergeCell ref="A1550:A1553"/>
    <mergeCell ref="B1550:B1553"/>
    <mergeCell ref="C1550:C1553"/>
    <mergeCell ref="D1550:D1553"/>
    <mergeCell ref="E1550:E1553"/>
    <mergeCell ref="F1550:F1553"/>
    <mergeCell ref="G1550:G1553"/>
    <mergeCell ref="H1550:H1553"/>
    <mergeCell ref="W1550:W1553"/>
    <mergeCell ref="X1550:X1553"/>
    <mergeCell ref="Y1550:Y1553"/>
    <mergeCell ref="A1554:A1557"/>
    <mergeCell ref="B1554:B1557"/>
    <mergeCell ref="C1554:C1557"/>
    <mergeCell ref="D1554:D1557"/>
    <mergeCell ref="E1554:E1557"/>
    <mergeCell ref="F1554:F1557"/>
    <mergeCell ref="G1554:G1557"/>
    <mergeCell ref="H1554:H1557"/>
    <mergeCell ref="W1554:W1557"/>
    <mergeCell ref="X1554:X1557"/>
    <mergeCell ref="Y1554:Y1557"/>
    <mergeCell ref="A1558:A1561"/>
    <mergeCell ref="B1558:B1561"/>
    <mergeCell ref="C1558:C1561"/>
    <mergeCell ref="D1558:D1561"/>
    <mergeCell ref="E1558:E1561"/>
    <mergeCell ref="F1558:F1561"/>
    <mergeCell ref="G1558:G1561"/>
    <mergeCell ref="H1558:H1561"/>
    <mergeCell ref="W1558:W1561"/>
    <mergeCell ref="X1558:X1561"/>
    <mergeCell ref="Y1558:Y1561"/>
    <mergeCell ref="A1562:A1565"/>
    <mergeCell ref="B1562:B1565"/>
    <mergeCell ref="C1562:C1565"/>
    <mergeCell ref="D1562:D1565"/>
    <mergeCell ref="E1562:E1565"/>
    <mergeCell ref="F1562:F1565"/>
    <mergeCell ref="G1562:G1565"/>
    <mergeCell ref="H1562:H1565"/>
    <mergeCell ref="W1562:W1565"/>
    <mergeCell ref="X1562:X1565"/>
    <mergeCell ref="Y1562:Y1565"/>
    <mergeCell ref="A1566:A1569"/>
    <mergeCell ref="B1566:B1569"/>
    <mergeCell ref="C1566:C1569"/>
    <mergeCell ref="D1566:D1569"/>
    <mergeCell ref="E1566:E1569"/>
    <mergeCell ref="F1566:F1569"/>
    <mergeCell ref="G1566:G1569"/>
    <mergeCell ref="H1566:H1569"/>
    <mergeCell ref="W1566:W1569"/>
    <mergeCell ref="X1566:X1569"/>
    <mergeCell ref="Y1566:Y1569"/>
    <mergeCell ref="A1570:A1573"/>
    <mergeCell ref="B1570:B1573"/>
    <mergeCell ref="C1570:C1573"/>
    <mergeCell ref="D1570:D1573"/>
    <mergeCell ref="E1570:E1573"/>
    <mergeCell ref="F1570:F1573"/>
    <mergeCell ref="G1570:G1573"/>
    <mergeCell ref="H1570:H1573"/>
    <mergeCell ref="W1570:W1573"/>
    <mergeCell ref="X1570:X1573"/>
    <mergeCell ref="Y1570:Y1573"/>
    <mergeCell ref="A1574:A1577"/>
    <mergeCell ref="B1574:B1577"/>
    <mergeCell ref="C1574:C1577"/>
    <mergeCell ref="D1574:D1577"/>
    <mergeCell ref="E1574:E1577"/>
    <mergeCell ref="F1574:F1577"/>
    <mergeCell ref="G1574:G1577"/>
    <mergeCell ref="H1574:H1577"/>
    <mergeCell ref="W1574:W1577"/>
    <mergeCell ref="X1574:X1577"/>
    <mergeCell ref="Y1574:Y1577"/>
    <mergeCell ref="A1578:A1581"/>
    <mergeCell ref="B1578:B1581"/>
    <mergeCell ref="C1578:C1581"/>
    <mergeCell ref="D1578:D1581"/>
    <mergeCell ref="E1578:E1581"/>
    <mergeCell ref="F1578:F1581"/>
    <mergeCell ref="G1578:G1581"/>
    <mergeCell ref="H1578:H1581"/>
    <mergeCell ref="W1578:W1581"/>
    <mergeCell ref="X1578:X1581"/>
    <mergeCell ref="Y1578:Y1581"/>
    <mergeCell ref="A1582:A1585"/>
    <mergeCell ref="B1582:B1585"/>
    <mergeCell ref="C1582:C1585"/>
    <mergeCell ref="D1582:D1585"/>
    <mergeCell ref="E1582:E1585"/>
    <mergeCell ref="F1582:F1585"/>
    <mergeCell ref="G1582:G1585"/>
    <mergeCell ref="H1582:H1585"/>
    <mergeCell ref="W1582:W1585"/>
    <mergeCell ref="X1582:X1585"/>
    <mergeCell ref="Y1582:Y1585"/>
    <mergeCell ref="A1586:A1589"/>
    <mergeCell ref="B1586:B1589"/>
    <mergeCell ref="C1586:C1589"/>
    <mergeCell ref="D1586:D1589"/>
    <mergeCell ref="E1586:E1589"/>
    <mergeCell ref="F1586:F1589"/>
    <mergeCell ref="G1586:G1589"/>
    <mergeCell ref="H1586:H1589"/>
    <mergeCell ref="W1586:W1589"/>
    <mergeCell ref="X1586:X1589"/>
    <mergeCell ref="Y1586:Y1589"/>
    <mergeCell ref="A1590:A1593"/>
    <mergeCell ref="B1590:B1593"/>
    <mergeCell ref="C1590:C1593"/>
    <mergeCell ref="D1590:D1593"/>
    <mergeCell ref="E1590:E1593"/>
    <mergeCell ref="F1590:F1593"/>
    <mergeCell ref="G1590:G1593"/>
    <mergeCell ref="H1590:H1593"/>
    <mergeCell ref="W1590:W1593"/>
    <mergeCell ref="X1590:X1593"/>
    <mergeCell ref="Y1590:Y1593"/>
    <mergeCell ref="A1594:A1597"/>
    <mergeCell ref="B1594:B1597"/>
    <mergeCell ref="C1594:C1597"/>
    <mergeCell ref="D1594:D1597"/>
    <mergeCell ref="E1594:E1597"/>
    <mergeCell ref="F1594:F1597"/>
    <mergeCell ref="G1594:G1597"/>
    <mergeCell ref="H1594:H1597"/>
    <mergeCell ref="W1594:W1597"/>
    <mergeCell ref="X1594:X1597"/>
    <mergeCell ref="Y1594:Y1597"/>
    <mergeCell ref="A1598:A1601"/>
    <mergeCell ref="B1598:B1601"/>
    <mergeCell ref="C1598:C1601"/>
    <mergeCell ref="D1598:D1601"/>
    <mergeCell ref="E1598:E1601"/>
    <mergeCell ref="F1598:F1601"/>
    <mergeCell ref="G1598:G1601"/>
    <mergeCell ref="H1598:H1601"/>
    <mergeCell ref="W1598:W1601"/>
    <mergeCell ref="X1598:X1601"/>
    <mergeCell ref="Y1598:Y1601"/>
    <mergeCell ref="A1602:A1605"/>
    <mergeCell ref="B1602:B1605"/>
    <mergeCell ref="C1602:C1605"/>
    <mergeCell ref="D1602:D1605"/>
    <mergeCell ref="E1602:E1605"/>
    <mergeCell ref="F1602:F1605"/>
    <mergeCell ref="G1602:G1605"/>
    <mergeCell ref="H1602:H1605"/>
    <mergeCell ref="W1602:W1605"/>
    <mergeCell ref="X1602:X1605"/>
    <mergeCell ref="Y1602:Y1605"/>
    <mergeCell ref="A1606:A1609"/>
    <mergeCell ref="B1606:B1609"/>
    <mergeCell ref="C1606:C1609"/>
    <mergeCell ref="D1606:D1609"/>
    <mergeCell ref="E1606:E1609"/>
    <mergeCell ref="F1606:F1609"/>
    <mergeCell ref="G1606:G1609"/>
    <mergeCell ref="H1606:H1609"/>
    <mergeCell ref="W1606:W1609"/>
    <mergeCell ref="X1606:X1609"/>
    <mergeCell ref="Y1606:Y1609"/>
    <mergeCell ref="A1610:A1613"/>
    <mergeCell ref="B1610:B1613"/>
    <mergeCell ref="C1610:C1613"/>
    <mergeCell ref="D1610:D1613"/>
    <mergeCell ref="E1610:E1613"/>
    <mergeCell ref="F1610:F1613"/>
    <mergeCell ref="G1610:G1613"/>
    <mergeCell ref="H1610:H1613"/>
    <mergeCell ref="W1610:W1613"/>
    <mergeCell ref="X1610:X1613"/>
    <mergeCell ref="Y1610:Y1613"/>
    <mergeCell ref="A1614:A1617"/>
    <mergeCell ref="B1614:B1617"/>
    <mergeCell ref="C1614:C1617"/>
    <mergeCell ref="D1614:D1617"/>
    <mergeCell ref="E1614:E1617"/>
    <mergeCell ref="F1614:F1617"/>
    <mergeCell ref="G1614:G1617"/>
    <mergeCell ref="H1614:H1617"/>
    <mergeCell ref="W1614:W1617"/>
    <mergeCell ref="X1614:X1617"/>
    <mergeCell ref="Y1614:Y1617"/>
    <mergeCell ref="A1618:A1621"/>
    <mergeCell ref="B1618:B1621"/>
    <mergeCell ref="C1618:C1621"/>
    <mergeCell ref="D1618:D1621"/>
    <mergeCell ref="E1618:E1621"/>
    <mergeCell ref="F1618:F1621"/>
    <mergeCell ref="G1618:G1621"/>
    <mergeCell ref="H1618:H1621"/>
    <mergeCell ref="W1618:W1621"/>
    <mergeCell ref="X1618:X1621"/>
    <mergeCell ref="Y1618:Y1621"/>
    <mergeCell ref="A1622:A1625"/>
    <mergeCell ref="B1622:B1625"/>
    <mergeCell ref="C1622:C1625"/>
    <mergeCell ref="D1622:D1625"/>
    <mergeCell ref="E1622:E1625"/>
    <mergeCell ref="F1622:F1625"/>
    <mergeCell ref="G1622:G1625"/>
    <mergeCell ref="H1622:H1625"/>
    <mergeCell ref="W1622:W1625"/>
    <mergeCell ref="X1622:X1625"/>
    <mergeCell ref="Y1622:Y1625"/>
    <mergeCell ref="A1626:A1629"/>
    <mergeCell ref="B1626:B1629"/>
    <mergeCell ref="C1626:C1629"/>
    <mergeCell ref="D1626:D1629"/>
    <mergeCell ref="E1626:E1629"/>
    <mergeCell ref="F1626:F1629"/>
    <mergeCell ref="G1626:G1629"/>
    <mergeCell ref="H1626:H1629"/>
    <mergeCell ref="W1626:W1629"/>
    <mergeCell ref="X1626:X1629"/>
    <mergeCell ref="Y1626:Y1629"/>
    <mergeCell ref="A1630:A1633"/>
    <mergeCell ref="B1630:B1633"/>
    <mergeCell ref="C1630:C1633"/>
    <mergeCell ref="D1630:D1633"/>
    <mergeCell ref="E1630:E1633"/>
    <mergeCell ref="F1630:F1633"/>
    <mergeCell ref="G1630:G1633"/>
    <mergeCell ref="H1630:H1633"/>
    <mergeCell ref="W1630:W1633"/>
    <mergeCell ref="X1630:X1633"/>
    <mergeCell ref="Y1630:Y1633"/>
    <mergeCell ref="A1634:A1637"/>
    <mergeCell ref="B1634:B1637"/>
    <mergeCell ref="C1634:C1637"/>
    <mergeCell ref="D1634:D1637"/>
    <mergeCell ref="E1634:E1637"/>
    <mergeCell ref="F1634:F1637"/>
    <mergeCell ref="G1634:G1637"/>
    <mergeCell ref="H1634:H1637"/>
    <mergeCell ref="W1634:W1637"/>
    <mergeCell ref="X1634:X1637"/>
    <mergeCell ref="Y1634:Y1637"/>
    <mergeCell ref="A1638:A1641"/>
    <mergeCell ref="B1638:B1641"/>
    <mergeCell ref="C1638:C1641"/>
    <mergeCell ref="D1638:D1641"/>
    <mergeCell ref="E1638:E1641"/>
    <mergeCell ref="F1638:F1641"/>
    <mergeCell ref="G1638:G1641"/>
    <mergeCell ref="H1638:H1641"/>
    <mergeCell ref="W1638:W1641"/>
    <mergeCell ref="X1638:X1641"/>
    <mergeCell ref="Y1638:Y1641"/>
    <mergeCell ref="A1642:A1645"/>
    <mergeCell ref="B1642:B1645"/>
    <mergeCell ref="C1642:C1645"/>
    <mergeCell ref="D1642:D1645"/>
    <mergeCell ref="E1642:E1645"/>
    <mergeCell ref="F1642:F1645"/>
    <mergeCell ref="G1642:G1645"/>
    <mergeCell ref="H1642:H1645"/>
    <mergeCell ref="W1642:W1645"/>
    <mergeCell ref="X1642:X1645"/>
    <mergeCell ref="Y1642:Y1645"/>
    <mergeCell ref="A1646:A1649"/>
    <mergeCell ref="B1646:B1649"/>
    <mergeCell ref="C1646:C1649"/>
    <mergeCell ref="D1646:D1649"/>
    <mergeCell ref="E1646:E1649"/>
    <mergeCell ref="F1646:F1649"/>
    <mergeCell ref="G1646:G1649"/>
    <mergeCell ref="H1646:H1649"/>
    <mergeCell ref="W1646:W1649"/>
    <mergeCell ref="X1646:X1649"/>
    <mergeCell ref="Y1646:Y1649"/>
    <mergeCell ref="A1650:A1653"/>
    <mergeCell ref="B1650:B1653"/>
    <mergeCell ref="C1650:C1653"/>
    <mergeCell ref="D1650:D1653"/>
    <mergeCell ref="E1650:E1653"/>
    <mergeCell ref="F1650:F1653"/>
    <mergeCell ref="G1650:G1653"/>
    <mergeCell ref="H1650:H1653"/>
    <mergeCell ref="W1650:W1653"/>
    <mergeCell ref="X1650:X1653"/>
    <mergeCell ref="Y1650:Y1653"/>
    <mergeCell ref="A1654:A1657"/>
    <mergeCell ref="B1654:B1657"/>
    <mergeCell ref="C1654:C1657"/>
    <mergeCell ref="D1654:D1657"/>
    <mergeCell ref="E1654:E1657"/>
    <mergeCell ref="F1654:F1657"/>
    <mergeCell ref="G1654:G1657"/>
    <mergeCell ref="H1654:H1657"/>
    <mergeCell ref="W1654:W1657"/>
    <mergeCell ref="X1654:X1657"/>
    <mergeCell ref="Y1654:Y1657"/>
    <mergeCell ref="A1658:A1661"/>
    <mergeCell ref="B1658:B1661"/>
    <mergeCell ref="C1658:C1661"/>
    <mergeCell ref="D1658:D1661"/>
    <mergeCell ref="E1658:E1661"/>
    <mergeCell ref="F1658:F1661"/>
    <mergeCell ref="G1658:G1661"/>
    <mergeCell ref="H1658:H1661"/>
    <mergeCell ref="W1658:W1661"/>
    <mergeCell ref="X1658:X1661"/>
    <mergeCell ref="Y1658:Y1661"/>
    <mergeCell ref="A1662:A1665"/>
    <mergeCell ref="B1662:B1665"/>
    <mergeCell ref="C1662:C1665"/>
    <mergeCell ref="D1662:D1665"/>
    <mergeCell ref="E1662:E1665"/>
    <mergeCell ref="F1662:F1665"/>
    <mergeCell ref="G1662:G1665"/>
    <mergeCell ref="H1662:H1665"/>
    <mergeCell ref="W1662:W1665"/>
    <mergeCell ref="X1662:X1665"/>
    <mergeCell ref="Y1662:Y1665"/>
    <mergeCell ref="A1666:A1669"/>
    <mergeCell ref="B1666:B1669"/>
    <mergeCell ref="C1666:C1669"/>
    <mergeCell ref="D1666:D1669"/>
    <mergeCell ref="E1666:E1669"/>
    <mergeCell ref="F1666:F1669"/>
    <mergeCell ref="G1666:G1669"/>
    <mergeCell ref="H1666:H1669"/>
    <mergeCell ref="W1666:W1669"/>
    <mergeCell ref="X1666:X1669"/>
    <mergeCell ref="Y1666:Y1669"/>
    <mergeCell ref="A1670:A1673"/>
    <mergeCell ref="B1670:B1673"/>
    <mergeCell ref="C1670:C1673"/>
    <mergeCell ref="D1670:D1673"/>
    <mergeCell ref="E1670:E1673"/>
    <mergeCell ref="F1670:F1673"/>
    <mergeCell ref="G1670:G1673"/>
    <mergeCell ref="H1670:H1673"/>
    <mergeCell ref="W1670:W1673"/>
    <mergeCell ref="X1670:X1673"/>
    <mergeCell ref="Y1670:Y1673"/>
    <mergeCell ref="A1674:A1677"/>
    <mergeCell ref="B1674:B1677"/>
    <mergeCell ref="C1674:C1677"/>
    <mergeCell ref="D1674:D1677"/>
    <mergeCell ref="E1674:E1677"/>
    <mergeCell ref="F1674:F1677"/>
    <mergeCell ref="G1674:G1677"/>
    <mergeCell ref="H1674:H1677"/>
    <mergeCell ref="W1674:W1677"/>
    <mergeCell ref="X1674:X1677"/>
    <mergeCell ref="Y1674:Y1677"/>
    <mergeCell ref="A1678:A1681"/>
    <mergeCell ref="B1678:B1681"/>
    <mergeCell ref="C1678:C1681"/>
    <mergeCell ref="D1678:D1681"/>
    <mergeCell ref="E1678:E1681"/>
    <mergeCell ref="F1678:F1681"/>
    <mergeCell ref="G1678:G1681"/>
    <mergeCell ref="H1678:H1681"/>
    <mergeCell ref="W1678:W1681"/>
    <mergeCell ref="X1678:X1681"/>
    <mergeCell ref="Y1678:Y1681"/>
    <mergeCell ref="A1682:A1685"/>
    <mergeCell ref="B1682:B1685"/>
    <mergeCell ref="C1682:C1685"/>
    <mergeCell ref="D1682:D1685"/>
    <mergeCell ref="E1682:E1685"/>
    <mergeCell ref="F1682:F1685"/>
    <mergeCell ref="G1682:G1685"/>
    <mergeCell ref="H1682:H1685"/>
    <mergeCell ref="W1682:W1685"/>
    <mergeCell ref="X1682:X1685"/>
    <mergeCell ref="Y1682:Y1685"/>
    <mergeCell ref="A1686:A1689"/>
    <mergeCell ref="B1686:B1689"/>
    <mergeCell ref="C1686:C1689"/>
    <mergeCell ref="D1686:D1689"/>
    <mergeCell ref="E1686:E1689"/>
    <mergeCell ref="F1686:F1689"/>
    <mergeCell ref="G1686:G1689"/>
    <mergeCell ref="H1686:H1689"/>
    <mergeCell ref="W1686:W1689"/>
    <mergeCell ref="X1686:X1689"/>
    <mergeCell ref="Y1686:Y1689"/>
    <mergeCell ref="A1690:A1693"/>
    <mergeCell ref="B1690:B1693"/>
    <mergeCell ref="C1690:C1693"/>
    <mergeCell ref="D1690:D1693"/>
    <mergeCell ref="E1690:E1693"/>
    <mergeCell ref="F1690:F1693"/>
    <mergeCell ref="G1690:G1693"/>
    <mergeCell ref="H1690:H1693"/>
    <mergeCell ref="W1690:W1693"/>
    <mergeCell ref="X1690:X1693"/>
    <mergeCell ref="Y1690:Y1693"/>
    <mergeCell ref="A1694:A1697"/>
    <mergeCell ref="B1694:B1697"/>
    <mergeCell ref="C1694:C1697"/>
    <mergeCell ref="D1694:D1697"/>
    <mergeCell ref="E1694:E1697"/>
    <mergeCell ref="F1694:F1697"/>
    <mergeCell ref="G1694:G1697"/>
    <mergeCell ref="H1694:H1697"/>
    <mergeCell ref="W1694:W1697"/>
    <mergeCell ref="X1694:X1697"/>
    <mergeCell ref="Y1694:Y1697"/>
    <mergeCell ref="A1698:A1701"/>
    <mergeCell ref="B1698:B1701"/>
    <mergeCell ref="C1698:C1701"/>
    <mergeCell ref="D1698:D1701"/>
    <mergeCell ref="E1698:E1701"/>
    <mergeCell ref="F1698:F1701"/>
    <mergeCell ref="G1698:G1701"/>
    <mergeCell ref="H1698:H1701"/>
    <mergeCell ref="W1698:W1701"/>
    <mergeCell ref="X1698:X1701"/>
    <mergeCell ref="Y1698:Y1701"/>
    <mergeCell ref="A1702:A1705"/>
    <mergeCell ref="B1702:B1705"/>
    <mergeCell ref="C1702:C1705"/>
    <mergeCell ref="D1702:D1705"/>
    <mergeCell ref="E1702:E1705"/>
    <mergeCell ref="F1702:F1705"/>
    <mergeCell ref="G1702:G1705"/>
    <mergeCell ref="H1702:H1705"/>
    <mergeCell ref="W1702:W1705"/>
    <mergeCell ref="X1702:X1705"/>
    <mergeCell ref="Y1702:Y1705"/>
    <mergeCell ref="A1706:A1709"/>
    <mergeCell ref="B1706:B1709"/>
    <mergeCell ref="C1706:C1709"/>
    <mergeCell ref="D1706:D1709"/>
    <mergeCell ref="E1706:E1709"/>
    <mergeCell ref="F1706:F1709"/>
    <mergeCell ref="G1706:G1709"/>
    <mergeCell ref="H1706:H1709"/>
    <mergeCell ref="W1706:W1709"/>
    <mergeCell ref="X1706:X1709"/>
    <mergeCell ref="Y1706:Y1709"/>
    <mergeCell ref="A1710:A1713"/>
    <mergeCell ref="B1710:B1713"/>
    <mergeCell ref="C1710:C1713"/>
    <mergeCell ref="D1710:D1713"/>
    <mergeCell ref="E1710:E1713"/>
    <mergeCell ref="F1710:F1713"/>
    <mergeCell ref="G1710:G1713"/>
    <mergeCell ref="H1710:H1713"/>
    <mergeCell ref="W1710:W1713"/>
    <mergeCell ref="X1710:X1713"/>
    <mergeCell ref="Y1710:Y1713"/>
    <mergeCell ref="A1714:A1717"/>
    <mergeCell ref="B1714:B1717"/>
    <mergeCell ref="C1714:C1717"/>
    <mergeCell ref="D1714:D1717"/>
    <mergeCell ref="E1714:E1717"/>
    <mergeCell ref="F1714:F1717"/>
    <mergeCell ref="G1714:G1717"/>
    <mergeCell ref="H1714:H1717"/>
    <mergeCell ref="W1714:W1717"/>
    <mergeCell ref="X1714:X1717"/>
    <mergeCell ref="Y1714:Y1717"/>
    <mergeCell ref="A1718:A1721"/>
    <mergeCell ref="B1718:B1721"/>
    <mergeCell ref="C1718:C1721"/>
    <mergeCell ref="D1718:D1721"/>
    <mergeCell ref="E1718:E1721"/>
    <mergeCell ref="F1718:F1721"/>
    <mergeCell ref="G1718:G1721"/>
    <mergeCell ref="H1718:H1721"/>
    <mergeCell ref="W1718:W1721"/>
    <mergeCell ref="X1718:X1721"/>
    <mergeCell ref="Y1718:Y1721"/>
    <mergeCell ref="A1722:A1725"/>
    <mergeCell ref="B1722:B1725"/>
    <mergeCell ref="C1722:C1725"/>
    <mergeCell ref="D1722:D1725"/>
    <mergeCell ref="E1722:E1725"/>
    <mergeCell ref="F1722:F1725"/>
    <mergeCell ref="G1722:G1725"/>
    <mergeCell ref="H1722:H1725"/>
    <mergeCell ref="W1722:W1725"/>
    <mergeCell ref="X1722:X1725"/>
    <mergeCell ref="Y1722:Y1725"/>
    <mergeCell ref="A1726:A1729"/>
    <mergeCell ref="B1726:B1729"/>
    <mergeCell ref="C1726:C1729"/>
    <mergeCell ref="D1726:D1729"/>
    <mergeCell ref="E1726:E1729"/>
    <mergeCell ref="F1726:F1729"/>
    <mergeCell ref="G1726:G1729"/>
    <mergeCell ref="H1726:H1729"/>
    <mergeCell ref="W1726:W1729"/>
    <mergeCell ref="X1726:X1729"/>
    <mergeCell ref="Y1726:Y1729"/>
    <mergeCell ref="A1730:A1733"/>
    <mergeCell ref="B1730:B1733"/>
    <mergeCell ref="C1730:C1733"/>
    <mergeCell ref="D1730:D1733"/>
    <mergeCell ref="E1730:E1733"/>
    <mergeCell ref="F1730:F1733"/>
    <mergeCell ref="G1730:G1733"/>
    <mergeCell ref="H1730:H1733"/>
    <mergeCell ref="W1730:W1733"/>
    <mergeCell ref="X1730:X1733"/>
    <mergeCell ref="Y1730:Y1733"/>
    <mergeCell ref="A1734:A1737"/>
    <mergeCell ref="B1734:B1737"/>
    <mergeCell ref="C1734:C1737"/>
    <mergeCell ref="D1734:D1737"/>
    <mergeCell ref="E1734:E1737"/>
    <mergeCell ref="F1734:F1737"/>
    <mergeCell ref="G1734:G1737"/>
    <mergeCell ref="H1734:H1737"/>
    <mergeCell ref="W1734:W1737"/>
    <mergeCell ref="X1734:X1737"/>
    <mergeCell ref="Y1734:Y1737"/>
    <mergeCell ref="A1738:A1741"/>
    <mergeCell ref="B1738:B1741"/>
    <mergeCell ref="C1738:C1741"/>
    <mergeCell ref="D1738:D1741"/>
    <mergeCell ref="E1738:E1741"/>
    <mergeCell ref="F1738:F1741"/>
    <mergeCell ref="G1738:G1741"/>
    <mergeCell ref="H1738:H1741"/>
    <mergeCell ref="W1738:W1741"/>
    <mergeCell ref="X1738:X1741"/>
    <mergeCell ref="Y1738:Y1741"/>
    <mergeCell ref="A1742:A1745"/>
    <mergeCell ref="B1742:B1745"/>
    <mergeCell ref="C1742:C1745"/>
    <mergeCell ref="D1742:D1745"/>
    <mergeCell ref="E1742:E1745"/>
    <mergeCell ref="F1742:F1745"/>
    <mergeCell ref="G1742:G1745"/>
    <mergeCell ref="H1742:H1745"/>
    <mergeCell ref="W1742:W1745"/>
    <mergeCell ref="X1742:X1745"/>
    <mergeCell ref="Y1742:Y1745"/>
    <mergeCell ref="A1746:A1749"/>
    <mergeCell ref="B1746:B1749"/>
    <mergeCell ref="C1746:C1749"/>
    <mergeCell ref="D1746:D1749"/>
    <mergeCell ref="E1746:E1749"/>
    <mergeCell ref="F1746:F1749"/>
    <mergeCell ref="G1746:G1749"/>
    <mergeCell ref="H1746:H1749"/>
    <mergeCell ref="W1746:W1749"/>
    <mergeCell ref="X1746:X1749"/>
    <mergeCell ref="Y1746:Y1749"/>
    <mergeCell ref="A1750:A1753"/>
    <mergeCell ref="B1750:B1753"/>
    <mergeCell ref="C1750:C1753"/>
    <mergeCell ref="D1750:D1753"/>
    <mergeCell ref="E1750:E1753"/>
    <mergeCell ref="F1750:F1753"/>
    <mergeCell ref="G1750:G1753"/>
    <mergeCell ref="H1750:H1753"/>
    <mergeCell ref="W1750:W1753"/>
    <mergeCell ref="X1750:X1753"/>
    <mergeCell ref="Y1750:Y1753"/>
    <mergeCell ref="A1754:A1757"/>
    <mergeCell ref="B1754:B1757"/>
    <mergeCell ref="C1754:C1757"/>
    <mergeCell ref="D1754:D1757"/>
    <mergeCell ref="E1754:E1757"/>
    <mergeCell ref="F1754:F1757"/>
    <mergeCell ref="G1754:G1757"/>
    <mergeCell ref="H1754:H1757"/>
    <mergeCell ref="W1754:W1757"/>
    <mergeCell ref="X1754:X1757"/>
    <mergeCell ref="Y1754:Y1757"/>
    <mergeCell ref="A1758:A1761"/>
    <mergeCell ref="B1758:B1761"/>
    <mergeCell ref="C1758:C1761"/>
    <mergeCell ref="D1758:D1761"/>
    <mergeCell ref="E1758:E1761"/>
    <mergeCell ref="F1758:F1761"/>
    <mergeCell ref="G1758:G1761"/>
    <mergeCell ref="H1758:H1761"/>
    <mergeCell ref="W1758:W1761"/>
    <mergeCell ref="X1758:X1761"/>
    <mergeCell ref="Y1758:Y1761"/>
    <mergeCell ref="A1762:A1765"/>
    <mergeCell ref="B1762:B1765"/>
    <mergeCell ref="C1762:C1765"/>
    <mergeCell ref="D1762:D1765"/>
    <mergeCell ref="E1762:E1765"/>
    <mergeCell ref="F1762:F1765"/>
    <mergeCell ref="G1762:G1765"/>
    <mergeCell ref="H1762:H1765"/>
    <mergeCell ref="W1762:W1765"/>
    <mergeCell ref="X1762:X1765"/>
    <mergeCell ref="Y1762:Y1765"/>
    <mergeCell ref="A1766:A1769"/>
    <mergeCell ref="B1766:B1769"/>
    <mergeCell ref="C1766:C1769"/>
    <mergeCell ref="D1766:D1769"/>
    <mergeCell ref="E1766:E1769"/>
    <mergeCell ref="F1766:F1769"/>
    <mergeCell ref="G1766:G1769"/>
    <mergeCell ref="H1766:H1769"/>
    <mergeCell ref="W1766:W1769"/>
    <mergeCell ref="X1766:X1769"/>
    <mergeCell ref="Y1766:Y1769"/>
    <mergeCell ref="A1770:A1773"/>
    <mergeCell ref="B1770:B1773"/>
    <mergeCell ref="C1770:C1773"/>
    <mergeCell ref="D1770:D1773"/>
    <mergeCell ref="E1770:E1773"/>
    <mergeCell ref="F1770:F1773"/>
    <mergeCell ref="G1770:G1773"/>
    <mergeCell ref="H1770:H1773"/>
    <mergeCell ref="W1770:W1773"/>
    <mergeCell ref="X1770:X1773"/>
    <mergeCell ref="Y1770:Y1773"/>
    <mergeCell ref="A1774:A1777"/>
    <mergeCell ref="B1774:B1777"/>
    <mergeCell ref="C1774:C1777"/>
    <mergeCell ref="D1774:D1777"/>
    <mergeCell ref="E1774:E1777"/>
    <mergeCell ref="F1774:F1777"/>
    <mergeCell ref="G1774:G1777"/>
    <mergeCell ref="H1774:H1777"/>
    <mergeCell ref="W1774:W1777"/>
    <mergeCell ref="X1774:X1777"/>
    <mergeCell ref="Y1774:Y1777"/>
    <mergeCell ref="A1778:A1781"/>
    <mergeCell ref="B1778:B1781"/>
    <mergeCell ref="C1778:C1781"/>
    <mergeCell ref="D1778:D1781"/>
    <mergeCell ref="E1778:E1781"/>
    <mergeCell ref="F1778:F1781"/>
    <mergeCell ref="G1778:G1781"/>
    <mergeCell ref="H1778:H1781"/>
    <mergeCell ref="W1778:W1781"/>
    <mergeCell ref="X1778:X1781"/>
    <mergeCell ref="Y1778:Y1781"/>
    <mergeCell ref="A1782:A1785"/>
    <mergeCell ref="B1782:B1785"/>
    <mergeCell ref="C1782:C1785"/>
    <mergeCell ref="D1782:D1785"/>
    <mergeCell ref="E1782:E1785"/>
    <mergeCell ref="F1782:F1785"/>
    <mergeCell ref="G1782:G1785"/>
    <mergeCell ref="H1782:H1785"/>
    <mergeCell ref="W1782:W1785"/>
    <mergeCell ref="X1782:X1785"/>
    <mergeCell ref="Y1782:Y1785"/>
    <mergeCell ref="A1786:A1789"/>
    <mergeCell ref="B1786:B1789"/>
    <mergeCell ref="C1786:C1789"/>
    <mergeCell ref="D1786:D1789"/>
    <mergeCell ref="E1786:E1789"/>
    <mergeCell ref="F1786:F1789"/>
    <mergeCell ref="G1786:G1789"/>
    <mergeCell ref="H1786:H1789"/>
    <mergeCell ref="W1786:W1789"/>
    <mergeCell ref="X1786:X1789"/>
    <mergeCell ref="Y1786:Y1789"/>
    <mergeCell ref="A1790:A1793"/>
    <mergeCell ref="B1790:B1793"/>
    <mergeCell ref="C1790:C1793"/>
    <mergeCell ref="D1790:D1793"/>
    <mergeCell ref="E1790:E1793"/>
    <mergeCell ref="F1790:F1793"/>
    <mergeCell ref="G1790:G1793"/>
    <mergeCell ref="H1790:H1793"/>
    <mergeCell ref="W1790:W1793"/>
    <mergeCell ref="X1790:X1793"/>
    <mergeCell ref="Y1790:Y1793"/>
    <mergeCell ref="A1794:A1797"/>
    <mergeCell ref="B1794:B1797"/>
    <mergeCell ref="C1794:C1797"/>
    <mergeCell ref="D1794:D1797"/>
    <mergeCell ref="E1794:E1797"/>
    <mergeCell ref="F1794:F1797"/>
    <mergeCell ref="G1794:G1797"/>
    <mergeCell ref="H1794:H1797"/>
    <mergeCell ref="W1794:W1797"/>
    <mergeCell ref="X1794:X1797"/>
    <mergeCell ref="Y1794:Y1797"/>
    <mergeCell ref="A1798:A1801"/>
    <mergeCell ref="B1798:B1801"/>
    <mergeCell ref="C1798:C1801"/>
    <mergeCell ref="D1798:D1801"/>
    <mergeCell ref="E1798:E1801"/>
    <mergeCell ref="F1798:F1801"/>
    <mergeCell ref="G1798:G1801"/>
    <mergeCell ref="H1798:H1801"/>
    <mergeCell ref="W1798:W1801"/>
    <mergeCell ref="X1798:X1801"/>
    <mergeCell ref="Y1798:Y1801"/>
    <mergeCell ref="A1802:A1805"/>
    <mergeCell ref="B1802:B1805"/>
    <mergeCell ref="C1802:C1805"/>
    <mergeCell ref="D1802:D1805"/>
    <mergeCell ref="E1802:E1805"/>
    <mergeCell ref="F1802:F1805"/>
    <mergeCell ref="G1802:G1805"/>
    <mergeCell ref="H1802:H1805"/>
    <mergeCell ref="W1802:W1805"/>
    <mergeCell ref="X1802:X1805"/>
    <mergeCell ref="Y1802:Y1805"/>
    <mergeCell ref="A1806:A1809"/>
    <mergeCell ref="B1806:B1809"/>
    <mergeCell ref="C1806:C1809"/>
    <mergeCell ref="D1806:D1809"/>
    <mergeCell ref="E1806:E1809"/>
    <mergeCell ref="F1806:F1809"/>
    <mergeCell ref="G1806:G1809"/>
    <mergeCell ref="H1806:H1809"/>
    <mergeCell ref="W1806:W1809"/>
    <mergeCell ref="X1806:X1809"/>
    <mergeCell ref="Y1806:Y1809"/>
    <mergeCell ref="A1810:A1813"/>
    <mergeCell ref="B1810:B1813"/>
    <mergeCell ref="C1810:C1813"/>
    <mergeCell ref="D1810:D1813"/>
    <mergeCell ref="E1810:E1813"/>
    <mergeCell ref="F1810:F1813"/>
    <mergeCell ref="G1810:G1813"/>
    <mergeCell ref="H1810:H1813"/>
    <mergeCell ref="W1810:W1813"/>
    <mergeCell ref="X1810:X1813"/>
    <mergeCell ref="Y1810:Y1813"/>
    <mergeCell ref="A1814:A1817"/>
    <mergeCell ref="B1814:B1817"/>
    <mergeCell ref="C1814:C1817"/>
    <mergeCell ref="D1814:D1817"/>
    <mergeCell ref="E1814:E1817"/>
    <mergeCell ref="F1814:F1817"/>
    <mergeCell ref="G1814:G1817"/>
    <mergeCell ref="H1814:H1817"/>
    <mergeCell ref="W1814:W1817"/>
    <mergeCell ref="X1814:X1817"/>
    <mergeCell ref="Y1814:Y1817"/>
    <mergeCell ref="A1818:A1821"/>
    <mergeCell ref="B1818:B1821"/>
    <mergeCell ref="C1818:C1821"/>
    <mergeCell ref="D1818:D1821"/>
    <mergeCell ref="E1818:E1821"/>
    <mergeCell ref="F1818:F1821"/>
    <mergeCell ref="G1818:G1821"/>
    <mergeCell ref="H1818:H1821"/>
    <mergeCell ref="W1818:W1821"/>
    <mergeCell ref="X1818:X1821"/>
    <mergeCell ref="Y1818:Y1821"/>
    <mergeCell ref="A1822:A1825"/>
    <mergeCell ref="B1822:B1825"/>
    <mergeCell ref="C1822:C1825"/>
    <mergeCell ref="D1822:D1825"/>
    <mergeCell ref="E1822:E1825"/>
    <mergeCell ref="F1822:F1825"/>
    <mergeCell ref="G1822:G1825"/>
    <mergeCell ref="H1822:H1825"/>
    <mergeCell ref="W1822:W1825"/>
    <mergeCell ref="X1822:X1825"/>
    <mergeCell ref="Y1822:Y1825"/>
    <mergeCell ref="A1826:A1829"/>
    <mergeCell ref="B1826:B1829"/>
    <mergeCell ref="C1826:C1829"/>
    <mergeCell ref="D1826:D1829"/>
    <mergeCell ref="E1826:E1829"/>
    <mergeCell ref="F1826:F1829"/>
    <mergeCell ref="G1826:G1829"/>
    <mergeCell ref="H1826:H1829"/>
    <mergeCell ref="W1826:W1829"/>
    <mergeCell ref="X1826:X1829"/>
    <mergeCell ref="Y1826:Y1829"/>
    <mergeCell ref="A1830:A1833"/>
    <mergeCell ref="B1830:B1833"/>
    <mergeCell ref="C1830:C1833"/>
    <mergeCell ref="D1830:D1833"/>
    <mergeCell ref="E1830:E1833"/>
    <mergeCell ref="F1830:F1833"/>
    <mergeCell ref="G1830:G1833"/>
    <mergeCell ref="H1830:H1833"/>
    <mergeCell ref="W1830:W1833"/>
    <mergeCell ref="X1830:X1833"/>
    <mergeCell ref="Y1830:Y1833"/>
    <mergeCell ref="A1834:A1837"/>
    <mergeCell ref="B1834:B1837"/>
    <mergeCell ref="C1834:C1837"/>
    <mergeCell ref="D1834:D1837"/>
    <mergeCell ref="E1834:E1837"/>
    <mergeCell ref="F1834:F1837"/>
    <mergeCell ref="G1834:G1837"/>
    <mergeCell ref="H1834:H1837"/>
    <mergeCell ref="W1834:W1837"/>
    <mergeCell ref="X1834:X1837"/>
    <mergeCell ref="Y1834:Y1837"/>
    <mergeCell ref="A1838:A1841"/>
    <mergeCell ref="B1838:B1841"/>
    <mergeCell ref="C1838:C1841"/>
    <mergeCell ref="D1838:D1841"/>
    <mergeCell ref="E1838:E1841"/>
    <mergeCell ref="F1838:F1841"/>
    <mergeCell ref="G1838:G1841"/>
    <mergeCell ref="H1838:H1841"/>
    <mergeCell ref="W1838:W1841"/>
    <mergeCell ref="X1838:X1841"/>
    <mergeCell ref="Y1838:Y1841"/>
    <mergeCell ref="A1842:A1845"/>
    <mergeCell ref="B1842:B1845"/>
    <mergeCell ref="C1842:C1845"/>
    <mergeCell ref="D1842:D1845"/>
    <mergeCell ref="E1842:E1845"/>
    <mergeCell ref="F1842:F1845"/>
    <mergeCell ref="G1842:G1845"/>
    <mergeCell ref="H1842:H1845"/>
    <mergeCell ref="W1842:W1845"/>
    <mergeCell ref="X1842:X1845"/>
    <mergeCell ref="Y1842:Y1845"/>
    <mergeCell ref="A1846:A1849"/>
    <mergeCell ref="B1846:B1849"/>
    <mergeCell ref="C1846:C1849"/>
    <mergeCell ref="D1846:D1849"/>
    <mergeCell ref="E1846:E1849"/>
    <mergeCell ref="F1846:F1849"/>
    <mergeCell ref="G1846:G1849"/>
    <mergeCell ref="H1846:H1849"/>
    <mergeCell ref="W1846:W1849"/>
    <mergeCell ref="X1846:X1849"/>
    <mergeCell ref="Y1846:Y1849"/>
    <mergeCell ref="A1850:A1853"/>
    <mergeCell ref="B1850:B1853"/>
    <mergeCell ref="C1850:C1853"/>
    <mergeCell ref="D1850:D1853"/>
    <mergeCell ref="E1850:E1853"/>
    <mergeCell ref="F1850:F1853"/>
    <mergeCell ref="G1850:G1853"/>
    <mergeCell ref="H1850:H1853"/>
    <mergeCell ref="W1850:W1853"/>
    <mergeCell ref="X1850:X1853"/>
    <mergeCell ref="Y1850:Y1853"/>
    <mergeCell ref="A1854:A1857"/>
    <mergeCell ref="B1854:B1857"/>
    <mergeCell ref="C1854:C1857"/>
    <mergeCell ref="D1854:D1857"/>
    <mergeCell ref="E1854:E1857"/>
    <mergeCell ref="F1854:F1857"/>
    <mergeCell ref="G1854:G1857"/>
    <mergeCell ref="H1854:H1857"/>
    <mergeCell ref="W1854:W1857"/>
    <mergeCell ref="X1854:X1857"/>
    <mergeCell ref="Y1854:Y1857"/>
    <mergeCell ref="A1858:A1861"/>
    <mergeCell ref="B1858:B1861"/>
    <mergeCell ref="C1858:C1861"/>
    <mergeCell ref="D1858:D1861"/>
    <mergeCell ref="E1858:E1861"/>
    <mergeCell ref="F1858:F1861"/>
    <mergeCell ref="G1858:G1861"/>
    <mergeCell ref="H1858:H1861"/>
    <mergeCell ref="W1858:W1861"/>
    <mergeCell ref="X1858:X1861"/>
    <mergeCell ref="Y1858:Y1861"/>
    <mergeCell ref="A1862:A1865"/>
    <mergeCell ref="B1862:B1865"/>
    <mergeCell ref="C1862:C1865"/>
    <mergeCell ref="D1862:D1865"/>
    <mergeCell ref="E1862:E1865"/>
    <mergeCell ref="F1862:F1865"/>
    <mergeCell ref="G1862:G1865"/>
    <mergeCell ref="H1862:H1865"/>
    <mergeCell ref="W1862:W1865"/>
    <mergeCell ref="X1862:X1865"/>
    <mergeCell ref="Y1862:Y1865"/>
    <mergeCell ref="A1866:A1869"/>
    <mergeCell ref="B1866:B1869"/>
    <mergeCell ref="C1866:C1869"/>
    <mergeCell ref="D1866:D1869"/>
    <mergeCell ref="E1866:E1869"/>
    <mergeCell ref="F1866:F1869"/>
    <mergeCell ref="G1866:G1869"/>
    <mergeCell ref="H1866:H1869"/>
    <mergeCell ref="W1866:W1869"/>
    <mergeCell ref="X1866:X1869"/>
    <mergeCell ref="Y1866:Y1869"/>
    <mergeCell ref="A1870:A1873"/>
    <mergeCell ref="B1870:B1873"/>
    <mergeCell ref="C1870:C1873"/>
    <mergeCell ref="D1870:D1873"/>
    <mergeCell ref="E1870:E1873"/>
    <mergeCell ref="F1870:F1873"/>
    <mergeCell ref="G1870:G1873"/>
    <mergeCell ref="H1870:H1873"/>
    <mergeCell ref="W1870:W1873"/>
    <mergeCell ref="X1870:X1873"/>
    <mergeCell ref="Y1870:Y1873"/>
    <mergeCell ref="A1874:A1877"/>
    <mergeCell ref="B1874:B1877"/>
    <mergeCell ref="C1874:C1877"/>
    <mergeCell ref="D1874:D1877"/>
    <mergeCell ref="E1874:E1877"/>
    <mergeCell ref="F1874:F1877"/>
    <mergeCell ref="G1874:G1877"/>
    <mergeCell ref="H1874:H1877"/>
    <mergeCell ref="W1874:W1877"/>
    <mergeCell ref="X1874:X1877"/>
    <mergeCell ref="Y1874:Y1877"/>
    <mergeCell ref="A1878:A1881"/>
    <mergeCell ref="B1878:B1881"/>
    <mergeCell ref="C1878:C1881"/>
    <mergeCell ref="D1878:D1881"/>
    <mergeCell ref="E1878:E1881"/>
    <mergeCell ref="F1878:F1881"/>
    <mergeCell ref="G1878:G1881"/>
    <mergeCell ref="H1878:H1881"/>
    <mergeCell ref="W1878:W1881"/>
    <mergeCell ref="X1878:X1881"/>
    <mergeCell ref="Y1878:Y1881"/>
    <mergeCell ref="A1882:A1885"/>
    <mergeCell ref="B1882:B1885"/>
    <mergeCell ref="C1882:C1885"/>
    <mergeCell ref="D1882:D1885"/>
    <mergeCell ref="E1882:E1885"/>
    <mergeCell ref="F1882:F1885"/>
    <mergeCell ref="G1882:G1885"/>
    <mergeCell ref="H1882:H1885"/>
    <mergeCell ref="W1882:W1885"/>
    <mergeCell ref="X1882:X1885"/>
    <mergeCell ref="Y1882:Y1885"/>
    <mergeCell ref="A1886:A1889"/>
    <mergeCell ref="B1886:B1889"/>
    <mergeCell ref="C1886:C1889"/>
    <mergeCell ref="D1886:D1889"/>
    <mergeCell ref="E1886:E1889"/>
    <mergeCell ref="F1886:F1889"/>
    <mergeCell ref="G1886:G1889"/>
    <mergeCell ref="H1886:H1889"/>
    <mergeCell ref="W1886:W1889"/>
    <mergeCell ref="X1886:X1889"/>
    <mergeCell ref="Y1886:Y1889"/>
    <mergeCell ref="A1890:A1893"/>
    <mergeCell ref="B1890:B1893"/>
    <mergeCell ref="C1890:C1893"/>
    <mergeCell ref="D1890:D1893"/>
    <mergeCell ref="E1890:E1893"/>
    <mergeCell ref="F1890:F1893"/>
    <mergeCell ref="G1890:G1893"/>
    <mergeCell ref="H1890:H1893"/>
    <mergeCell ref="W1890:W1893"/>
    <mergeCell ref="X1890:X1893"/>
    <mergeCell ref="Y1890:Y1893"/>
    <mergeCell ref="A1894:A1897"/>
    <mergeCell ref="B1894:B1897"/>
    <mergeCell ref="C1894:C1897"/>
    <mergeCell ref="D1894:D1897"/>
    <mergeCell ref="E1894:E1897"/>
    <mergeCell ref="F1894:F1897"/>
    <mergeCell ref="G1894:G1897"/>
    <mergeCell ref="H1894:H1897"/>
    <mergeCell ref="W1894:W1897"/>
    <mergeCell ref="X1894:X1897"/>
    <mergeCell ref="Y1894:Y1897"/>
    <mergeCell ref="A1898:A1901"/>
    <mergeCell ref="B1898:B1901"/>
    <mergeCell ref="C1898:C1901"/>
    <mergeCell ref="D1898:D1901"/>
    <mergeCell ref="E1898:E1901"/>
    <mergeCell ref="F1898:F1901"/>
    <mergeCell ref="G1898:G1901"/>
    <mergeCell ref="H1898:H1901"/>
    <mergeCell ref="W1898:W1901"/>
    <mergeCell ref="X1898:X1901"/>
    <mergeCell ref="Y1898:Y1901"/>
    <mergeCell ref="A1902:A1905"/>
    <mergeCell ref="B1902:B1905"/>
    <mergeCell ref="C1902:C1905"/>
    <mergeCell ref="D1902:D1905"/>
    <mergeCell ref="E1902:E1905"/>
    <mergeCell ref="F1902:F1905"/>
    <mergeCell ref="G1902:G1905"/>
    <mergeCell ref="H1902:H1905"/>
    <mergeCell ref="W1902:W1905"/>
    <mergeCell ref="X1902:X1905"/>
    <mergeCell ref="Y1902:Y1905"/>
    <mergeCell ref="A1906:A1909"/>
    <mergeCell ref="B1906:B1909"/>
    <mergeCell ref="C1906:C1909"/>
    <mergeCell ref="D1906:D1909"/>
    <mergeCell ref="E1906:E1909"/>
    <mergeCell ref="F1906:F1909"/>
    <mergeCell ref="G1906:G1909"/>
    <mergeCell ref="H1906:H1909"/>
    <mergeCell ref="W1906:W1909"/>
    <mergeCell ref="X1906:X1909"/>
    <mergeCell ref="Y1906:Y1909"/>
    <mergeCell ref="A1910:A1913"/>
    <mergeCell ref="B1910:B1913"/>
    <mergeCell ref="C1910:C1913"/>
    <mergeCell ref="D1910:D1913"/>
    <mergeCell ref="E1910:E1913"/>
    <mergeCell ref="F1910:F1913"/>
    <mergeCell ref="G1910:G1913"/>
    <mergeCell ref="H1910:H1913"/>
    <mergeCell ref="W1910:W1913"/>
    <mergeCell ref="X1910:X1913"/>
    <mergeCell ref="Y1910:Y1913"/>
    <mergeCell ref="A1914:A1917"/>
    <mergeCell ref="B1914:B1917"/>
    <mergeCell ref="C1914:C1917"/>
    <mergeCell ref="D1914:D1917"/>
    <mergeCell ref="E1914:E1917"/>
    <mergeCell ref="F1914:F1917"/>
    <mergeCell ref="G1914:G1917"/>
    <mergeCell ref="H1914:H1917"/>
    <mergeCell ref="W1914:W1917"/>
    <mergeCell ref="X1914:X1917"/>
    <mergeCell ref="Y1914:Y1917"/>
    <mergeCell ref="A1918:A1921"/>
    <mergeCell ref="B1918:B1921"/>
    <mergeCell ref="C1918:C1921"/>
    <mergeCell ref="D1918:D1921"/>
    <mergeCell ref="E1918:E1921"/>
    <mergeCell ref="F1918:F1921"/>
    <mergeCell ref="G1918:G1921"/>
    <mergeCell ref="H1918:H1921"/>
    <mergeCell ref="W1918:W1921"/>
    <mergeCell ref="X1918:X1921"/>
    <mergeCell ref="Y1918:Y1921"/>
    <mergeCell ref="A1922:A1925"/>
    <mergeCell ref="B1922:B1925"/>
    <mergeCell ref="C1922:C1925"/>
    <mergeCell ref="D1922:D1925"/>
    <mergeCell ref="E1922:E1925"/>
    <mergeCell ref="F1922:F1925"/>
    <mergeCell ref="G1922:G1925"/>
    <mergeCell ref="H1922:H1925"/>
    <mergeCell ref="W1922:W1925"/>
    <mergeCell ref="X1922:X1925"/>
    <mergeCell ref="Y1922:Y1925"/>
    <mergeCell ref="A1926:A1929"/>
    <mergeCell ref="B1926:B1929"/>
    <mergeCell ref="C1926:C1929"/>
    <mergeCell ref="D1926:D1929"/>
    <mergeCell ref="E1926:E1929"/>
    <mergeCell ref="F1926:F1929"/>
    <mergeCell ref="G1926:G1929"/>
    <mergeCell ref="H1926:H1929"/>
    <mergeCell ref="W1926:W1929"/>
    <mergeCell ref="X1926:X1929"/>
    <mergeCell ref="Y1926:Y1929"/>
    <mergeCell ref="A1930:A1933"/>
    <mergeCell ref="B1930:B1933"/>
    <mergeCell ref="C1930:C1933"/>
    <mergeCell ref="D1930:D1933"/>
    <mergeCell ref="E1930:E1933"/>
    <mergeCell ref="F1930:F1933"/>
    <mergeCell ref="G1930:G1933"/>
    <mergeCell ref="H1930:H1933"/>
    <mergeCell ref="W1930:W1933"/>
    <mergeCell ref="X1930:X1933"/>
    <mergeCell ref="Y1930:Y1933"/>
    <mergeCell ref="A1934:A1937"/>
    <mergeCell ref="B1934:B1937"/>
    <mergeCell ref="C1934:C1937"/>
    <mergeCell ref="D1934:D1937"/>
    <mergeCell ref="E1934:E1937"/>
    <mergeCell ref="F1934:F1937"/>
    <mergeCell ref="G1934:G1937"/>
    <mergeCell ref="H1934:H1937"/>
    <mergeCell ref="W1934:W1937"/>
    <mergeCell ref="X1934:X1937"/>
    <mergeCell ref="Y1934:Y1937"/>
    <mergeCell ref="A1938:A1941"/>
    <mergeCell ref="B1938:B1941"/>
    <mergeCell ref="C1938:C1941"/>
    <mergeCell ref="D1938:D1941"/>
    <mergeCell ref="E1938:E1941"/>
    <mergeCell ref="F1938:F1941"/>
    <mergeCell ref="G1938:G1941"/>
    <mergeCell ref="H1938:H1941"/>
    <mergeCell ref="W1938:W1941"/>
    <mergeCell ref="X1938:X1941"/>
    <mergeCell ref="Y1938:Y1941"/>
    <mergeCell ref="A1942:A1945"/>
    <mergeCell ref="B1942:B1945"/>
    <mergeCell ref="C1942:C1945"/>
    <mergeCell ref="D1942:D1945"/>
    <mergeCell ref="E1942:E1945"/>
    <mergeCell ref="F1942:F1945"/>
    <mergeCell ref="G1942:G1945"/>
    <mergeCell ref="H1942:H1945"/>
    <mergeCell ref="W1942:W1945"/>
    <mergeCell ref="X1942:X1945"/>
    <mergeCell ref="Y1942:Y1945"/>
    <mergeCell ref="A1946:A1949"/>
    <mergeCell ref="B1946:B1949"/>
    <mergeCell ref="C1946:C1949"/>
    <mergeCell ref="D1946:D1949"/>
    <mergeCell ref="E1946:E1949"/>
    <mergeCell ref="F1946:F1949"/>
    <mergeCell ref="G1946:G1949"/>
    <mergeCell ref="H1946:H1949"/>
    <mergeCell ref="W1946:W1949"/>
    <mergeCell ref="X1946:X1949"/>
    <mergeCell ref="Y1946:Y1949"/>
    <mergeCell ref="A1950:A1953"/>
    <mergeCell ref="B1950:B1953"/>
    <mergeCell ref="C1950:C1953"/>
    <mergeCell ref="D1950:D1953"/>
    <mergeCell ref="E1950:E1953"/>
    <mergeCell ref="F1950:F1953"/>
    <mergeCell ref="G1950:G1953"/>
    <mergeCell ref="H1950:H1953"/>
    <mergeCell ref="W1950:W1953"/>
    <mergeCell ref="X1950:X1953"/>
    <mergeCell ref="Y1950:Y1953"/>
    <mergeCell ref="A1954:A1957"/>
    <mergeCell ref="B1954:B1957"/>
    <mergeCell ref="C1954:C1957"/>
    <mergeCell ref="D1954:D1957"/>
    <mergeCell ref="E1954:E1957"/>
    <mergeCell ref="F1954:F1957"/>
    <mergeCell ref="G1954:G1957"/>
    <mergeCell ref="H1954:H1957"/>
    <mergeCell ref="W1954:W1957"/>
    <mergeCell ref="X1954:X1957"/>
    <mergeCell ref="Y1954:Y1957"/>
    <mergeCell ref="A1958:A1961"/>
    <mergeCell ref="B1958:B1961"/>
    <mergeCell ref="C1958:C1961"/>
    <mergeCell ref="D1958:D1961"/>
    <mergeCell ref="E1958:E1961"/>
    <mergeCell ref="F1958:F1961"/>
    <mergeCell ref="G1958:G1961"/>
    <mergeCell ref="H1958:H1961"/>
    <mergeCell ref="W1958:W1961"/>
    <mergeCell ref="X1958:X1961"/>
    <mergeCell ref="Y1958:Y1961"/>
    <mergeCell ref="A1962:A1965"/>
    <mergeCell ref="B1962:B1965"/>
    <mergeCell ref="C1962:C1965"/>
    <mergeCell ref="D1962:D1965"/>
    <mergeCell ref="E1962:E1965"/>
    <mergeCell ref="F1962:F1965"/>
    <mergeCell ref="G1962:G1965"/>
    <mergeCell ref="H1962:H1965"/>
    <mergeCell ref="W1962:W1965"/>
    <mergeCell ref="X1962:X1965"/>
    <mergeCell ref="Y1962:Y1965"/>
    <mergeCell ref="A1966:A1969"/>
    <mergeCell ref="B1966:B1969"/>
    <mergeCell ref="C1966:C1969"/>
    <mergeCell ref="D1966:D1969"/>
    <mergeCell ref="E1966:E1969"/>
    <mergeCell ref="F1966:F1969"/>
    <mergeCell ref="G1966:G1969"/>
    <mergeCell ref="H1966:H1969"/>
    <mergeCell ref="W1966:W1969"/>
    <mergeCell ref="X1966:X1969"/>
    <mergeCell ref="Y1966:Y1969"/>
    <mergeCell ref="A1970:A1973"/>
    <mergeCell ref="B1970:B1973"/>
    <mergeCell ref="C1970:C1973"/>
    <mergeCell ref="D1970:D1973"/>
    <mergeCell ref="E1970:E1973"/>
    <mergeCell ref="F1970:F1973"/>
    <mergeCell ref="G1970:G1973"/>
    <mergeCell ref="H1970:H1973"/>
    <mergeCell ref="W1970:W1973"/>
    <mergeCell ref="X1970:X1973"/>
    <mergeCell ref="Y1970:Y1973"/>
    <mergeCell ref="A1974:A1977"/>
    <mergeCell ref="B1974:B1977"/>
    <mergeCell ref="C1974:C1977"/>
    <mergeCell ref="D1974:D1977"/>
    <mergeCell ref="E1974:E1977"/>
    <mergeCell ref="F1974:F1977"/>
    <mergeCell ref="G1974:G1977"/>
    <mergeCell ref="H1974:H1977"/>
    <mergeCell ref="W1974:W1977"/>
    <mergeCell ref="X1974:X1977"/>
    <mergeCell ref="Y1974:Y1977"/>
    <mergeCell ref="A1978:A1981"/>
    <mergeCell ref="B1978:B1981"/>
    <mergeCell ref="C1978:C1981"/>
    <mergeCell ref="D1978:D1981"/>
    <mergeCell ref="E1978:E1981"/>
    <mergeCell ref="F1978:F1981"/>
    <mergeCell ref="G1978:G1981"/>
    <mergeCell ref="H1978:H1981"/>
    <mergeCell ref="W1978:W1981"/>
    <mergeCell ref="X1978:X1981"/>
    <mergeCell ref="Y1978:Y1981"/>
    <mergeCell ref="A1982:A1985"/>
    <mergeCell ref="B1982:B1985"/>
    <mergeCell ref="C1982:C1985"/>
    <mergeCell ref="D1982:D1985"/>
    <mergeCell ref="E1982:E1985"/>
    <mergeCell ref="F1982:F1985"/>
    <mergeCell ref="G1982:G1985"/>
    <mergeCell ref="H1982:H1985"/>
    <mergeCell ref="W1982:W1985"/>
    <mergeCell ref="X1982:X1985"/>
    <mergeCell ref="Y1982:Y1985"/>
    <mergeCell ref="A1986:A1989"/>
    <mergeCell ref="B1986:B1989"/>
    <mergeCell ref="C1986:C1989"/>
    <mergeCell ref="D1986:D1989"/>
    <mergeCell ref="E1986:E1989"/>
    <mergeCell ref="F1986:F1989"/>
    <mergeCell ref="G1986:G1989"/>
    <mergeCell ref="H1986:H1989"/>
    <mergeCell ref="W1986:W1989"/>
    <mergeCell ref="X1986:X1989"/>
    <mergeCell ref="Y1986:Y1989"/>
    <mergeCell ref="A1990:A1993"/>
    <mergeCell ref="B1990:B1993"/>
    <mergeCell ref="C1990:C1993"/>
    <mergeCell ref="D1990:D1993"/>
    <mergeCell ref="E1990:E1993"/>
    <mergeCell ref="F1990:F1993"/>
    <mergeCell ref="G1990:G1993"/>
    <mergeCell ref="H1990:H1993"/>
    <mergeCell ref="W1990:W1993"/>
    <mergeCell ref="X1990:X1993"/>
    <mergeCell ref="Y1990:Y1993"/>
    <mergeCell ref="A1994:A1997"/>
    <mergeCell ref="B1994:B1997"/>
    <mergeCell ref="C1994:C1997"/>
    <mergeCell ref="D1994:D1997"/>
    <mergeCell ref="E1994:E1997"/>
    <mergeCell ref="F1994:F1997"/>
    <mergeCell ref="G1994:G1997"/>
    <mergeCell ref="H1994:H1997"/>
    <mergeCell ref="W1994:W1997"/>
    <mergeCell ref="X1994:X1997"/>
    <mergeCell ref="Y1994:Y1997"/>
    <mergeCell ref="A1998:A2001"/>
    <mergeCell ref="B1998:B2001"/>
    <mergeCell ref="C1998:C2001"/>
    <mergeCell ref="D1998:D2001"/>
    <mergeCell ref="E1998:E2001"/>
    <mergeCell ref="F1998:F2001"/>
    <mergeCell ref="G1998:G2001"/>
    <mergeCell ref="H1998:H2001"/>
    <mergeCell ref="W1998:W2001"/>
    <mergeCell ref="X1998:X2001"/>
    <mergeCell ref="Y1998:Y2001"/>
    <mergeCell ref="A2002:A2005"/>
    <mergeCell ref="B2002:B2005"/>
    <mergeCell ref="C2002:C2005"/>
    <mergeCell ref="D2002:D2005"/>
    <mergeCell ref="E2002:E2005"/>
    <mergeCell ref="F2002:F2005"/>
    <mergeCell ref="G2002:G2005"/>
    <mergeCell ref="H2002:H2005"/>
    <mergeCell ref="W2002:W2005"/>
    <mergeCell ref="X2002:X2005"/>
    <mergeCell ref="Y2002:Y2005"/>
    <mergeCell ref="A2006:A2009"/>
    <mergeCell ref="B2006:B2009"/>
    <mergeCell ref="C2006:C2009"/>
    <mergeCell ref="D2006:D2009"/>
    <mergeCell ref="E2006:E2009"/>
    <mergeCell ref="F2006:F2009"/>
    <mergeCell ref="G2006:G2009"/>
    <mergeCell ref="H2006:H2009"/>
    <mergeCell ref="W2006:W2009"/>
    <mergeCell ref="X2006:X2009"/>
    <mergeCell ref="Y2006:Y2009"/>
    <mergeCell ref="A2010:A2013"/>
    <mergeCell ref="B2010:B2013"/>
    <mergeCell ref="C2010:C2013"/>
    <mergeCell ref="D2010:D2013"/>
    <mergeCell ref="E2010:E2013"/>
    <mergeCell ref="F2010:F2013"/>
    <mergeCell ref="G2010:G2013"/>
    <mergeCell ref="H2010:H2013"/>
    <mergeCell ref="W2010:W2013"/>
    <mergeCell ref="X2010:X2013"/>
    <mergeCell ref="Y2010:Y2013"/>
    <mergeCell ref="A2014:A2017"/>
    <mergeCell ref="B2014:B2017"/>
    <mergeCell ref="C2014:C2017"/>
    <mergeCell ref="D2014:D2017"/>
    <mergeCell ref="E2014:E2017"/>
    <mergeCell ref="F2014:F2017"/>
    <mergeCell ref="G2014:G2017"/>
    <mergeCell ref="H2014:H2017"/>
    <mergeCell ref="W2014:W2017"/>
    <mergeCell ref="X2014:X2017"/>
    <mergeCell ref="Y2014:Y2017"/>
    <mergeCell ref="A2018:A2021"/>
    <mergeCell ref="B2018:B2021"/>
    <mergeCell ref="C2018:C2021"/>
    <mergeCell ref="D2018:D2021"/>
    <mergeCell ref="E2018:E2021"/>
    <mergeCell ref="F2018:F2021"/>
    <mergeCell ref="G2018:G2021"/>
    <mergeCell ref="H2018:H2021"/>
    <mergeCell ref="W2018:W2021"/>
    <mergeCell ref="X2018:X2021"/>
    <mergeCell ref="Y2018:Y2021"/>
    <mergeCell ref="A2022:A2025"/>
    <mergeCell ref="B2022:B2025"/>
    <mergeCell ref="C2022:C2025"/>
    <mergeCell ref="D2022:D2025"/>
    <mergeCell ref="E2022:E2025"/>
    <mergeCell ref="F2022:F2025"/>
    <mergeCell ref="G2022:G2025"/>
    <mergeCell ref="H2022:H2025"/>
    <mergeCell ref="W2022:W2025"/>
    <mergeCell ref="X2022:X2025"/>
    <mergeCell ref="Y2022:Y2025"/>
    <mergeCell ref="A2026:A2029"/>
    <mergeCell ref="B2026:B2029"/>
    <mergeCell ref="C2026:C2029"/>
    <mergeCell ref="D2026:D2029"/>
    <mergeCell ref="E2026:E2029"/>
    <mergeCell ref="F2026:F2029"/>
    <mergeCell ref="G2026:G2029"/>
    <mergeCell ref="H2026:H2029"/>
    <mergeCell ref="W2026:W2029"/>
    <mergeCell ref="X2026:X2029"/>
    <mergeCell ref="Y2026:Y2029"/>
    <mergeCell ref="A2030:A2033"/>
    <mergeCell ref="B2030:B2033"/>
    <mergeCell ref="C2030:C2033"/>
    <mergeCell ref="D2030:D2033"/>
    <mergeCell ref="E2030:E2033"/>
    <mergeCell ref="F2030:F2033"/>
    <mergeCell ref="G2030:G2033"/>
    <mergeCell ref="H2030:H2033"/>
    <mergeCell ref="W2030:W2033"/>
    <mergeCell ref="X2030:X2033"/>
    <mergeCell ref="Y2030:Y2033"/>
    <mergeCell ref="A2034:A2037"/>
    <mergeCell ref="B2034:B2037"/>
    <mergeCell ref="C2034:C2037"/>
    <mergeCell ref="D2034:D2037"/>
    <mergeCell ref="E2034:E2037"/>
    <mergeCell ref="F2034:F2037"/>
    <mergeCell ref="G2034:G2037"/>
    <mergeCell ref="H2034:H2037"/>
    <mergeCell ref="W2034:W2037"/>
    <mergeCell ref="X2034:X2037"/>
    <mergeCell ref="Y2034:Y2037"/>
    <mergeCell ref="A2038:A2041"/>
    <mergeCell ref="B2038:B2041"/>
    <mergeCell ref="C2038:C2041"/>
    <mergeCell ref="D2038:D2041"/>
    <mergeCell ref="E2038:E2041"/>
    <mergeCell ref="F2038:F2041"/>
    <mergeCell ref="G2038:G2041"/>
    <mergeCell ref="H2038:H2041"/>
    <mergeCell ref="W2038:W2041"/>
    <mergeCell ref="X2038:X2041"/>
    <mergeCell ref="Y2038:Y2041"/>
    <mergeCell ref="A2042:A2045"/>
    <mergeCell ref="B2042:B2045"/>
    <mergeCell ref="C2042:C2045"/>
    <mergeCell ref="D2042:D2045"/>
    <mergeCell ref="E2042:E2045"/>
    <mergeCell ref="F2042:F2045"/>
    <mergeCell ref="G2042:G2045"/>
    <mergeCell ref="H2042:H2045"/>
    <mergeCell ref="W2042:W2045"/>
    <mergeCell ref="X2042:X2045"/>
    <mergeCell ref="Y2042:Y2045"/>
    <mergeCell ref="A2046:A2049"/>
    <mergeCell ref="B2046:B2049"/>
    <mergeCell ref="C2046:C2049"/>
    <mergeCell ref="D2046:D2049"/>
    <mergeCell ref="E2046:E2049"/>
    <mergeCell ref="F2046:F2049"/>
    <mergeCell ref="G2046:G2049"/>
    <mergeCell ref="H2046:H2049"/>
    <mergeCell ref="W2046:W2049"/>
    <mergeCell ref="X2046:X2049"/>
    <mergeCell ref="Y2046:Y2049"/>
    <mergeCell ref="A2050:A2053"/>
    <mergeCell ref="B2050:B2053"/>
    <mergeCell ref="C2050:C2053"/>
    <mergeCell ref="D2050:D2053"/>
    <mergeCell ref="E2050:E2053"/>
    <mergeCell ref="F2050:F2053"/>
    <mergeCell ref="G2050:G2053"/>
    <mergeCell ref="H2050:H2053"/>
    <mergeCell ref="W2050:W2053"/>
    <mergeCell ref="X2050:X2053"/>
    <mergeCell ref="Y2050:Y2053"/>
    <mergeCell ref="A2054:A2057"/>
    <mergeCell ref="B2054:B2057"/>
    <mergeCell ref="C2054:C2057"/>
    <mergeCell ref="D2054:D2057"/>
    <mergeCell ref="E2054:E2057"/>
    <mergeCell ref="F2054:F2057"/>
    <mergeCell ref="G2054:G2057"/>
    <mergeCell ref="H2054:H2057"/>
    <mergeCell ref="W2054:W2057"/>
    <mergeCell ref="X2054:X2057"/>
    <mergeCell ref="Y2054:Y2057"/>
    <mergeCell ref="A2058:A2061"/>
    <mergeCell ref="B2058:B2061"/>
    <mergeCell ref="C2058:C2061"/>
    <mergeCell ref="D2058:D2061"/>
    <mergeCell ref="E2058:E2061"/>
    <mergeCell ref="F2058:F2061"/>
    <mergeCell ref="G2058:G2061"/>
    <mergeCell ref="H2058:H2061"/>
    <mergeCell ref="W2058:W2061"/>
    <mergeCell ref="X2058:X2061"/>
    <mergeCell ref="Y2058:Y2061"/>
    <mergeCell ref="A2062:A2065"/>
    <mergeCell ref="B2062:B2065"/>
    <mergeCell ref="C2062:C2065"/>
    <mergeCell ref="D2062:D2065"/>
    <mergeCell ref="E2062:E2065"/>
    <mergeCell ref="F2062:F2065"/>
    <mergeCell ref="G2062:G2065"/>
    <mergeCell ref="H2062:H2065"/>
    <mergeCell ref="W2062:W2065"/>
    <mergeCell ref="X2062:X2065"/>
    <mergeCell ref="Y2062:Y2065"/>
    <mergeCell ref="A2066:A2069"/>
    <mergeCell ref="B2066:B2069"/>
    <mergeCell ref="C2066:C2069"/>
    <mergeCell ref="D2066:D2069"/>
    <mergeCell ref="E2066:E2069"/>
    <mergeCell ref="F2066:F2069"/>
    <mergeCell ref="G2066:G2069"/>
    <mergeCell ref="H2066:H2069"/>
    <mergeCell ref="W2066:W2069"/>
    <mergeCell ref="X2066:X2069"/>
    <mergeCell ref="Y2066:Y2069"/>
    <mergeCell ref="A2070:A2073"/>
    <mergeCell ref="B2070:B2073"/>
    <mergeCell ref="C2070:C2073"/>
    <mergeCell ref="D2070:D2073"/>
    <mergeCell ref="E2070:E2073"/>
    <mergeCell ref="F2070:F2073"/>
    <mergeCell ref="G2070:G2073"/>
    <mergeCell ref="H2070:H2073"/>
    <mergeCell ref="W2070:W2073"/>
    <mergeCell ref="X2070:X2073"/>
    <mergeCell ref="Y2070:Y2073"/>
    <mergeCell ref="A2074:A2077"/>
    <mergeCell ref="B2074:B2077"/>
    <mergeCell ref="C2074:C2077"/>
    <mergeCell ref="D2074:D2077"/>
    <mergeCell ref="E2074:E2077"/>
    <mergeCell ref="F2074:F2077"/>
    <mergeCell ref="G2074:G2077"/>
    <mergeCell ref="H2074:H2077"/>
    <mergeCell ref="W2074:W2077"/>
    <mergeCell ref="X2074:X2077"/>
    <mergeCell ref="Y2074:Y2077"/>
    <mergeCell ref="A2078:A2081"/>
    <mergeCell ref="B2078:B2081"/>
    <mergeCell ref="C2078:C2081"/>
    <mergeCell ref="D2078:D2081"/>
    <mergeCell ref="E2078:E2081"/>
    <mergeCell ref="F2078:F2081"/>
    <mergeCell ref="G2078:G2081"/>
    <mergeCell ref="H2078:H2081"/>
    <mergeCell ref="W2078:W2081"/>
    <mergeCell ref="X2078:X2081"/>
    <mergeCell ref="Y2078:Y2081"/>
    <mergeCell ref="A2082:A2085"/>
    <mergeCell ref="B2082:B2085"/>
    <mergeCell ref="C2082:C2085"/>
    <mergeCell ref="D2082:D2085"/>
    <mergeCell ref="E2082:E2085"/>
    <mergeCell ref="F2082:F2085"/>
    <mergeCell ref="G2082:G2085"/>
    <mergeCell ref="H2082:H2085"/>
    <mergeCell ref="W2082:W2085"/>
    <mergeCell ref="X2082:X2085"/>
    <mergeCell ref="Y2082:Y2085"/>
    <mergeCell ref="A2086:A2089"/>
    <mergeCell ref="B2086:B2089"/>
    <mergeCell ref="C2086:C2089"/>
    <mergeCell ref="D2086:D2089"/>
    <mergeCell ref="E2086:E2089"/>
    <mergeCell ref="F2086:F2089"/>
    <mergeCell ref="G2086:G2089"/>
    <mergeCell ref="H2086:H2089"/>
    <mergeCell ref="W2086:W2089"/>
    <mergeCell ref="X2086:X2089"/>
    <mergeCell ref="Y2086:Y2089"/>
    <mergeCell ref="A2090:A2093"/>
    <mergeCell ref="B2090:B2093"/>
    <mergeCell ref="C2090:C2093"/>
    <mergeCell ref="D2090:D2093"/>
    <mergeCell ref="E2090:E2093"/>
    <mergeCell ref="F2090:F2093"/>
    <mergeCell ref="G2090:G2093"/>
    <mergeCell ref="H2090:H2093"/>
    <mergeCell ref="W2090:W2093"/>
    <mergeCell ref="X2090:X2093"/>
    <mergeCell ref="Y2090:Y2093"/>
    <mergeCell ref="A2094:A2097"/>
    <mergeCell ref="B2094:B2097"/>
    <mergeCell ref="C2094:C2097"/>
    <mergeCell ref="D2094:D2097"/>
    <mergeCell ref="E2094:E2097"/>
    <mergeCell ref="F2094:F2097"/>
    <mergeCell ref="G2094:G2097"/>
    <mergeCell ref="H2094:H2097"/>
    <mergeCell ref="W2094:W2097"/>
    <mergeCell ref="X2094:X2097"/>
    <mergeCell ref="Y2094:Y2097"/>
    <mergeCell ref="A2098:A2101"/>
    <mergeCell ref="B2098:B2101"/>
    <mergeCell ref="C2098:C2101"/>
    <mergeCell ref="D2098:D2101"/>
    <mergeCell ref="E2098:E2101"/>
    <mergeCell ref="F2098:F2101"/>
    <mergeCell ref="G2098:G2101"/>
    <mergeCell ref="H2098:H2101"/>
    <mergeCell ref="W2098:W2101"/>
    <mergeCell ref="X2098:X2101"/>
    <mergeCell ref="Y2098:Y2101"/>
    <mergeCell ref="A2102:A2105"/>
    <mergeCell ref="B2102:B2105"/>
    <mergeCell ref="C2102:C2105"/>
    <mergeCell ref="D2102:D2105"/>
    <mergeCell ref="E2102:E2105"/>
    <mergeCell ref="F2102:F2105"/>
    <mergeCell ref="G2102:G2105"/>
    <mergeCell ref="H2102:H2105"/>
    <mergeCell ref="W2102:W2105"/>
    <mergeCell ref="X2102:X2105"/>
    <mergeCell ref="Y2102:Y2105"/>
    <mergeCell ref="A2106:A2109"/>
    <mergeCell ref="B2106:B2109"/>
    <mergeCell ref="C2106:C2109"/>
    <mergeCell ref="D2106:D2109"/>
    <mergeCell ref="E2106:E2109"/>
    <mergeCell ref="F2106:F2109"/>
    <mergeCell ref="G2106:G2109"/>
    <mergeCell ref="H2106:H2109"/>
    <mergeCell ref="W2106:W2109"/>
    <mergeCell ref="X2106:X2109"/>
    <mergeCell ref="Y2106:Y2109"/>
    <mergeCell ref="A2110:A2113"/>
    <mergeCell ref="B2110:B2113"/>
    <mergeCell ref="C2110:C2113"/>
    <mergeCell ref="D2110:D2113"/>
    <mergeCell ref="E2110:E2113"/>
    <mergeCell ref="F2110:F2113"/>
    <mergeCell ref="G2110:G2113"/>
    <mergeCell ref="H2110:H2113"/>
    <mergeCell ref="W2110:W2113"/>
    <mergeCell ref="X2110:X2113"/>
    <mergeCell ref="Y2110:Y2113"/>
    <mergeCell ref="A2114:A2117"/>
    <mergeCell ref="B2114:B2117"/>
    <mergeCell ref="C2114:C2117"/>
    <mergeCell ref="D2114:D2117"/>
    <mergeCell ref="E2114:E2117"/>
    <mergeCell ref="F2114:F2117"/>
    <mergeCell ref="G2114:G2117"/>
    <mergeCell ref="H2114:H2117"/>
    <mergeCell ref="W2114:W2117"/>
    <mergeCell ref="X2114:X2117"/>
    <mergeCell ref="Y2114:Y2117"/>
    <mergeCell ref="A2118:A2121"/>
    <mergeCell ref="B2118:B2121"/>
    <mergeCell ref="C2118:C2121"/>
    <mergeCell ref="D2118:D2121"/>
    <mergeCell ref="E2118:E2121"/>
    <mergeCell ref="F2118:F2121"/>
    <mergeCell ref="G2118:G2121"/>
    <mergeCell ref="H2118:H2121"/>
    <mergeCell ref="W2118:W2121"/>
    <mergeCell ref="X2118:X2121"/>
    <mergeCell ref="Y2118:Y2121"/>
    <mergeCell ref="A2122:A2125"/>
    <mergeCell ref="B2122:B2125"/>
    <mergeCell ref="C2122:C2125"/>
    <mergeCell ref="D2122:D2125"/>
    <mergeCell ref="E2122:E2125"/>
    <mergeCell ref="F2122:F2125"/>
    <mergeCell ref="G2122:G2125"/>
    <mergeCell ref="H2122:H2125"/>
    <mergeCell ref="W2122:W2125"/>
    <mergeCell ref="X2122:X2125"/>
    <mergeCell ref="Y2122:Y2125"/>
    <mergeCell ref="A2126:A2129"/>
    <mergeCell ref="B2126:B2129"/>
    <mergeCell ref="C2126:C2129"/>
    <mergeCell ref="D2126:D2129"/>
    <mergeCell ref="E2126:E2129"/>
    <mergeCell ref="F2126:F2129"/>
    <mergeCell ref="G2126:G2129"/>
    <mergeCell ref="H2126:H2129"/>
    <mergeCell ref="W2126:W2129"/>
    <mergeCell ref="X2126:X2129"/>
    <mergeCell ref="Y2126:Y2129"/>
    <mergeCell ref="A2130:A2133"/>
    <mergeCell ref="B2130:B2133"/>
    <mergeCell ref="C2130:C2133"/>
    <mergeCell ref="D2130:D2133"/>
    <mergeCell ref="E2130:E2133"/>
    <mergeCell ref="F2130:F2133"/>
    <mergeCell ref="G2130:G2133"/>
    <mergeCell ref="H2130:H2133"/>
    <mergeCell ref="W2130:W2133"/>
    <mergeCell ref="X2130:X2133"/>
    <mergeCell ref="Y2130:Y2133"/>
    <mergeCell ref="A2134:A2137"/>
    <mergeCell ref="B2134:B2137"/>
    <mergeCell ref="C2134:C2137"/>
    <mergeCell ref="D2134:D2137"/>
    <mergeCell ref="E2134:E2137"/>
    <mergeCell ref="F2134:F2137"/>
    <mergeCell ref="G2134:G2137"/>
    <mergeCell ref="H2134:H2137"/>
    <mergeCell ref="W2134:W2137"/>
    <mergeCell ref="X2134:X2137"/>
    <mergeCell ref="Y2134:Y2137"/>
    <mergeCell ref="A2138:A2141"/>
    <mergeCell ref="B2138:B2141"/>
    <mergeCell ref="C2138:C2141"/>
    <mergeCell ref="D2138:D2141"/>
    <mergeCell ref="E2138:E2141"/>
    <mergeCell ref="F2138:F2141"/>
    <mergeCell ref="G2138:G2141"/>
    <mergeCell ref="H2138:H2141"/>
    <mergeCell ref="W2138:W2141"/>
    <mergeCell ref="X2138:X2141"/>
    <mergeCell ref="Y2138:Y2141"/>
    <mergeCell ref="A2142:A2145"/>
    <mergeCell ref="B2142:B2145"/>
    <mergeCell ref="C2142:C2145"/>
    <mergeCell ref="D2142:D2145"/>
    <mergeCell ref="E2142:E2145"/>
    <mergeCell ref="F2142:F2145"/>
    <mergeCell ref="G2142:G2145"/>
    <mergeCell ref="H2142:H2145"/>
    <mergeCell ref="W2142:W2145"/>
    <mergeCell ref="X2142:X2145"/>
    <mergeCell ref="Y2142:Y2145"/>
    <mergeCell ref="A2146:A2149"/>
    <mergeCell ref="B2146:B2149"/>
    <mergeCell ref="C2146:C2149"/>
    <mergeCell ref="D2146:D2149"/>
    <mergeCell ref="E2146:E2149"/>
    <mergeCell ref="F2146:F2149"/>
    <mergeCell ref="G2146:G2149"/>
    <mergeCell ref="H2146:H2149"/>
    <mergeCell ref="W2146:W2149"/>
    <mergeCell ref="X2146:X2149"/>
    <mergeCell ref="Y2146:Y2149"/>
    <mergeCell ref="A2150:A2153"/>
    <mergeCell ref="B2150:B2153"/>
    <mergeCell ref="C2150:C2153"/>
    <mergeCell ref="D2150:D2153"/>
    <mergeCell ref="E2150:E2153"/>
    <mergeCell ref="F2150:F2153"/>
    <mergeCell ref="G2150:G2153"/>
    <mergeCell ref="H2150:H2153"/>
    <mergeCell ref="W2150:W2153"/>
    <mergeCell ref="X2150:X2153"/>
    <mergeCell ref="Y2150:Y2153"/>
    <mergeCell ref="A2154:A2157"/>
    <mergeCell ref="B2154:B2157"/>
    <mergeCell ref="C2154:C2157"/>
    <mergeCell ref="D2154:D2157"/>
    <mergeCell ref="E2154:E2157"/>
    <mergeCell ref="F2154:F2157"/>
    <mergeCell ref="G2154:G2157"/>
    <mergeCell ref="H2154:H2157"/>
    <mergeCell ref="W2154:W2157"/>
    <mergeCell ref="X2154:X2157"/>
    <mergeCell ref="Y2154:Y2157"/>
    <mergeCell ref="A2158:A2161"/>
    <mergeCell ref="B2158:B2161"/>
    <mergeCell ref="C2158:C2161"/>
    <mergeCell ref="D2158:D2161"/>
    <mergeCell ref="E2158:E2161"/>
    <mergeCell ref="F2158:F2161"/>
    <mergeCell ref="G2158:G2161"/>
    <mergeCell ref="H2158:H2161"/>
    <mergeCell ref="W2158:W2161"/>
    <mergeCell ref="X2158:X2161"/>
    <mergeCell ref="Y2158:Y2161"/>
    <mergeCell ref="A2162:A2165"/>
    <mergeCell ref="B2162:B2165"/>
    <mergeCell ref="C2162:C2165"/>
    <mergeCell ref="D2162:D2165"/>
    <mergeCell ref="E2162:E2165"/>
    <mergeCell ref="F2162:F2165"/>
    <mergeCell ref="G2162:G2165"/>
    <mergeCell ref="H2162:H2165"/>
    <mergeCell ref="W2162:W2165"/>
    <mergeCell ref="X2162:X2165"/>
    <mergeCell ref="Y2162:Y2165"/>
    <mergeCell ref="A2166:A2169"/>
    <mergeCell ref="B2166:B2169"/>
    <mergeCell ref="C2166:C2169"/>
    <mergeCell ref="D2166:D2169"/>
    <mergeCell ref="E2166:E2169"/>
    <mergeCell ref="F2166:F2169"/>
    <mergeCell ref="G2166:G2169"/>
    <mergeCell ref="H2166:H2169"/>
    <mergeCell ref="W2166:W2169"/>
    <mergeCell ref="X2166:X2169"/>
    <mergeCell ref="Y2166:Y2169"/>
    <mergeCell ref="A2170:A2173"/>
    <mergeCell ref="B2170:B2173"/>
    <mergeCell ref="C2170:C2173"/>
    <mergeCell ref="D2170:D2173"/>
    <mergeCell ref="E2170:E2173"/>
    <mergeCell ref="F2170:F2173"/>
    <mergeCell ref="G2170:G2173"/>
    <mergeCell ref="H2170:H2173"/>
    <mergeCell ref="W2170:W2173"/>
    <mergeCell ref="X2170:X2173"/>
    <mergeCell ref="Y2170:Y2173"/>
    <mergeCell ref="A2174:A2177"/>
    <mergeCell ref="B2174:B2177"/>
    <mergeCell ref="C2174:C2177"/>
    <mergeCell ref="D2174:D2177"/>
    <mergeCell ref="E2174:E2177"/>
    <mergeCell ref="F2174:F2177"/>
    <mergeCell ref="G2174:G2177"/>
    <mergeCell ref="H2174:H2177"/>
    <mergeCell ref="W2174:W2177"/>
    <mergeCell ref="X2174:X2177"/>
    <mergeCell ref="Y2174:Y2177"/>
    <mergeCell ref="A2178:A2181"/>
    <mergeCell ref="B2178:B2181"/>
    <mergeCell ref="C2178:C2181"/>
    <mergeCell ref="D2178:D2181"/>
    <mergeCell ref="E2178:E2181"/>
    <mergeCell ref="F2178:F2181"/>
    <mergeCell ref="G2178:G2181"/>
    <mergeCell ref="H2178:H2181"/>
    <mergeCell ref="W2178:W2181"/>
    <mergeCell ref="X2178:X2181"/>
    <mergeCell ref="Y2178:Y2181"/>
    <mergeCell ref="A2182:A2185"/>
    <mergeCell ref="B2182:B2185"/>
    <mergeCell ref="C2182:C2185"/>
    <mergeCell ref="D2182:D2185"/>
    <mergeCell ref="E2182:E2185"/>
    <mergeCell ref="F2182:F2185"/>
    <mergeCell ref="G2182:G2185"/>
    <mergeCell ref="H2182:H2185"/>
    <mergeCell ref="W2182:W2185"/>
    <mergeCell ref="X2182:X2185"/>
    <mergeCell ref="Y2182:Y2185"/>
    <mergeCell ref="A2186:A2189"/>
    <mergeCell ref="B2186:B2189"/>
    <mergeCell ref="C2186:C2189"/>
    <mergeCell ref="D2186:D2189"/>
    <mergeCell ref="E2186:E2189"/>
    <mergeCell ref="F2186:F2189"/>
    <mergeCell ref="G2186:G2189"/>
    <mergeCell ref="H2186:H2189"/>
    <mergeCell ref="W2186:W2189"/>
    <mergeCell ref="X2186:X2189"/>
    <mergeCell ref="Y2186:Y2189"/>
    <mergeCell ref="A2190:A2193"/>
    <mergeCell ref="B2190:B2193"/>
    <mergeCell ref="C2190:C2193"/>
    <mergeCell ref="D2190:D2193"/>
    <mergeCell ref="E2190:E2193"/>
    <mergeCell ref="F2190:F2193"/>
    <mergeCell ref="G2190:G2193"/>
    <mergeCell ref="H2190:H2193"/>
    <mergeCell ref="W2190:W2193"/>
    <mergeCell ref="X2190:X2193"/>
    <mergeCell ref="Y2190:Y2193"/>
    <mergeCell ref="A2194:A2197"/>
    <mergeCell ref="B2194:B2197"/>
    <mergeCell ref="C2194:C2197"/>
    <mergeCell ref="D2194:D2197"/>
    <mergeCell ref="E2194:E2197"/>
    <mergeCell ref="F2194:F2197"/>
    <mergeCell ref="G2194:G2197"/>
    <mergeCell ref="H2194:H2197"/>
    <mergeCell ref="W2194:W2197"/>
    <mergeCell ref="X2194:X2197"/>
    <mergeCell ref="Y2194:Y2197"/>
    <mergeCell ref="A2198:A2201"/>
    <mergeCell ref="B2198:B2201"/>
    <mergeCell ref="C2198:C2201"/>
    <mergeCell ref="D2198:D2201"/>
    <mergeCell ref="E2198:E2201"/>
    <mergeCell ref="F2198:F2201"/>
    <mergeCell ref="G2198:G2201"/>
    <mergeCell ref="H2198:H2201"/>
    <mergeCell ref="W2198:W2201"/>
    <mergeCell ref="X2198:X2201"/>
    <mergeCell ref="Y2198:Y2201"/>
    <mergeCell ref="A2202:A2205"/>
    <mergeCell ref="B2202:B2205"/>
    <mergeCell ref="C2202:C2205"/>
    <mergeCell ref="D2202:D2205"/>
    <mergeCell ref="E2202:E2205"/>
    <mergeCell ref="F2202:F2205"/>
    <mergeCell ref="G2202:G2205"/>
    <mergeCell ref="H2202:H2205"/>
    <mergeCell ref="W2202:W2205"/>
    <mergeCell ref="X2202:X2205"/>
    <mergeCell ref="Y2202:Y2205"/>
    <mergeCell ref="A2206:A2209"/>
    <mergeCell ref="B2206:B2209"/>
    <mergeCell ref="C2206:C2209"/>
    <mergeCell ref="D2206:D2209"/>
    <mergeCell ref="E2206:E2209"/>
    <mergeCell ref="F2206:F2209"/>
    <mergeCell ref="G2206:G2209"/>
    <mergeCell ref="H2206:H2209"/>
    <mergeCell ref="W2206:W2209"/>
    <mergeCell ref="X2206:X2209"/>
    <mergeCell ref="Y2206:Y2209"/>
    <mergeCell ref="A2210:A2213"/>
    <mergeCell ref="B2210:B2213"/>
    <mergeCell ref="C2210:C2213"/>
    <mergeCell ref="D2210:D2213"/>
    <mergeCell ref="E2210:E2213"/>
    <mergeCell ref="F2210:F2213"/>
    <mergeCell ref="G2210:G2213"/>
    <mergeCell ref="H2210:H2213"/>
    <mergeCell ref="W2210:W2213"/>
    <mergeCell ref="X2210:X2213"/>
    <mergeCell ref="Y2210:Y2213"/>
    <mergeCell ref="A2214:A2217"/>
    <mergeCell ref="B2214:B2217"/>
    <mergeCell ref="C2214:C2217"/>
    <mergeCell ref="D2214:D2217"/>
    <mergeCell ref="E2214:E2217"/>
    <mergeCell ref="F2214:F2217"/>
    <mergeCell ref="G2214:G2217"/>
    <mergeCell ref="H2214:H2217"/>
    <mergeCell ref="W2214:W2217"/>
    <mergeCell ref="X2214:X2217"/>
    <mergeCell ref="Y2214:Y2217"/>
    <mergeCell ref="A2218:A2221"/>
    <mergeCell ref="B2218:B2221"/>
    <mergeCell ref="C2218:C2221"/>
    <mergeCell ref="D2218:D2221"/>
    <mergeCell ref="E2218:E2221"/>
    <mergeCell ref="F2218:F2221"/>
    <mergeCell ref="G2218:G2221"/>
    <mergeCell ref="H2218:H2221"/>
    <mergeCell ref="W2218:W2221"/>
    <mergeCell ref="X2218:X2221"/>
    <mergeCell ref="Y2218:Y2221"/>
    <mergeCell ref="A2222:A2225"/>
    <mergeCell ref="B2222:B2225"/>
    <mergeCell ref="C2222:C2225"/>
    <mergeCell ref="D2222:D2225"/>
    <mergeCell ref="E2222:E2225"/>
    <mergeCell ref="F2222:F2225"/>
    <mergeCell ref="G2222:G2225"/>
    <mergeCell ref="H2222:H2225"/>
    <mergeCell ref="W2222:W2225"/>
    <mergeCell ref="X2222:X2225"/>
    <mergeCell ref="Y2222:Y2225"/>
    <mergeCell ref="A2226:A2229"/>
    <mergeCell ref="B2226:B2229"/>
    <mergeCell ref="C2226:C2229"/>
    <mergeCell ref="D2226:D2229"/>
    <mergeCell ref="E2226:E2229"/>
    <mergeCell ref="F2226:F2229"/>
    <mergeCell ref="G2226:G2229"/>
    <mergeCell ref="H2226:H2229"/>
    <mergeCell ref="W2226:W2229"/>
    <mergeCell ref="X2226:X2229"/>
    <mergeCell ref="Y2226:Y2229"/>
    <mergeCell ref="A2230:A2233"/>
    <mergeCell ref="B2230:B2233"/>
    <mergeCell ref="C2230:C2233"/>
    <mergeCell ref="D2230:D2233"/>
    <mergeCell ref="E2230:E2233"/>
    <mergeCell ref="F2230:F2233"/>
    <mergeCell ref="G2230:G2233"/>
    <mergeCell ref="H2230:H2233"/>
    <mergeCell ref="W2230:W2233"/>
    <mergeCell ref="X2230:X2233"/>
    <mergeCell ref="Y2230:Y2233"/>
    <mergeCell ref="A2234:A2237"/>
    <mergeCell ref="B2234:B2237"/>
    <mergeCell ref="C2234:C2237"/>
    <mergeCell ref="D2234:D2237"/>
    <mergeCell ref="E2234:E2237"/>
    <mergeCell ref="F2234:F2237"/>
    <mergeCell ref="G2234:G2237"/>
    <mergeCell ref="H2234:H2237"/>
    <mergeCell ref="W2234:W2237"/>
    <mergeCell ref="X2234:X2237"/>
    <mergeCell ref="Y2234:Y2237"/>
    <mergeCell ref="A2238:A2241"/>
    <mergeCell ref="B2238:B2241"/>
    <mergeCell ref="C2238:C2241"/>
    <mergeCell ref="D2238:D2241"/>
    <mergeCell ref="E2238:E2241"/>
    <mergeCell ref="F2238:F2241"/>
    <mergeCell ref="G2238:G2241"/>
    <mergeCell ref="H2238:H2241"/>
    <mergeCell ref="W2238:W2241"/>
    <mergeCell ref="X2238:X2241"/>
    <mergeCell ref="Y2238:Y2241"/>
    <mergeCell ref="A2242:A2245"/>
    <mergeCell ref="B2242:B2245"/>
    <mergeCell ref="C2242:C2245"/>
    <mergeCell ref="D2242:D2245"/>
    <mergeCell ref="E2242:E2245"/>
    <mergeCell ref="F2242:F2245"/>
    <mergeCell ref="G2242:G2245"/>
    <mergeCell ref="H2242:H2245"/>
    <mergeCell ref="W2242:W2245"/>
    <mergeCell ref="X2242:X2245"/>
    <mergeCell ref="Y2242:Y2245"/>
    <mergeCell ref="A2246:A2249"/>
    <mergeCell ref="B2246:B2249"/>
    <mergeCell ref="C2246:C2249"/>
    <mergeCell ref="D2246:D2249"/>
    <mergeCell ref="E2246:E2249"/>
    <mergeCell ref="F2246:F2249"/>
    <mergeCell ref="G2246:G2249"/>
    <mergeCell ref="H2246:H2249"/>
    <mergeCell ref="W2246:W2249"/>
    <mergeCell ref="X2246:X2249"/>
    <mergeCell ref="Y2246:Y2249"/>
    <mergeCell ref="A2250:A2253"/>
    <mergeCell ref="B2250:B2253"/>
    <mergeCell ref="C2250:C2253"/>
    <mergeCell ref="D2250:D2253"/>
    <mergeCell ref="E2250:E2253"/>
    <mergeCell ref="F2250:F2253"/>
    <mergeCell ref="G2250:G2253"/>
    <mergeCell ref="H2250:H2253"/>
    <mergeCell ref="W2250:W2253"/>
    <mergeCell ref="X2250:X2253"/>
    <mergeCell ref="Y2250:Y2253"/>
    <mergeCell ref="A2254:A2257"/>
    <mergeCell ref="B2254:B2257"/>
    <mergeCell ref="C2254:C2257"/>
    <mergeCell ref="D2254:D2257"/>
    <mergeCell ref="E2254:E2257"/>
    <mergeCell ref="F2254:F2257"/>
    <mergeCell ref="G2254:G2257"/>
    <mergeCell ref="H2254:H2257"/>
    <mergeCell ref="W2254:W2257"/>
    <mergeCell ref="X2254:X2257"/>
    <mergeCell ref="Y2254:Y2257"/>
    <mergeCell ref="A2258:A2261"/>
    <mergeCell ref="B2258:B2261"/>
    <mergeCell ref="C2258:C2261"/>
    <mergeCell ref="D2258:D2261"/>
    <mergeCell ref="E2258:E2261"/>
    <mergeCell ref="F2258:F2261"/>
    <mergeCell ref="G2258:G2261"/>
    <mergeCell ref="H2258:H2261"/>
    <mergeCell ref="W2258:W2261"/>
    <mergeCell ref="X2258:X2261"/>
    <mergeCell ref="Y2258:Y2261"/>
    <mergeCell ref="A2262:A2265"/>
    <mergeCell ref="B2262:B2265"/>
    <mergeCell ref="C2262:C2265"/>
    <mergeCell ref="D2262:D2265"/>
    <mergeCell ref="E2262:E2265"/>
    <mergeCell ref="F2262:F2265"/>
    <mergeCell ref="G2262:G2265"/>
    <mergeCell ref="H2262:H2265"/>
    <mergeCell ref="W2262:W2265"/>
    <mergeCell ref="X2262:X2265"/>
    <mergeCell ref="Y2262:Y2265"/>
    <mergeCell ref="A2266:A2269"/>
    <mergeCell ref="B2266:B2269"/>
    <mergeCell ref="C2266:C2269"/>
    <mergeCell ref="D2266:D2269"/>
    <mergeCell ref="E2266:E2269"/>
    <mergeCell ref="F2266:F2269"/>
    <mergeCell ref="G2266:G2269"/>
    <mergeCell ref="H2266:H2269"/>
    <mergeCell ref="W2266:W2269"/>
    <mergeCell ref="X2266:X2269"/>
    <mergeCell ref="Y2266:Y2269"/>
    <mergeCell ref="A2270:A2273"/>
    <mergeCell ref="B2270:B2273"/>
    <mergeCell ref="C2270:C2273"/>
    <mergeCell ref="D2270:D2273"/>
    <mergeCell ref="E2270:E2273"/>
    <mergeCell ref="F2270:F2273"/>
    <mergeCell ref="G2270:G2273"/>
    <mergeCell ref="H2270:H2273"/>
    <mergeCell ref="W2270:W2273"/>
    <mergeCell ref="X2270:X2273"/>
    <mergeCell ref="Y2270:Y2273"/>
    <mergeCell ref="A2274:A2277"/>
    <mergeCell ref="B2274:B2277"/>
    <mergeCell ref="C2274:C2277"/>
    <mergeCell ref="D2274:D2277"/>
    <mergeCell ref="E2274:E2277"/>
    <mergeCell ref="F2274:F2277"/>
    <mergeCell ref="G2274:G2277"/>
    <mergeCell ref="H2274:H2277"/>
    <mergeCell ref="W2274:W2277"/>
    <mergeCell ref="X2274:X2277"/>
    <mergeCell ref="Y2274:Y2277"/>
    <mergeCell ref="A2278:A2281"/>
    <mergeCell ref="B2278:B2281"/>
    <mergeCell ref="C2278:C2281"/>
    <mergeCell ref="D2278:D2281"/>
    <mergeCell ref="E2278:E2281"/>
    <mergeCell ref="F2278:F2281"/>
    <mergeCell ref="G2278:G2281"/>
    <mergeCell ref="H2278:H2281"/>
    <mergeCell ref="W2278:W2281"/>
    <mergeCell ref="X2278:X2281"/>
    <mergeCell ref="Y2278:Y2281"/>
    <mergeCell ref="A2282:A2285"/>
    <mergeCell ref="B2282:B2285"/>
    <mergeCell ref="C2282:C2285"/>
    <mergeCell ref="D2282:D2285"/>
    <mergeCell ref="E2282:E2285"/>
    <mergeCell ref="F2282:F2285"/>
    <mergeCell ref="G2282:G2285"/>
    <mergeCell ref="H2282:H2285"/>
    <mergeCell ref="W2282:W2285"/>
    <mergeCell ref="X2282:X2285"/>
    <mergeCell ref="Y2282:Y2285"/>
    <mergeCell ref="A2286:A2289"/>
    <mergeCell ref="B2286:B2289"/>
    <mergeCell ref="C2286:C2289"/>
    <mergeCell ref="D2286:D2289"/>
    <mergeCell ref="E2286:E2289"/>
    <mergeCell ref="F2286:F2289"/>
    <mergeCell ref="G2286:G2289"/>
    <mergeCell ref="H2286:H2289"/>
    <mergeCell ref="W2286:W2289"/>
    <mergeCell ref="X2286:X2289"/>
    <mergeCell ref="Y2286:Y2289"/>
    <mergeCell ref="A2290:A2293"/>
    <mergeCell ref="B2290:B2293"/>
    <mergeCell ref="C2290:C2293"/>
    <mergeCell ref="D2290:D2293"/>
    <mergeCell ref="E2290:E2293"/>
    <mergeCell ref="F2290:F2293"/>
    <mergeCell ref="G2290:G2293"/>
    <mergeCell ref="H2290:H2293"/>
    <mergeCell ref="W2290:W2293"/>
    <mergeCell ref="X2290:X2293"/>
    <mergeCell ref="Y2290:Y2293"/>
    <mergeCell ref="A2294:A2297"/>
    <mergeCell ref="B2294:B2297"/>
    <mergeCell ref="C2294:C2297"/>
    <mergeCell ref="D2294:D2297"/>
    <mergeCell ref="E2294:E2297"/>
    <mergeCell ref="F2294:F2297"/>
    <mergeCell ref="G2294:G2297"/>
    <mergeCell ref="H2294:H2297"/>
    <mergeCell ref="W2294:W2297"/>
    <mergeCell ref="X2294:X2297"/>
    <mergeCell ref="Y2294:Y2297"/>
    <mergeCell ref="A2298:A2301"/>
    <mergeCell ref="B2298:B2301"/>
    <mergeCell ref="C2298:C2301"/>
    <mergeCell ref="D2298:D2301"/>
    <mergeCell ref="E2298:E2301"/>
    <mergeCell ref="F2298:F2301"/>
    <mergeCell ref="G2298:G2301"/>
    <mergeCell ref="H2298:H2301"/>
    <mergeCell ref="W2298:W2301"/>
    <mergeCell ref="X2298:X2301"/>
    <mergeCell ref="Y2298:Y2301"/>
    <mergeCell ref="A2302:A2305"/>
    <mergeCell ref="B2302:B2305"/>
    <mergeCell ref="C2302:C2305"/>
    <mergeCell ref="D2302:D2305"/>
    <mergeCell ref="E2302:E2305"/>
    <mergeCell ref="F2302:F2305"/>
    <mergeCell ref="G2302:G2305"/>
    <mergeCell ref="H2302:H2305"/>
    <mergeCell ref="W2302:W2305"/>
    <mergeCell ref="X2302:X2305"/>
    <mergeCell ref="Y2302:Y2305"/>
    <mergeCell ref="A2306:A2309"/>
    <mergeCell ref="B2306:B2309"/>
    <mergeCell ref="C2306:C2309"/>
    <mergeCell ref="D2306:D2309"/>
    <mergeCell ref="E2306:E2309"/>
    <mergeCell ref="F2306:F2309"/>
    <mergeCell ref="G2306:G2309"/>
    <mergeCell ref="H2306:H2309"/>
    <mergeCell ref="W2306:W2309"/>
    <mergeCell ref="X2306:X2309"/>
    <mergeCell ref="Y2306:Y2309"/>
    <mergeCell ref="A2310:A2313"/>
    <mergeCell ref="B2310:B2313"/>
    <mergeCell ref="C2310:C2313"/>
    <mergeCell ref="D2310:D2313"/>
    <mergeCell ref="E2310:E2313"/>
    <mergeCell ref="F2310:F2313"/>
    <mergeCell ref="G2310:G2313"/>
    <mergeCell ref="H2310:H2313"/>
    <mergeCell ref="W2310:W2313"/>
    <mergeCell ref="X2310:X2313"/>
    <mergeCell ref="Y2310:Y2313"/>
    <mergeCell ref="A2314:A2317"/>
    <mergeCell ref="B2314:B2317"/>
    <mergeCell ref="C2314:C2317"/>
    <mergeCell ref="D2314:D2317"/>
    <mergeCell ref="E2314:E2317"/>
    <mergeCell ref="F2314:F2317"/>
    <mergeCell ref="G2314:G2317"/>
    <mergeCell ref="H2314:H2317"/>
    <mergeCell ref="W2314:W2317"/>
    <mergeCell ref="X2314:X2317"/>
    <mergeCell ref="Y2314:Y2317"/>
    <mergeCell ref="A2318:A2321"/>
    <mergeCell ref="B2318:B2321"/>
    <mergeCell ref="C2318:C2321"/>
    <mergeCell ref="D2318:D2321"/>
    <mergeCell ref="E2318:E2321"/>
    <mergeCell ref="F2318:F2321"/>
    <mergeCell ref="G2318:G2321"/>
    <mergeCell ref="H2318:H2321"/>
    <mergeCell ref="W2318:W2321"/>
    <mergeCell ref="X2318:X2321"/>
    <mergeCell ref="Y2318:Y2321"/>
    <mergeCell ref="A2322:A2325"/>
    <mergeCell ref="B2322:B2325"/>
    <mergeCell ref="C2322:C2325"/>
    <mergeCell ref="D2322:D2325"/>
    <mergeCell ref="E2322:E2325"/>
    <mergeCell ref="F2322:F2325"/>
    <mergeCell ref="G2322:G2325"/>
    <mergeCell ref="H2322:H2325"/>
    <mergeCell ref="W2322:W2325"/>
    <mergeCell ref="X2322:X2325"/>
    <mergeCell ref="Y2322:Y2325"/>
    <mergeCell ref="A2326:A2329"/>
    <mergeCell ref="B2326:B2329"/>
    <mergeCell ref="C2326:C2329"/>
    <mergeCell ref="D2326:D2329"/>
    <mergeCell ref="E2326:E2329"/>
    <mergeCell ref="F2326:F2329"/>
    <mergeCell ref="G2326:G2329"/>
    <mergeCell ref="H2326:H2329"/>
    <mergeCell ref="W2326:W2329"/>
    <mergeCell ref="X2326:X2329"/>
    <mergeCell ref="Y2326:Y2329"/>
    <mergeCell ref="A2330:A2333"/>
    <mergeCell ref="B2330:B2333"/>
    <mergeCell ref="C2330:C2333"/>
    <mergeCell ref="D2330:D2333"/>
    <mergeCell ref="E2330:E2333"/>
    <mergeCell ref="F2330:F2333"/>
    <mergeCell ref="G2330:G2333"/>
    <mergeCell ref="H2330:H2333"/>
    <mergeCell ref="W2330:W2333"/>
    <mergeCell ref="X2330:X2333"/>
    <mergeCell ref="Y2330:Y2333"/>
    <mergeCell ref="A2334:A2337"/>
    <mergeCell ref="B2334:B2337"/>
    <mergeCell ref="C2334:C2337"/>
    <mergeCell ref="D2334:D2337"/>
    <mergeCell ref="E2334:E2337"/>
    <mergeCell ref="F2334:F2337"/>
    <mergeCell ref="G2334:G2337"/>
    <mergeCell ref="H2334:H2337"/>
    <mergeCell ref="W2334:W2337"/>
    <mergeCell ref="X2334:X2337"/>
    <mergeCell ref="Y2334:Y2337"/>
    <mergeCell ref="A2338:A2341"/>
    <mergeCell ref="B2338:B2341"/>
    <mergeCell ref="C2338:C2341"/>
    <mergeCell ref="D2338:D2341"/>
    <mergeCell ref="E2338:E2341"/>
    <mergeCell ref="F2338:F2341"/>
    <mergeCell ref="G2338:G2341"/>
    <mergeCell ref="H2338:H2341"/>
    <mergeCell ref="W2338:W2341"/>
    <mergeCell ref="X2338:X2341"/>
    <mergeCell ref="Y2338:Y2341"/>
    <mergeCell ref="A2342:A2345"/>
    <mergeCell ref="B2342:B2345"/>
    <mergeCell ref="C2342:C2345"/>
    <mergeCell ref="D2342:D2345"/>
    <mergeCell ref="E2342:E2345"/>
    <mergeCell ref="F2342:F2345"/>
    <mergeCell ref="G2342:G2345"/>
    <mergeCell ref="H2342:H2345"/>
    <mergeCell ref="W2342:W2345"/>
    <mergeCell ref="X2342:X2345"/>
    <mergeCell ref="Y2342:Y2345"/>
    <mergeCell ref="A2346:A2349"/>
    <mergeCell ref="B2346:B2349"/>
    <mergeCell ref="C2346:C2349"/>
    <mergeCell ref="D2346:D2349"/>
    <mergeCell ref="E2346:E2349"/>
    <mergeCell ref="F2346:F2349"/>
    <mergeCell ref="G2346:G2349"/>
    <mergeCell ref="H2346:H2349"/>
    <mergeCell ref="W2346:W2349"/>
    <mergeCell ref="X2346:X2349"/>
    <mergeCell ref="Y2346:Y2349"/>
    <mergeCell ref="A2350:A2353"/>
    <mergeCell ref="B2350:B2353"/>
    <mergeCell ref="C2350:C2353"/>
    <mergeCell ref="D2350:D2353"/>
    <mergeCell ref="E2350:E2353"/>
    <mergeCell ref="F2350:F2353"/>
    <mergeCell ref="G2350:G2353"/>
    <mergeCell ref="H2350:H2353"/>
    <mergeCell ref="W2350:W2353"/>
    <mergeCell ref="X2350:X2353"/>
    <mergeCell ref="Y2350:Y2353"/>
    <mergeCell ref="A2354:A2357"/>
    <mergeCell ref="B2354:B2357"/>
    <mergeCell ref="C2354:C2357"/>
    <mergeCell ref="D2354:D2357"/>
    <mergeCell ref="E2354:E2357"/>
    <mergeCell ref="F2354:F2357"/>
    <mergeCell ref="G2354:G2357"/>
    <mergeCell ref="H2354:H2357"/>
    <mergeCell ref="W2354:W2357"/>
    <mergeCell ref="X2354:X2357"/>
    <mergeCell ref="Y2354:Y2357"/>
    <mergeCell ref="A2358:A2361"/>
    <mergeCell ref="B2358:B2361"/>
    <mergeCell ref="C2358:C2361"/>
    <mergeCell ref="D2358:D2361"/>
    <mergeCell ref="E2358:E2361"/>
    <mergeCell ref="F2358:F2361"/>
    <mergeCell ref="G2358:G2361"/>
    <mergeCell ref="H2358:H2361"/>
    <mergeCell ref="W2358:W2361"/>
    <mergeCell ref="X2358:X2361"/>
    <mergeCell ref="Y2358:Y2361"/>
    <mergeCell ref="A2362:A2365"/>
    <mergeCell ref="B2362:B2365"/>
    <mergeCell ref="C2362:C2365"/>
    <mergeCell ref="D2362:D2365"/>
    <mergeCell ref="E2362:E2365"/>
    <mergeCell ref="F2362:F2365"/>
    <mergeCell ref="G2362:G2365"/>
    <mergeCell ref="H2362:H2365"/>
    <mergeCell ref="W2362:W2365"/>
    <mergeCell ref="X2362:X2365"/>
    <mergeCell ref="Y2362:Y2365"/>
    <mergeCell ref="A2366:A2369"/>
    <mergeCell ref="B2366:B2369"/>
    <mergeCell ref="C2366:C2369"/>
    <mergeCell ref="D2366:D2369"/>
    <mergeCell ref="E2366:E2369"/>
    <mergeCell ref="F2366:F2369"/>
    <mergeCell ref="G2366:G2369"/>
    <mergeCell ref="H2366:H2369"/>
    <mergeCell ref="W2366:W2369"/>
    <mergeCell ref="X2366:X2369"/>
    <mergeCell ref="Y2366:Y2369"/>
    <mergeCell ref="A2370:A2373"/>
    <mergeCell ref="B2370:B2373"/>
    <mergeCell ref="C2370:C2373"/>
    <mergeCell ref="D2370:D2373"/>
    <mergeCell ref="E2370:E2373"/>
    <mergeCell ref="F2370:F2373"/>
    <mergeCell ref="G2370:G2373"/>
    <mergeCell ref="H2370:H2373"/>
    <mergeCell ref="W2370:W2373"/>
    <mergeCell ref="X2370:X2373"/>
    <mergeCell ref="Y2370:Y2373"/>
    <mergeCell ref="A2374:A2377"/>
    <mergeCell ref="B2374:B2377"/>
    <mergeCell ref="C2374:C2377"/>
    <mergeCell ref="D2374:D2377"/>
    <mergeCell ref="E2374:E2377"/>
    <mergeCell ref="F2374:F2377"/>
    <mergeCell ref="G2374:G2377"/>
    <mergeCell ref="H2374:H2377"/>
    <mergeCell ref="W2374:W2377"/>
    <mergeCell ref="X2374:X2377"/>
    <mergeCell ref="Y2374:Y2377"/>
    <mergeCell ref="A2378:A2381"/>
    <mergeCell ref="B2378:B2381"/>
    <mergeCell ref="C2378:C2381"/>
    <mergeCell ref="D2378:D2381"/>
    <mergeCell ref="E2378:E2381"/>
    <mergeCell ref="F2378:F2381"/>
    <mergeCell ref="G2378:G2381"/>
    <mergeCell ref="H2378:H2381"/>
    <mergeCell ref="W2378:W2381"/>
    <mergeCell ref="X2378:X2381"/>
    <mergeCell ref="Y2378:Y2381"/>
    <mergeCell ref="A2382:A2385"/>
    <mergeCell ref="B2382:B2385"/>
    <mergeCell ref="C2382:C2385"/>
    <mergeCell ref="D2382:D2385"/>
    <mergeCell ref="E2382:E2385"/>
    <mergeCell ref="F2382:F2385"/>
    <mergeCell ref="G2382:G2385"/>
    <mergeCell ref="H2382:H2385"/>
    <mergeCell ref="W2382:W2385"/>
    <mergeCell ref="X2382:X2385"/>
    <mergeCell ref="Y2382:Y2385"/>
    <mergeCell ref="A2386:A2389"/>
    <mergeCell ref="B2386:B2389"/>
    <mergeCell ref="C2386:C2389"/>
    <mergeCell ref="D2386:D2389"/>
    <mergeCell ref="E2386:E2389"/>
    <mergeCell ref="F2386:F2389"/>
    <mergeCell ref="G2386:G2389"/>
    <mergeCell ref="H2386:H2389"/>
    <mergeCell ref="W2386:W2389"/>
    <mergeCell ref="X2386:X2389"/>
    <mergeCell ref="Y2386:Y2389"/>
    <mergeCell ref="A2390:A2393"/>
    <mergeCell ref="B2390:B2393"/>
    <mergeCell ref="C2390:C2393"/>
    <mergeCell ref="D2390:D2393"/>
    <mergeCell ref="E2390:E2393"/>
    <mergeCell ref="F2390:F2393"/>
    <mergeCell ref="G2390:G2393"/>
    <mergeCell ref="H2390:H2393"/>
    <mergeCell ref="W2390:W2393"/>
    <mergeCell ref="X2390:X2393"/>
    <mergeCell ref="Y2390:Y2393"/>
    <mergeCell ref="A2394:A2397"/>
    <mergeCell ref="B2394:B2397"/>
    <mergeCell ref="C2394:C2397"/>
    <mergeCell ref="D2394:D2397"/>
    <mergeCell ref="E2394:E2397"/>
    <mergeCell ref="F2394:F2397"/>
    <mergeCell ref="G2394:G2397"/>
    <mergeCell ref="H2394:H2397"/>
    <mergeCell ref="W2394:W2397"/>
    <mergeCell ref="X2394:X2397"/>
    <mergeCell ref="Y2394:Y2397"/>
    <mergeCell ref="A2398:A2401"/>
    <mergeCell ref="B2398:B2401"/>
    <mergeCell ref="C2398:C2401"/>
    <mergeCell ref="D2398:D2401"/>
    <mergeCell ref="E2398:E2401"/>
    <mergeCell ref="F2398:F2401"/>
    <mergeCell ref="G2398:G2401"/>
    <mergeCell ref="H2398:H2401"/>
    <mergeCell ref="W2398:W2401"/>
    <mergeCell ref="X2398:X2401"/>
    <mergeCell ref="Y2398:Y2401"/>
    <mergeCell ref="A2402:A2405"/>
    <mergeCell ref="B2402:B2405"/>
    <mergeCell ref="C2402:C2405"/>
    <mergeCell ref="D2402:D2405"/>
    <mergeCell ref="E2402:E2405"/>
    <mergeCell ref="F2402:F2405"/>
    <mergeCell ref="G2402:G2405"/>
    <mergeCell ref="H2402:H2405"/>
    <mergeCell ref="W2402:W2405"/>
    <mergeCell ref="X2402:X2405"/>
    <mergeCell ref="Y2402:Y2405"/>
    <mergeCell ref="A2406:A2409"/>
    <mergeCell ref="B2406:B2409"/>
    <mergeCell ref="C2406:C2409"/>
    <mergeCell ref="D2406:D2409"/>
    <mergeCell ref="E2406:E2409"/>
    <mergeCell ref="F2406:F2409"/>
    <mergeCell ref="G2406:G2409"/>
    <mergeCell ref="H2406:H2409"/>
    <mergeCell ref="W2406:W2409"/>
    <mergeCell ref="X2406:X2409"/>
    <mergeCell ref="Y2406:Y2409"/>
    <mergeCell ref="A2410:A2413"/>
    <mergeCell ref="B2410:B2413"/>
    <mergeCell ref="C2410:C2413"/>
    <mergeCell ref="D2410:D2413"/>
    <mergeCell ref="E2410:E2413"/>
    <mergeCell ref="F2410:F2413"/>
    <mergeCell ref="G2410:G2413"/>
    <mergeCell ref="H2410:H2413"/>
    <mergeCell ref="W2410:W2413"/>
    <mergeCell ref="X2410:X2413"/>
    <mergeCell ref="Y2410:Y2413"/>
    <mergeCell ref="A2414:A2417"/>
    <mergeCell ref="B2414:B2417"/>
    <mergeCell ref="C2414:C2417"/>
    <mergeCell ref="D2414:D2417"/>
    <mergeCell ref="E2414:E2417"/>
    <mergeCell ref="F2414:F2417"/>
    <mergeCell ref="G2414:G2417"/>
    <mergeCell ref="H2414:H2417"/>
    <mergeCell ref="W2414:W2417"/>
    <mergeCell ref="X2414:X2417"/>
    <mergeCell ref="Y2414:Y2417"/>
    <mergeCell ref="A2418:A2421"/>
    <mergeCell ref="B2418:B2421"/>
    <mergeCell ref="C2418:C2421"/>
    <mergeCell ref="D2418:D2421"/>
    <mergeCell ref="E2418:E2421"/>
    <mergeCell ref="F2418:F2421"/>
    <mergeCell ref="G2418:G2421"/>
    <mergeCell ref="H2418:H2421"/>
    <mergeCell ref="W2418:W2421"/>
    <mergeCell ref="X2418:X2421"/>
    <mergeCell ref="Y2418:Y2421"/>
    <mergeCell ref="A2422:A2425"/>
    <mergeCell ref="B2422:B2425"/>
    <mergeCell ref="C2422:C2425"/>
    <mergeCell ref="D2422:D2425"/>
    <mergeCell ref="E2422:E2425"/>
    <mergeCell ref="F2422:F2425"/>
    <mergeCell ref="G2422:G2425"/>
    <mergeCell ref="H2422:H2425"/>
    <mergeCell ref="W2422:W2425"/>
    <mergeCell ref="X2422:X2425"/>
    <mergeCell ref="Y2422:Y2425"/>
    <mergeCell ref="A2426:A2429"/>
    <mergeCell ref="B2426:B2429"/>
    <mergeCell ref="C2426:C2429"/>
    <mergeCell ref="D2426:D2429"/>
    <mergeCell ref="E2426:E2429"/>
    <mergeCell ref="F2426:F2429"/>
    <mergeCell ref="G2426:G2429"/>
    <mergeCell ref="H2426:H2429"/>
    <mergeCell ref="W2426:W2429"/>
    <mergeCell ref="X2426:X2429"/>
    <mergeCell ref="Y2426:Y2429"/>
    <mergeCell ref="A2430:A2433"/>
    <mergeCell ref="B2430:B2433"/>
    <mergeCell ref="C2430:C2433"/>
    <mergeCell ref="D2430:D2433"/>
    <mergeCell ref="E2430:E2433"/>
    <mergeCell ref="F2430:F2433"/>
    <mergeCell ref="G2430:G2433"/>
    <mergeCell ref="H2430:H2433"/>
    <mergeCell ref="W2430:W2433"/>
    <mergeCell ref="X2430:X2433"/>
    <mergeCell ref="Y2430:Y2433"/>
    <mergeCell ref="A2434:A2437"/>
    <mergeCell ref="B2434:B2437"/>
    <mergeCell ref="C2434:C2437"/>
    <mergeCell ref="D2434:D2437"/>
    <mergeCell ref="E2434:E2437"/>
    <mergeCell ref="F2434:F2437"/>
    <mergeCell ref="G2434:G2437"/>
    <mergeCell ref="H2434:H2437"/>
    <mergeCell ref="W2434:W2437"/>
    <mergeCell ref="X2434:X2437"/>
    <mergeCell ref="Y2434:Y2437"/>
    <mergeCell ref="A2438:A2441"/>
    <mergeCell ref="B2438:B2441"/>
    <mergeCell ref="C2438:C2441"/>
    <mergeCell ref="D2438:D2441"/>
    <mergeCell ref="E2438:E2441"/>
    <mergeCell ref="F2438:F2441"/>
    <mergeCell ref="G2438:G2441"/>
    <mergeCell ref="H2438:H2441"/>
    <mergeCell ref="W2438:W2441"/>
    <mergeCell ref="X2438:X2441"/>
    <mergeCell ref="Y2438:Y2441"/>
    <mergeCell ref="A2442:A2445"/>
    <mergeCell ref="B2442:B2445"/>
    <mergeCell ref="C2442:C2445"/>
    <mergeCell ref="D2442:D2445"/>
    <mergeCell ref="E2442:E2445"/>
    <mergeCell ref="F2442:F2445"/>
    <mergeCell ref="G2442:G2445"/>
    <mergeCell ref="H2442:H2445"/>
    <mergeCell ref="W2442:W2445"/>
    <mergeCell ref="X2442:X2445"/>
    <mergeCell ref="Y2442:Y2445"/>
    <mergeCell ref="A2446:A2449"/>
    <mergeCell ref="B2446:B2449"/>
    <mergeCell ref="C2446:C2449"/>
    <mergeCell ref="D2446:D2449"/>
    <mergeCell ref="E2446:E2449"/>
    <mergeCell ref="F2446:F2449"/>
    <mergeCell ref="G2446:G2449"/>
    <mergeCell ref="H2446:H2449"/>
    <mergeCell ref="W2446:W2449"/>
    <mergeCell ref="X2446:X2449"/>
    <mergeCell ref="Y2446:Y2449"/>
    <mergeCell ref="A2450:A2453"/>
    <mergeCell ref="B2450:B2453"/>
    <mergeCell ref="C2450:C2453"/>
    <mergeCell ref="D2450:D2453"/>
    <mergeCell ref="E2450:E2453"/>
    <mergeCell ref="F2450:F2453"/>
    <mergeCell ref="G2450:G2453"/>
    <mergeCell ref="H2450:H2453"/>
    <mergeCell ref="W2450:W2453"/>
    <mergeCell ref="X2450:X2453"/>
    <mergeCell ref="Y2450:Y2453"/>
    <mergeCell ref="A2454:A2457"/>
    <mergeCell ref="B2454:B2457"/>
    <mergeCell ref="C2454:C2457"/>
    <mergeCell ref="D2454:D2457"/>
    <mergeCell ref="E2454:E2457"/>
    <mergeCell ref="F2454:F2457"/>
    <mergeCell ref="G2454:G2457"/>
    <mergeCell ref="H2454:H2457"/>
    <mergeCell ref="W2454:W2457"/>
    <mergeCell ref="X2454:X2457"/>
    <mergeCell ref="Y2454:Y2457"/>
    <mergeCell ref="A2458:A2461"/>
    <mergeCell ref="B2458:B2461"/>
    <mergeCell ref="C2458:C2461"/>
    <mergeCell ref="D2458:D2461"/>
    <mergeCell ref="E2458:E2461"/>
    <mergeCell ref="F2458:F2461"/>
    <mergeCell ref="G2458:G2461"/>
    <mergeCell ref="H2458:H2461"/>
    <mergeCell ref="W2458:W2461"/>
    <mergeCell ref="X2458:X2461"/>
    <mergeCell ref="Y2458:Y2461"/>
    <mergeCell ref="A2462:A2465"/>
    <mergeCell ref="B2462:B2465"/>
    <mergeCell ref="C2462:C2465"/>
    <mergeCell ref="D2462:D2465"/>
    <mergeCell ref="E2462:E2465"/>
    <mergeCell ref="F2462:F2465"/>
    <mergeCell ref="G2462:G2465"/>
    <mergeCell ref="H2462:H2465"/>
    <mergeCell ref="W2462:W2465"/>
    <mergeCell ref="X2462:X2465"/>
    <mergeCell ref="Y2462:Y2465"/>
    <mergeCell ref="A2466:A2469"/>
    <mergeCell ref="B2466:B2469"/>
    <mergeCell ref="C2466:C2469"/>
    <mergeCell ref="D2466:D2469"/>
    <mergeCell ref="E2466:E2469"/>
    <mergeCell ref="F2466:F2469"/>
    <mergeCell ref="G2466:G2469"/>
    <mergeCell ref="H2466:H2469"/>
    <mergeCell ref="W2466:W2469"/>
    <mergeCell ref="X2466:X2469"/>
    <mergeCell ref="Y2466:Y2469"/>
    <mergeCell ref="A2470:A2473"/>
    <mergeCell ref="B2470:B2473"/>
    <mergeCell ref="C2470:C2473"/>
    <mergeCell ref="D2470:D2473"/>
    <mergeCell ref="E2470:E2473"/>
    <mergeCell ref="F2470:F2473"/>
    <mergeCell ref="G2470:G2473"/>
    <mergeCell ref="H2470:H2473"/>
    <mergeCell ref="W2470:W2473"/>
    <mergeCell ref="X2470:X2473"/>
    <mergeCell ref="Y2470:Y2473"/>
    <mergeCell ref="A2474:A2477"/>
    <mergeCell ref="B2474:B2477"/>
    <mergeCell ref="C2474:C2477"/>
    <mergeCell ref="D2474:D2477"/>
    <mergeCell ref="E2474:E2477"/>
    <mergeCell ref="F2474:F2477"/>
    <mergeCell ref="G2474:G2477"/>
    <mergeCell ref="H2474:H2477"/>
    <mergeCell ref="W2474:W2477"/>
    <mergeCell ref="X2474:X2477"/>
    <mergeCell ref="Y2474:Y2477"/>
    <mergeCell ref="A2478:A2481"/>
    <mergeCell ref="B2478:B2481"/>
    <mergeCell ref="C2478:C2481"/>
    <mergeCell ref="D2478:D2481"/>
    <mergeCell ref="E2478:E2481"/>
    <mergeCell ref="F2478:F2481"/>
    <mergeCell ref="G2478:G2481"/>
    <mergeCell ref="H2478:H2481"/>
    <mergeCell ref="W2478:W2481"/>
    <mergeCell ref="X2478:X2481"/>
    <mergeCell ref="Y2478:Y2481"/>
    <mergeCell ref="A2482:A2485"/>
    <mergeCell ref="B2482:B2485"/>
    <mergeCell ref="C2482:C2485"/>
    <mergeCell ref="D2482:D2485"/>
    <mergeCell ref="E2482:E2485"/>
    <mergeCell ref="F2482:F2485"/>
    <mergeCell ref="G2482:G2485"/>
    <mergeCell ref="H2482:H2485"/>
    <mergeCell ref="W2482:W2485"/>
    <mergeCell ref="X2482:X2485"/>
    <mergeCell ref="Y2482:Y2485"/>
    <mergeCell ref="A2486:A2489"/>
    <mergeCell ref="B2486:B2489"/>
    <mergeCell ref="C2486:C2489"/>
    <mergeCell ref="D2486:D2489"/>
    <mergeCell ref="E2486:E2489"/>
    <mergeCell ref="F2486:F2489"/>
    <mergeCell ref="G2486:G2489"/>
    <mergeCell ref="H2486:H2489"/>
    <mergeCell ref="W2486:W2489"/>
    <mergeCell ref="X2486:X2489"/>
    <mergeCell ref="Y2486:Y2489"/>
    <mergeCell ref="A2490:A2493"/>
    <mergeCell ref="B2490:B2493"/>
    <mergeCell ref="C2490:C2493"/>
    <mergeCell ref="D2490:D2493"/>
    <mergeCell ref="E2490:E2493"/>
    <mergeCell ref="F2490:F2493"/>
    <mergeCell ref="G2490:G2493"/>
    <mergeCell ref="H2490:H2493"/>
    <mergeCell ref="W2490:W2493"/>
    <mergeCell ref="X2490:X2493"/>
    <mergeCell ref="Y2490:Y2493"/>
    <mergeCell ref="A2494:A2497"/>
    <mergeCell ref="B2494:B2497"/>
    <mergeCell ref="C2494:C2497"/>
    <mergeCell ref="D2494:D2497"/>
    <mergeCell ref="E2494:E2497"/>
    <mergeCell ref="F2494:F2497"/>
    <mergeCell ref="G2494:G2497"/>
    <mergeCell ref="H2494:H2497"/>
    <mergeCell ref="W2494:W2497"/>
    <mergeCell ref="X2494:X2497"/>
    <mergeCell ref="Y2494:Y2497"/>
    <mergeCell ref="A2498:A2501"/>
    <mergeCell ref="B2498:B2501"/>
    <mergeCell ref="C2498:C2501"/>
    <mergeCell ref="D2498:D2501"/>
    <mergeCell ref="E2498:E2501"/>
    <mergeCell ref="F2498:F2501"/>
    <mergeCell ref="G2498:G2501"/>
    <mergeCell ref="H2498:H2501"/>
    <mergeCell ref="W2498:W2501"/>
    <mergeCell ref="X2498:X2501"/>
    <mergeCell ref="Y2498:Y2501"/>
    <mergeCell ref="A2502:A2505"/>
    <mergeCell ref="B2502:B2505"/>
    <mergeCell ref="C2502:C2505"/>
    <mergeCell ref="D2502:D2505"/>
    <mergeCell ref="E2502:E2505"/>
    <mergeCell ref="F2502:F2505"/>
    <mergeCell ref="G2502:G2505"/>
    <mergeCell ref="H2502:H2505"/>
    <mergeCell ref="W2502:W2505"/>
    <mergeCell ref="X2502:X2505"/>
    <mergeCell ref="Y2502:Y2505"/>
    <mergeCell ref="A2506:A2509"/>
    <mergeCell ref="B2506:B2509"/>
    <mergeCell ref="C2506:C2509"/>
    <mergeCell ref="D2506:D2509"/>
    <mergeCell ref="E2506:E2509"/>
    <mergeCell ref="F2506:F2509"/>
    <mergeCell ref="G2506:G2509"/>
    <mergeCell ref="H2506:H2509"/>
    <mergeCell ref="W2506:W2509"/>
    <mergeCell ref="X2506:X2509"/>
    <mergeCell ref="Y2506:Y2509"/>
    <mergeCell ref="A2510:A2513"/>
    <mergeCell ref="B2510:B2513"/>
    <mergeCell ref="C2510:C2513"/>
    <mergeCell ref="D2510:D2513"/>
    <mergeCell ref="E2510:E2513"/>
    <mergeCell ref="F2510:F2513"/>
    <mergeCell ref="G2510:G2513"/>
    <mergeCell ref="H2510:H2513"/>
    <mergeCell ref="W2510:W2513"/>
    <mergeCell ref="X2510:X2513"/>
    <mergeCell ref="Y2510:Y2513"/>
    <mergeCell ref="A2514:A2517"/>
    <mergeCell ref="B2514:B2517"/>
    <mergeCell ref="C2514:C2517"/>
    <mergeCell ref="D2514:D2517"/>
    <mergeCell ref="E2514:E2517"/>
    <mergeCell ref="F2514:F2517"/>
    <mergeCell ref="G2514:G2517"/>
    <mergeCell ref="H2514:H2517"/>
    <mergeCell ref="W2514:W2517"/>
    <mergeCell ref="X2514:X2517"/>
    <mergeCell ref="Y2514:Y2517"/>
    <mergeCell ref="A2518:A2521"/>
    <mergeCell ref="B2518:B2521"/>
    <mergeCell ref="C2518:C2521"/>
    <mergeCell ref="D2518:D2521"/>
    <mergeCell ref="E2518:E2521"/>
    <mergeCell ref="F2518:F2521"/>
    <mergeCell ref="G2518:G2521"/>
    <mergeCell ref="H2518:H2521"/>
    <mergeCell ref="W2518:W2521"/>
    <mergeCell ref="X2518:X2521"/>
    <mergeCell ref="Y2518:Y2521"/>
    <mergeCell ref="A2522:A2525"/>
    <mergeCell ref="B2522:B2525"/>
    <mergeCell ref="C2522:C2525"/>
    <mergeCell ref="D2522:D2525"/>
    <mergeCell ref="E2522:E2525"/>
    <mergeCell ref="F2522:F2525"/>
    <mergeCell ref="G2522:G2525"/>
    <mergeCell ref="H2522:H2525"/>
    <mergeCell ref="W2522:W2525"/>
    <mergeCell ref="X2522:X2525"/>
    <mergeCell ref="Y2522:Y2525"/>
    <mergeCell ref="A2526:A2529"/>
    <mergeCell ref="B2526:B2529"/>
    <mergeCell ref="C2526:C2529"/>
    <mergeCell ref="D2526:D2529"/>
    <mergeCell ref="E2526:E2529"/>
    <mergeCell ref="F2526:F2529"/>
    <mergeCell ref="G2526:G2529"/>
    <mergeCell ref="H2526:H2529"/>
    <mergeCell ref="W2526:W2529"/>
    <mergeCell ref="X2526:X2529"/>
    <mergeCell ref="Y2526:Y2529"/>
    <mergeCell ref="A2530:A2533"/>
    <mergeCell ref="B2530:B2533"/>
    <mergeCell ref="C2530:C2533"/>
    <mergeCell ref="D2530:D2533"/>
    <mergeCell ref="E2530:E2533"/>
    <mergeCell ref="F2530:F2533"/>
    <mergeCell ref="G2530:G2533"/>
    <mergeCell ref="H2530:H2533"/>
    <mergeCell ref="W2530:W2533"/>
    <mergeCell ref="X2530:X2533"/>
    <mergeCell ref="Y2530:Y2533"/>
    <mergeCell ref="A2534:A2537"/>
    <mergeCell ref="B2534:B2537"/>
    <mergeCell ref="C2534:C2537"/>
    <mergeCell ref="D2534:D2537"/>
    <mergeCell ref="E2534:E2537"/>
    <mergeCell ref="F2534:F2537"/>
    <mergeCell ref="G2534:G2537"/>
    <mergeCell ref="H2534:H2537"/>
    <mergeCell ref="W2534:W2537"/>
    <mergeCell ref="X2534:X2537"/>
    <mergeCell ref="Y2534:Y2537"/>
    <mergeCell ref="A2538:A2541"/>
    <mergeCell ref="B2538:B2541"/>
    <mergeCell ref="C2538:C2541"/>
    <mergeCell ref="D2538:D2541"/>
    <mergeCell ref="E2538:E2541"/>
    <mergeCell ref="F2538:F2541"/>
    <mergeCell ref="G2538:G2541"/>
    <mergeCell ref="H2538:H2541"/>
    <mergeCell ref="W2538:W2541"/>
    <mergeCell ref="X2538:X2541"/>
    <mergeCell ref="Y2538:Y2541"/>
    <mergeCell ref="A2542:A2545"/>
    <mergeCell ref="B2542:B2545"/>
    <mergeCell ref="C2542:C2545"/>
    <mergeCell ref="D2542:D2545"/>
    <mergeCell ref="E2542:E2545"/>
    <mergeCell ref="F2542:F2545"/>
    <mergeCell ref="G2542:G2545"/>
    <mergeCell ref="H2542:H2545"/>
    <mergeCell ref="W2542:W2545"/>
    <mergeCell ref="X2542:X2545"/>
    <mergeCell ref="Y2542:Y2545"/>
    <mergeCell ref="A2546:A2549"/>
    <mergeCell ref="B2546:B2549"/>
    <mergeCell ref="C2546:C2549"/>
    <mergeCell ref="D2546:D2549"/>
    <mergeCell ref="E2546:E2549"/>
    <mergeCell ref="F2546:F2549"/>
    <mergeCell ref="G2546:G2549"/>
    <mergeCell ref="H2546:H2549"/>
    <mergeCell ref="W2546:W2549"/>
    <mergeCell ref="X2546:X2549"/>
    <mergeCell ref="Y2546:Y2549"/>
    <mergeCell ref="A2550:A2553"/>
    <mergeCell ref="B2550:B2553"/>
    <mergeCell ref="C2550:C2553"/>
    <mergeCell ref="D2550:D2553"/>
    <mergeCell ref="E2550:E2553"/>
    <mergeCell ref="F2550:F2553"/>
    <mergeCell ref="G2550:G2553"/>
    <mergeCell ref="H2550:H2553"/>
    <mergeCell ref="W2550:W2553"/>
    <mergeCell ref="X2550:X2553"/>
    <mergeCell ref="Y2550:Y2553"/>
    <mergeCell ref="A2554:A2557"/>
    <mergeCell ref="B2554:B2557"/>
    <mergeCell ref="C2554:C2557"/>
    <mergeCell ref="D2554:D2557"/>
    <mergeCell ref="E2554:E2557"/>
    <mergeCell ref="F2554:F2557"/>
    <mergeCell ref="G2554:G2557"/>
    <mergeCell ref="H2554:H2557"/>
    <mergeCell ref="W2554:W2557"/>
    <mergeCell ref="X2554:X2557"/>
    <mergeCell ref="Y2554:Y2557"/>
    <mergeCell ref="A2558:A2561"/>
    <mergeCell ref="B2558:B2561"/>
    <mergeCell ref="C2558:C2561"/>
    <mergeCell ref="D2558:D2561"/>
    <mergeCell ref="E2558:E2561"/>
    <mergeCell ref="F2558:F2561"/>
    <mergeCell ref="G2558:G2561"/>
    <mergeCell ref="H2558:H2561"/>
    <mergeCell ref="W2558:W2561"/>
    <mergeCell ref="X2558:X2561"/>
    <mergeCell ref="Y2558:Y2561"/>
    <mergeCell ref="A2562:A2565"/>
    <mergeCell ref="B2562:B2565"/>
    <mergeCell ref="C2562:C2565"/>
    <mergeCell ref="D2562:D2565"/>
    <mergeCell ref="E2562:E2565"/>
    <mergeCell ref="F2562:F2565"/>
    <mergeCell ref="G2562:G2565"/>
    <mergeCell ref="H2562:H2565"/>
    <mergeCell ref="W2562:W2565"/>
    <mergeCell ref="X2562:X2565"/>
    <mergeCell ref="Y2562:Y2565"/>
    <mergeCell ref="A2566:A2569"/>
    <mergeCell ref="B2566:B2569"/>
    <mergeCell ref="C2566:C2569"/>
    <mergeCell ref="D2566:D2569"/>
    <mergeCell ref="E2566:E2569"/>
    <mergeCell ref="F2566:F2569"/>
    <mergeCell ref="G2566:G2569"/>
    <mergeCell ref="H2566:H2569"/>
    <mergeCell ref="W2566:W2569"/>
    <mergeCell ref="X2566:X2569"/>
    <mergeCell ref="Y2566:Y2569"/>
    <mergeCell ref="A2570:A2573"/>
    <mergeCell ref="B2570:B2573"/>
    <mergeCell ref="C2570:C2573"/>
    <mergeCell ref="D2570:D2573"/>
    <mergeCell ref="E2570:E2573"/>
    <mergeCell ref="F2570:F2573"/>
    <mergeCell ref="G2570:G2573"/>
    <mergeCell ref="H2570:H2573"/>
    <mergeCell ref="W2570:W2573"/>
    <mergeCell ref="X2570:X2573"/>
    <mergeCell ref="Y2570:Y2573"/>
    <mergeCell ref="A2574:A2577"/>
    <mergeCell ref="B2574:B2577"/>
    <mergeCell ref="C2574:C2577"/>
    <mergeCell ref="D2574:D2577"/>
    <mergeCell ref="E2574:E2577"/>
    <mergeCell ref="F2574:F2577"/>
    <mergeCell ref="G2574:G2577"/>
    <mergeCell ref="H2574:H2577"/>
    <mergeCell ref="W2574:W2577"/>
    <mergeCell ref="X2574:X2577"/>
    <mergeCell ref="Y2574:Y2577"/>
    <mergeCell ref="A2578:A2581"/>
    <mergeCell ref="B2578:B2581"/>
    <mergeCell ref="C2578:C2581"/>
    <mergeCell ref="D2578:D2581"/>
    <mergeCell ref="E2578:E2581"/>
    <mergeCell ref="F2578:F2581"/>
    <mergeCell ref="G2578:G2581"/>
    <mergeCell ref="H2578:H2581"/>
    <mergeCell ref="W2578:W2581"/>
    <mergeCell ref="X2578:X2581"/>
    <mergeCell ref="Y2578:Y2581"/>
    <mergeCell ref="A2582:A2585"/>
    <mergeCell ref="B2582:B2585"/>
    <mergeCell ref="C2582:C2585"/>
    <mergeCell ref="D2582:D2585"/>
    <mergeCell ref="E2582:E2585"/>
    <mergeCell ref="F2582:F2585"/>
    <mergeCell ref="G2582:G2585"/>
    <mergeCell ref="H2582:H2585"/>
    <mergeCell ref="W2582:W2585"/>
    <mergeCell ref="X2582:X2585"/>
    <mergeCell ref="Y2582:Y2585"/>
    <mergeCell ref="A2586:A2589"/>
    <mergeCell ref="B2586:B2589"/>
    <mergeCell ref="C2586:C2589"/>
    <mergeCell ref="D2586:D2589"/>
    <mergeCell ref="E2586:E2589"/>
    <mergeCell ref="F2586:F2589"/>
    <mergeCell ref="G2586:G2589"/>
    <mergeCell ref="H2586:H2589"/>
    <mergeCell ref="W2586:W2589"/>
    <mergeCell ref="X2586:X2589"/>
    <mergeCell ref="Y2586:Y2589"/>
    <mergeCell ref="A2590:A2593"/>
    <mergeCell ref="B2590:B2593"/>
    <mergeCell ref="C2590:C2593"/>
    <mergeCell ref="D2590:D2593"/>
    <mergeCell ref="E2590:E2593"/>
    <mergeCell ref="F2590:F2593"/>
    <mergeCell ref="G2590:G2593"/>
    <mergeCell ref="H2590:H2593"/>
    <mergeCell ref="W2590:W2593"/>
    <mergeCell ref="X2590:X2593"/>
    <mergeCell ref="Y2590:Y2593"/>
    <mergeCell ref="A2594:A2597"/>
    <mergeCell ref="B2594:B2597"/>
    <mergeCell ref="C2594:C2597"/>
    <mergeCell ref="D2594:D2597"/>
    <mergeCell ref="E2594:E2597"/>
    <mergeCell ref="F2594:F2597"/>
    <mergeCell ref="G2594:G2597"/>
    <mergeCell ref="H2594:H2597"/>
    <mergeCell ref="W2594:W2597"/>
    <mergeCell ref="X2594:X2597"/>
    <mergeCell ref="Y2594:Y2597"/>
    <mergeCell ref="A2598:A2601"/>
    <mergeCell ref="B2598:B2601"/>
    <mergeCell ref="C2598:C2601"/>
    <mergeCell ref="D2598:D2601"/>
    <mergeCell ref="E2598:E2601"/>
    <mergeCell ref="F2598:F2601"/>
    <mergeCell ref="G2598:G2601"/>
    <mergeCell ref="H2598:H2601"/>
    <mergeCell ref="W2598:W2601"/>
    <mergeCell ref="X2598:X2601"/>
    <mergeCell ref="Y2598:Y2601"/>
    <mergeCell ref="A2602:A2605"/>
    <mergeCell ref="B2602:B2605"/>
    <mergeCell ref="C2602:C2605"/>
    <mergeCell ref="D2602:D2605"/>
    <mergeCell ref="E2602:E2605"/>
    <mergeCell ref="F2602:F2605"/>
    <mergeCell ref="G2602:G2605"/>
    <mergeCell ref="H2602:H2605"/>
    <mergeCell ref="W2602:W2605"/>
    <mergeCell ref="X2602:X2605"/>
    <mergeCell ref="Y2602:Y2605"/>
    <mergeCell ref="A2606:A2609"/>
    <mergeCell ref="B2606:B2609"/>
    <mergeCell ref="C2606:C2609"/>
    <mergeCell ref="D2606:D2609"/>
    <mergeCell ref="E2606:E2609"/>
    <mergeCell ref="F2606:F2609"/>
    <mergeCell ref="G2606:G2609"/>
    <mergeCell ref="H2606:H2609"/>
    <mergeCell ref="W2606:W2609"/>
    <mergeCell ref="X2606:X2609"/>
    <mergeCell ref="Y2606:Y2609"/>
    <mergeCell ref="A2610:A2613"/>
    <mergeCell ref="B2610:B2613"/>
    <mergeCell ref="C2610:C2613"/>
    <mergeCell ref="D2610:D2613"/>
    <mergeCell ref="E2610:E2613"/>
    <mergeCell ref="F2610:F2613"/>
    <mergeCell ref="G2610:G2613"/>
    <mergeCell ref="H2610:H2613"/>
    <mergeCell ref="W2610:W2613"/>
    <mergeCell ref="X2610:X2613"/>
    <mergeCell ref="Y2610:Y2613"/>
    <mergeCell ref="A2614:A2617"/>
    <mergeCell ref="B2614:B2617"/>
    <mergeCell ref="C2614:C2617"/>
    <mergeCell ref="D2614:D2617"/>
    <mergeCell ref="E2614:E2617"/>
    <mergeCell ref="F2614:F2617"/>
    <mergeCell ref="G2614:G2617"/>
    <mergeCell ref="H2614:H2617"/>
    <mergeCell ref="W2614:W2617"/>
    <mergeCell ref="X2614:X2617"/>
    <mergeCell ref="Y2614:Y2617"/>
    <mergeCell ref="A2618:A2621"/>
    <mergeCell ref="B2618:B2621"/>
    <mergeCell ref="C2618:C2621"/>
    <mergeCell ref="D2618:D2621"/>
    <mergeCell ref="E2618:E2621"/>
    <mergeCell ref="F2618:F2621"/>
    <mergeCell ref="G2618:G2621"/>
    <mergeCell ref="H2618:H2621"/>
    <mergeCell ref="W2618:W2621"/>
    <mergeCell ref="X2618:X2621"/>
    <mergeCell ref="Y2618:Y2621"/>
    <mergeCell ref="A2622:A2625"/>
    <mergeCell ref="B2622:B2625"/>
    <mergeCell ref="C2622:C2625"/>
    <mergeCell ref="D2622:D2625"/>
    <mergeCell ref="E2622:E2625"/>
    <mergeCell ref="F2622:F2625"/>
    <mergeCell ref="G2622:G2625"/>
    <mergeCell ref="H2622:H2625"/>
    <mergeCell ref="W2622:W2625"/>
    <mergeCell ref="X2622:X2625"/>
    <mergeCell ref="Y2622:Y2625"/>
    <mergeCell ref="A2626:A2629"/>
    <mergeCell ref="B2626:B2629"/>
    <mergeCell ref="C2626:C2629"/>
    <mergeCell ref="D2626:D2629"/>
    <mergeCell ref="E2626:E2629"/>
    <mergeCell ref="F2626:F2629"/>
    <mergeCell ref="G2626:G2629"/>
    <mergeCell ref="H2626:H2629"/>
    <mergeCell ref="W2626:W2629"/>
    <mergeCell ref="X2626:X2629"/>
    <mergeCell ref="Y2626:Y2629"/>
    <mergeCell ref="A2630:A2633"/>
    <mergeCell ref="B2630:B2633"/>
    <mergeCell ref="C2630:C2633"/>
    <mergeCell ref="D2630:D2633"/>
    <mergeCell ref="E2630:E2633"/>
    <mergeCell ref="F2630:F2633"/>
    <mergeCell ref="G2630:G2633"/>
    <mergeCell ref="H2630:H2633"/>
    <mergeCell ref="W2630:W2633"/>
    <mergeCell ref="X2630:X2633"/>
    <mergeCell ref="Y2630:Y2633"/>
    <mergeCell ref="A2634:A2637"/>
    <mergeCell ref="B2634:B2637"/>
    <mergeCell ref="C2634:C2637"/>
    <mergeCell ref="D2634:D2637"/>
    <mergeCell ref="E2634:E2637"/>
    <mergeCell ref="F2634:F2637"/>
    <mergeCell ref="G2634:G2637"/>
    <mergeCell ref="H2634:H2637"/>
    <mergeCell ref="W2634:W2637"/>
    <mergeCell ref="X2634:X2637"/>
    <mergeCell ref="Y2634:Y2637"/>
    <mergeCell ref="A2638:A2641"/>
    <mergeCell ref="B2638:B2641"/>
    <mergeCell ref="C2638:C2641"/>
    <mergeCell ref="D2638:D2641"/>
    <mergeCell ref="E2638:E2641"/>
    <mergeCell ref="F2638:F2641"/>
    <mergeCell ref="G2638:G2641"/>
    <mergeCell ref="H2638:H2641"/>
    <mergeCell ref="W2638:W2641"/>
    <mergeCell ref="X2638:X2641"/>
    <mergeCell ref="Y2638:Y2641"/>
    <mergeCell ref="A2642:A2645"/>
    <mergeCell ref="B2642:B2645"/>
    <mergeCell ref="C2642:C2645"/>
    <mergeCell ref="D2642:D2645"/>
    <mergeCell ref="E2642:E2645"/>
    <mergeCell ref="F2642:F2645"/>
    <mergeCell ref="G2642:G2645"/>
    <mergeCell ref="H2642:H2645"/>
    <mergeCell ref="W2642:W2645"/>
    <mergeCell ref="X2642:X2645"/>
    <mergeCell ref="Y2642:Y2645"/>
    <mergeCell ref="A2646:A2649"/>
    <mergeCell ref="B2646:B2649"/>
    <mergeCell ref="C2646:C2649"/>
    <mergeCell ref="D2646:D2649"/>
    <mergeCell ref="E2646:E2649"/>
    <mergeCell ref="F2646:F2649"/>
    <mergeCell ref="G2646:G2649"/>
    <mergeCell ref="H2646:H2649"/>
    <mergeCell ref="W2646:W2649"/>
    <mergeCell ref="X2646:X2649"/>
    <mergeCell ref="Y2646:Y2649"/>
    <mergeCell ref="A2650:A2653"/>
    <mergeCell ref="B2650:B2653"/>
    <mergeCell ref="C2650:C2653"/>
    <mergeCell ref="D2650:D2653"/>
    <mergeCell ref="E2650:E2653"/>
    <mergeCell ref="F2650:F2653"/>
    <mergeCell ref="G2650:G2653"/>
    <mergeCell ref="H2650:H2653"/>
    <mergeCell ref="W2650:W2653"/>
    <mergeCell ref="X2650:X2653"/>
    <mergeCell ref="Y2650:Y2653"/>
    <mergeCell ref="A2654:A2657"/>
    <mergeCell ref="B2654:B2657"/>
    <mergeCell ref="C2654:C2657"/>
    <mergeCell ref="D2654:D2657"/>
    <mergeCell ref="E2654:E2657"/>
    <mergeCell ref="F2654:F2657"/>
    <mergeCell ref="G2654:G2657"/>
    <mergeCell ref="H2654:H2657"/>
    <mergeCell ref="W2654:W2657"/>
    <mergeCell ref="X2654:X2657"/>
    <mergeCell ref="Y2654:Y2657"/>
    <mergeCell ref="A2658:A2661"/>
    <mergeCell ref="B2658:B2661"/>
    <mergeCell ref="C2658:C2661"/>
    <mergeCell ref="D2658:D2661"/>
    <mergeCell ref="E2658:E2661"/>
    <mergeCell ref="F2658:F2661"/>
    <mergeCell ref="G2658:G2661"/>
    <mergeCell ref="H2658:H2661"/>
    <mergeCell ref="W2658:W2661"/>
    <mergeCell ref="X2658:X2661"/>
    <mergeCell ref="Y2658:Y2661"/>
    <mergeCell ref="A2662:A2665"/>
    <mergeCell ref="B2662:B2665"/>
    <mergeCell ref="C2662:C2665"/>
    <mergeCell ref="D2662:D2665"/>
    <mergeCell ref="E2662:E2665"/>
    <mergeCell ref="F2662:F2665"/>
    <mergeCell ref="G2662:G2665"/>
    <mergeCell ref="H2662:H2665"/>
    <mergeCell ref="W2662:W2665"/>
    <mergeCell ref="X2662:X2665"/>
    <mergeCell ref="Y2662:Y2665"/>
    <mergeCell ref="A2666:A2669"/>
    <mergeCell ref="B2666:B2669"/>
    <mergeCell ref="C2666:C2669"/>
    <mergeCell ref="D2666:D2669"/>
    <mergeCell ref="E2666:E2669"/>
    <mergeCell ref="F2666:F2669"/>
    <mergeCell ref="G2666:G2669"/>
    <mergeCell ref="H2666:H2669"/>
    <mergeCell ref="W2666:W2669"/>
    <mergeCell ref="X2666:X2669"/>
    <mergeCell ref="Y2666:Y2669"/>
    <mergeCell ref="A2670:A2673"/>
    <mergeCell ref="B2670:B2673"/>
    <mergeCell ref="C2670:C2673"/>
    <mergeCell ref="D2670:D2673"/>
    <mergeCell ref="E2670:E2673"/>
    <mergeCell ref="F2670:F2673"/>
    <mergeCell ref="G2670:G2673"/>
    <mergeCell ref="H2670:H2673"/>
    <mergeCell ref="W2670:W2673"/>
    <mergeCell ref="X2670:X2673"/>
    <mergeCell ref="Y2670:Y2673"/>
    <mergeCell ref="A2674:A2677"/>
    <mergeCell ref="B2674:B2677"/>
    <mergeCell ref="C2674:C2677"/>
    <mergeCell ref="D2674:D2677"/>
    <mergeCell ref="E2674:E2677"/>
    <mergeCell ref="F2674:F2677"/>
    <mergeCell ref="G2674:G2677"/>
    <mergeCell ref="H2674:H2677"/>
    <mergeCell ref="W2674:W2677"/>
    <mergeCell ref="X2674:X2677"/>
    <mergeCell ref="Y2674:Y2677"/>
    <mergeCell ref="A2678:A2681"/>
    <mergeCell ref="B2678:B2681"/>
    <mergeCell ref="C2678:C2681"/>
    <mergeCell ref="D2678:D2681"/>
    <mergeCell ref="E2678:E2681"/>
    <mergeCell ref="F2678:F2681"/>
    <mergeCell ref="G2678:G2681"/>
    <mergeCell ref="H2678:H2681"/>
    <mergeCell ref="W2678:W2681"/>
    <mergeCell ref="X2678:X2681"/>
    <mergeCell ref="Y2678:Y2681"/>
    <mergeCell ref="A2682:A2685"/>
    <mergeCell ref="B2682:B2685"/>
    <mergeCell ref="C2682:C2685"/>
    <mergeCell ref="D2682:D2685"/>
    <mergeCell ref="E2682:E2685"/>
    <mergeCell ref="F2682:F2685"/>
    <mergeCell ref="G2682:G2685"/>
    <mergeCell ref="H2682:H2685"/>
    <mergeCell ref="W2682:W2685"/>
    <mergeCell ref="X2682:X2685"/>
    <mergeCell ref="Y2682:Y2685"/>
    <mergeCell ref="A2686:A2689"/>
    <mergeCell ref="B2686:B2689"/>
    <mergeCell ref="C2686:C2689"/>
    <mergeCell ref="D2686:D2689"/>
    <mergeCell ref="E2686:E2689"/>
    <mergeCell ref="F2686:F2689"/>
    <mergeCell ref="G2686:G2689"/>
    <mergeCell ref="H2686:H2689"/>
    <mergeCell ref="W2686:W2689"/>
    <mergeCell ref="X2686:X2689"/>
    <mergeCell ref="Y2686:Y2689"/>
    <mergeCell ref="A2690:A2693"/>
    <mergeCell ref="B2690:B2693"/>
    <mergeCell ref="C2690:C2693"/>
    <mergeCell ref="D2690:D2693"/>
    <mergeCell ref="E2690:E2693"/>
    <mergeCell ref="F2690:F2693"/>
    <mergeCell ref="G2690:G2693"/>
    <mergeCell ref="H2690:H2693"/>
    <mergeCell ref="W2690:W2693"/>
    <mergeCell ref="X2690:X2693"/>
    <mergeCell ref="Y2690:Y2693"/>
    <mergeCell ref="A2694:A2697"/>
    <mergeCell ref="B2694:B2697"/>
    <mergeCell ref="C2694:C2697"/>
    <mergeCell ref="D2694:D2697"/>
    <mergeCell ref="E2694:E2697"/>
    <mergeCell ref="F2694:F2697"/>
    <mergeCell ref="G2694:G2697"/>
    <mergeCell ref="H2694:H2697"/>
    <mergeCell ref="W2694:W2697"/>
    <mergeCell ref="X2694:X2697"/>
    <mergeCell ref="Y2694:Y2697"/>
    <mergeCell ref="A2698:A2701"/>
    <mergeCell ref="B2698:B2701"/>
    <mergeCell ref="C2698:C2701"/>
    <mergeCell ref="D2698:D2701"/>
    <mergeCell ref="E2698:E2701"/>
    <mergeCell ref="F2698:F2701"/>
    <mergeCell ref="G2698:G2701"/>
    <mergeCell ref="H2698:H2701"/>
    <mergeCell ref="W2698:W2701"/>
    <mergeCell ref="X2698:X2701"/>
    <mergeCell ref="Y2698:Y2701"/>
    <mergeCell ref="A2702:A2705"/>
    <mergeCell ref="B2702:B2705"/>
    <mergeCell ref="C2702:C2705"/>
    <mergeCell ref="D2702:D2705"/>
    <mergeCell ref="E2702:E2705"/>
    <mergeCell ref="F2702:F2705"/>
    <mergeCell ref="G2702:G2705"/>
    <mergeCell ref="H2702:H2705"/>
    <mergeCell ref="W2702:W2705"/>
    <mergeCell ref="X2702:X2705"/>
    <mergeCell ref="Y2702:Y2705"/>
    <mergeCell ref="A2706:A2709"/>
    <mergeCell ref="B2706:B2709"/>
    <mergeCell ref="C2706:C2709"/>
    <mergeCell ref="D2706:D2709"/>
    <mergeCell ref="E2706:E2709"/>
    <mergeCell ref="F2706:F2709"/>
    <mergeCell ref="G2706:G2709"/>
    <mergeCell ref="H2706:H2709"/>
    <mergeCell ref="W2706:W2709"/>
    <mergeCell ref="X2706:X2709"/>
    <mergeCell ref="Y2706:Y2709"/>
    <mergeCell ref="A2710:A2713"/>
    <mergeCell ref="B2710:B2713"/>
    <mergeCell ref="C2710:C2713"/>
    <mergeCell ref="D2710:D2713"/>
    <mergeCell ref="E2710:E2713"/>
    <mergeCell ref="F2710:F2713"/>
    <mergeCell ref="G2710:G2713"/>
    <mergeCell ref="H2710:H2713"/>
    <mergeCell ref="W2710:W2713"/>
    <mergeCell ref="X2710:X2713"/>
    <mergeCell ref="Y2710:Y2713"/>
    <mergeCell ref="A2714:A2717"/>
    <mergeCell ref="B2714:B2717"/>
    <mergeCell ref="C2714:C2717"/>
    <mergeCell ref="D2714:D2717"/>
    <mergeCell ref="E2714:E2717"/>
    <mergeCell ref="F2714:F2717"/>
    <mergeCell ref="G2714:G2717"/>
    <mergeCell ref="H2714:H2717"/>
    <mergeCell ref="W2714:W2717"/>
    <mergeCell ref="X2714:X2717"/>
    <mergeCell ref="Y2714:Y2717"/>
    <mergeCell ref="A2718:A2721"/>
    <mergeCell ref="B2718:B2721"/>
    <mergeCell ref="C2718:C2721"/>
    <mergeCell ref="D2718:D2721"/>
    <mergeCell ref="E2718:E2721"/>
    <mergeCell ref="F2718:F2721"/>
    <mergeCell ref="G2718:G2721"/>
    <mergeCell ref="H2718:H2721"/>
    <mergeCell ref="W2718:W2721"/>
    <mergeCell ref="X2718:X2721"/>
    <mergeCell ref="Y2718:Y2721"/>
    <mergeCell ref="A2722:A2725"/>
    <mergeCell ref="B2722:B2725"/>
    <mergeCell ref="C2722:C2725"/>
    <mergeCell ref="D2722:D2725"/>
    <mergeCell ref="E2722:E2725"/>
    <mergeCell ref="F2722:F2725"/>
    <mergeCell ref="G2722:G2725"/>
    <mergeCell ref="H2722:H2725"/>
    <mergeCell ref="W2722:W2725"/>
    <mergeCell ref="X2722:X2725"/>
    <mergeCell ref="Y2722:Y2725"/>
    <mergeCell ref="A2726:A2729"/>
    <mergeCell ref="B2726:B2729"/>
    <mergeCell ref="C2726:C2729"/>
    <mergeCell ref="D2726:D2729"/>
    <mergeCell ref="E2726:E2729"/>
    <mergeCell ref="F2726:F2729"/>
    <mergeCell ref="G2726:G2729"/>
    <mergeCell ref="H2726:H2729"/>
    <mergeCell ref="W2726:W2729"/>
    <mergeCell ref="X2726:X2729"/>
    <mergeCell ref="Y2726:Y2729"/>
    <mergeCell ref="A2730:A2733"/>
    <mergeCell ref="B2730:B2733"/>
    <mergeCell ref="C2730:C2733"/>
    <mergeCell ref="D2730:D2733"/>
    <mergeCell ref="E2730:E2733"/>
    <mergeCell ref="F2730:F2733"/>
    <mergeCell ref="G2730:G2733"/>
    <mergeCell ref="H2730:H2733"/>
    <mergeCell ref="W2730:W2733"/>
    <mergeCell ref="X2730:X2733"/>
    <mergeCell ref="Y2730:Y2733"/>
    <mergeCell ref="A2734:A2737"/>
    <mergeCell ref="B2734:B2737"/>
    <mergeCell ref="C2734:C2737"/>
    <mergeCell ref="D2734:D2737"/>
    <mergeCell ref="E2734:E2737"/>
    <mergeCell ref="F2734:F2737"/>
    <mergeCell ref="G2734:G2737"/>
    <mergeCell ref="H2734:H2737"/>
    <mergeCell ref="W2734:W2737"/>
    <mergeCell ref="X2734:X2737"/>
    <mergeCell ref="Y2734:Y2737"/>
    <mergeCell ref="A2738:A2741"/>
    <mergeCell ref="B2738:B2741"/>
    <mergeCell ref="C2738:C2741"/>
    <mergeCell ref="D2738:D2741"/>
    <mergeCell ref="E2738:E2741"/>
    <mergeCell ref="F2738:F2741"/>
    <mergeCell ref="G2738:G2741"/>
    <mergeCell ref="H2738:H2741"/>
    <mergeCell ref="W2738:W2741"/>
    <mergeCell ref="X2738:X2741"/>
    <mergeCell ref="Y2738:Y2741"/>
    <mergeCell ref="A2742:A2745"/>
    <mergeCell ref="B2742:B2745"/>
    <mergeCell ref="C2742:C2745"/>
    <mergeCell ref="D2742:D2745"/>
    <mergeCell ref="E2742:E2745"/>
    <mergeCell ref="F2742:F2745"/>
    <mergeCell ref="G2742:G2745"/>
    <mergeCell ref="H2742:H2745"/>
    <mergeCell ref="W2742:W2745"/>
    <mergeCell ref="X2742:X2745"/>
    <mergeCell ref="Y2742:Y2745"/>
    <mergeCell ref="A2746:A2749"/>
    <mergeCell ref="B2746:B2749"/>
    <mergeCell ref="C2746:C2749"/>
    <mergeCell ref="D2746:D2749"/>
    <mergeCell ref="E2746:E2749"/>
    <mergeCell ref="F2746:F2749"/>
    <mergeCell ref="G2746:G2749"/>
    <mergeCell ref="H2746:H2749"/>
    <mergeCell ref="W2746:W2749"/>
    <mergeCell ref="X2746:X2749"/>
    <mergeCell ref="Y2746:Y2749"/>
    <mergeCell ref="A2750:A2753"/>
    <mergeCell ref="B2750:B2753"/>
    <mergeCell ref="C2750:C2753"/>
    <mergeCell ref="D2750:D2753"/>
    <mergeCell ref="E2750:E2753"/>
    <mergeCell ref="F2750:F2753"/>
    <mergeCell ref="G2750:G2753"/>
    <mergeCell ref="H2750:H2753"/>
    <mergeCell ref="W2750:W2753"/>
    <mergeCell ref="X2750:X2753"/>
    <mergeCell ref="Y2750:Y2753"/>
    <mergeCell ref="A2754:A2757"/>
    <mergeCell ref="B2754:B2757"/>
    <mergeCell ref="C2754:C2757"/>
    <mergeCell ref="D2754:D2757"/>
    <mergeCell ref="E2754:E2757"/>
    <mergeCell ref="F2754:F2757"/>
    <mergeCell ref="G2754:G2757"/>
    <mergeCell ref="H2754:H2757"/>
    <mergeCell ref="W2754:W2757"/>
    <mergeCell ref="X2754:X2757"/>
    <mergeCell ref="Y2754:Y2757"/>
    <mergeCell ref="A2758:A2761"/>
    <mergeCell ref="B2758:B2761"/>
    <mergeCell ref="C2758:C2761"/>
    <mergeCell ref="D2758:D2761"/>
    <mergeCell ref="E2758:E2761"/>
    <mergeCell ref="F2758:F2761"/>
    <mergeCell ref="G2758:G2761"/>
    <mergeCell ref="H2758:H2761"/>
    <mergeCell ref="W2758:W2761"/>
    <mergeCell ref="X2758:X2761"/>
    <mergeCell ref="Y2758:Y2761"/>
    <mergeCell ref="A2762:A2765"/>
    <mergeCell ref="B2762:B2765"/>
    <mergeCell ref="C2762:C2765"/>
    <mergeCell ref="D2762:D2765"/>
    <mergeCell ref="E2762:E2765"/>
    <mergeCell ref="F2762:F2765"/>
    <mergeCell ref="G2762:G2765"/>
    <mergeCell ref="H2762:H2765"/>
    <mergeCell ref="W2762:W2765"/>
    <mergeCell ref="X2762:X2765"/>
    <mergeCell ref="Y2762:Y2765"/>
    <mergeCell ref="A2766:A2769"/>
    <mergeCell ref="B2766:B2769"/>
    <mergeCell ref="C2766:C2769"/>
    <mergeCell ref="D2766:D2769"/>
    <mergeCell ref="E2766:E2769"/>
    <mergeCell ref="F2766:F2769"/>
    <mergeCell ref="G2766:G2769"/>
    <mergeCell ref="H2766:H2769"/>
    <mergeCell ref="W2766:W2769"/>
    <mergeCell ref="X2766:X2769"/>
    <mergeCell ref="Y2766:Y2769"/>
    <mergeCell ref="A2770:A2773"/>
    <mergeCell ref="B2770:B2773"/>
    <mergeCell ref="C2770:C2773"/>
    <mergeCell ref="D2770:D2773"/>
    <mergeCell ref="E2770:E2773"/>
    <mergeCell ref="F2770:F2773"/>
    <mergeCell ref="G2770:G2773"/>
    <mergeCell ref="H2770:H2773"/>
    <mergeCell ref="W2770:W2773"/>
    <mergeCell ref="X2770:X2773"/>
    <mergeCell ref="Y2770:Y2773"/>
    <mergeCell ref="A2774:A2777"/>
    <mergeCell ref="B2774:B2777"/>
    <mergeCell ref="C2774:C2777"/>
    <mergeCell ref="D2774:D2777"/>
    <mergeCell ref="E2774:E2777"/>
    <mergeCell ref="F2774:F2777"/>
    <mergeCell ref="G2774:G2777"/>
    <mergeCell ref="H2774:H2777"/>
    <mergeCell ref="W2774:W2777"/>
    <mergeCell ref="X2774:X2777"/>
    <mergeCell ref="Y2774:Y2777"/>
    <mergeCell ref="A2778:A2781"/>
    <mergeCell ref="B2778:B2781"/>
    <mergeCell ref="C2778:C2781"/>
    <mergeCell ref="D2778:D2781"/>
    <mergeCell ref="E2778:E2781"/>
    <mergeCell ref="F2778:F2781"/>
    <mergeCell ref="G2778:G2781"/>
    <mergeCell ref="H2778:H2781"/>
    <mergeCell ref="W2778:W2781"/>
    <mergeCell ref="X2778:X2781"/>
    <mergeCell ref="Y2778:Y2781"/>
    <mergeCell ref="A2782:A2785"/>
    <mergeCell ref="B2782:B2785"/>
    <mergeCell ref="C2782:C2785"/>
    <mergeCell ref="D2782:D2785"/>
    <mergeCell ref="E2782:E2785"/>
    <mergeCell ref="F2782:F2785"/>
    <mergeCell ref="G2782:G2785"/>
    <mergeCell ref="H2782:H2785"/>
    <mergeCell ref="W2782:W2785"/>
    <mergeCell ref="X2782:X2785"/>
    <mergeCell ref="Y2782:Y2785"/>
    <mergeCell ref="A2786:A2789"/>
    <mergeCell ref="B2786:B2789"/>
    <mergeCell ref="C2786:C2789"/>
    <mergeCell ref="D2786:D2789"/>
    <mergeCell ref="E2786:E2789"/>
    <mergeCell ref="F2786:F2789"/>
    <mergeCell ref="G2786:G2789"/>
    <mergeCell ref="H2786:H2789"/>
    <mergeCell ref="W2786:W2789"/>
    <mergeCell ref="X2786:X2789"/>
    <mergeCell ref="Y2786:Y2789"/>
    <mergeCell ref="A2790:A2793"/>
    <mergeCell ref="B2790:B2793"/>
    <mergeCell ref="C2790:C2793"/>
    <mergeCell ref="D2790:D2793"/>
    <mergeCell ref="E2790:E2793"/>
    <mergeCell ref="F2790:F2793"/>
    <mergeCell ref="G2790:G2793"/>
    <mergeCell ref="H2790:H2793"/>
    <mergeCell ref="W2790:W2793"/>
    <mergeCell ref="X2790:X2793"/>
    <mergeCell ref="Y2790:Y2793"/>
    <mergeCell ref="A2794:A2797"/>
    <mergeCell ref="B2794:B2797"/>
    <mergeCell ref="C2794:C2797"/>
    <mergeCell ref="D2794:D2797"/>
    <mergeCell ref="E2794:E2797"/>
    <mergeCell ref="F2794:F2797"/>
    <mergeCell ref="G2794:G2797"/>
    <mergeCell ref="H2794:H2797"/>
    <mergeCell ref="W2794:W2797"/>
    <mergeCell ref="X2794:X2797"/>
    <mergeCell ref="Y2794:Y2797"/>
    <mergeCell ref="A2798:A2801"/>
    <mergeCell ref="B2798:B2801"/>
    <mergeCell ref="C2798:C2801"/>
    <mergeCell ref="D2798:D2801"/>
    <mergeCell ref="E2798:E2801"/>
    <mergeCell ref="F2798:F2801"/>
    <mergeCell ref="G2798:G2801"/>
    <mergeCell ref="H2798:H2801"/>
    <mergeCell ref="W2798:W2801"/>
    <mergeCell ref="X2798:X2801"/>
    <mergeCell ref="Y2798:Y2801"/>
    <mergeCell ref="A2802:A2805"/>
    <mergeCell ref="B2802:B2805"/>
    <mergeCell ref="C2802:C2805"/>
    <mergeCell ref="D2802:D2805"/>
    <mergeCell ref="E2802:E2805"/>
    <mergeCell ref="F2802:F2805"/>
    <mergeCell ref="G2802:G2805"/>
    <mergeCell ref="H2802:H2805"/>
    <mergeCell ref="W2802:W2805"/>
    <mergeCell ref="X2802:X2805"/>
    <mergeCell ref="Y2802:Y2805"/>
    <mergeCell ref="A2806:A2809"/>
    <mergeCell ref="B2806:B2809"/>
    <mergeCell ref="C2806:C2809"/>
    <mergeCell ref="D2806:D2809"/>
    <mergeCell ref="E2806:E2809"/>
    <mergeCell ref="F2806:F2809"/>
    <mergeCell ref="G2806:G2809"/>
    <mergeCell ref="H2806:H2809"/>
    <mergeCell ref="W2806:W2809"/>
    <mergeCell ref="X2806:X2809"/>
    <mergeCell ref="Y2806:Y2809"/>
    <mergeCell ref="A2810:A2813"/>
    <mergeCell ref="B2810:B2813"/>
    <mergeCell ref="C2810:C2813"/>
    <mergeCell ref="D2810:D2813"/>
    <mergeCell ref="E2810:E2813"/>
    <mergeCell ref="F2810:F2813"/>
    <mergeCell ref="G2810:G2813"/>
    <mergeCell ref="H2810:H2813"/>
    <mergeCell ref="W2810:W2813"/>
    <mergeCell ref="X2810:X2813"/>
    <mergeCell ref="Y2810:Y2813"/>
    <mergeCell ref="A2814:A2817"/>
    <mergeCell ref="B2814:B2817"/>
    <mergeCell ref="C2814:C2817"/>
    <mergeCell ref="D2814:D2817"/>
    <mergeCell ref="E2814:E2817"/>
    <mergeCell ref="F2814:F2817"/>
    <mergeCell ref="G2814:G2817"/>
    <mergeCell ref="H2814:H2817"/>
    <mergeCell ref="W2814:W2817"/>
    <mergeCell ref="X2814:X2817"/>
    <mergeCell ref="Y2814:Y2817"/>
    <mergeCell ref="A2818:A2821"/>
    <mergeCell ref="B2818:B2821"/>
    <mergeCell ref="C2818:C2821"/>
    <mergeCell ref="D2818:D2821"/>
    <mergeCell ref="E2818:E2821"/>
    <mergeCell ref="F2818:F2821"/>
    <mergeCell ref="G2818:G2821"/>
    <mergeCell ref="H2818:H2821"/>
    <mergeCell ref="W2818:W2821"/>
    <mergeCell ref="X2818:X2821"/>
    <mergeCell ref="Y2818:Y2821"/>
    <mergeCell ref="A2822:A2825"/>
    <mergeCell ref="B2822:B2825"/>
    <mergeCell ref="C2822:C2825"/>
    <mergeCell ref="D2822:D2825"/>
    <mergeCell ref="E2822:E2825"/>
    <mergeCell ref="F2822:F2825"/>
    <mergeCell ref="G2822:G2825"/>
    <mergeCell ref="H2822:H2825"/>
    <mergeCell ref="W2822:W2825"/>
    <mergeCell ref="X2822:X2825"/>
    <mergeCell ref="Y2822:Y2825"/>
    <mergeCell ref="A2826:A2829"/>
    <mergeCell ref="B2826:B2829"/>
    <mergeCell ref="C2826:C2829"/>
    <mergeCell ref="D2826:D2829"/>
    <mergeCell ref="E2826:E2829"/>
    <mergeCell ref="F2826:F2829"/>
    <mergeCell ref="G2826:G2829"/>
    <mergeCell ref="H2826:H2829"/>
    <mergeCell ref="W2826:W2829"/>
    <mergeCell ref="X2826:X2829"/>
    <mergeCell ref="Y2826:Y2829"/>
    <mergeCell ref="A2830:A2833"/>
    <mergeCell ref="B2830:B2833"/>
    <mergeCell ref="C2830:C2833"/>
    <mergeCell ref="D2830:D2833"/>
    <mergeCell ref="E2830:E2833"/>
    <mergeCell ref="F2830:F2833"/>
    <mergeCell ref="G2830:G2833"/>
    <mergeCell ref="H2830:H2833"/>
    <mergeCell ref="W2830:W2833"/>
    <mergeCell ref="X2830:X2833"/>
    <mergeCell ref="Y2830:Y2833"/>
    <mergeCell ref="A2834:A2837"/>
    <mergeCell ref="B2834:B2837"/>
    <mergeCell ref="C2834:C2837"/>
    <mergeCell ref="D2834:D2837"/>
    <mergeCell ref="E2834:E2837"/>
    <mergeCell ref="F2834:F2837"/>
    <mergeCell ref="G2834:G2837"/>
    <mergeCell ref="H2834:H2837"/>
    <mergeCell ref="W2834:W2837"/>
    <mergeCell ref="X2834:X2837"/>
    <mergeCell ref="Y2834:Y2837"/>
    <mergeCell ref="A2838:A2841"/>
    <mergeCell ref="B2838:B2841"/>
    <mergeCell ref="C2838:C2841"/>
    <mergeCell ref="D2838:D2841"/>
    <mergeCell ref="E2838:E2841"/>
    <mergeCell ref="F2838:F2841"/>
    <mergeCell ref="G2838:G2841"/>
    <mergeCell ref="H2838:H2841"/>
    <mergeCell ref="W2838:W2841"/>
    <mergeCell ref="X2838:X2841"/>
    <mergeCell ref="Y2838:Y2841"/>
    <mergeCell ref="A2842:A2845"/>
    <mergeCell ref="B2842:B2845"/>
    <mergeCell ref="C2842:C2845"/>
    <mergeCell ref="D2842:D2845"/>
    <mergeCell ref="E2842:E2845"/>
    <mergeCell ref="F2842:F2845"/>
    <mergeCell ref="G2842:G2845"/>
    <mergeCell ref="H2842:H2845"/>
    <mergeCell ref="W2842:W2845"/>
    <mergeCell ref="X2842:X2845"/>
    <mergeCell ref="Y2842:Y2845"/>
    <mergeCell ref="A2846:A2849"/>
    <mergeCell ref="B2846:B2849"/>
    <mergeCell ref="C2846:C2849"/>
    <mergeCell ref="D2846:D2849"/>
    <mergeCell ref="E2846:E2849"/>
    <mergeCell ref="F2846:F2849"/>
    <mergeCell ref="G2846:G2849"/>
    <mergeCell ref="H2846:H2849"/>
    <mergeCell ref="W2846:W2849"/>
    <mergeCell ref="X2846:X2849"/>
    <mergeCell ref="Y2846:Y2849"/>
    <mergeCell ref="A2850:A2853"/>
    <mergeCell ref="B2850:B2853"/>
    <mergeCell ref="C2850:C2853"/>
    <mergeCell ref="D2850:D2853"/>
    <mergeCell ref="E2850:E2853"/>
    <mergeCell ref="F2850:F2853"/>
    <mergeCell ref="G2850:G2853"/>
    <mergeCell ref="H2850:H2853"/>
    <mergeCell ref="W2850:W2853"/>
    <mergeCell ref="X2850:X2853"/>
    <mergeCell ref="Y2850:Y2853"/>
    <mergeCell ref="A2854:A2857"/>
    <mergeCell ref="B2854:B2857"/>
    <mergeCell ref="C2854:C2857"/>
    <mergeCell ref="D2854:D2857"/>
    <mergeCell ref="E2854:E2857"/>
    <mergeCell ref="F2854:F2857"/>
    <mergeCell ref="G2854:G2857"/>
    <mergeCell ref="H2854:H2857"/>
    <mergeCell ref="W2854:W2857"/>
    <mergeCell ref="X2854:X2857"/>
    <mergeCell ref="Y2854:Y2857"/>
    <mergeCell ref="A2858:A2861"/>
    <mergeCell ref="B2858:B2861"/>
    <mergeCell ref="C2858:C2861"/>
    <mergeCell ref="D2858:D2861"/>
    <mergeCell ref="E2858:E2861"/>
    <mergeCell ref="F2858:F2861"/>
    <mergeCell ref="G2858:G2861"/>
    <mergeCell ref="H2858:H2861"/>
    <mergeCell ref="W2858:W2861"/>
    <mergeCell ref="X2858:X2861"/>
    <mergeCell ref="Y2858:Y2861"/>
    <mergeCell ref="A2862:A2865"/>
    <mergeCell ref="B2862:B2865"/>
    <mergeCell ref="C2862:C2865"/>
    <mergeCell ref="D2862:D2865"/>
    <mergeCell ref="E2862:E2865"/>
    <mergeCell ref="F2862:F2865"/>
    <mergeCell ref="G2862:G2865"/>
    <mergeCell ref="H2862:H2865"/>
    <mergeCell ref="W2862:W2865"/>
    <mergeCell ref="X2862:X2865"/>
    <mergeCell ref="Y2862:Y2865"/>
    <mergeCell ref="A2866:A2869"/>
    <mergeCell ref="B2866:B2869"/>
    <mergeCell ref="C2866:C2869"/>
    <mergeCell ref="D2866:D2869"/>
    <mergeCell ref="E2866:E2869"/>
    <mergeCell ref="F2866:F2869"/>
    <mergeCell ref="G2866:G2869"/>
    <mergeCell ref="H2866:H2869"/>
    <mergeCell ref="W2866:W2869"/>
    <mergeCell ref="X2866:X2869"/>
    <mergeCell ref="Y2866:Y2869"/>
    <mergeCell ref="A2870:A2873"/>
    <mergeCell ref="B2870:B2873"/>
    <mergeCell ref="C2870:C2873"/>
    <mergeCell ref="D2870:D2873"/>
    <mergeCell ref="E2870:E2873"/>
    <mergeCell ref="F2870:F2873"/>
    <mergeCell ref="G2870:G2873"/>
    <mergeCell ref="H2870:H2873"/>
    <mergeCell ref="W2870:W2873"/>
    <mergeCell ref="X2870:X2873"/>
    <mergeCell ref="Y2870:Y2873"/>
    <mergeCell ref="A2874:A2877"/>
    <mergeCell ref="B2874:B2877"/>
    <mergeCell ref="C2874:C2877"/>
    <mergeCell ref="D2874:D2877"/>
    <mergeCell ref="E2874:E2877"/>
    <mergeCell ref="F2874:F2877"/>
    <mergeCell ref="G2874:G2877"/>
    <mergeCell ref="H2874:H2877"/>
    <mergeCell ref="W2874:W2877"/>
    <mergeCell ref="X2874:X2877"/>
    <mergeCell ref="Y2874:Y2877"/>
    <mergeCell ref="A2878:A2881"/>
    <mergeCell ref="B2878:B2881"/>
    <mergeCell ref="C2878:C2881"/>
    <mergeCell ref="D2878:D2881"/>
    <mergeCell ref="E2878:E2881"/>
    <mergeCell ref="F2878:F2881"/>
    <mergeCell ref="G2878:G2881"/>
    <mergeCell ref="H2878:H2881"/>
    <mergeCell ref="W2878:W2881"/>
    <mergeCell ref="X2878:X2881"/>
    <mergeCell ref="Y2878:Y2881"/>
    <mergeCell ref="A2882:A2885"/>
    <mergeCell ref="B2882:B2885"/>
    <mergeCell ref="C2882:C2885"/>
    <mergeCell ref="D2882:D2885"/>
    <mergeCell ref="E2882:E2885"/>
    <mergeCell ref="F2882:F2885"/>
    <mergeCell ref="G2882:G2885"/>
    <mergeCell ref="H2882:H2885"/>
    <mergeCell ref="W2882:W2885"/>
    <mergeCell ref="X2882:X2885"/>
    <mergeCell ref="Y2882:Y2885"/>
    <mergeCell ref="A2886:A2889"/>
    <mergeCell ref="B2886:B2889"/>
    <mergeCell ref="C2886:C2889"/>
    <mergeCell ref="D2886:D2889"/>
    <mergeCell ref="E2886:E2889"/>
    <mergeCell ref="F2886:F2889"/>
    <mergeCell ref="G2886:G2889"/>
    <mergeCell ref="H2886:H2889"/>
    <mergeCell ref="W2886:W2889"/>
    <mergeCell ref="X2886:X2889"/>
    <mergeCell ref="Y2886:Y2889"/>
    <mergeCell ref="A2890:A2893"/>
    <mergeCell ref="B2890:B2893"/>
    <mergeCell ref="C2890:C2893"/>
    <mergeCell ref="D2890:D2893"/>
    <mergeCell ref="E2890:E2893"/>
    <mergeCell ref="F2890:F2893"/>
    <mergeCell ref="G2890:G2893"/>
    <mergeCell ref="H2890:H2893"/>
    <mergeCell ref="W2890:W2893"/>
    <mergeCell ref="X2890:X2893"/>
    <mergeCell ref="Y2890:Y2893"/>
    <mergeCell ref="A2894:A2897"/>
    <mergeCell ref="B2894:B2897"/>
    <mergeCell ref="C2894:C2897"/>
    <mergeCell ref="D2894:D2897"/>
    <mergeCell ref="E2894:E2897"/>
    <mergeCell ref="F2894:F2897"/>
    <mergeCell ref="G2894:G2897"/>
    <mergeCell ref="H2894:H2897"/>
    <mergeCell ref="W2894:W2897"/>
    <mergeCell ref="X2894:X2897"/>
    <mergeCell ref="Y2894:Y2897"/>
    <mergeCell ref="A2898:A2901"/>
    <mergeCell ref="B2898:B2901"/>
    <mergeCell ref="C2898:C2901"/>
    <mergeCell ref="D2898:D2901"/>
    <mergeCell ref="E2898:E2901"/>
    <mergeCell ref="F2898:F2901"/>
    <mergeCell ref="G2898:G2901"/>
    <mergeCell ref="H2898:H2901"/>
    <mergeCell ref="W2898:W2901"/>
    <mergeCell ref="X2898:X2901"/>
    <mergeCell ref="Y2898:Y2901"/>
    <mergeCell ref="A2902:A2905"/>
    <mergeCell ref="B2902:B2905"/>
    <mergeCell ref="C2902:C2905"/>
    <mergeCell ref="D2902:D2905"/>
    <mergeCell ref="E2902:E2905"/>
    <mergeCell ref="F2902:F2905"/>
    <mergeCell ref="G2902:G2905"/>
    <mergeCell ref="H2902:H2905"/>
    <mergeCell ref="W2902:W2905"/>
    <mergeCell ref="X2902:X2905"/>
    <mergeCell ref="Y2902:Y2905"/>
    <mergeCell ref="A2906:A2909"/>
    <mergeCell ref="B2906:B2909"/>
    <mergeCell ref="C2906:C2909"/>
    <mergeCell ref="D2906:D2909"/>
    <mergeCell ref="E2906:E2909"/>
    <mergeCell ref="F2906:F2909"/>
    <mergeCell ref="G2906:G2909"/>
    <mergeCell ref="H2906:H2909"/>
    <mergeCell ref="W2906:W2909"/>
    <mergeCell ref="X2906:X2909"/>
    <mergeCell ref="Y2906:Y2909"/>
    <mergeCell ref="A2910:A2913"/>
    <mergeCell ref="B2910:B2913"/>
    <mergeCell ref="C2910:C2913"/>
    <mergeCell ref="D2910:D2913"/>
    <mergeCell ref="E2910:E2913"/>
    <mergeCell ref="F2910:F2913"/>
    <mergeCell ref="G2910:G2913"/>
    <mergeCell ref="H2910:H2913"/>
    <mergeCell ref="W2910:W2913"/>
    <mergeCell ref="X2910:X2913"/>
    <mergeCell ref="Y2910:Y2913"/>
    <mergeCell ref="A2914:A2917"/>
    <mergeCell ref="B2914:B2917"/>
    <mergeCell ref="C2914:C2917"/>
    <mergeCell ref="D2914:D2917"/>
    <mergeCell ref="E2914:E2917"/>
    <mergeCell ref="F2914:F2917"/>
    <mergeCell ref="G2914:G2917"/>
    <mergeCell ref="H2914:H2917"/>
    <mergeCell ref="W2914:W2917"/>
    <mergeCell ref="X2914:X2917"/>
    <mergeCell ref="Y2914:Y2917"/>
    <mergeCell ref="A2918:A2921"/>
    <mergeCell ref="B2918:B2921"/>
    <mergeCell ref="C2918:C2921"/>
    <mergeCell ref="D2918:D2921"/>
    <mergeCell ref="E2918:E2921"/>
    <mergeCell ref="F2918:F2921"/>
    <mergeCell ref="G2918:G2921"/>
    <mergeCell ref="H2918:H2921"/>
    <mergeCell ref="W2918:W2921"/>
    <mergeCell ref="X2918:X2921"/>
    <mergeCell ref="Y2918:Y2921"/>
    <mergeCell ref="A2922:A2925"/>
    <mergeCell ref="B2922:B2925"/>
    <mergeCell ref="C2922:C2925"/>
    <mergeCell ref="D2922:D2925"/>
    <mergeCell ref="E2922:E2925"/>
    <mergeCell ref="F2922:F2925"/>
    <mergeCell ref="G2922:G2925"/>
    <mergeCell ref="H2922:H2925"/>
    <mergeCell ref="W2922:W2925"/>
    <mergeCell ref="X2922:X2925"/>
    <mergeCell ref="Y2922:Y2925"/>
    <mergeCell ref="A2926:A2929"/>
    <mergeCell ref="B2926:B2929"/>
    <mergeCell ref="C2926:C2929"/>
    <mergeCell ref="D2926:D2929"/>
    <mergeCell ref="E2926:E2929"/>
    <mergeCell ref="F2926:F2929"/>
    <mergeCell ref="G2926:G2929"/>
    <mergeCell ref="H2926:H2929"/>
    <mergeCell ref="W2926:W2929"/>
    <mergeCell ref="X2926:X2929"/>
    <mergeCell ref="Y2926:Y2929"/>
    <mergeCell ref="A2930:A2933"/>
    <mergeCell ref="B2930:B2933"/>
    <mergeCell ref="C2930:C2933"/>
    <mergeCell ref="D2930:D2933"/>
    <mergeCell ref="E2930:E2933"/>
    <mergeCell ref="F2930:F2933"/>
    <mergeCell ref="G2930:G2933"/>
    <mergeCell ref="H2930:H2933"/>
    <mergeCell ref="W2930:W2933"/>
    <mergeCell ref="X2930:X2933"/>
    <mergeCell ref="Y2930:Y2933"/>
    <mergeCell ref="A2934:A2937"/>
    <mergeCell ref="B2934:B2937"/>
    <mergeCell ref="C2934:C2937"/>
    <mergeCell ref="D2934:D2937"/>
    <mergeCell ref="E2934:E2937"/>
    <mergeCell ref="F2934:F2937"/>
    <mergeCell ref="G2934:G2937"/>
    <mergeCell ref="H2934:H2937"/>
    <mergeCell ref="W2934:W2937"/>
    <mergeCell ref="X2934:X2937"/>
    <mergeCell ref="Y2934:Y2937"/>
    <mergeCell ref="A2938:A2941"/>
    <mergeCell ref="B2938:B2941"/>
    <mergeCell ref="C2938:C2941"/>
    <mergeCell ref="D2938:D2941"/>
    <mergeCell ref="E2938:E2941"/>
    <mergeCell ref="F2938:F2941"/>
    <mergeCell ref="G2938:G2941"/>
    <mergeCell ref="H2938:H2941"/>
    <mergeCell ref="W2938:W2941"/>
    <mergeCell ref="X2938:X2941"/>
    <mergeCell ref="Y2938:Y2941"/>
    <mergeCell ref="A2942:A2945"/>
    <mergeCell ref="B2942:B2945"/>
    <mergeCell ref="C2942:C2945"/>
    <mergeCell ref="D2942:D2945"/>
    <mergeCell ref="E2942:E2945"/>
    <mergeCell ref="F2942:F2945"/>
    <mergeCell ref="G2942:G2945"/>
    <mergeCell ref="H2942:H2945"/>
    <mergeCell ref="W2942:W2945"/>
    <mergeCell ref="X2942:X2945"/>
    <mergeCell ref="Y2942:Y2945"/>
    <mergeCell ref="A2946:A2949"/>
    <mergeCell ref="B2946:B2949"/>
    <mergeCell ref="C2946:C2949"/>
    <mergeCell ref="D2946:D2949"/>
    <mergeCell ref="E2946:E2949"/>
    <mergeCell ref="F2946:F2949"/>
    <mergeCell ref="G2946:G2949"/>
    <mergeCell ref="H2946:H2949"/>
    <mergeCell ref="W2946:W2949"/>
    <mergeCell ref="X2946:X2949"/>
    <mergeCell ref="Y2946:Y2949"/>
    <mergeCell ref="A2950:A2953"/>
    <mergeCell ref="B2950:B2953"/>
    <mergeCell ref="C2950:C2953"/>
    <mergeCell ref="D2950:D2953"/>
    <mergeCell ref="E2950:E2953"/>
    <mergeCell ref="F2950:F2953"/>
    <mergeCell ref="G2950:G2953"/>
    <mergeCell ref="H2950:H2953"/>
    <mergeCell ref="W2950:W2953"/>
    <mergeCell ref="X2950:X2953"/>
    <mergeCell ref="Y2950:Y2953"/>
    <mergeCell ref="A2954:A2957"/>
    <mergeCell ref="B2954:B2957"/>
    <mergeCell ref="C2954:C2957"/>
    <mergeCell ref="D2954:D2957"/>
    <mergeCell ref="E2954:E2957"/>
    <mergeCell ref="F2954:F2957"/>
    <mergeCell ref="G2954:G2957"/>
    <mergeCell ref="H2954:H2957"/>
    <mergeCell ref="W2954:W2957"/>
    <mergeCell ref="X2954:X2957"/>
    <mergeCell ref="Y2954:Y2957"/>
    <mergeCell ref="A2958:A2961"/>
    <mergeCell ref="B2958:B2961"/>
    <mergeCell ref="C2958:C2961"/>
    <mergeCell ref="D2958:D2961"/>
    <mergeCell ref="E2958:E2961"/>
    <mergeCell ref="F2958:F2961"/>
    <mergeCell ref="G2958:G2961"/>
    <mergeCell ref="H2958:H2961"/>
    <mergeCell ref="W2958:W2961"/>
    <mergeCell ref="X2958:X2961"/>
    <mergeCell ref="Y2958:Y2961"/>
    <mergeCell ref="A2962:A2965"/>
    <mergeCell ref="B2962:B2965"/>
    <mergeCell ref="C2962:C2965"/>
    <mergeCell ref="D2962:D2965"/>
    <mergeCell ref="E2962:E2965"/>
    <mergeCell ref="F2962:F2965"/>
    <mergeCell ref="G2962:G2965"/>
    <mergeCell ref="H2962:H2965"/>
    <mergeCell ref="W2962:W2965"/>
    <mergeCell ref="X2962:X2965"/>
    <mergeCell ref="Y2962:Y2965"/>
    <mergeCell ref="A2966:A2969"/>
    <mergeCell ref="B2966:B2969"/>
    <mergeCell ref="C2966:C2969"/>
    <mergeCell ref="D2966:D2969"/>
    <mergeCell ref="E2966:E2969"/>
    <mergeCell ref="F2966:F2969"/>
    <mergeCell ref="G2966:G2969"/>
    <mergeCell ref="H2966:H2969"/>
    <mergeCell ref="W2966:W2969"/>
    <mergeCell ref="X2966:X2969"/>
    <mergeCell ref="Y2966:Y2969"/>
    <mergeCell ref="A2970:A2973"/>
    <mergeCell ref="B2970:B2973"/>
    <mergeCell ref="C2970:C2973"/>
    <mergeCell ref="D2970:D2973"/>
    <mergeCell ref="E2970:E2973"/>
    <mergeCell ref="F2970:F2973"/>
    <mergeCell ref="G2970:G2973"/>
    <mergeCell ref="H2970:H2973"/>
    <mergeCell ref="W2970:W2973"/>
    <mergeCell ref="X2970:X2973"/>
    <mergeCell ref="Y2970:Y2973"/>
    <mergeCell ref="A2974:A2977"/>
    <mergeCell ref="B2974:B2977"/>
    <mergeCell ref="C2974:C2977"/>
    <mergeCell ref="D2974:D2977"/>
    <mergeCell ref="E2974:E2977"/>
    <mergeCell ref="F2974:F2977"/>
    <mergeCell ref="G2974:G2977"/>
    <mergeCell ref="H2974:H2977"/>
    <mergeCell ref="W2974:W2977"/>
    <mergeCell ref="X2974:X2977"/>
    <mergeCell ref="Y2974:Y2977"/>
    <mergeCell ref="A2978:A2981"/>
    <mergeCell ref="B2978:B2981"/>
    <mergeCell ref="C2978:C2981"/>
    <mergeCell ref="D2978:D2981"/>
    <mergeCell ref="E2978:E2981"/>
    <mergeCell ref="F2978:F2981"/>
    <mergeCell ref="G2978:G2981"/>
    <mergeCell ref="H2978:H2981"/>
    <mergeCell ref="W2978:W2981"/>
    <mergeCell ref="X2978:X2981"/>
    <mergeCell ref="Y2978:Y2981"/>
    <mergeCell ref="A2982:A2985"/>
    <mergeCell ref="B2982:B2985"/>
    <mergeCell ref="C2982:C2985"/>
    <mergeCell ref="D2982:D2985"/>
    <mergeCell ref="E2982:E2985"/>
    <mergeCell ref="F2982:F2985"/>
    <mergeCell ref="G2982:G2985"/>
    <mergeCell ref="H2982:H2985"/>
    <mergeCell ref="W2982:W2985"/>
    <mergeCell ref="X2982:X2985"/>
    <mergeCell ref="Y2982:Y2985"/>
    <mergeCell ref="A2986:A2989"/>
    <mergeCell ref="B2986:B2989"/>
    <mergeCell ref="C2986:C2989"/>
    <mergeCell ref="D2986:D2989"/>
    <mergeCell ref="E2986:E2989"/>
    <mergeCell ref="F2986:F2989"/>
    <mergeCell ref="G2986:G2989"/>
    <mergeCell ref="H2986:H2989"/>
    <mergeCell ref="W2986:W2989"/>
    <mergeCell ref="X2986:X2989"/>
    <mergeCell ref="Y2986:Y2989"/>
    <mergeCell ref="A2990:A2993"/>
    <mergeCell ref="B2990:B2993"/>
    <mergeCell ref="C2990:C2993"/>
    <mergeCell ref="D2990:D2993"/>
    <mergeCell ref="E2990:E2993"/>
    <mergeCell ref="F2990:F2993"/>
    <mergeCell ref="G2990:G2993"/>
    <mergeCell ref="H2990:H2993"/>
    <mergeCell ref="W2990:W2993"/>
    <mergeCell ref="X2990:X2993"/>
    <mergeCell ref="Y2990:Y2993"/>
    <mergeCell ref="A2994:A2997"/>
    <mergeCell ref="B2994:B2997"/>
    <mergeCell ref="C2994:C2997"/>
    <mergeCell ref="D2994:D2997"/>
    <mergeCell ref="E2994:E2997"/>
    <mergeCell ref="F2994:F2997"/>
    <mergeCell ref="G2994:G2997"/>
    <mergeCell ref="H2994:H2997"/>
    <mergeCell ref="W2994:W2997"/>
    <mergeCell ref="X2994:X2997"/>
    <mergeCell ref="Y2994:Y2997"/>
    <mergeCell ref="A2998:A3001"/>
    <mergeCell ref="B2998:B3001"/>
    <mergeCell ref="C2998:C3001"/>
    <mergeCell ref="D2998:D3001"/>
    <mergeCell ref="E2998:E3001"/>
    <mergeCell ref="F2998:F3001"/>
    <mergeCell ref="G2998:G3001"/>
    <mergeCell ref="H2998:H3001"/>
    <mergeCell ref="W2998:W3001"/>
    <mergeCell ref="X2998:X3001"/>
    <mergeCell ref="Y2998:Y3001"/>
    <mergeCell ref="A3002:A3005"/>
    <mergeCell ref="B3002:B3005"/>
    <mergeCell ref="C3002:C3005"/>
    <mergeCell ref="D3002:D3005"/>
    <mergeCell ref="E3002:E3005"/>
    <mergeCell ref="F3002:F3005"/>
    <mergeCell ref="G3002:G3005"/>
    <mergeCell ref="H3002:H3005"/>
    <mergeCell ref="W3002:W3005"/>
    <mergeCell ref="X3002:X3005"/>
    <mergeCell ref="Y3002:Y3005"/>
    <mergeCell ref="A3006:A3009"/>
    <mergeCell ref="B3006:B3009"/>
    <mergeCell ref="C3006:C3009"/>
    <mergeCell ref="D3006:D3009"/>
    <mergeCell ref="E3006:E3009"/>
    <mergeCell ref="F3006:F3009"/>
    <mergeCell ref="G3006:G3009"/>
    <mergeCell ref="H3006:H3009"/>
    <mergeCell ref="W3006:W3009"/>
    <mergeCell ref="X3006:X3009"/>
    <mergeCell ref="Y3006:Y3009"/>
    <mergeCell ref="A3010:A3013"/>
    <mergeCell ref="B3010:B3013"/>
    <mergeCell ref="C3010:C3013"/>
    <mergeCell ref="D3010:D3013"/>
    <mergeCell ref="E3010:E3013"/>
    <mergeCell ref="F3010:F3013"/>
    <mergeCell ref="G3010:G3013"/>
    <mergeCell ref="H3010:H3013"/>
    <mergeCell ref="W3010:W3013"/>
    <mergeCell ref="X3010:X3013"/>
    <mergeCell ref="Y3010:Y3013"/>
    <mergeCell ref="A3014:A3017"/>
    <mergeCell ref="B3014:B3017"/>
    <mergeCell ref="C3014:C3017"/>
    <mergeCell ref="D3014:D3017"/>
    <mergeCell ref="E3014:E3017"/>
    <mergeCell ref="F3014:F3017"/>
    <mergeCell ref="G3014:G3017"/>
    <mergeCell ref="H3014:H3017"/>
    <mergeCell ref="W3014:W3017"/>
    <mergeCell ref="X3014:X3017"/>
    <mergeCell ref="Y3014:Y3017"/>
    <mergeCell ref="A3018:A3021"/>
    <mergeCell ref="B3018:B3021"/>
    <mergeCell ref="C3018:C3021"/>
    <mergeCell ref="D3018:D3021"/>
    <mergeCell ref="E3018:E3021"/>
    <mergeCell ref="F3018:F3021"/>
    <mergeCell ref="G3018:G3021"/>
    <mergeCell ref="H3018:H3021"/>
    <mergeCell ref="W3018:W3021"/>
    <mergeCell ref="X3018:X3021"/>
    <mergeCell ref="Y3018:Y3021"/>
    <mergeCell ref="A3022:A3025"/>
    <mergeCell ref="B3022:B3025"/>
    <mergeCell ref="C3022:C3025"/>
    <mergeCell ref="D3022:D3025"/>
    <mergeCell ref="E3022:E3025"/>
    <mergeCell ref="F3022:F3025"/>
    <mergeCell ref="G3022:G3025"/>
    <mergeCell ref="H3022:H3025"/>
    <mergeCell ref="W3022:W3025"/>
    <mergeCell ref="X3022:X3025"/>
    <mergeCell ref="Y3022:Y3025"/>
    <mergeCell ref="A3026:A3029"/>
    <mergeCell ref="B3026:B3029"/>
    <mergeCell ref="C3026:C3029"/>
    <mergeCell ref="D3026:D3029"/>
    <mergeCell ref="E3026:E3029"/>
    <mergeCell ref="F3026:F3029"/>
    <mergeCell ref="G3026:G3029"/>
    <mergeCell ref="H3026:H3029"/>
    <mergeCell ref="W3026:W3029"/>
    <mergeCell ref="X3026:X3029"/>
    <mergeCell ref="Y3026:Y3029"/>
    <mergeCell ref="A3030:A3033"/>
    <mergeCell ref="B3030:B3033"/>
    <mergeCell ref="C3030:C3033"/>
    <mergeCell ref="D3030:D3033"/>
    <mergeCell ref="E3030:E3033"/>
    <mergeCell ref="F3030:F3033"/>
    <mergeCell ref="G3030:G3033"/>
    <mergeCell ref="H3030:H3033"/>
    <mergeCell ref="W3030:W3033"/>
    <mergeCell ref="X3030:X3033"/>
    <mergeCell ref="Y3030:Y3033"/>
    <mergeCell ref="A3034:A3037"/>
    <mergeCell ref="B3034:B3037"/>
    <mergeCell ref="C3034:C3037"/>
    <mergeCell ref="D3034:D3037"/>
    <mergeCell ref="E3034:E3037"/>
    <mergeCell ref="F3034:F3037"/>
    <mergeCell ref="G3034:G3037"/>
    <mergeCell ref="H3034:H3037"/>
    <mergeCell ref="W3034:W3037"/>
    <mergeCell ref="X3034:X3037"/>
    <mergeCell ref="Y3034:Y3037"/>
    <mergeCell ref="A3038:A3041"/>
    <mergeCell ref="B3038:B3041"/>
    <mergeCell ref="C3038:C3041"/>
    <mergeCell ref="D3038:D3041"/>
    <mergeCell ref="E3038:E3041"/>
    <mergeCell ref="F3038:F3041"/>
    <mergeCell ref="G3038:G3041"/>
    <mergeCell ref="H3038:H3041"/>
    <mergeCell ref="W3038:W3041"/>
    <mergeCell ref="X3038:X3041"/>
    <mergeCell ref="Y3038:Y3041"/>
    <mergeCell ref="A3042:A3045"/>
    <mergeCell ref="B3042:B3045"/>
    <mergeCell ref="C3042:C3045"/>
    <mergeCell ref="D3042:D3045"/>
    <mergeCell ref="E3042:E3045"/>
    <mergeCell ref="F3042:F3045"/>
    <mergeCell ref="G3042:G3045"/>
    <mergeCell ref="H3042:H3045"/>
    <mergeCell ref="W3042:W3045"/>
    <mergeCell ref="X3042:X3045"/>
    <mergeCell ref="Y3042:Y3045"/>
    <mergeCell ref="A3046:A3049"/>
    <mergeCell ref="B3046:B3049"/>
    <mergeCell ref="C3046:C3049"/>
    <mergeCell ref="D3046:D3049"/>
    <mergeCell ref="E3046:E3049"/>
    <mergeCell ref="F3046:F3049"/>
    <mergeCell ref="G3046:G3049"/>
    <mergeCell ref="H3046:H3049"/>
    <mergeCell ref="W3046:W3049"/>
    <mergeCell ref="X3046:X3049"/>
    <mergeCell ref="Y3046:Y3049"/>
    <mergeCell ref="A3050:A3053"/>
    <mergeCell ref="B3050:B3053"/>
    <mergeCell ref="C3050:C3053"/>
    <mergeCell ref="D3050:D3053"/>
    <mergeCell ref="E3050:E3053"/>
    <mergeCell ref="F3050:F3053"/>
    <mergeCell ref="G3050:G3053"/>
    <mergeCell ref="H3050:H3053"/>
    <mergeCell ref="W3050:W3053"/>
    <mergeCell ref="X3050:X3053"/>
    <mergeCell ref="Y3050:Y3053"/>
    <mergeCell ref="A3054:A3057"/>
    <mergeCell ref="B3054:B3057"/>
    <mergeCell ref="C3054:C3057"/>
    <mergeCell ref="D3054:D3057"/>
    <mergeCell ref="E3054:E3057"/>
    <mergeCell ref="F3054:F3057"/>
    <mergeCell ref="G3054:G3057"/>
    <mergeCell ref="H3054:H3057"/>
    <mergeCell ref="W3054:W3057"/>
    <mergeCell ref="X3054:X3057"/>
    <mergeCell ref="Y3054:Y3057"/>
    <mergeCell ref="A3058:A3061"/>
    <mergeCell ref="B3058:B3061"/>
    <mergeCell ref="C3058:C3061"/>
    <mergeCell ref="D3058:D3061"/>
    <mergeCell ref="E3058:E3061"/>
    <mergeCell ref="F3058:F3061"/>
    <mergeCell ref="G3058:G3061"/>
    <mergeCell ref="H3058:H3061"/>
    <mergeCell ref="W3058:W3061"/>
    <mergeCell ref="X3058:X3061"/>
    <mergeCell ref="Y3058:Y3061"/>
    <mergeCell ref="A3062:A3065"/>
    <mergeCell ref="B3062:B3065"/>
    <mergeCell ref="C3062:C3065"/>
    <mergeCell ref="D3062:D3065"/>
    <mergeCell ref="E3062:E3065"/>
    <mergeCell ref="F3062:F3065"/>
    <mergeCell ref="G3062:G3065"/>
    <mergeCell ref="H3062:H3065"/>
    <mergeCell ref="W3062:W3065"/>
    <mergeCell ref="X3062:X3065"/>
    <mergeCell ref="Y3062:Y3065"/>
    <mergeCell ref="A3066:A3069"/>
    <mergeCell ref="B3066:B3069"/>
    <mergeCell ref="C3066:C3069"/>
    <mergeCell ref="D3066:D3069"/>
    <mergeCell ref="E3066:E3069"/>
    <mergeCell ref="F3066:F3069"/>
    <mergeCell ref="G3066:G3069"/>
    <mergeCell ref="H3066:H3069"/>
    <mergeCell ref="W3066:W3069"/>
    <mergeCell ref="X3066:X3069"/>
    <mergeCell ref="Y3066:Y3069"/>
    <mergeCell ref="A3070:A3073"/>
    <mergeCell ref="B3070:B3073"/>
    <mergeCell ref="C3070:C3073"/>
    <mergeCell ref="D3070:D3073"/>
    <mergeCell ref="E3070:E3073"/>
    <mergeCell ref="F3070:F3073"/>
    <mergeCell ref="G3070:G3073"/>
    <mergeCell ref="H3070:H3073"/>
    <mergeCell ref="W3070:W3073"/>
    <mergeCell ref="X3070:X3073"/>
    <mergeCell ref="Y3070:Y3073"/>
    <mergeCell ref="A3074:A3077"/>
    <mergeCell ref="B3074:B3077"/>
    <mergeCell ref="C3074:C3077"/>
    <mergeCell ref="D3074:D3077"/>
    <mergeCell ref="E3074:E3077"/>
    <mergeCell ref="F3074:F3077"/>
    <mergeCell ref="G3074:G3077"/>
    <mergeCell ref="H3074:H3077"/>
    <mergeCell ref="W3074:W3077"/>
    <mergeCell ref="X3074:X3077"/>
    <mergeCell ref="Y3074:Y3077"/>
    <mergeCell ref="A3078:A3081"/>
    <mergeCell ref="B3078:B3081"/>
    <mergeCell ref="C3078:C3081"/>
    <mergeCell ref="D3078:D3081"/>
    <mergeCell ref="E3078:E3081"/>
    <mergeCell ref="F3078:F3081"/>
    <mergeCell ref="G3078:G3081"/>
    <mergeCell ref="H3078:H3081"/>
    <mergeCell ref="W3078:W3081"/>
    <mergeCell ref="X3078:X3081"/>
    <mergeCell ref="Y3078:Y3081"/>
    <mergeCell ref="A3082:A3085"/>
    <mergeCell ref="B3082:B3085"/>
    <mergeCell ref="C3082:C3085"/>
    <mergeCell ref="D3082:D3085"/>
    <mergeCell ref="E3082:E3085"/>
    <mergeCell ref="F3082:F3085"/>
    <mergeCell ref="G3082:G3085"/>
    <mergeCell ref="H3082:H3085"/>
    <mergeCell ref="W3082:W3085"/>
    <mergeCell ref="X3082:X3085"/>
    <mergeCell ref="Y3082:Y3085"/>
    <mergeCell ref="A3086:A3089"/>
    <mergeCell ref="B3086:B3089"/>
    <mergeCell ref="C3086:C3089"/>
    <mergeCell ref="D3086:D3089"/>
    <mergeCell ref="E3086:E3089"/>
    <mergeCell ref="F3086:F3089"/>
    <mergeCell ref="G3086:G3089"/>
    <mergeCell ref="H3086:H3089"/>
    <mergeCell ref="W3086:W3089"/>
    <mergeCell ref="X3086:X3089"/>
    <mergeCell ref="Y3086:Y3089"/>
    <mergeCell ref="A3090:A3093"/>
    <mergeCell ref="B3090:B3093"/>
    <mergeCell ref="C3090:C3093"/>
    <mergeCell ref="D3090:D3093"/>
    <mergeCell ref="E3090:E3093"/>
    <mergeCell ref="F3090:F3093"/>
    <mergeCell ref="G3090:G3093"/>
    <mergeCell ref="H3090:H3093"/>
    <mergeCell ref="W3090:W3093"/>
    <mergeCell ref="X3090:X3093"/>
    <mergeCell ref="Y3090:Y3093"/>
    <mergeCell ref="A3094:A3097"/>
    <mergeCell ref="B3094:B3097"/>
    <mergeCell ref="C3094:C3097"/>
    <mergeCell ref="D3094:D3097"/>
    <mergeCell ref="E3094:E3097"/>
    <mergeCell ref="F3094:F3097"/>
    <mergeCell ref="G3094:G3097"/>
    <mergeCell ref="H3094:H3097"/>
    <mergeCell ref="W3094:W3097"/>
    <mergeCell ref="X3094:X3097"/>
    <mergeCell ref="Y3094:Y3097"/>
    <mergeCell ref="A3098:A3101"/>
    <mergeCell ref="B3098:B3101"/>
    <mergeCell ref="C3098:C3101"/>
    <mergeCell ref="D3098:D3101"/>
    <mergeCell ref="E3098:E3101"/>
    <mergeCell ref="F3098:F3101"/>
    <mergeCell ref="G3098:G3101"/>
    <mergeCell ref="H3098:H3101"/>
    <mergeCell ref="W3098:W3101"/>
    <mergeCell ref="X3098:X3101"/>
    <mergeCell ref="Y3098:Y3101"/>
    <mergeCell ref="A3102:A3105"/>
    <mergeCell ref="B3102:B3105"/>
    <mergeCell ref="C3102:C3105"/>
    <mergeCell ref="D3102:D3105"/>
    <mergeCell ref="E3102:E3105"/>
    <mergeCell ref="F3102:F3105"/>
    <mergeCell ref="G3102:G3105"/>
    <mergeCell ref="H3102:H3105"/>
    <mergeCell ref="W3102:W3105"/>
    <mergeCell ref="X3102:X3105"/>
    <mergeCell ref="Y3102:Y3105"/>
    <mergeCell ref="A3106:A3109"/>
    <mergeCell ref="B3106:B3109"/>
    <mergeCell ref="C3106:C3109"/>
    <mergeCell ref="D3106:D3109"/>
    <mergeCell ref="E3106:E3109"/>
    <mergeCell ref="F3106:F3109"/>
    <mergeCell ref="G3106:G3109"/>
    <mergeCell ref="H3106:H3109"/>
    <mergeCell ref="W3106:W3109"/>
    <mergeCell ref="X3106:X3109"/>
    <mergeCell ref="Y3106:Y3109"/>
    <mergeCell ref="A3110:A3113"/>
    <mergeCell ref="B3110:B3113"/>
    <mergeCell ref="C3110:C3113"/>
    <mergeCell ref="D3110:D3113"/>
    <mergeCell ref="E3110:E3113"/>
    <mergeCell ref="F3110:F3113"/>
    <mergeCell ref="G3110:G3113"/>
    <mergeCell ref="H3110:H3113"/>
    <mergeCell ref="W3110:W3113"/>
    <mergeCell ref="X3110:X3113"/>
    <mergeCell ref="Y3110:Y3113"/>
    <mergeCell ref="A3114:A3117"/>
    <mergeCell ref="B3114:B3117"/>
    <mergeCell ref="C3114:C3117"/>
    <mergeCell ref="D3114:D3117"/>
    <mergeCell ref="E3114:E3117"/>
    <mergeCell ref="F3114:F3117"/>
    <mergeCell ref="G3114:G3117"/>
    <mergeCell ref="H3114:H3117"/>
    <mergeCell ref="W3114:W3117"/>
    <mergeCell ref="X3114:X3117"/>
    <mergeCell ref="Y3114:Y3117"/>
    <mergeCell ref="A3118:A3121"/>
    <mergeCell ref="B3118:B3121"/>
    <mergeCell ref="C3118:C3121"/>
    <mergeCell ref="D3118:D3121"/>
    <mergeCell ref="E3118:E3121"/>
    <mergeCell ref="F3118:F3121"/>
    <mergeCell ref="G3118:G3121"/>
    <mergeCell ref="H3118:H3121"/>
    <mergeCell ref="W3118:W3121"/>
    <mergeCell ref="X3118:X3121"/>
    <mergeCell ref="Y3118:Y3121"/>
    <mergeCell ref="A3122:A3125"/>
    <mergeCell ref="B3122:B3125"/>
    <mergeCell ref="C3122:C3125"/>
    <mergeCell ref="D3122:D3125"/>
    <mergeCell ref="E3122:E3125"/>
    <mergeCell ref="F3122:F3125"/>
    <mergeCell ref="G3122:G3125"/>
    <mergeCell ref="H3122:H3125"/>
    <mergeCell ref="W3122:W3125"/>
    <mergeCell ref="X3122:X3125"/>
    <mergeCell ref="Y3122:Y3125"/>
    <mergeCell ref="A3126:A3129"/>
    <mergeCell ref="B3126:B3129"/>
    <mergeCell ref="C3126:C3129"/>
    <mergeCell ref="D3126:D3129"/>
    <mergeCell ref="E3126:E3129"/>
    <mergeCell ref="F3126:F3129"/>
    <mergeCell ref="G3126:G3129"/>
    <mergeCell ref="H3126:H3129"/>
    <mergeCell ref="W3126:W3129"/>
    <mergeCell ref="X3126:X3129"/>
    <mergeCell ref="Y3126:Y3129"/>
    <mergeCell ref="A3130:A3133"/>
    <mergeCell ref="B3130:B3133"/>
    <mergeCell ref="C3130:C3133"/>
    <mergeCell ref="D3130:D3133"/>
    <mergeCell ref="E3130:E3133"/>
    <mergeCell ref="F3130:F3133"/>
    <mergeCell ref="G3130:G3133"/>
    <mergeCell ref="H3130:H3133"/>
    <mergeCell ref="W3130:W3133"/>
    <mergeCell ref="X3130:X3133"/>
    <mergeCell ref="Y3130:Y3133"/>
    <mergeCell ref="A3134:A3137"/>
    <mergeCell ref="B3134:B3137"/>
    <mergeCell ref="C3134:C3137"/>
    <mergeCell ref="D3134:D3137"/>
    <mergeCell ref="E3134:E3137"/>
    <mergeCell ref="F3134:F3137"/>
    <mergeCell ref="G3134:G3137"/>
    <mergeCell ref="H3134:H3137"/>
    <mergeCell ref="W3134:W3137"/>
    <mergeCell ref="X3134:X3137"/>
    <mergeCell ref="Y3134:Y3137"/>
    <mergeCell ref="A3138:A3141"/>
    <mergeCell ref="B3138:B3141"/>
    <mergeCell ref="C3138:C3141"/>
    <mergeCell ref="D3138:D3141"/>
    <mergeCell ref="E3138:E3141"/>
    <mergeCell ref="F3138:F3141"/>
    <mergeCell ref="G3138:G3141"/>
    <mergeCell ref="H3138:H3141"/>
    <mergeCell ref="W3138:W3141"/>
    <mergeCell ref="X3138:X3141"/>
    <mergeCell ref="Y3138:Y3141"/>
    <mergeCell ref="A3142:A3145"/>
    <mergeCell ref="B3142:B3145"/>
    <mergeCell ref="C3142:C3145"/>
    <mergeCell ref="D3142:D3145"/>
    <mergeCell ref="E3142:E3145"/>
    <mergeCell ref="F3142:F3145"/>
    <mergeCell ref="G3142:G3145"/>
    <mergeCell ref="H3142:H3145"/>
    <mergeCell ref="W3142:W3145"/>
    <mergeCell ref="X3142:X3145"/>
    <mergeCell ref="Y3142:Y3145"/>
    <mergeCell ref="A3146:A3149"/>
    <mergeCell ref="B3146:B3149"/>
    <mergeCell ref="C3146:C3149"/>
    <mergeCell ref="D3146:D3149"/>
    <mergeCell ref="E3146:E3149"/>
    <mergeCell ref="F3146:F3149"/>
    <mergeCell ref="G3146:G3149"/>
    <mergeCell ref="H3146:H3149"/>
    <mergeCell ref="W3146:W3149"/>
    <mergeCell ref="X3146:X3149"/>
    <mergeCell ref="Y3146:Y3149"/>
    <mergeCell ref="A3150:A3153"/>
    <mergeCell ref="B3150:B3153"/>
    <mergeCell ref="C3150:C3153"/>
    <mergeCell ref="D3150:D3153"/>
    <mergeCell ref="E3150:E3153"/>
    <mergeCell ref="F3150:F3153"/>
    <mergeCell ref="G3150:G3153"/>
    <mergeCell ref="H3150:H3153"/>
    <mergeCell ref="W3150:W3153"/>
    <mergeCell ref="X3150:X3153"/>
    <mergeCell ref="Y3150:Y3153"/>
    <mergeCell ref="A3154:A3157"/>
    <mergeCell ref="B3154:B3157"/>
    <mergeCell ref="C3154:C3157"/>
    <mergeCell ref="D3154:D3157"/>
    <mergeCell ref="E3154:E3157"/>
    <mergeCell ref="F3154:F3157"/>
    <mergeCell ref="G3154:G3157"/>
    <mergeCell ref="H3154:H3157"/>
    <mergeCell ref="W3154:W3157"/>
    <mergeCell ref="X3154:X3157"/>
    <mergeCell ref="Y3154:Y3157"/>
    <mergeCell ref="A3158:A3161"/>
    <mergeCell ref="B3158:B3161"/>
    <mergeCell ref="C3158:C3161"/>
    <mergeCell ref="D3158:D3161"/>
    <mergeCell ref="E3158:E3161"/>
    <mergeCell ref="F3158:F3161"/>
    <mergeCell ref="G3158:G3161"/>
    <mergeCell ref="H3158:H3161"/>
    <mergeCell ref="W3158:W3161"/>
    <mergeCell ref="X3158:X3161"/>
    <mergeCell ref="Y3158:Y3161"/>
    <mergeCell ref="A3162:A3165"/>
    <mergeCell ref="B3162:B3165"/>
    <mergeCell ref="C3162:C3165"/>
    <mergeCell ref="D3162:D3165"/>
    <mergeCell ref="E3162:E3165"/>
    <mergeCell ref="F3162:F3165"/>
    <mergeCell ref="G3162:G3165"/>
    <mergeCell ref="H3162:H3165"/>
    <mergeCell ref="W3162:W3165"/>
    <mergeCell ref="X3162:X3165"/>
    <mergeCell ref="Y3162:Y3165"/>
    <mergeCell ref="A3166:A3169"/>
    <mergeCell ref="B3166:B3169"/>
    <mergeCell ref="C3166:C3169"/>
    <mergeCell ref="D3166:D3169"/>
    <mergeCell ref="E3166:E3169"/>
    <mergeCell ref="F3166:F3169"/>
    <mergeCell ref="G3166:G3169"/>
    <mergeCell ref="H3166:H3169"/>
    <mergeCell ref="W3166:W3169"/>
    <mergeCell ref="X3166:X3169"/>
    <mergeCell ref="Y3166:Y3169"/>
    <mergeCell ref="A3170:A3173"/>
    <mergeCell ref="B3170:B3173"/>
    <mergeCell ref="C3170:C3173"/>
    <mergeCell ref="D3170:D3173"/>
    <mergeCell ref="E3170:E3173"/>
    <mergeCell ref="F3170:F3173"/>
    <mergeCell ref="G3170:G3173"/>
    <mergeCell ref="H3170:H3173"/>
    <mergeCell ref="W3170:W3173"/>
    <mergeCell ref="X3170:X3173"/>
    <mergeCell ref="Y3170:Y3173"/>
    <mergeCell ref="A3174:A3177"/>
    <mergeCell ref="B3174:B3177"/>
    <mergeCell ref="C3174:C3177"/>
    <mergeCell ref="D3174:D3177"/>
    <mergeCell ref="E3174:E3177"/>
    <mergeCell ref="F3174:F3177"/>
    <mergeCell ref="G3174:G3177"/>
    <mergeCell ref="H3174:H3177"/>
    <mergeCell ref="W3174:W3177"/>
    <mergeCell ref="X3174:X3177"/>
    <mergeCell ref="Y3174:Y3177"/>
    <mergeCell ref="A3178:A3181"/>
    <mergeCell ref="B3178:B3181"/>
    <mergeCell ref="C3178:C3181"/>
    <mergeCell ref="D3178:D3181"/>
    <mergeCell ref="E3178:E3181"/>
    <mergeCell ref="F3178:F3181"/>
    <mergeCell ref="G3178:G3181"/>
    <mergeCell ref="H3178:H3181"/>
    <mergeCell ref="W3178:W3181"/>
    <mergeCell ref="X3178:X3181"/>
    <mergeCell ref="Y3178:Y3181"/>
    <mergeCell ref="A3182:A3185"/>
    <mergeCell ref="B3182:B3185"/>
    <mergeCell ref="C3182:C3185"/>
    <mergeCell ref="D3182:D3185"/>
    <mergeCell ref="E3182:E3185"/>
    <mergeCell ref="F3182:F3185"/>
    <mergeCell ref="G3182:G3185"/>
    <mergeCell ref="H3182:H3185"/>
    <mergeCell ref="W3182:W3185"/>
    <mergeCell ref="X3182:X3185"/>
    <mergeCell ref="Y3182:Y3185"/>
    <mergeCell ref="A3186:A3189"/>
    <mergeCell ref="B3186:B3189"/>
    <mergeCell ref="C3186:C3189"/>
    <mergeCell ref="D3186:D3189"/>
    <mergeCell ref="E3186:E3189"/>
    <mergeCell ref="F3186:F3189"/>
    <mergeCell ref="G3186:G3189"/>
    <mergeCell ref="H3186:H3189"/>
    <mergeCell ref="W3186:W3189"/>
    <mergeCell ref="X3186:X3189"/>
    <mergeCell ref="Y3186:Y3189"/>
    <mergeCell ref="A3190:A3193"/>
    <mergeCell ref="B3190:B3193"/>
    <mergeCell ref="C3190:C3193"/>
    <mergeCell ref="D3190:D3193"/>
    <mergeCell ref="E3190:E3193"/>
    <mergeCell ref="F3190:F3193"/>
    <mergeCell ref="G3190:G3193"/>
    <mergeCell ref="H3190:H3193"/>
    <mergeCell ref="W3190:W3193"/>
    <mergeCell ref="X3190:X3193"/>
    <mergeCell ref="Y3190:Y3193"/>
    <mergeCell ref="A3194:A3197"/>
    <mergeCell ref="B3194:B3197"/>
    <mergeCell ref="C3194:C3197"/>
    <mergeCell ref="D3194:D3197"/>
    <mergeCell ref="E3194:E3197"/>
    <mergeCell ref="F3194:F3197"/>
    <mergeCell ref="G3194:G3197"/>
    <mergeCell ref="H3194:H3197"/>
    <mergeCell ref="W3194:W3197"/>
    <mergeCell ref="X3194:X3197"/>
    <mergeCell ref="Y3194:Y3197"/>
    <mergeCell ref="A3198:A3201"/>
    <mergeCell ref="B3198:B3201"/>
    <mergeCell ref="C3198:C3201"/>
    <mergeCell ref="D3198:D3201"/>
    <mergeCell ref="E3198:E3201"/>
    <mergeCell ref="F3198:F3201"/>
    <mergeCell ref="G3198:G3201"/>
    <mergeCell ref="H3198:H3201"/>
    <mergeCell ref="W3198:W3201"/>
    <mergeCell ref="X3198:X3201"/>
    <mergeCell ref="Y3198:Y3201"/>
    <mergeCell ref="A3202:A3205"/>
    <mergeCell ref="B3202:B3205"/>
    <mergeCell ref="C3202:C3205"/>
    <mergeCell ref="D3202:D3205"/>
    <mergeCell ref="E3202:E3205"/>
    <mergeCell ref="F3202:F3205"/>
    <mergeCell ref="G3202:G3205"/>
    <mergeCell ref="H3202:H3205"/>
    <mergeCell ref="W3202:W3205"/>
    <mergeCell ref="X3202:X3205"/>
    <mergeCell ref="Y3202:Y3205"/>
    <mergeCell ref="A3206:A3209"/>
    <mergeCell ref="B3206:B3209"/>
    <mergeCell ref="C3206:C3209"/>
    <mergeCell ref="D3206:D3209"/>
    <mergeCell ref="E3206:E3209"/>
    <mergeCell ref="F3206:F3209"/>
    <mergeCell ref="G3206:G3209"/>
    <mergeCell ref="H3206:H3209"/>
    <mergeCell ref="W3206:W3209"/>
    <mergeCell ref="X3206:X3209"/>
    <mergeCell ref="Y3206:Y3209"/>
    <mergeCell ref="A3210:A3213"/>
    <mergeCell ref="B3210:B3213"/>
    <mergeCell ref="C3210:C3213"/>
    <mergeCell ref="D3210:D3213"/>
    <mergeCell ref="E3210:E3213"/>
    <mergeCell ref="F3210:F3213"/>
    <mergeCell ref="G3210:G3213"/>
    <mergeCell ref="H3210:H3213"/>
    <mergeCell ref="W3210:W3213"/>
    <mergeCell ref="X3210:X3213"/>
    <mergeCell ref="Y3210:Y3213"/>
    <mergeCell ref="A3214:A3217"/>
    <mergeCell ref="B3214:B3217"/>
    <mergeCell ref="C3214:C3217"/>
    <mergeCell ref="D3214:D3217"/>
    <mergeCell ref="E3214:E3217"/>
    <mergeCell ref="F3214:F3217"/>
    <mergeCell ref="G3214:G3217"/>
    <mergeCell ref="H3214:H3217"/>
    <mergeCell ref="W3214:W3217"/>
    <mergeCell ref="X3214:X3217"/>
    <mergeCell ref="Y3214:Y3217"/>
    <mergeCell ref="A3218:A3221"/>
    <mergeCell ref="B3218:B3221"/>
    <mergeCell ref="C3218:C3221"/>
    <mergeCell ref="D3218:D3221"/>
    <mergeCell ref="E3218:E3221"/>
    <mergeCell ref="F3218:F3221"/>
    <mergeCell ref="G3218:G3221"/>
    <mergeCell ref="H3218:H3221"/>
    <mergeCell ref="W3218:W3221"/>
    <mergeCell ref="X3218:X3221"/>
    <mergeCell ref="Y3218:Y3221"/>
    <mergeCell ref="A3222:A3225"/>
    <mergeCell ref="B3222:B3225"/>
    <mergeCell ref="C3222:C3225"/>
    <mergeCell ref="D3222:D3225"/>
    <mergeCell ref="E3222:E3225"/>
    <mergeCell ref="F3222:F3225"/>
    <mergeCell ref="G3222:G3225"/>
    <mergeCell ref="H3222:H3225"/>
    <mergeCell ref="W3222:W3225"/>
    <mergeCell ref="X3222:X3225"/>
    <mergeCell ref="Y3222:Y3225"/>
    <mergeCell ref="A3226:A3229"/>
    <mergeCell ref="B3226:B3229"/>
    <mergeCell ref="C3226:C3229"/>
    <mergeCell ref="D3226:D3229"/>
    <mergeCell ref="E3226:E3229"/>
    <mergeCell ref="F3226:F3229"/>
    <mergeCell ref="G3226:G3229"/>
    <mergeCell ref="H3226:H3229"/>
    <mergeCell ref="W3226:W3229"/>
    <mergeCell ref="X3226:X3229"/>
    <mergeCell ref="Y3226:Y3229"/>
    <mergeCell ref="A3230:A3233"/>
    <mergeCell ref="B3230:B3233"/>
    <mergeCell ref="C3230:C3233"/>
    <mergeCell ref="D3230:D3233"/>
    <mergeCell ref="E3230:E3233"/>
    <mergeCell ref="F3230:F3233"/>
    <mergeCell ref="G3230:G3233"/>
    <mergeCell ref="H3230:H3233"/>
    <mergeCell ref="W3230:W3233"/>
    <mergeCell ref="X3230:X3233"/>
    <mergeCell ref="Y3230:Y3233"/>
    <mergeCell ref="A3234:A3237"/>
    <mergeCell ref="B3234:B3237"/>
    <mergeCell ref="C3234:C3237"/>
    <mergeCell ref="D3234:D3237"/>
    <mergeCell ref="E3234:E3237"/>
    <mergeCell ref="F3234:F3237"/>
    <mergeCell ref="G3234:G3237"/>
    <mergeCell ref="H3234:H3237"/>
    <mergeCell ref="W3234:W3237"/>
    <mergeCell ref="X3234:X3237"/>
    <mergeCell ref="Y3234:Y3237"/>
    <mergeCell ref="A3238:A3241"/>
    <mergeCell ref="B3238:B3241"/>
    <mergeCell ref="C3238:C3241"/>
    <mergeCell ref="D3238:D3241"/>
    <mergeCell ref="E3238:E3241"/>
    <mergeCell ref="F3238:F3241"/>
    <mergeCell ref="G3238:G3241"/>
    <mergeCell ref="H3238:H3241"/>
    <mergeCell ref="W3238:W3241"/>
    <mergeCell ref="X3238:X3241"/>
    <mergeCell ref="Y3238:Y3241"/>
    <mergeCell ref="A3242:A3245"/>
    <mergeCell ref="B3242:B3245"/>
    <mergeCell ref="C3242:C3245"/>
    <mergeCell ref="D3242:D3245"/>
    <mergeCell ref="E3242:E3245"/>
    <mergeCell ref="F3242:F3245"/>
    <mergeCell ref="G3242:G3245"/>
    <mergeCell ref="H3242:H3245"/>
    <mergeCell ref="W3242:W3245"/>
    <mergeCell ref="X3242:X3245"/>
    <mergeCell ref="Y3242:Y3245"/>
    <mergeCell ref="A3246:A3249"/>
    <mergeCell ref="B3246:B3249"/>
    <mergeCell ref="C3246:C3249"/>
    <mergeCell ref="D3246:D3249"/>
    <mergeCell ref="E3246:E3249"/>
    <mergeCell ref="F3246:F3249"/>
    <mergeCell ref="G3246:G3249"/>
    <mergeCell ref="H3246:H3249"/>
    <mergeCell ref="W3246:W3249"/>
    <mergeCell ref="X3246:X3249"/>
    <mergeCell ref="Y3246:Y3249"/>
    <mergeCell ref="A3250:A3253"/>
    <mergeCell ref="B3250:B3253"/>
    <mergeCell ref="C3250:C3253"/>
    <mergeCell ref="D3250:D3253"/>
    <mergeCell ref="E3250:E3253"/>
    <mergeCell ref="F3250:F3253"/>
    <mergeCell ref="G3250:G3253"/>
    <mergeCell ref="H3250:H3253"/>
    <mergeCell ref="W3250:W3253"/>
    <mergeCell ref="X3250:X3253"/>
    <mergeCell ref="Y3250:Y3253"/>
    <mergeCell ref="A3254:A3257"/>
    <mergeCell ref="B3254:B3257"/>
    <mergeCell ref="C3254:C3257"/>
    <mergeCell ref="D3254:D3257"/>
    <mergeCell ref="E3254:E3257"/>
    <mergeCell ref="F3254:F3257"/>
    <mergeCell ref="G3254:G3257"/>
    <mergeCell ref="H3254:H3257"/>
    <mergeCell ref="W3254:W3257"/>
    <mergeCell ref="X3254:X3257"/>
    <mergeCell ref="Y3254:Y3257"/>
    <mergeCell ref="A3258:A3261"/>
    <mergeCell ref="B3258:B3261"/>
    <mergeCell ref="C3258:C3261"/>
    <mergeCell ref="D3258:D3261"/>
    <mergeCell ref="E3258:E3261"/>
    <mergeCell ref="F3258:F3261"/>
    <mergeCell ref="G3258:G3261"/>
    <mergeCell ref="H3258:H3261"/>
    <mergeCell ref="W3258:W3261"/>
    <mergeCell ref="X3258:X3261"/>
    <mergeCell ref="Y3258:Y3261"/>
    <mergeCell ref="A3262:A3265"/>
    <mergeCell ref="B3262:B3265"/>
    <mergeCell ref="C3262:C3265"/>
    <mergeCell ref="D3262:D3265"/>
    <mergeCell ref="E3262:E3265"/>
    <mergeCell ref="F3262:F3265"/>
    <mergeCell ref="G3262:G3265"/>
    <mergeCell ref="H3262:H3265"/>
    <mergeCell ref="W3262:W3265"/>
    <mergeCell ref="X3262:X3265"/>
    <mergeCell ref="Y3262:Y3265"/>
    <mergeCell ref="A3266:A3269"/>
    <mergeCell ref="B3266:B3269"/>
    <mergeCell ref="C3266:C3269"/>
    <mergeCell ref="D3266:D3269"/>
    <mergeCell ref="E3266:E3269"/>
    <mergeCell ref="F3266:F3269"/>
    <mergeCell ref="G3266:G3269"/>
    <mergeCell ref="H3266:H3269"/>
    <mergeCell ref="W3266:W3269"/>
    <mergeCell ref="X3266:X3269"/>
    <mergeCell ref="Y3266:Y3269"/>
    <mergeCell ref="A3270:A3273"/>
    <mergeCell ref="B3270:B3273"/>
    <mergeCell ref="C3270:C3273"/>
    <mergeCell ref="D3270:D3273"/>
    <mergeCell ref="E3270:E3273"/>
    <mergeCell ref="F3270:F3273"/>
    <mergeCell ref="G3270:G3273"/>
    <mergeCell ref="H3270:H3273"/>
    <mergeCell ref="W3270:W3273"/>
    <mergeCell ref="X3270:X3273"/>
    <mergeCell ref="Y3270:Y3273"/>
    <mergeCell ref="A3274:A3277"/>
    <mergeCell ref="B3274:B3277"/>
    <mergeCell ref="C3274:C3277"/>
    <mergeCell ref="D3274:D3277"/>
    <mergeCell ref="E3274:E3277"/>
    <mergeCell ref="F3274:F3277"/>
    <mergeCell ref="G3274:G3277"/>
    <mergeCell ref="H3274:H3277"/>
    <mergeCell ref="W3274:W3277"/>
    <mergeCell ref="X3274:X3277"/>
    <mergeCell ref="Y3274:Y3277"/>
    <mergeCell ref="A3278:A3281"/>
    <mergeCell ref="B3278:B3281"/>
    <mergeCell ref="C3278:C3281"/>
    <mergeCell ref="D3278:D3281"/>
    <mergeCell ref="E3278:E3281"/>
    <mergeCell ref="F3278:F3281"/>
    <mergeCell ref="G3278:G3281"/>
    <mergeCell ref="H3278:H3281"/>
    <mergeCell ref="W3278:W3281"/>
    <mergeCell ref="X3278:X3281"/>
    <mergeCell ref="Y3278:Y3281"/>
    <mergeCell ref="A3282:A3285"/>
    <mergeCell ref="B3282:B3285"/>
    <mergeCell ref="C3282:C3285"/>
    <mergeCell ref="D3282:D3285"/>
    <mergeCell ref="E3282:E3285"/>
    <mergeCell ref="F3282:F3285"/>
    <mergeCell ref="G3282:G3285"/>
    <mergeCell ref="H3282:H3285"/>
    <mergeCell ref="W3282:W3285"/>
    <mergeCell ref="X3282:X3285"/>
    <mergeCell ref="Y3282:Y3285"/>
    <mergeCell ref="A3286:A3289"/>
    <mergeCell ref="B3286:B3289"/>
    <mergeCell ref="C3286:C3289"/>
    <mergeCell ref="D3286:D3289"/>
    <mergeCell ref="E3286:E3289"/>
    <mergeCell ref="F3286:F3289"/>
    <mergeCell ref="G3286:G3289"/>
    <mergeCell ref="H3286:H3289"/>
    <mergeCell ref="W3286:W3289"/>
    <mergeCell ref="X3286:X3289"/>
    <mergeCell ref="Y3286:Y3289"/>
    <mergeCell ref="A3290:A3293"/>
    <mergeCell ref="B3290:B3293"/>
    <mergeCell ref="C3290:C3293"/>
    <mergeCell ref="D3290:D3293"/>
    <mergeCell ref="E3290:E3293"/>
    <mergeCell ref="F3290:F3293"/>
    <mergeCell ref="G3290:G3293"/>
    <mergeCell ref="H3290:H3293"/>
    <mergeCell ref="W3290:W3293"/>
    <mergeCell ref="X3290:X3293"/>
    <mergeCell ref="Y3290:Y3293"/>
    <mergeCell ref="A3294:A3297"/>
    <mergeCell ref="B3294:B3297"/>
    <mergeCell ref="C3294:C3297"/>
    <mergeCell ref="D3294:D3297"/>
    <mergeCell ref="E3294:E3297"/>
    <mergeCell ref="F3294:F3297"/>
    <mergeCell ref="G3294:G3297"/>
    <mergeCell ref="H3294:H3297"/>
    <mergeCell ref="W3294:W3297"/>
    <mergeCell ref="X3294:X3297"/>
    <mergeCell ref="Y3294:Y3297"/>
    <mergeCell ref="A3298:A3301"/>
    <mergeCell ref="B3298:B3301"/>
    <mergeCell ref="C3298:C3301"/>
    <mergeCell ref="D3298:D3301"/>
    <mergeCell ref="E3298:E3301"/>
    <mergeCell ref="F3298:F3301"/>
    <mergeCell ref="G3298:G3301"/>
    <mergeCell ref="H3298:H3301"/>
    <mergeCell ref="W3298:W3301"/>
    <mergeCell ref="X3298:X3301"/>
    <mergeCell ref="Y3298:Y3301"/>
    <mergeCell ref="A3302:A3305"/>
    <mergeCell ref="B3302:B3305"/>
    <mergeCell ref="C3302:C3305"/>
    <mergeCell ref="D3302:D3305"/>
    <mergeCell ref="E3302:E3305"/>
    <mergeCell ref="F3302:F3305"/>
    <mergeCell ref="G3302:G3305"/>
    <mergeCell ref="H3302:H3305"/>
    <mergeCell ref="W3302:W3305"/>
    <mergeCell ref="X3302:X3305"/>
    <mergeCell ref="Y3302:Y3305"/>
    <mergeCell ref="A3306:A3309"/>
    <mergeCell ref="B3306:B3309"/>
    <mergeCell ref="C3306:C3309"/>
    <mergeCell ref="D3306:D3309"/>
    <mergeCell ref="E3306:E3309"/>
    <mergeCell ref="F3306:F3309"/>
    <mergeCell ref="G3306:G3309"/>
    <mergeCell ref="H3306:H3309"/>
    <mergeCell ref="W3306:W3309"/>
    <mergeCell ref="X3306:X3309"/>
    <mergeCell ref="Y3306:Y3309"/>
    <mergeCell ref="A3310:A3313"/>
    <mergeCell ref="B3310:B3313"/>
    <mergeCell ref="C3310:C3313"/>
    <mergeCell ref="D3310:D3313"/>
    <mergeCell ref="E3310:E3313"/>
    <mergeCell ref="F3310:F3313"/>
    <mergeCell ref="G3310:G3313"/>
    <mergeCell ref="H3310:H3313"/>
    <mergeCell ref="W3310:W3313"/>
    <mergeCell ref="X3310:X3313"/>
    <mergeCell ref="Y3310:Y3313"/>
    <mergeCell ref="A3314:A3317"/>
    <mergeCell ref="B3314:B3317"/>
    <mergeCell ref="C3314:C3317"/>
    <mergeCell ref="D3314:D3317"/>
    <mergeCell ref="E3314:E3317"/>
    <mergeCell ref="F3314:F3317"/>
    <mergeCell ref="G3314:G3317"/>
    <mergeCell ref="H3314:H3317"/>
    <mergeCell ref="W3314:W3317"/>
    <mergeCell ref="X3314:X3317"/>
    <mergeCell ref="Y3314:Y3317"/>
    <mergeCell ref="A3318:A3321"/>
    <mergeCell ref="B3318:B3321"/>
    <mergeCell ref="C3318:C3321"/>
    <mergeCell ref="D3318:D3321"/>
    <mergeCell ref="E3318:E3321"/>
    <mergeCell ref="F3318:F3321"/>
    <mergeCell ref="G3318:G3321"/>
    <mergeCell ref="H3318:H3321"/>
    <mergeCell ref="W3318:W3321"/>
    <mergeCell ref="X3318:X3321"/>
    <mergeCell ref="Y3318:Y3321"/>
    <mergeCell ref="A3322:A3325"/>
    <mergeCell ref="B3322:B3325"/>
    <mergeCell ref="C3322:C3325"/>
    <mergeCell ref="D3322:D3325"/>
    <mergeCell ref="E3322:E3325"/>
    <mergeCell ref="F3322:F3325"/>
    <mergeCell ref="G3322:G3325"/>
    <mergeCell ref="H3322:H3325"/>
    <mergeCell ref="W3322:W3325"/>
    <mergeCell ref="X3322:X3325"/>
    <mergeCell ref="Y3322:Y3325"/>
    <mergeCell ref="A3326:A3329"/>
    <mergeCell ref="B3326:B3329"/>
    <mergeCell ref="C3326:C3329"/>
    <mergeCell ref="D3326:D3329"/>
    <mergeCell ref="E3326:E3329"/>
    <mergeCell ref="F3326:F3329"/>
    <mergeCell ref="G3326:G3329"/>
    <mergeCell ref="H3326:H3329"/>
    <mergeCell ref="W3326:W3329"/>
    <mergeCell ref="X3326:X3329"/>
    <mergeCell ref="Y3326:Y3329"/>
    <mergeCell ref="A3330:A3333"/>
    <mergeCell ref="B3330:B3333"/>
    <mergeCell ref="C3330:C3333"/>
    <mergeCell ref="D3330:D3333"/>
    <mergeCell ref="E3330:E3333"/>
    <mergeCell ref="F3330:F3333"/>
    <mergeCell ref="G3330:G3333"/>
    <mergeCell ref="H3330:H3333"/>
    <mergeCell ref="W3330:W3333"/>
    <mergeCell ref="X3330:X3333"/>
    <mergeCell ref="Y3330:Y3333"/>
    <mergeCell ref="A3334:A3337"/>
    <mergeCell ref="B3334:B3337"/>
    <mergeCell ref="C3334:C3337"/>
    <mergeCell ref="D3334:D3337"/>
    <mergeCell ref="E3334:E3337"/>
    <mergeCell ref="F3334:F3337"/>
    <mergeCell ref="G3334:G3337"/>
    <mergeCell ref="H3334:H3337"/>
    <mergeCell ref="W3334:W3337"/>
    <mergeCell ref="X3334:X3337"/>
    <mergeCell ref="Y3334:Y3337"/>
    <mergeCell ref="A3338:A3341"/>
    <mergeCell ref="B3338:B3341"/>
    <mergeCell ref="C3338:C3341"/>
    <mergeCell ref="D3338:D3341"/>
    <mergeCell ref="E3338:E3341"/>
    <mergeCell ref="F3338:F3341"/>
    <mergeCell ref="G3338:G3341"/>
    <mergeCell ref="H3338:H3341"/>
    <mergeCell ref="W3338:W3341"/>
    <mergeCell ref="X3338:X3341"/>
    <mergeCell ref="Y3338:Y3341"/>
    <mergeCell ref="A3342:A3345"/>
    <mergeCell ref="B3342:B3345"/>
    <mergeCell ref="C3342:C3345"/>
    <mergeCell ref="D3342:D3345"/>
    <mergeCell ref="E3342:E3345"/>
    <mergeCell ref="F3342:F3345"/>
    <mergeCell ref="G3342:G3345"/>
    <mergeCell ref="H3342:H3345"/>
    <mergeCell ref="W3342:W3345"/>
    <mergeCell ref="X3342:X3345"/>
    <mergeCell ref="Y3342:Y3345"/>
    <mergeCell ref="A3346:A3349"/>
    <mergeCell ref="B3346:B3349"/>
    <mergeCell ref="C3346:C3349"/>
    <mergeCell ref="D3346:D3349"/>
    <mergeCell ref="E3346:E3349"/>
    <mergeCell ref="F3346:F3349"/>
    <mergeCell ref="G3346:G3349"/>
    <mergeCell ref="H3346:H3349"/>
    <mergeCell ref="W3346:W3349"/>
    <mergeCell ref="X3346:X3349"/>
    <mergeCell ref="Y3346:Y3349"/>
    <mergeCell ref="A3350:A3353"/>
    <mergeCell ref="B3350:B3353"/>
    <mergeCell ref="C3350:C3353"/>
    <mergeCell ref="D3350:D3353"/>
    <mergeCell ref="E3350:E3353"/>
    <mergeCell ref="F3350:F3353"/>
    <mergeCell ref="G3350:G3353"/>
    <mergeCell ref="H3350:H3353"/>
    <mergeCell ref="W3350:W3353"/>
    <mergeCell ref="X3350:X3353"/>
    <mergeCell ref="Y3350:Y3353"/>
    <mergeCell ref="A3354:A3357"/>
    <mergeCell ref="B3354:B3357"/>
    <mergeCell ref="C3354:C3357"/>
    <mergeCell ref="D3354:D3357"/>
    <mergeCell ref="E3354:E3357"/>
    <mergeCell ref="F3354:F3357"/>
    <mergeCell ref="G3354:G3357"/>
    <mergeCell ref="H3354:H3357"/>
    <mergeCell ref="W3354:W3357"/>
    <mergeCell ref="X3354:X3357"/>
    <mergeCell ref="Y3354:Y3357"/>
    <mergeCell ref="A3358:A3361"/>
    <mergeCell ref="B3358:B3361"/>
    <mergeCell ref="C3358:C3361"/>
    <mergeCell ref="D3358:D3361"/>
    <mergeCell ref="E3358:E3361"/>
    <mergeCell ref="F3358:F3361"/>
    <mergeCell ref="G3358:G3361"/>
    <mergeCell ref="H3358:H3361"/>
    <mergeCell ref="W3358:W3361"/>
    <mergeCell ref="X3358:X3361"/>
    <mergeCell ref="Y3358:Y3361"/>
    <mergeCell ref="A3362:A3365"/>
    <mergeCell ref="B3362:B3365"/>
    <mergeCell ref="C3362:C3365"/>
    <mergeCell ref="D3362:D3365"/>
    <mergeCell ref="E3362:E3365"/>
    <mergeCell ref="F3362:F3365"/>
    <mergeCell ref="G3362:G3365"/>
    <mergeCell ref="H3362:H3365"/>
    <mergeCell ref="W3362:W3365"/>
    <mergeCell ref="X3362:X3365"/>
    <mergeCell ref="Y3362:Y3365"/>
    <mergeCell ref="A3366:A3369"/>
    <mergeCell ref="B3366:B3369"/>
    <mergeCell ref="C3366:C3369"/>
    <mergeCell ref="D3366:D3369"/>
    <mergeCell ref="E3366:E3369"/>
    <mergeCell ref="F3366:F3369"/>
    <mergeCell ref="G3366:G3369"/>
    <mergeCell ref="H3366:H3369"/>
    <mergeCell ref="W3366:W3369"/>
    <mergeCell ref="X3366:X3369"/>
    <mergeCell ref="Y3366:Y3369"/>
    <mergeCell ref="A3370:A3373"/>
    <mergeCell ref="B3370:B3373"/>
    <mergeCell ref="C3370:C3373"/>
    <mergeCell ref="D3370:D3373"/>
    <mergeCell ref="E3370:E3373"/>
    <mergeCell ref="F3370:F3373"/>
    <mergeCell ref="G3370:G3373"/>
    <mergeCell ref="H3370:H3373"/>
    <mergeCell ref="W3370:W3373"/>
    <mergeCell ref="X3370:X3373"/>
    <mergeCell ref="Y3370:Y3373"/>
    <mergeCell ref="A3374:A3377"/>
    <mergeCell ref="B3374:B3377"/>
    <mergeCell ref="C3374:C3377"/>
    <mergeCell ref="D3374:D3377"/>
    <mergeCell ref="E3374:E3377"/>
    <mergeCell ref="F3374:F3377"/>
    <mergeCell ref="G3374:G3377"/>
    <mergeCell ref="H3374:H3377"/>
    <mergeCell ref="W3374:W3377"/>
    <mergeCell ref="X3374:X3377"/>
    <mergeCell ref="Y3374:Y3377"/>
    <mergeCell ref="A3378:A3381"/>
    <mergeCell ref="B3378:B3381"/>
    <mergeCell ref="C3378:C3381"/>
    <mergeCell ref="D3378:D3381"/>
    <mergeCell ref="E3378:E3381"/>
    <mergeCell ref="F3378:F3381"/>
    <mergeCell ref="G3378:G3381"/>
    <mergeCell ref="H3378:H3381"/>
    <mergeCell ref="W3378:W3381"/>
    <mergeCell ref="X3378:X3381"/>
    <mergeCell ref="Y3378:Y3381"/>
    <mergeCell ref="A3382:A3385"/>
    <mergeCell ref="B3382:B3385"/>
    <mergeCell ref="C3382:C3385"/>
    <mergeCell ref="D3382:D3385"/>
    <mergeCell ref="E3382:E3385"/>
    <mergeCell ref="F3382:F3385"/>
    <mergeCell ref="G3382:G3385"/>
    <mergeCell ref="H3382:H3385"/>
    <mergeCell ref="W3382:W3385"/>
    <mergeCell ref="X3382:X3385"/>
    <mergeCell ref="Y3382:Y3385"/>
    <mergeCell ref="A3386:A3389"/>
    <mergeCell ref="B3386:B3389"/>
    <mergeCell ref="C3386:C3389"/>
    <mergeCell ref="D3386:D3389"/>
    <mergeCell ref="E3386:E3389"/>
    <mergeCell ref="F3386:F3389"/>
    <mergeCell ref="G3386:G3389"/>
    <mergeCell ref="H3386:H3389"/>
    <mergeCell ref="W3386:W3389"/>
    <mergeCell ref="X3386:X3389"/>
    <mergeCell ref="Y3386:Y3389"/>
    <mergeCell ref="A3390:A3393"/>
    <mergeCell ref="B3390:B3393"/>
    <mergeCell ref="C3390:C3393"/>
    <mergeCell ref="D3390:D3393"/>
    <mergeCell ref="E3390:E3393"/>
    <mergeCell ref="F3390:F3393"/>
    <mergeCell ref="G3390:G3393"/>
    <mergeCell ref="H3390:H3393"/>
    <mergeCell ref="W3390:W3393"/>
    <mergeCell ref="X3390:X3393"/>
    <mergeCell ref="Y3390:Y3393"/>
    <mergeCell ref="A3394:A3397"/>
    <mergeCell ref="B3394:B3397"/>
    <mergeCell ref="C3394:C3397"/>
    <mergeCell ref="D3394:D3397"/>
    <mergeCell ref="E3394:E3397"/>
    <mergeCell ref="F3394:F3397"/>
    <mergeCell ref="G3394:G3397"/>
    <mergeCell ref="H3394:H3397"/>
    <mergeCell ref="W3394:W3397"/>
    <mergeCell ref="X3394:X3397"/>
    <mergeCell ref="Y3394:Y3397"/>
    <mergeCell ref="A3398:A3401"/>
    <mergeCell ref="B3398:B3401"/>
    <mergeCell ref="C3398:C3401"/>
    <mergeCell ref="D3398:D3401"/>
    <mergeCell ref="E3398:E3401"/>
    <mergeCell ref="F3398:F3401"/>
    <mergeCell ref="G3398:G3401"/>
    <mergeCell ref="H3398:H3401"/>
    <mergeCell ref="W3398:W3401"/>
    <mergeCell ref="X3398:X3401"/>
    <mergeCell ref="Y3398:Y3401"/>
    <mergeCell ref="A3402:A3405"/>
    <mergeCell ref="B3402:B3405"/>
    <mergeCell ref="C3402:C3405"/>
    <mergeCell ref="D3402:D3405"/>
    <mergeCell ref="E3402:E3405"/>
    <mergeCell ref="F3402:F3405"/>
    <mergeCell ref="G3402:G3405"/>
    <mergeCell ref="H3402:H3405"/>
    <mergeCell ref="W3402:W3405"/>
    <mergeCell ref="X3402:X3405"/>
    <mergeCell ref="Y3402:Y3405"/>
    <mergeCell ref="A3406:A3409"/>
    <mergeCell ref="B3406:B3409"/>
    <mergeCell ref="C3406:C3409"/>
    <mergeCell ref="D3406:D3409"/>
    <mergeCell ref="E3406:E3409"/>
    <mergeCell ref="F3406:F3409"/>
    <mergeCell ref="G3406:G3409"/>
    <mergeCell ref="H3406:H3409"/>
    <mergeCell ref="W3406:W3409"/>
    <mergeCell ref="X3406:X3409"/>
    <mergeCell ref="Y3406:Y3409"/>
    <mergeCell ref="A3410:A3413"/>
    <mergeCell ref="B3410:B3413"/>
    <mergeCell ref="C3410:C3413"/>
    <mergeCell ref="D3410:D3413"/>
    <mergeCell ref="E3410:E3413"/>
    <mergeCell ref="F3410:F3413"/>
    <mergeCell ref="G3410:G3413"/>
    <mergeCell ref="H3410:H3413"/>
    <mergeCell ref="W3410:W3413"/>
    <mergeCell ref="X3410:X3413"/>
    <mergeCell ref="Y3410:Y3413"/>
    <mergeCell ref="A3414:A3417"/>
    <mergeCell ref="B3414:B3417"/>
    <mergeCell ref="C3414:C3417"/>
    <mergeCell ref="D3414:D3417"/>
    <mergeCell ref="E3414:E3417"/>
    <mergeCell ref="F3414:F3417"/>
    <mergeCell ref="G3414:G3417"/>
    <mergeCell ref="H3414:H3417"/>
    <mergeCell ref="W3414:W3417"/>
    <mergeCell ref="X3414:X3417"/>
    <mergeCell ref="Y3414:Y3417"/>
    <mergeCell ref="A3418:A3421"/>
    <mergeCell ref="B3418:B3421"/>
    <mergeCell ref="C3418:C3421"/>
    <mergeCell ref="D3418:D3421"/>
    <mergeCell ref="E3418:E3421"/>
    <mergeCell ref="F3418:F3421"/>
    <mergeCell ref="G3418:G3421"/>
    <mergeCell ref="H3418:H3421"/>
    <mergeCell ref="W3418:W3421"/>
    <mergeCell ref="X3418:X3421"/>
    <mergeCell ref="Y3418:Y3421"/>
    <mergeCell ref="A3422:A3425"/>
    <mergeCell ref="B3422:B3425"/>
    <mergeCell ref="C3422:C3425"/>
    <mergeCell ref="D3422:D3425"/>
    <mergeCell ref="E3422:E3425"/>
    <mergeCell ref="F3422:F3425"/>
    <mergeCell ref="G3422:G3425"/>
    <mergeCell ref="H3422:H3425"/>
    <mergeCell ref="W3422:W3425"/>
    <mergeCell ref="X3422:X3425"/>
    <mergeCell ref="Y3422:Y3425"/>
    <mergeCell ref="A3426:A3429"/>
    <mergeCell ref="B3426:B3429"/>
    <mergeCell ref="C3426:C3429"/>
    <mergeCell ref="D3426:D3429"/>
    <mergeCell ref="E3426:E3429"/>
    <mergeCell ref="F3426:F3429"/>
    <mergeCell ref="G3426:G3429"/>
    <mergeCell ref="H3426:H3429"/>
    <mergeCell ref="W3426:W3429"/>
    <mergeCell ref="X3426:X3429"/>
    <mergeCell ref="Y3426:Y3429"/>
    <mergeCell ref="A3430:A3433"/>
    <mergeCell ref="B3430:B3433"/>
    <mergeCell ref="C3430:C3433"/>
    <mergeCell ref="D3430:D3433"/>
    <mergeCell ref="E3430:E3433"/>
    <mergeCell ref="F3430:F3433"/>
    <mergeCell ref="G3430:G3433"/>
    <mergeCell ref="H3430:H3433"/>
    <mergeCell ref="W3430:W3433"/>
    <mergeCell ref="X3430:X3433"/>
    <mergeCell ref="Y3430:Y3433"/>
    <mergeCell ref="A3434:A3437"/>
    <mergeCell ref="B3434:B3437"/>
    <mergeCell ref="C3434:C3437"/>
    <mergeCell ref="D3434:D3437"/>
    <mergeCell ref="E3434:E3437"/>
    <mergeCell ref="F3434:F3437"/>
    <mergeCell ref="G3434:G3437"/>
    <mergeCell ref="H3434:H3437"/>
    <mergeCell ref="W3434:W3437"/>
    <mergeCell ref="X3434:X3437"/>
    <mergeCell ref="Y3434:Y3437"/>
    <mergeCell ref="A3438:A3441"/>
    <mergeCell ref="B3438:B3441"/>
    <mergeCell ref="C3438:C3441"/>
    <mergeCell ref="D3438:D3441"/>
    <mergeCell ref="E3438:E3441"/>
    <mergeCell ref="F3438:F3441"/>
    <mergeCell ref="G3438:G3441"/>
    <mergeCell ref="H3438:H3441"/>
    <mergeCell ref="W3438:W3441"/>
    <mergeCell ref="X3438:X3441"/>
    <mergeCell ref="Y3438:Y3441"/>
    <mergeCell ref="A3442:A3445"/>
    <mergeCell ref="B3442:B3445"/>
    <mergeCell ref="C3442:C3445"/>
    <mergeCell ref="D3442:D3445"/>
    <mergeCell ref="E3442:E3445"/>
    <mergeCell ref="F3442:F3445"/>
    <mergeCell ref="G3442:G3445"/>
    <mergeCell ref="H3442:H3445"/>
    <mergeCell ref="W3442:W3445"/>
    <mergeCell ref="X3442:X3445"/>
    <mergeCell ref="Y3442:Y3445"/>
    <mergeCell ref="A3446:A3449"/>
    <mergeCell ref="B3446:B3449"/>
    <mergeCell ref="C3446:C3449"/>
    <mergeCell ref="D3446:D3449"/>
    <mergeCell ref="E3446:E3449"/>
    <mergeCell ref="F3446:F3449"/>
    <mergeCell ref="G3446:G3449"/>
    <mergeCell ref="H3446:H3449"/>
    <mergeCell ref="W3446:W3449"/>
    <mergeCell ref="X3446:X3449"/>
    <mergeCell ref="Y3446:Y3449"/>
    <mergeCell ref="A3450:A3453"/>
    <mergeCell ref="B3450:B3453"/>
    <mergeCell ref="C3450:C3453"/>
    <mergeCell ref="D3450:D3453"/>
    <mergeCell ref="E3450:E3453"/>
    <mergeCell ref="F3450:F3453"/>
    <mergeCell ref="G3450:G3453"/>
    <mergeCell ref="H3450:H3453"/>
    <mergeCell ref="W3450:W3453"/>
    <mergeCell ref="X3450:X3453"/>
    <mergeCell ref="Y3450:Y3453"/>
    <mergeCell ref="A3454:A3457"/>
    <mergeCell ref="B3454:B3457"/>
    <mergeCell ref="C3454:C3457"/>
    <mergeCell ref="D3454:D3457"/>
    <mergeCell ref="E3454:E3457"/>
    <mergeCell ref="F3454:F3457"/>
    <mergeCell ref="G3454:G3457"/>
    <mergeCell ref="H3454:H3457"/>
    <mergeCell ref="W3454:W3457"/>
    <mergeCell ref="X3454:X3457"/>
    <mergeCell ref="Y3454:Y3457"/>
    <mergeCell ref="A3458:A3461"/>
    <mergeCell ref="B3458:B3461"/>
    <mergeCell ref="C3458:C3461"/>
    <mergeCell ref="D3458:D3461"/>
    <mergeCell ref="E3458:E3461"/>
    <mergeCell ref="F3458:F3461"/>
    <mergeCell ref="G3458:G3461"/>
    <mergeCell ref="H3458:H3461"/>
    <mergeCell ref="W3458:W3461"/>
    <mergeCell ref="X3458:X3461"/>
    <mergeCell ref="Y3458:Y3461"/>
    <mergeCell ref="A3462:A3465"/>
    <mergeCell ref="B3462:B3465"/>
    <mergeCell ref="C3462:C3465"/>
    <mergeCell ref="D3462:D3465"/>
    <mergeCell ref="E3462:E3465"/>
    <mergeCell ref="F3462:F3465"/>
    <mergeCell ref="G3462:G3465"/>
    <mergeCell ref="H3462:H3465"/>
    <mergeCell ref="W3462:W3465"/>
    <mergeCell ref="X3462:X3465"/>
    <mergeCell ref="Y3462:Y3465"/>
    <mergeCell ref="A3466:A3469"/>
    <mergeCell ref="B3466:B3469"/>
    <mergeCell ref="C3466:C3469"/>
    <mergeCell ref="D3466:D3469"/>
    <mergeCell ref="E3466:E3469"/>
    <mergeCell ref="F3466:F3469"/>
    <mergeCell ref="G3466:G3469"/>
    <mergeCell ref="H3466:H3469"/>
    <mergeCell ref="W3466:W3469"/>
    <mergeCell ref="X3466:X3469"/>
    <mergeCell ref="Y3466:Y3469"/>
    <mergeCell ref="A3470:A3473"/>
    <mergeCell ref="B3470:B3473"/>
    <mergeCell ref="C3470:C3473"/>
    <mergeCell ref="D3470:D3473"/>
    <mergeCell ref="E3470:E3473"/>
    <mergeCell ref="F3470:F3473"/>
    <mergeCell ref="G3470:G3473"/>
    <mergeCell ref="H3470:H3473"/>
    <mergeCell ref="W3470:W3473"/>
    <mergeCell ref="X3470:X3473"/>
    <mergeCell ref="Y3470:Y3473"/>
    <mergeCell ref="A3474:A3477"/>
    <mergeCell ref="B3474:B3477"/>
    <mergeCell ref="C3474:C3477"/>
    <mergeCell ref="D3474:D3477"/>
    <mergeCell ref="E3474:E3477"/>
    <mergeCell ref="F3474:F3477"/>
    <mergeCell ref="G3474:G3477"/>
    <mergeCell ref="H3474:H3477"/>
    <mergeCell ref="W3474:W3477"/>
    <mergeCell ref="X3474:X3477"/>
    <mergeCell ref="Y3474:Y3477"/>
    <mergeCell ref="A3478:A3481"/>
    <mergeCell ref="B3478:B3481"/>
    <mergeCell ref="C3478:C3481"/>
    <mergeCell ref="D3478:D3481"/>
    <mergeCell ref="E3478:E3481"/>
    <mergeCell ref="F3478:F3481"/>
    <mergeCell ref="G3478:G3481"/>
    <mergeCell ref="H3478:H3481"/>
    <mergeCell ref="W3478:W3481"/>
    <mergeCell ref="X3478:X3481"/>
    <mergeCell ref="Y3478:Y3481"/>
    <mergeCell ref="A3482:A3485"/>
    <mergeCell ref="B3482:B3485"/>
    <mergeCell ref="C3482:C3485"/>
    <mergeCell ref="D3482:D3485"/>
    <mergeCell ref="E3482:E3485"/>
    <mergeCell ref="F3482:F3485"/>
    <mergeCell ref="G3482:G3485"/>
    <mergeCell ref="H3482:H3485"/>
    <mergeCell ref="W3482:W3485"/>
    <mergeCell ref="X3482:X3485"/>
    <mergeCell ref="Y3482:Y3485"/>
    <mergeCell ref="A3486:A3489"/>
    <mergeCell ref="B3486:B3489"/>
    <mergeCell ref="C3486:C3489"/>
    <mergeCell ref="D3486:D3489"/>
    <mergeCell ref="E3486:E3489"/>
    <mergeCell ref="F3486:F3489"/>
    <mergeCell ref="G3486:G3489"/>
    <mergeCell ref="H3486:H3489"/>
    <mergeCell ref="W3486:W3489"/>
    <mergeCell ref="X3486:X3489"/>
    <mergeCell ref="Y3486:Y3489"/>
    <mergeCell ref="A3490:A3493"/>
    <mergeCell ref="B3490:B3493"/>
    <mergeCell ref="C3490:C3493"/>
    <mergeCell ref="D3490:D3493"/>
    <mergeCell ref="E3490:E3493"/>
    <mergeCell ref="F3490:F3493"/>
    <mergeCell ref="G3490:G3493"/>
    <mergeCell ref="H3490:H3493"/>
    <mergeCell ref="W3490:W3493"/>
    <mergeCell ref="X3490:X3493"/>
    <mergeCell ref="Y3490:Y3493"/>
    <mergeCell ref="A3494:A3497"/>
    <mergeCell ref="B3494:B3497"/>
    <mergeCell ref="C3494:C3497"/>
    <mergeCell ref="D3494:D3497"/>
    <mergeCell ref="E3494:E3497"/>
    <mergeCell ref="F3494:F3497"/>
    <mergeCell ref="G3494:G3497"/>
    <mergeCell ref="H3494:H3497"/>
    <mergeCell ref="W3494:W3497"/>
    <mergeCell ref="X3494:X3497"/>
    <mergeCell ref="Y3494:Y3497"/>
    <mergeCell ref="A3498:A3501"/>
    <mergeCell ref="B3498:B3501"/>
    <mergeCell ref="C3498:C3501"/>
    <mergeCell ref="D3498:D3501"/>
    <mergeCell ref="E3498:E3501"/>
    <mergeCell ref="F3498:F3501"/>
    <mergeCell ref="G3498:G3501"/>
    <mergeCell ref="H3498:H3501"/>
    <mergeCell ref="W3498:W3501"/>
    <mergeCell ref="X3498:X3501"/>
    <mergeCell ref="Y3498:Y3501"/>
    <mergeCell ref="A3502:A3505"/>
    <mergeCell ref="B3502:B3505"/>
    <mergeCell ref="C3502:C3505"/>
    <mergeCell ref="D3502:D3505"/>
    <mergeCell ref="E3502:E3505"/>
    <mergeCell ref="F3502:F3505"/>
    <mergeCell ref="G3502:G3505"/>
    <mergeCell ref="H3502:H3505"/>
    <mergeCell ref="W3502:W3505"/>
    <mergeCell ref="X3502:X3505"/>
    <mergeCell ref="Y3502:Y3505"/>
    <mergeCell ref="A3506:A3509"/>
    <mergeCell ref="B3506:B3509"/>
    <mergeCell ref="C3506:C3509"/>
    <mergeCell ref="D3506:D3509"/>
    <mergeCell ref="E3506:E3509"/>
    <mergeCell ref="F3506:F3509"/>
    <mergeCell ref="G3506:G3509"/>
    <mergeCell ref="H3506:H3509"/>
    <mergeCell ref="W3506:W3509"/>
    <mergeCell ref="X3506:X3509"/>
    <mergeCell ref="Y3506:Y3509"/>
    <mergeCell ref="A3510:A3513"/>
    <mergeCell ref="B3510:B3513"/>
    <mergeCell ref="C3510:C3513"/>
    <mergeCell ref="D3510:D3513"/>
    <mergeCell ref="E3510:E3513"/>
    <mergeCell ref="F3510:F3513"/>
    <mergeCell ref="G3510:G3513"/>
    <mergeCell ref="H3510:H3513"/>
    <mergeCell ref="W3510:W3513"/>
    <mergeCell ref="X3510:X3513"/>
    <mergeCell ref="Y3510:Y3513"/>
    <mergeCell ref="A3514:A3517"/>
    <mergeCell ref="B3514:B3517"/>
    <mergeCell ref="C3514:C3517"/>
    <mergeCell ref="D3514:D3517"/>
    <mergeCell ref="E3514:E3517"/>
    <mergeCell ref="F3514:F3517"/>
    <mergeCell ref="G3514:G3517"/>
    <mergeCell ref="H3514:H3517"/>
    <mergeCell ref="W3514:W3517"/>
    <mergeCell ref="X3514:X3517"/>
    <mergeCell ref="Y3514:Y3517"/>
    <mergeCell ref="A3518:A3521"/>
    <mergeCell ref="B3518:B3521"/>
    <mergeCell ref="C3518:C3521"/>
    <mergeCell ref="D3518:D3521"/>
    <mergeCell ref="E3518:E3521"/>
    <mergeCell ref="F3518:F3521"/>
    <mergeCell ref="G3518:G3521"/>
    <mergeCell ref="H3518:H3521"/>
    <mergeCell ref="W3518:W3521"/>
    <mergeCell ref="X3518:X3521"/>
    <mergeCell ref="Y3518:Y3521"/>
    <mergeCell ref="A3522:A3525"/>
    <mergeCell ref="B3522:B3525"/>
    <mergeCell ref="C3522:C3525"/>
    <mergeCell ref="D3522:D3525"/>
    <mergeCell ref="E3522:E3525"/>
    <mergeCell ref="F3522:F3525"/>
    <mergeCell ref="G3522:G3525"/>
    <mergeCell ref="H3522:H3525"/>
    <mergeCell ref="W3522:W3525"/>
    <mergeCell ref="X3522:X3525"/>
    <mergeCell ref="Y3522:Y3525"/>
    <mergeCell ref="A3526:A3529"/>
    <mergeCell ref="B3526:B3529"/>
    <mergeCell ref="C3526:C3529"/>
    <mergeCell ref="D3526:D3529"/>
    <mergeCell ref="E3526:E3529"/>
    <mergeCell ref="F3526:F3529"/>
    <mergeCell ref="G3526:G3529"/>
    <mergeCell ref="H3526:H3529"/>
    <mergeCell ref="W3526:W3529"/>
    <mergeCell ref="X3526:X3529"/>
    <mergeCell ref="Y3526:Y3529"/>
    <mergeCell ref="A3530:A3533"/>
    <mergeCell ref="B3530:B3533"/>
    <mergeCell ref="C3530:C3533"/>
    <mergeCell ref="D3530:D3533"/>
    <mergeCell ref="E3530:E3533"/>
    <mergeCell ref="F3530:F3533"/>
    <mergeCell ref="G3530:G3533"/>
    <mergeCell ref="H3530:H3533"/>
    <mergeCell ref="W3530:W3533"/>
    <mergeCell ref="X3530:X3533"/>
    <mergeCell ref="Y3530:Y3533"/>
    <mergeCell ref="A3534:A3537"/>
    <mergeCell ref="B3534:B3537"/>
    <mergeCell ref="C3534:C3537"/>
    <mergeCell ref="D3534:D3537"/>
    <mergeCell ref="E3534:E3537"/>
    <mergeCell ref="F3534:F3537"/>
    <mergeCell ref="G3534:G3537"/>
    <mergeCell ref="H3534:H3537"/>
    <mergeCell ref="W3534:W3537"/>
    <mergeCell ref="X3534:X3537"/>
    <mergeCell ref="Y3534:Y3537"/>
    <mergeCell ref="A3538:A3541"/>
    <mergeCell ref="B3538:B3541"/>
    <mergeCell ref="C3538:C3541"/>
    <mergeCell ref="D3538:D3541"/>
    <mergeCell ref="E3538:E3541"/>
    <mergeCell ref="F3538:F3541"/>
    <mergeCell ref="G3538:G3541"/>
    <mergeCell ref="H3538:H3541"/>
    <mergeCell ref="W3538:W3541"/>
    <mergeCell ref="X3538:X3541"/>
    <mergeCell ref="Y3538:Y3541"/>
    <mergeCell ref="A3542:A3545"/>
    <mergeCell ref="B3542:B3545"/>
    <mergeCell ref="C3542:C3545"/>
    <mergeCell ref="D3542:D3545"/>
    <mergeCell ref="E3542:E3545"/>
    <mergeCell ref="F3542:F3545"/>
    <mergeCell ref="G3542:G3545"/>
    <mergeCell ref="H3542:H3545"/>
    <mergeCell ref="W3542:W3545"/>
    <mergeCell ref="X3542:X3545"/>
    <mergeCell ref="Y3542:Y3545"/>
    <mergeCell ref="A3546:A3549"/>
    <mergeCell ref="B3546:B3549"/>
    <mergeCell ref="C3546:C3549"/>
    <mergeCell ref="D3546:D3549"/>
    <mergeCell ref="E3546:E3549"/>
    <mergeCell ref="F3546:F3549"/>
    <mergeCell ref="G3546:G3549"/>
    <mergeCell ref="H3546:H3549"/>
    <mergeCell ref="W3546:W3549"/>
    <mergeCell ref="X3546:X3549"/>
    <mergeCell ref="Y3546:Y3549"/>
    <mergeCell ref="A3550:A3553"/>
    <mergeCell ref="B3550:B3553"/>
    <mergeCell ref="C3550:C3553"/>
    <mergeCell ref="D3550:D3553"/>
    <mergeCell ref="E3550:E3553"/>
    <mergeCell ref="F3550:F3553"/>
    <mergeCell ref="G3550:G3553"/>
    <mergeCell ref="H3550:H3553"/>
    <mergeCell ref="W3550:W3553"/>
    <mergeCell ref="X3550:X3553"/>
    <mergeCell ref="Y3550:Y3553"/>
    <mergeCell ref="A3554:A3557"/>
    <mergeCell ref="B3554:B3557"/>
    <mergeCell ref="C3554:C3557"/>
    <mergeCell ref="D3554:D3557"/>
    <mergeCell ref="E3554:E3557"/>
    <mergeCell ref="F3554:F3557"/>
    <mergeCell ref="G3554:G3557"/>
    <mergeCell ref="H3554:H3557"/>
    <mergeCell ref="W3554:W3557"/>
    <mergeCell ref="X3554:X3557"/>
    <mergeCell ref="Y3554:Y3557"/>
    <mergeCell ref="A3558:A3561"/>
    <mergeCell ref="B3558:B3561"/>
    <mergeCell ref="C3558:C3561"/>
    <mergeCell ref="D3558:D3561"/>
    <mergeCell ref="E3558:E3561"/>
    <mergeCell ref="F3558:F3561"/>
    <mergeCell ref="G3558:G3561"/>
    <mergeCell ref="H3558:H3561"/>
    <mergeCell ref="W3558:W3561"/>
    <mergeCell ref="X3558:X3561"/>
    <mergeCell ref="Y3558:Y3561"/>
    <mergeCell ref="A3562:A3565"/>
    <mergeCell ref="B3562:B3565"/>
    <mergeCell ref="C3562:C3565"/>
    <mergeCell ref="D3562:D3565"/>
    <mergeCell ref="E3562:E3565"/>
    <mergeCell ref="F3562:F3565"/>
    <mergeCell ref="G3562:G3565"/>
    <mergeCell ref="H3562:H3565"/>
    <mergeCell ref="W3562:W3565"/>
    <mergeCell ref="X3562:X3565"/>
    <mergeCell ref="Y3562:Y3565"/>
    <mergeCell ref="A3566:A3569"/>
    <mergeCell ref="B3566:B3569"/>
    <mergeCell ref="C3566:C3569"/>
    <mergeCell ref="D3566:D3569"/>
    <mergeCell ref="E3566:E3569"/>
    <mergeCell ref="F3566:F3569"/>
    <mergeCell ref="G3566:G3569"/>
    <mergeCell ref="H3566:H3569"/>
    <mergeCell ref="W3566:W3569"/>
    <mergeCell ref="X3566:X3569"/>
    <mergeCell ref="Y3566:Y3569"/>
    <mergeCell ref="A3570:A3573"/>
    <mergeCell ref="B3570:B3573"/>
    <mergeCell ref="C3570:C3573"/>
    <mergeCell ref="D3570:D3573"/>
    <mergeCell ref="E3570:E3573"/>
    <mergeCell ref="F3570:F3573"/>
    <mergeCell ref="G3570:G3573"/>
    <mergeCell ref="H3570:H3573"/>
    <mergeCell ref="W3570:W3573"/>
    <mergeCell ref="X3570:X3573"/>
    <mergeCell ref="Y3570:Y3573"/>
    <mergeCell ref="A3574:A3577"/>
    <mergeCell ref="B3574:B3577"/>
    <mergeCell ref="C3574:C3577"/>
    <mergeCell ref="D3574:D3577"/>
    <mergeCell ref="E3574:E3577"/>
    <mergeCell ref="F3574:F3577"/>
    <mergeCell ref="G3574:G3577"/>
    <mergeCell ref="H3574:H3577"/>
    <mergeCell ref="W3574:W3577"/>
    <mergeCell ref="X3574:X3577"/>
    <mergeCell ref="Y3574:Y3577"/>
    <mergeCell ref="A3578:A3581"/>
    <mergeCell ref="B3578:B3581"/>
    <mergeCell ref="C3578:C3581"/>
    <mergeCell ref="D3578:D3581"/>
    <mergeCell ref="E3578:E3581"/>
    <mergeCell ref="F3578:F3581"/>
    <mergeCell ref="G3578:G3581"/>
    <mergeCell ref="H3578:H3581"/>
    <mergeCell ref="W3578:W3581"/>
    <mergeCell ref="X3578:X3581"/>
    <mergeCell ref="Y3578:Y3581"/>
    <mergeCell ref="A3582:A3585"/>
    <mergeCell ref="B3582:B3585"/>
    <mergeCell ref="C3582:C3585"/>
    <mergeCell ref="D3582:D3585"/>
    <mergeCell ref="E3582:E3585"/>
    <mergeCell ref="F3582:F3585"/>
    <mergeCell ref="G3582:G3585"/>
    <mergeCell ref="H3582:H3585"/>
    <mergeCell ref="W3582:W3585"/>
    <mergeCell ref="X3582:X3585"/>
    <mergeCell ref="Y3582:Y3585"/>
    <mergeCell ref="A3586:A3589"/>
    <mergeCell ref="B3586:B3589"/>
    <mergeCell ref="C3586:C3589"/>
    <mergeCell ref="D3586:D3589"/>
    <mergeCell ref="E3586:E3589"/>
    <mergeCell ref="F3586:F3589"/>
    <mergeCell ref="G3586:G3589"/>
    <mergeCell ref="H3586:H3589"/>
    <mergeCell ref="W3586:W3589"/>
    <mergeCell ref="X3586:X3589"/>
    <mergeCell ref="Y3586:Y3589"/>
    <mergeCell ref="A3590:A3593"/>
    <mergeCell ref="B3590:B3593"/>
    <mergeCell ref="C3590:C3593"/>
    <mergeCell ref="D3590:D3593"/>
    <mergeCell ref="E3590:E3593"/>
    <mergeCell ref="F3590:F3593"/>
    <mergeCell ref="G3590:G3593"/>
    <mergeCell ref="H3590:H3593"/>
    <mergeCell ref="W3590:W3593"/>
    <mergeCell ref="X3590:X3593"/>
    <mergeCell ref="Y3590:Y3593"/>
    <mergeCell ref="A3594:A3597"/>
    <mergeCell ref="B3594:B3597"/>
    <mergeCell ref="C3594:C3597"/>
    <mergeCell ref="D3594:D3597"/>
    <mergeCell ref="E3594:E3597"/>
    <mergeCell ref="F3594:F3597"/>
    <mergeCell ref="G3594:G3597"/>
    <mergeCell ref="H3594:H3597"/>
    <mergeCell ref="W3594:W3597"/>
    <mergeCell ref="X3594:X3597"/>
    <mergeCell ref="Y3594:Y3597"/>
    <mergeCell ref="A3598:A3601"/>
    <mergeCell ref="B3598:B3601"/>
    <mergeCell ref="C3598:C3601"/>
    <mergeCell ref="D3598:D3601"/>
    <mergeCell ref="E3598:E3601"/>
    <mergeCell ref="F3598:F3601"/>
    <mergeCell ref="G3598:G3601"/>
    <mergeCell ref="H3598:H3601"/>
    <mergeCell ref="W3598:W3601"/>
    <mergeCell ref="X3598:X3601"/>
    <mergeCell ref="Y3598:Y3601"/>
    <mergeCell ref="A3602:A3605"/>
    <mergeCell ref="B3602:B3605"/>
    <mergeCell ref="C3602:C3605"/>
    <mergeCell ref="D3602:D3605"/>
    <mergeCell ref="E3602:E3605"/>
    <mergeCell ref="F3602:F3605"/>
    <mergeCell ref="G3602:G3605"/>
    <mergeCell ref="H3602:H3605"/>
    <mergeCell ref="W3602:W3605"/>
    <mergeCell ref="X3602:X3605"/>
    <mergeCell ref="Y3602:Y3605"/>
    <mergeCell ref="A3606:A3609"/>
    <mergeCell ref="B3606:B3609"/>
    <mergeCell ref="C3606:C3609"/>
    <mergeCell ref="D3606:D3609"/>
    <mergeCell ref="E3606:E3609"/>
    <mergeCell ref="F3606:F3609"/>
    <mergeCell ref="G3606:G3609"/>
    <mergeCell ref="H3606:H3609"/>
    <mergeCell ref="W3606:W3609"/>
    <mergeCell ref="X3606:X3609"/>
    <mergeCell ref="Y3606:Y3609"/>
    <mergeCell ref="A3610:A3613"/>
    <mergeCell ref="B3610:B3613"/>
    <mergeCell ref="C3610:C3613"/>
    <mergeCell ref="D3610:D3613"/>
    <mergeCell ref="E3610:E3613"/>
    <mergeCell ref="F3610:F3613"/>
    <mergeCell ref="G3610:G3613"/>
    <mergeCell ref="H3610:H3613"/>
    <mergeCell ref="W3610:W3613"/>
    <mergeCell ref="X3610:X3613"/>
    <mergeCell ref="Y3610:Y3613"/>
    <mergeCell ref="A3614:A3617"/>
    <mergeCell ref="B3614:B3617"/>
    <mergeCell ref="C3614:C3617"/>
    <mergeCell ref="D3614:D3617"/>
    <mergeCell ref="E3614:E3617"/>
    <mergeCell ref="F3614:F3617"/>
    <mergeCell ref="G3614:G3617"/>
    <mergeCell ref="H3614:H3617"/>
    <mergeCell ref="W3614:W3617"/>
    <mergeCell ref="X3614:X3617"/>
    <mergeCell ref="Y3614:Y3617"/>
    <mergeCell ref="A3618:A3621"/>
    <mergeCell ref="B3618:B3621"/>
    <mergeCell ref="C3618:C3621"/>
    <mergeCell ref="D3618:D3621"/>
    <mergeCell ref="E3618:E3621"/>
    <mergeCell ref="F3618:F3621"/>
    <mergeCell ref="G3618:G3621"/>
    <mergeCell ref="H3618:H3621"/>
    <mergeCell ref="W3618:W3621"/>
    <mergeCell ref="X3618:X3621"/>
    <mergeCell ref="Y3618:Y3621"/>
    <mergeCell ref="A3622:A3625"/>
    <mergeCell ref="B3622:B3625"/>
    <mergeCell ref="C3622:C3625"/>
    <mergeCell ref="D3622:D3625"/>
    <mergeCell ref="E3622:E3625"/>
    <mergeCell ref="F3622:F3625"/>
    <mergeCell ref="G3622:G3625"/>
    <mergeCell ref="H3622:H3625"/>
    <mergeCell ref="W3622:W3625"/>
    <mergeCell ref="X3622:X3625"/>
    <mergeCell ref="Y3622:Y3625"/>
    <mergeCell ref="A3626:A3629"/>
    <mergeCell ref="B3626:B3629"/>
    <mergeCell ref="C3626:C3629"/>
    <mergeCell ref="D3626:D3629"/>
    <mergeCell ref="E3626:E3629"/>
    <mergeCell ref="F3626:F3629"/>
    <mergeCell ref="G3626:G3629"/>
    <mergeCell ref="H3626:H3629"/>
    <mergeCell ref="W3626:W3629"/>
    <mergeCell ref="X3626:X3629"/>
    <mergeCell ref="Y3626:Y3629"/>
    <mergeCell ref="A3630:A3633"/>
    <mergeCell ref="B3630:B3633"/>
    <mergeCell ref="C3630:C3633"/>
    <mergeCell ref="D3630:D3633"/>
    <mergeCell ref="E3630:E3633"/>
    <mergeCell ref="F3630:F3633"/>
    <mergeCell ref="G3630:G3633"/>
    <mergeCell ref="H3630:H3633"/>
    <mergeCell ref="W3630:W3633"/>
    <mergeCell ref="X3630:X3633"/>
    <mergeCell ref="Y3630:Y3633"/>
    <mergeCell ref="A3634:A3637"/>
    <mergeCell ref="B3634:B3637"/>
    <mergeCell ref="C3634:C3637"/>
    <mergeCell ref="D3634:D3637"/>
    <mergeCell ref="E3634:E3637"/>
    <mergeCell ref="F3634:F3637"/>
    <mergeCell ref="G3634:G3637"/>
    <mergeCell ref="H3634:H3637"/>
    <mergeCell ref="W3634:W3637"/>
    <mergeCell ref="X3634:X3637"/>
    <mergeCell ref="Y3634:Y3637"/>
    <mergeCell ref="A3638:A3641"/>
    <mergeCell ref="B3638:B3641"/>
    <mergeCell ref="C3638:C3641"/>
    <mergeCell ref="D3638:D3641"/>
    <mergeCell ref="E3638:E3641"/>
    <mergeCell ref="F3638:F3641"/>
    <mergeCell ref="G3638:G3641"/>
    <mergeCell ref="H3638:H3641"/>
    <mergeCell ref="W3638:W3641"/>
    <mergeCell ref="X3638:X3641"/>
    <mergeCell ref="Y3638:Y3641"/>
    <mergeCell ref="A3642:A3645"/>
    <mergeCell ref="B3642:B3645"/>
    <mergeCell ref="C3642:C3645"/>
    <mergeCell ref="D3642:D3645"/>
    <mergeCell ref="E3642:E3645"/>
    <mergeCell ref="F3642:F3645"/>
    <mergeCell ref="G3642:G3645"/>
    <mergeCell ref="H3642:H3645"/>
    <mergeCell ref="W3642:W3645"/>
    <mergeCell ref="X3642:X3645"/>
    <mergeCell ref="Y3642:Y3645"/>
    <mergeCell ref="A3646:A3649"/>
    <mergeCell ref="B3646:B3649"/>
    <mergeCell ref="C3646:C3649"/>
    <mergeCell ref="D3646:D3649"/>
    <mergeCell ref="E3646:E3649"/>
    <mergeCell ref="F3646:F3649"/>
    <mergeCell ref="G3646:G3649"/>
    <mergeCell ref="H3646:H3649"/>
    <mergeCell ref="W3646:W3649"/>
    <mergeCell ref="X3646:X3649"/>
    <mergeCell ref="Y3646:Y3649"/>
    <mergeCell ref="A3650:A3653"/>
    <mergeCell ref="B3650:B3653"/>
    <mergeCell ref="C3650:C3653"/>
    <mergeCell ref="D3650:D3653"/>
    <mergeCell ref="E3650:E3653"/>
    <mergeCell ref="F3650:F3653"/>
    <mergeCell ref="G3650:G3653"/>
    <mergeCell ref="H3650:H3653"/>
    <mergeCell ref="W3650:W3653"/>
    <mergeCell ref="X3650:X3653"/>
    <mergeCell ref="Y3650:Y3653"/>
    <mergeCell ref="A3654:A3657"/>
    <mergeCell ref="B3654:B3657"/>
    <mergeCell ref="C3654:C3657"/>
    <mergeCell ref="D3654:D3657"/>
    <mergeCell ref="E3654:E3657"/>
    <mergeCell ref="F3654:F3657"/>
    <mergeCell ref="G3654:G3657"/>
    <mergeCell ref="H3654:H3657"/>
    <mergeCell ref="W3654:W3657"/>
    <mergeCell ref="X3654:X3657"/>
    <mergeCell ref="Y3654:Y3657"/>
    <mergeCell ref="A3658:A3661"/>
    <mergeCell ref="B3658:B3661"/>
    <mergeCell ref="C3658:C3661"/>
    <mergeCell ref="D3658:D3661"/>
    <mergeCell ref="E3658:E3661"/>
    <mergeCell ref="F3658:F3661"/>
    <mergeCell ref="G3658:G3661"/>
    <mergeCell ref="H3658:H3661"/>
    <mergeCell ref="W3658:W3661"/>
    <mergeCell ref="X3658:X3661"/>
    <mergeCell ref="Y3658:Y3661"/>
    <mergeCell ref="A3662:A3665"/>
    <mergeCell ref="B3662:B3665"/>
    <mergeCell ref="C3662:C3665"/>
    <mergeCell ref="D3662:D3665"/>
    <mergeCell ref="E3662:E3665"/>
    <mergeCell ref="F3662:F3665"/>
    <mergeCell ref="G3662:G3665"/>
    <mergeCell ref="H3662:H3665"/>
    <mergeCell ref="W3662:W3665"/>
    <mergeCell ref="X3662:X3665"/>
    <mergeCell ref="Y3662:Y3665"/>
    <mergeCell ref="A3666:A3669"/>
    <mergeCell ref="B3666:B3669"/>
    <mergeCell ref="C3666:C3669"/>
    <mergeCell ref="D3666:D3669"/>
    <mergeCell ref="E3666:E3669"/>
    <mergeCell ref="F3666:F3669"/>
    <mergeCell ref="G3666:G3669"/>
    <mergeCell ref="H3666:H3669"/>
    <mergeCell ref="W3666:W3669"/>
    <mergeCell ref="X3666:X3669"/>
    <mergeCell ref="Y3666:Y3669"/>
    <mergeCell ref="A3670:A3673"/>
    <mergeCell ref="B3670:B3673"/>
    <mergeCell ref="C3670:C3673"/>
    <mergeCell ref="D3670:D3673"/>
    <mergeCell ref="E3670:E3673"/>
    <mergeCell ref="F3670:F3673"/>
    <mergeCell ref="G3670:G3673"/>
    <mergeCell ref="H3670:H3673"/>
    <mergeCell ref="W3670:W3673"/>
    <mergeCell ref="X3670:X3673"/>
    <mergeCell ref="Y3670:Y3673"/>
    <mergeCell ref="A3674:A3677"/>
    <mergeCell ref="B3674:B3677"/>
    <mergeCell ref="C3674:C3677"/>
    <mergeCell ref="D3674:D3677"/>
    <mergeCell ref="E3674:E3677"/>
    <mergeCell ref="F3674:F3677"/>
    <mergeCell ref="G3674:G3677"/>
    <mergeCell ref="H3674:H3677"/>
    <mergeCell ref="W3674:W3677"/>
    <mergeCell ref="X3674:X3677"/>
    <mergeCell ref="Y3674:Y3677"/>
    <mergeCell ref="A3678:A3681"/>
    <mergeCell ref="B3678:B3681"/>
    <mergeCell ref="C3678:C3681"/>
    <mergeCell ref="D3678:D3681"/>
    <mergeCell ref="E3678:E3681"/>
    <mergeCell ref="F3678:F3681"/>
    <mergeCell ref="G3678:G3681"/>
    <mergeCell ref="H3678:H3681"/>
    <mergeCell ref="W3678:W3681"/>
    <mergeCell ref="X3678:X3681"/>
    <mergeCell ref="Y3678:Y3681"/>
    <mergeCell ref="A3682:A3685"/>
    <mergeCell ref="B3682:B3685"/>
    <mergeCell ref="C3682:C3685"/>
    <mergeCell ref="D3682:D3685"/>
    <mergeCell ref="E3682:E3685"/>
    <mergeCell ref="F3682:F3685"/>
    <mergeCell ref="G3682:G3685"/>
    <mergeCell ref="H3682:H3685"/>
    <mergeCell ref="W3682:W3685"/>
    <mergeCell ref="X3682:X3685"/>
    <mergeCell ref="Y3682:Y3685"/>
    <mergeCell ref="A3686:A3689"/>
    <mergeCell ref="B3686:B3689"/>
    <mergeCell ref="C3686:C3689"/>
    <mergeCell ref="D3686:D3689"/>
    <mergeCell ref="E3686:E3689"/>
    <mergeCell ref="F3686:F3689"/>
    <mergeCell ref="G3686:G3689"/>
    <mergeCell ref="H3686:H3689"/>
    <mergeCell ref="W3686:W3689"/>
    <mergeCell ref="X3686:X3689"/>
    <mergeCell ref="Y3686:Y3689"/>
    <mergeCell ref="A3690:A3693"/>
    <mergeCell ref="B3690:B3693"/>
    <mergeCell ref="C3690:C3693"/>
    <mergeCell ref="D3690:D3693"/>
    <mergeCell ref="E3690:E3693"/>
    <mergeCell ref="F3690:F3693"/>
    <mergeCell ref="G3690:G3693"/>
    <mergeCell ref="H3690:H3693"/>
    <mergeCell ref="W3690:W3693"/>
    <mergeCell ref="X3690:X3693"/>
    <mergeCell ref="Y3690:Y3693"/>
    <mergeCell ref="A3694:A3697"/>
    <mergeCell ref="B3694:B3697"/>
    <mergeCell ref="C3694:C3697"/>
    <mergeCell ref="D3694:D3697"/>
    <mergeCell ref="E3694:E3697"/>
    <mergeCell ref="F3694:F3697"/>
    <mergeCell ref="G3694:G3697"/>
    <mergeCell ref="H3694:H3697"/>
    <mergeCell ref="W3694:W3697"/>
    <mergeCell ref="X3694:X3697"/>
    <mergeCell ref="Y3694:Y3697"/>
    <mergeCell ref="A3698:A3701"/>
    <mergeCell ref="B3698:B3701"/>
    <mergeCell ref="C3698:C3701"/>
    <mergeCell ref="D3698:D3701"/>
    <mergeCell ref="E3698:E3701"/>
    <mergeCell ref="F3698:F3701"/>
    <mergeCell ref="G3698:G3701"/>
    <mergeCell ref="H3698:H3701"/>
    <mergeCell ref="W3698:W3701"/>
    <mergeCell ref="X3698:X3701"/>
    <mergeCell ref="Y3698:Y3701"/>
    <mergeCell ref="A3702:A3705"/>
    <mergeCell ref="B3702:B3705"/>
    <mergeCell ref="C3702:C3705"/>
    <mergeCell ref="D3702:D3705"/>
    <mergeCell ref="E3702:E3705"/>
    <mergeCell ref="F3702:F3705"/>
    <mergeCell ref="G3702:G3705"/>
    <mergeCell ref="H3702:H3705"/>
    <mergeCell ref="W3702:W3705"/>
    <mergeCell ref="X3702:X3705"/>
    <mergeCell ref="Y3702:Y3705"/>
    <mergeCell ref="A3706:A3709"/>
    <mergeCell ref="B3706:B3709"/>
    <mergeCell ref="C3706:C3709"/>
    <mergeCell ref="D3706:D3709"/>
    <mergeCell ref="E3706:E3709"/>
    <mergeCell ref="F3706:F3709"/>
    <mergeCell ref="G3706:G3709"/>
    <mergeCell ref="H3706:H3709"/>
    <mergeCell ref="W3706:W3709"/>
    <mergeCell ref="X3706:X3709"/>
    <mergeCell ref="Y3706:Y3709"/>
    <mergeCell ref="A3710:A3713"/>
    <mergeCell ref="B3710:B3713"/>
    <mergeCell ref="C3710:C3713"/>
    <mergeCell ref="D3710:D3713"/>
    <mergeCell ref="E3710:E3713"/>
    <mergeCell ref="F3710:F3713"/>
    <mergeCell ref="G3710:G3713"/>
    <mergeCell ref="H3710:H3713"/>
    <mergeCell ref="W3710:W3713"/>
    <mergeCell ref="X3710:X3713"/>
    <mergeCell ref="Y3710:Y3713"/>
    <mergeCell ref="A3714:A3717"/>
    <mergeCell ref="B3714:B3717"/>
    <mergeCell ref="C3714:C3717"/>
    <mergeCell ref="D3714:D3717"/>
    <mergeCell ref="E3714:E3717"/>
    <mergeCell ref="F3714:F3717"/>
    <mergeCell ref="G3714:G3717"/>
    <mergeCell ref="H3714:H3717"/>
    <mergeCell ref="W3714:W3717"/>
    <mergeCell ref="X3714:X3717"/>
    <mergeCell ref="Y3714:Y3717"/>
    <mergeCell ref="A3718:A3721"/>
    <mergeCell ref="B3718:B3721"/>
    <mergeCell ref="C3718:C3721"/>
    <mergeCell ref="D3718:D3721"/>
    <mergeCell ref="E3718:E3721"/>
    <mergeCell ref="F3718:F3721"/>
    <mergeCell ref="G3718:G3721"/>
    <mergeCell ref="H3718:H3721"/>
    <mergeCell ref="W3718:W3721"/>
    <mergeCell ref="X3718:X3721"/>
    <mergeCell ref="Y3718:Y3721"/>
    <mergeCell ref="A3722:A3725"/>
    <mergeCell ref="B3722:B3725"/>
    <mergeCell ref="C3722:C3725"/>
    <mergeCell ref="D3722:D3725"/>
    <mergeCell ref="E3722:E3725"/>
    <mergeCell ref="F3722:F3725"/>
    <mergeCell ref="G3722:G3725"/>
    <mergeCell ref="H3722:H3725"/>
    <mergeCell ref="W3722:W3725"/>
    <mergeCell ref="X3722:X3725"/>
    <mergeCell ref="Y3722:Y3725"/>
    <mergeCell ref="A3726:A3729"/>
    <mergeCell ref="B3726:B3729"/>
    <mergeCell ref="C3726:C3729"/>
    <mergeCell ref="D3726:D3729"/>
    <mergeCell ref="E3726:E3729"/>
    <mergeCell ref="F3726:F3729"/>
    <mergeCell ref="G3726:G3729"/>
    <mergeCell ref="H3726:H3729"/>
    <mergeCell ref="W3726:W3729"/>
    <mergeCell ref="X3726:X3729"/>
    <mergeCell ref="Y3726:Y3729"/>
    <mergeCell ref="A3730:A3733"/>
    <mergeCell ref="B3730:B3733"/>
    <mergeCell ref="C3730:C3733"/>
    <mergeCell ref="D3730:D3733"/>
    <mergeCell ref="E3730:E3733"/>
    <mergeCell ref="F3730:F3733"/>
    <mergeCell ref="G3730:G3733"/>
    <mergeCell ref="H3730:H3733"/>
    <mergeCell ref="W3730:W3733"/>
    <mergeCell ref="X3730:X3733"/>
    <mergeCell ref="Y3730:Y3733"/>
    <mergeCell ref="A3734:A3737"/>
    <mergeCell ref="B3734:B3737"/>
    <mergeCell ref="C3734:C3737"/>
    <mergeCell ref="D3734:D3737"/>
    <mergeCell ref="E3734:E3737"/>
    <mergeCell ref="F3734:F3737"/>
    <mergeCell ref="G3734:G3737"/>
    <mergeCell ref="H3734:H3737"/>
    <mergeCell ref="W3734:W3737"/>
    <mergeCell ref="X3734:X3737"/>
    <mergeCell ref="Y3734:Y3737"/>
    <mergeCell ref="A3738:A3741"/>
    <mergeCell ref="B3738:B3741"/>
    <mergeCell ref="C3738:C3741"/>
    <mergeCell ref="D3738:D3741"/>
    <mergeCell ref="E3738:E3741"/>
    <mergeCell ref="F3738:F3741"/>
    <mergeCell ref="G3738:G3741"/>
    <mergeCell ref="H3738:H3741"/>
    <mergeCell ref="W3738:W3741"/>
    <mergeCell ref="X3738:X3741"/>
    <mergeCell ref="Y3738:Y3741"/>
    <mergeCell ref="A3742:A3745"/>
    <mergeCell ref="B3742:B3745"/>
    <mergeCell ref="C3742:C3745"/>
    <mergeCell ref="D3742:D3745"/>
    <mergeCell ref="E3742:E3745"/>
    <mergeCell ref="F3742:F3745"/>
    <mergeCell ref="G3742:G3745"/>
    <mergeCell ref="H3742:H3745"/>
    <mergeCell ref="W3742:W3745"/>
    <mergeCell ref="X3742:X3745"/>
    <mergeCell ref="Y3742:Y3745"/>
    <mergeCell ref="A3746:A3749"/>
    <mergeCell ref="B3746:B3749"/>
    <mergeCell ref="C3746:C3749"/>
    <mergeCell ref="D3746:D3749"/>
    <mergeCell ref="E3746:E3749"/>
    <mergeCell ref="F3746:F3749"/>
    <mergeCell ref="G3746:G3749"/>
    <mergeCell ref="H3746:H3749"/>
    <mergeCell ref="W3746:W3749"/>
    <mergeCell ref="X3746:X3749"/>
    <mergeCell ref="Y3746:Y3749"/>
    <mergeCell ref="A3750:A3753"/>
    <mergeCell ref="B3750:B3753"/>
    <mergeCell ref="C3750:C3753"/>
    <mergeCell ref="D3750:D3753"/>
    <mergeCell ref="E3750:E3753"/>
    <mergeCell ref="F3750:F3753"/>
    <mergeCell ref="G3750:G3753"/>
    <mergeCell ref="H3750:H3753"/>
    <mergeCell ref="W3750:W3753"/>
    <mergeCell ref="X3750:X3753"/>
    <mergeCell ref="Y3750:Y3753"/>
    <mergeCell ref="A3754:A3757"/>
    <mergeCell ref="B3754:B3757"/>
    <mergeCell ref="C3754:C3757"/>
    <mergeCell ref="D3754:D3757"/>
    <mergeCell ref="E3754:E3757"/>
    <mergeCell ref="F3754:F3757"/>
    <mergeCell ref="G3754:G3757"/>
    <mergeCell ref="H3754:H3757"/>
    <mergeCell ref="W3754:W3757"/>
    <mergeCell ref="X3754:X3757"/>
    <mergeCell ref="Y3754:Y3757"/>
    <mergeCell ref="A3758:A3761"/>
    <mergeCell ref="B3758:B3761"/>
    <mergeCell ref="C3758:C3761"/>
    <mergeCell ref="D3758:D3761"/>
    <mergeCell ref="E3758:E3761"/>
    <mergeCell ref="F3758:F3761"/>
    <mergeCell ref="G3758:G3761"/>
    <mergeCell ref="H3758:H3761"/>
    <mergeCell ref="W3758:W3761"/>
    <mergeCell ref="X3758:X3761"/>
    <mergeCell ref="Y3758:Y3761"/>
    <mergeCell ref="A3762:A3765"/>
    <mergeCell ref="B3762:B3765"/>
    <mergeCell ref="C3762:C3765"/>
    <mergeCell ref="D3762:D3765"/>
    <mergeCell ref="E3762:E3765"/>
    <mergeCell ref="F3762:F3765"/>
    <mergeCell ref="G3762:G3765"/>
    <mergeCell ref="H3762:H3765"/>
    <mergeCell ref="W3762:W3765"/>
    <mergeCell ref="X3762:X3765"/>
    <mergeCell ref="Y3762:Y3765"/>
    <mergeCell ref="A3766:A3769"/>
    <mergeCell ref="B3766:B3769"/>
    <mergeCell ref="C3766:C3769"/>
    <mergeCell ref="D3766:D3769"/>
    <mergeCell ref="E3766:E3769"/>
    <mergeCell ref="F3766:F3769"/>
    <mergeCell ref="G3766:G3769"/>
    <mergeCell ref="H3766:H3769"/>
    <mergeCell ref="W3766:W3769"/>
    <mergeCell ref="X3766:X3769"/>
    <mergeCell ref="Y3766:Y3769"/>
    <mergeCell ref="A3770:A3773"/>
    <mergeCell ref="B3770:B3773"/>
    <mergeCell ref="C3770:C3773"/>
    <mergeCell ref="D3770:D3773"/>
    <mergeCell ref="E3770:E3773"/>
    <mergeCell ref="F3770:F3773"/>
    <mergeCell ref="G3770:G3773"/>
    <mergeCell ref="H3770:H3773"/>
    <mergeCell ref="W3770:W3773"/>
    <mergeCell ref="X3770:X3773"/>
    <mergeCell ref="Y3770:Y3773"/>
    <mergeCell ref="A3774:A3777"/>
    <mergeCell ref="B3774:B3777"/>
    <mergeCell ref="C3774:C3777"/>
    <mergeCell ref="D3774:D3777"/>
    <mergeCell ref="E3774:E3777"/>
    <mergeCell ref="F3774:F3777"/>
    <mergeCell ref="G3774:G3777"/>
    <mergeCell ref="H3774:H3777"/>
    <mergeCell ref="W3774:W3777"/>
    <mergeCell ref="X3774:X3777"/>
    <mergeCell ref="Y3774:Y3777"/>
    <mergeCell ref="A3778:A3781"/>
    <mergeCell ref="B3778:B3781"/>
    <mergeCell ref="C3778:C3781"/>
    <mergeCell ref="D3778:D3781"/>
    <mergeCell ref="E3778:E3781"/>
    <mergeCell ref="F3778:F3781"/>
    <mergeCell ref="G3778:G3781"/>
    <mergeCell ref="H3778:H3781"/>
    <mergeCell ref="W3778:W3781"/>
    <mergeCell ref="X3778:X3781"/>
    <mergeCell ref="Y3778:Y3781"/>
    <mergeCell ref="A3782:A3785"/>
    <mergeCell ref="B3782:B3785"/>
    <mergeCell ref="C3782:C3785"/>
    <mergeCell ref="D3782:D3785"/>
    <mergeCell ref="E3782:E3785"/>
    <mergeCell ref="F3782:F3785"/>
    <mergeCell ref="G3782:G3785"/>
    <mergeCell ref="H3782:H3785"/>
    <mergeCell ref="W3782:W3785"/>
    <mergeCell ref="X3782:X3785"/>
    <mergeCell ref="Y3782:Y3785"/>
    <mergeCell ref="A3786:A3789"/>
    <mergeCell ref="B3786:B3789"/>
    <mergeCell ref="C3786:C3789"/>
    <mergeCell ref="D3786:D3789"/>
    <mergeCell ref="E3786:E3789"/>
    <mergeCell ref="F3786:F3789"/>
    <mergeCell ref="G3786:G3789"/>
    <mergeCell ref="H3786:H3789"/>
    <mergeCell ref="W3786:W3789"/>
    <mergeCell ref="X3786:X3789"/>
    <mergeCell ref="Y3786:Y3789"/>
    <mergeCell ref="A3790:A3793"/>
    <mergeCell ref="B3790:B3793"/>
    <mergeCell ref="C3790:C3793"/>
    <mergeCell ref="D3790:D3793"/>
    <mergeCell ref="E3790:E3793"/>
    <mergeCell ref="F3790:F3793"/>
    <mergeCell ref="G3790:G3793"/>
    <mergeCell ref="H3790:H3793"/>
    <mergeCell ref="W3790:W3793"/>
    <mergeCell ref="X3790:X3793"/>
    <mergeCell ref="Y3790:Y3793"/>
    <mergeCell ref="A3794:A3797"/>
    <mergeCell ref="B3794:B3797"/>
    <mergeCell ref="C3794:C3797"/>
    <mergeCell ref="D3794:D3797"/>
    <mergeCell ref="E3794:E3797"/>
    <mergeCell ref="F3794:F3797"/>
    <mergeCell ref="G3794:G3797"/>
    <mergeCell ref="H3794:H3797"/>
    <mergeCell ref="W3794:W3797"/>
    <mergeCell ref="X3794:X3797"/>
    <mergeCell ref="Y3794:Y3797"/>
    <mergeCell ref="A3798:A3801"/>
    <mergeCell ref="B3798:B3801"/>
    <mergeCell ref="C3798:C3801"/>
    <mergeCell ref="D3798:D3801"/>
    <mergeCell ref="E3798:E3801"/>
    <mergeCell ref="F3798:F3801"/>
    <mergeCell ref="G3798:G3801"/>
    <mergeCell ref="H3798:H3801"/>
    <mergeCell ref="W3798:W3801"/>
    <mergeCell ref="X3798:X3801"/>
    <mergeCell ref="Y3798:Y3801"/>
    <mergeCell ref="A3802:A3805"/>
    <mergeCell ref="B3802:B3805"/>
    <mergeCell ref="C3802:C3805"/>
    <mergeCell ref="D3802:D3805"/>
    <mergeCell ref="E3802:E3805"/>
    <mergeCell ref="F3802:F3805"/>
    <mergeCell ref="G3802:G3805"/>
    <mergeCell ref="H3802:H3805"/>
    <mergeCell ref="W3802:W3805"/>
    <mergeCell ref="X3802:X3805"/>
    <mergeCell ref="Y3802:Y3805"/>
    <mergeCell ref="A3806:A3809"/>
    <mergeCell ref="B3806:B3809"/>
    <mergeCell ref="C3806:C3809"/>
    <mergeCell ref="D3806:D3809"/>
    <mergeCell ref="E3806:E3809"/>
    <mergeCell ref="F3806:F3809"/>
    <mergeCell ref="G3806:G3809"/>
    <mergeCell ref="H3806:H3809"/>
    <mergeCell ref="W3806:W3809"/>
    <mergeCell ref="X3806:X3809"/>
    <mergeCell ref="Y3806:Y3809"/>
    <mergeCell ref="A3810:A3813"/>
    <mergeCell ref="B3810:B3813"/>
    <mergeCell ref="C3810:C3813"/>
    <mergeCell ref="D3810:D3813"/>
    <mergeCell ref="E3810:E3813"/>
    <mergeCell ref="F3810:F3813"/>
    <mergeCell ref="G3810:G3813"/>
    <mergeCell ref="H3810:H3813"/>
    <mergeCell ref="W3810:W3813"/>
    <mergeCell ref="X3810:X3813"/>
    <mergeCell ref="Y3810:Y3813"/>
    <mergeCell ref="A3814:A3817"/>
    <mergeCell ref="B3814:B3817"/>
    <mergeCell ref="C3814:C3817"/>
    <mergeCell ref="D3814:D3817"/>
    <mergeCell ref="E3814:E3817"/>
    <mergeCell ref="F3814:F3817"/>
    <mergeCell ref="G3814:G3817"/>
    <mergeCell ref="H3814:H3817"/>
    <mergeCell ref="W3814:W3817"/>
    <mergeCell ref="X3814:X3817"/>
    <mergeCell ref="Y3814:Y3817"/>
    <mergeCell ref="A3818:A3821"/>
    <mergeCell ref="B3818:B3821"/>
    <mergeCell ref="C3818:C3821"/>
    <mergeCell ref="D3818:D3821"/>
    <mergeCell ref="E3818:E3821"/>
    <mergeCell ref="F3818:F3821"/>
    <mergeCell ref="G3818:G3821"/>
    <mergeCell ref="H3818:H3821"/>
    <mergeCell ref="W3818:W3821"/>
    <mergeCell ref="X3818:X3821"/>
    <mergeCell ref="Y3818:Y3821"/>
    <mergeCell ref="A3822:A3825"/>
    <mergeCell ref="B3822:B3825"/>
    <mergeCell ref="C3822:C3825"/>
    <mergeCell ref="D3822:D3825"/>
    <mergeCell ref="E3822:E3825"/>
    <mergeCell ref="F3822:F3825"/>
    <mergeCell ref="G3822:G3825"/>
    <mergeCell ref="H3822:H3825"/>
    <mergeCell ref="W3822:W3825"/>
    <mergeCell ref="X3822:X3825"/>
    <mergeCell ref="Y3822:Y3825"/>
    <mergeCell ref="A3826:A3829"/>
    <mergeCell ref="B3826:B3829"/>
    <mergeCell ref="C3826:C3829"/>
    <mergeCell ref="D3826:D3829"/>
    <mergeCell ref="E3826:E3829"/>
    <mergeCell ref="F3826:F3829"/>
    <mergeCell ref="G3826:G3829"/>
    <mergeCell ref="H3826:H3829"/>
    <mergeCell ref="W3826:W3829"/>
    <mergeCell ref="X3826:X3829"/>
    <mergeCell ref="Y3826:Y3829"/>
    <mergeCell ref="A3830:A3833"/>
    <mergeCell ref="B3830:B3833"/>
    <mergeCell ref="C3830:C3833"/>
    <mergeCell ref="D3830:D3833"/>
    <mergeCell ref="E3830:E3833"/>
    <mergeCell ref="F3830:F3833"/>
    <mergeCell ref="G3830:G3833"/>
    <mergeCell ref="H3830:H3833"/>
    <mergeCell ref="W3830:W3833"/>
    <mergeCell ref="X3830:X3833"/>
    <mergeCell ref="Y3830:Y3833"/>
    <mergeCell ref="A3834:A3837"/>
    <mergeCell ref="B3834:B3837"/>
    <mergeCell ref="C3834:C3837"/>
    <mergeCell ref="D3834:D3837"/>
    <mergeCell ref="E3834:E3837"/>
    <mergeCell ref="F3834:F3837"/>
    <mergeCell ref="G3834:G3837"/>
    <mergeCell ref="H3834:H3837"/>
    <mergeCell ref="W3834:W3837"/>
    <mergeCell ref="X3834:X3837"/>
    <mergeCell ref="Y3834:Y3837"/>
    <mergeCell ref="A3838:A3841"/>
    <mergeCell ref="B3838:B3841"/>
    <mergeCell ref="C3838:C3841"/>
    <mergeCell ref="D3838:D3841"/>
    <mergeCell ref="E3838:E3841"/>
    <mergeCell ref="F3838:F3841"/>
    <mergeCell ref="G3838:G3841"/>
    <mergeCell ref="H3838:H3841"/>
    <mergeCell ref="W3838:W3841"/>
    <mergeCell ref="X3838:X3841"/>
    <mergeCell ref="Y3838:Y3841"/>
    <mergeCell ref="A3842:A3845"/>
    <mergeCell ref="B3842:B3845"/>
    <mergeCell ref="C3842:C3845"/>
    <mergeCell ref="D3842:D3845"/>
    <mergeCell ref="E3842:E3845"/>
    <mergeCell ref="F3842:F3845"/>
    <mergeCell ref="G3842:G3845"/>
    <mergeCell ref="H3842:H3845"/>
    <mergeCell ref="W3842:W3845"/>
    <mergeCell ref="X3842:X3845"/>
    <mergeCell ref="Y3842:Y3845"/>
    <mergeCell ref="A3846:A3849"/>
    <mergeCell ref="B3846:B3849"/>
    <mergeCell ref="C3846:C3849"/>
    <mergeCell ref="D3846:D3849"/>
    <mergeCell ref="E3846:E3849"/>
    <mergeCell ref="F3846:F3849"/>
    <mergeCell ref="G3846:G3849"/>
    <mergeCell ref="H3846:H3849"/>
    <mergeCell ref="W3846:W3849"/>
    <mergeCell ref="X3846:X3849"/>
    <mergeCell ref="Y3846:Y3849"/>
    <mergeCell ref="A3850:A3853"/>
    <mergeCell ref="B3850:B3853"/>
    <mergeCell ref="C3850:C3853"/>
    <mergeCell ref="D3850:D3853"/>
    <mergeCell ref="E3850:E3853"/>
    <mergeCell ref="F3850:F3853"/>
    <mergeCell ref="G3850:G3853"/>
    <mergeCell ref="H3850:H3853"/>
    <mergeCell ref="W3850:W3853"/>
    <mergeCell ref="X3850:X3853"/>
    <mergeCell ref="Y3850:Y3853"/>
    <mergeCell ref="A3854:A3857"/>
    <mergeCell ref="B3854:B3857"/>
    <mergeCell ref="C3854:C3857"/>
    <mergeCell ref="D3854:D3857"/>
    <mergeCell ref="E3854:E3857"/>
    <mergeCell ref="F3854:F3857"/>
    <mergeCell ref="G3854:G3857"/>
    <mergeCell ref="H3854:H3857"/>
    <mergeCell ref="W3854:W3857"/>
    <mergeCell ref="X3854:X3857"/>
    <mergeCell ref="Y3854:Y3857"/>
    <mergeCell ref="A3858:A3861"/>
    <mergeCell ref="B3858:B3861"/>
    <mergeCell ref="C3858:C3861"/>
    <mergeCell ref="D3858:D3861"/>
    <mergeCell ref="E3858:E3861"/>
    <mergeCell ref="F3858:F3861"/>
    <mergeCell ref="G3858:G3861"/>
    <mergeCell ref="H3858:H3861"/>
    <mergeCell ref="W3858:W3861"/>
    <mergeCell ref="X3858:X3861"/>
    <mergeCell ref="Y3858:Y3861"/>
    <mergeCell ref="A3862:A3865"/>
    <mergeCell ref="B3862:B3865"/>
    <mergeCell ref="C3862:C3865"/>
    <mergeCell ref="D3862:D3865"/>
    <mergeCell ref="E3862:E3865"/>
    <mergeCell ref="F3862:F3865"/>
    <mergeCell ref="G3862:G3865"/>
    <mergeCell ref="H3862:H3865"/>
    <mergeCell ref="W3862:W3865"/>
    <mergeCell ref="X3862:X3865"/>
    <mergeCell ref="Y3862:Y3865"/>
    <mergeCell ref="A3866:A3869"/>
    <mergeCell ref="B3866:B3869"/>
    <mergeCell ref="C3866:C3869"/>
    <mergeCell ref="D3866:D3869"/>
    <mergeCell ref="E3866:E3869"/>
    <mergeCell ref="F3866:F3869"/>
    <mergeCell ref="G3866:G3869"/>
    <mergeCell ref="H3866:H3869"/>
    <mergeCell ref="W3866:W3869"/>
    <mergeCell ref="X3866:X3869"/>
    <mergeCell ref="Y3866:Y3869"/>
    <mergeCell ref="A3870:A3873"/>
    <mergeCell ref="B3870:B3873"/>
    <mergeCell ref="C3870:C3873"/>
    <mergeCell ref="D3870:D3873"/>
    <mergeCell ref="E3870:E3873"/>
    <mergeCell ref="F3870:F3873"/>
    <mergeCell ref="G3870:G3873"/>
    <mergeCell ref="H3870:H3873"/>
    <mergeCell ref="W3870:W3873"/>
    <mergeCell ref="X3870:X3873"/>
    <mergeCell ref="Y3870:Y3873"/>
    <mergeCell ref="A3874:A3877"/>
    <mergeCell ref="B3874:B3877"/>
    <mergeCell ref="C3874:C3877"/>
    <mergeCell ref="D3874:D3877"/>
    <mergeCell ref="E3874:E3877"/>
    <mergeCell ref="F3874:F3877"/>
    <mergeCell ref="G3874:G3877"/>
    <mergeCell ref="H3874:H3877"/>
    <mergeCell ref="W3874:W3877"/>
    <mergeCell ref="X3874:X3877"/>
    <mergeCell ref="Y3874:Y3877"/>
    <mergeCell ref="A3878:A3881"/>
    <mergeCell ref="B3878:B3881"/>
    <mergeCell ref="C3878:C3881"/>
    <mergeCell ref="D3878:D3881"/>
    <mergeCell ref="E3878:E3881"/>
    <mergeCell ref="F3878:F3881"/>
    <mergeCell ref="G3878:G3881"/>
    <mergeCell ref="H3878:H3881"/>
    <mergeCell ref="W3878:W3881"/>
    <mergeCell ref="X3878:X3881"/>
    <mergeCell ref="Y3878:Y3881"/>
    <mergeCell ref="A3882:A3885"/>
    <mergeCell ref="B3882:B3885"/>
    <mergeCell ref="C3882:C3885"/>
    <mergeCell ref="D3882:D3885"/>
    <mergeCell ref="E3882:E3885"/>
    <mergeCell ref="F3882:F3885"/>
    <mergeCell ref="G3882:G3885"/>
    <mergeCell ref="H3882:H3885"/>
    <mergeCell ref="W3882:W3885"/>
    <mergeCell ref="X3882:X3885"/>
    <mergeCell ref="Y3882:Y3885"/>
    <mergeCell ref="A3886:A3889"/>
    <mergeCell ref="B3886:B3889"/>
    <mergeCell ref="C3886:C3889"/>
    <mergeCell ref="D3886:D3889"/>
    <mergeCell ref="E3886:E3889"/>
    <mergeCell ref="F3886:F3889"/>
    <mergeCell ref="G3886:G3889"/>
    <mergeCell ref="H3886:H3889"/>
    <mergeCell ref="W3886:W3889"/>
    <mergeCell ref="X3886:X3889"/>
    <mergeCell ref="Y3886:Y3889"/>
    <mergeCell ref="A3890:A3893"/>
    <mergeCell ref="B3890:B3893"/>
    <mergeCell ref="C3890:C3893"/>
    <mergeCell ref="D3890:D3893"/>
    <mergeCell ref="E3890:E3893"/>
    <mergeCell ref="F3890:F3893"/>
    <mergeCell ref="G3890:G3893"/>
    <mergeCell ref="H3890:H3893"/>
    <mergeCell ref="W3890:W3893"/>
    <mergeCell ref="X3890:X3893"/>
    <mergeCell ref="Y3890:Y3893"/>
    <mergeCell ref="A3894:A3897"/>
    <mergeCell ref="B3894:B3897"/>
    <mergeCell ref="C3894:C3897"/>
    <mergeCell ref="D3894:D3897"/>
    <mergeCell ref="E3894:E3897"/>
    <mergeCell ref="F3894:F3897"/>
    <mergeCell ref="G3894:G3897"/>
    <mergeCell ref="H3894:H3897"/>
    <mergeCell ref="W3894:W3897"/>
    <mergeCell ref="X3894:X3897"/>
    <mergeCell ref="Y3894:Y3897"/>
    <mergeCell ref="A3898:A3901"/>
    <mergeCell ref="B3898:B3901"/>
    <mergeCell ref="C3898:C3901"/>
    <mergeCell ref="D3898:D3901"/>
    <mergeCell ref="E3898:E3901"/>
    <mergeCell ref="F3898:F3901"/>
    <mergeCell ref="G3898:G3901"/>
    <mergeCell ref="H3898:H3901"/>
    <mergeCell ref="W3898:W3901"/>
    <mergeCell ref="X3898:X3901"/>
    <mergeCell ref="Y3898:Y3901"/>
    <mergeCell ref="A3902:A3905"/>
    <mergeCell ref="B3902:B3905"/>
    <mergeCell ref="C3902:C3905"/>
    <mergeCell ref="D3902:D3905"/>
    <mergeCell ref="E3902:E3905"/>
    <mergeCell ref="F3902:F3905"/>
    <mergeCell ref="G3902:G3905"/>
    <mergeCell ref="H3902:H3905"/>
    <mergeCell ref="W3902:W3905"/>
    <mergeCell ref="X3902:X3905"/>
    <mergeCell ref="Y3902:Y3905"/>
    <mergeCell ref="A3906:A3909"/>
    <mergeCell ref="B3906:B3909"/>
    <mergeCell ref="C3906:C3909"/>
    <mergeCell ref="D3906:D3909"/>
    <mergeCell ref="E3906:E3909"/>
    <mergeCell ref="F3906:F3909"/>
    <mergeCell ref="G3906:G3909"/>
    <mergeCell ref="H3906:H3909"/>
    <mergeCell ref="W3906:W3909"/>
    <mergeCell ref="X3906:X3909"/>
    <mergeCell ref="Y3906:Y3909"/>
    <mergeCell ref="A3910:A3913"/>
    <mergeCell ref="B3910:B3913"/>
    <mergeCell ref="C3910:C3913"/>
    <mergeCell ref="D3910:D3913"/>
    <mergeCell ref="E3910:E3913"/>
    <mergeCell ref="F3910:F3913"/>
    <mergeCell ref="G3910:G3913"/>
    <mergeCell ref="H3910:H3913"/>
    <mergeCell ref="W3910:W3913"/>
    <mergeCell ref="X3910:X3913"/>
    <mergeCell ref="Y3910:Y3913"/>
    <mergeCell ref="A3914:A3917"/>
    <mergeCell ref="B3914:B3917"/>
    <mergeCell ref="C3914:C3917"/>
    <mergeCell ref="D3914:D3917"/>
    <mergeCell ref="E3914:E3917"/>
    <mergeCell ref="F3914:F3917"/>
    <mergeCell ref="G3914:G3917"/>
    <mergeCell ref="H3914:H3917"/>
    <mergeCell ref="W3914:W3917"/>
    <mergeCell ref="X3914:X3917"/>
    <mergeCell ref="Y3914:Y3917"/>
    <mergeCell ref="A3918:A3921"/>
    <mergeCell ref="B3918:B3921"/>
    <mergeCell ref="C3918:C3921"/>
    <mergeCell ref="D3918:D3921"/>
    <mergeCell ref="E3918:E3921"/>
    <mergeCell ref="F3918:F3921"/>
    <mergeCell ref="G3918:G3921"/>
    <mergeCell ref="H3918:H3921"/>
    <mergeCell ref="W3918:W3921"/>
    <mergeCell ref="X3918:X3921"/>
    <mergeCell ref="Y3918:Y3921"/>
    <mergeCell ref="A3922:A3925"/>
    <mergeCell ref="B3922:B3925"/>
    <mergeCell ref="C3922:C3925"/>
    <mergeCell ref="D3922:D3925"/>
    <mergeCell ref="E3922:E3925"/>
    <mergeCell ref="F3922:F3925"/>
    <mergeCell ref="G3922:G3925"/>
    <mergeCell ref="H3922:H3925"/>
    <mergeCell ref="W3922:W3925"/>
    <mergeCell ref="X3922:X3925"/>
    <mergeCell ref="Y3922:Y3925"/>
    <mergeCell ref="A3926:A3929"/>
    <mergeCell ref="B3926:B3929"/>
    <mergeCell ref="C3926:C3929"/>
    <mergeCell ref="D3926:D3929"/>
    <mergeCell ref="E3926:E3929"/>
    <mergeCell ref="F3926:F3929"/>
    <mergeCell ref="G3926:G3929"/>
    <mergeCell ref="H3926:H3929"/>
    <mergeCell ref="W3926:W3929"/>
    <mergeCell ref="X3926:X3929"/>
    <mergeCell ref="Y3926:Y3929"/>
    <mergeCell ref="A3930:A3933"/>
    <mergeCell ref="B3930:B3933"/>
    <mergeCell ref="C3930:C3933"/>
    <mergeCell ref="D3930:D3933"/>
    <mergeCell ref="E3930:E3933"/>
    <mergeCell ref="F3930:F3933"/>
    <mergeCell ref="G3930:G3933"/>
    <mergeCell ref="H3930:H3933"/>
    <mergeCell ref="W3930:W3933"/>
    <mergeCell ref="X3930:X3933"/>
    <mergeCell ref="Y3930:Y3933"/>
    <mergeCell ref="A3934:A3937"/>
    <mergeCell ref="B3934:B3937"/>
    <mergeCell ref="C3934:C3937"/>
    <mergeCell ref="D3934:D3937"/>
    <mergeCell ref="E3934:E3937"/>
    <mergeCell ref="F3934:F3937"/>
    <mergeCell ref="G3934:G3937"/>
    <mergeCell ref="H3934:H3937"/>
    <mergeCell ref="W3934:W3937"/>
    <mergeCell ref="X3934:X3937"/>
    <mergeCell ref="Y3934:Y3937"/>
    <mergeCell ref="A3938:A3941"/>
    <mergeCell ref="B3938:B3941"/>
    <mergeCell ref="C3938:C3941"/>
    <mergeCell ref="D3938:D3941"/>
    <mergeCell ref="E3938:E3941"/>
    <mergeCell ref="F3938:F3941"/>
    <mergeCell ref="G3938:G3941"/>
    <mergeCell ref="H3938:H3941"/>
    <mergeCell ref="W3938:W3941"/>
    <mergeCell ref="X3938:X3941"/>
    <mergeCell ref="Y3938:Y3941"/>
    <mergeCell ref="A3942:A3945"/>
    <mergeCell ref="B3942:B3945"/>
    <mergeCell ref="C3942:C3945"/>
    <mergeCell ref="D3942:D3945"/>
    <mergeCell ref="E3942:E3945"/>
    <mergeCell ref="F3942:F3945"/>
    <mergeCell ref="G3942:G3945"/>
    <mergeCell ref="H3942:H3945"/>
    <mergeCell ref="W3942:W3945"/>
    <mergeCell ref="X3942:X3945"/>
    <mergeCell ref="Y3942:Y3945"/>
    <mergeCell ref="A3946:A3949"/>
    <mergeCell ref="B3946:B3949"/>
    <mergeCell ref="C3946:C3949"/>
    <mergeCell ref="D3946:D3949"/>
    <mergeCell ref="E3946:E3949"/>
    <mergeCell ref="F3946:F3949"/>
    <mergeCell ref="G3946:G3949"/>
    <mergeCell ref="H3946:H3949"/>
    <mergeCell ref="W3946:W3949"/>
    <mergeCell ref="X3946:X3949"/>
    <mergeCell ref="Y3946:Y3949"/>
    <mergeCell ref="A3950:A3953"/>
    <mergeCell ref="B3950:B3953"/>
    <mergeCell ref="C3950:C3953"/>
    <mergeCell ref="D3950:D3953"/>
    <mergeCell ref="E3950:E3953"/>
    <mergeCell ref="F3950:F3953"/>
    <mergeCell ref="G3950:G3953"/>
    <mergeCell ref="H3950:H3953"/>
    <mergeCell ref="W3950:W3953"/>
    <mergeCell ref="X3950:X3953"/>
    <mergeCell ref="Y3950:Y3953"/>
    <mergeCell ref="A3954:A3957"/>
    <mergeCell ref="B3954:B3957"/>
    <mergeCell ref="C3954:C3957"/>
    <mergeCell ref="D3954:D3957"/>
    <mergeCell ref="E3954:E3957"/>
    <mergeCell ref="F3954:F3957"/>
    <mergeCell ref="G3954:G3957"/>
    <mergeCell ref="H3954:H3957"/>
    <mergeCell ref="W3954:W3957"/>
    <mergeCell ref="X3954:X3957"/>
    <mergeCell ref="Y3954:Y3957"/>
    <mergeCell ref="A3958:A3961"/>
    <mergeCell ref="B3958:B3961"/>
    <mergeCell ref="C3958:C3961"/>
    <mergeCell ref="D3958:D3961"/>
    <mergeCell ref="E3958:E3961"/>
    <mergeCell ref="F3958:F3961"/>
    <mergeCell ref="G3958:G3961"/>
    <mergeCell ref="H3958:H3961"/>
    <mergeCell ref="W3958:W3961"/>
    <mergeCell ref="X3958:X3961"/>
    <mergeCell ref="Y3958:Y3961"/>
    <mergeCell ref="A3962:A3965"/>
    <mergeCell ref="B3962:B3965"/>
    <mergeCell ref="C3962:C3965"/>
    <mergeCell ref="D3962:D3965"/>
    <mergeCell ref="E3962:E3965"/>
    <mergeCell ref="F3962:F3965"/>
    <mergeCell ref="G3962:G3965"/>
    <mergeCell ref="H3962:H3965"/>
    <mergeCell ref="W3962:W3965"/>
    <mergeCell ref="X3962:X3965"/>
    <mergeCell ref="Y3962:Y3965"/>
    <mergeCell ref="A3966:A3969"/>
    <mergeCell ref="B3966:B3969"/>
    <mergeCell ref="C3966:C3969"/>
    <mergeCell ref="D3966:D3969"/>
    <mergeCell ref="E3966:E3969"/>
    <mergeCell ref="F3966:F3969"/>
    <mergeCell ref="G3966:G3969"/>
    <mergeCell ref="H3966:H3969"/>
    <mergeCell ref="W3966:W3969"/>
    <mergeCell ref="X3966:X3969"/>
    <mergeCell ref="Y3966:Y3969"/>
    <mergeCell ref="A3970:A3973"/>
    <mergeCell ref="B3970:B3973"/>
    <mergeCell ref="C3970:C3973"/>
    <mergeCell ref="D3970:D3973"/>
    <mergeCell ref="E3970:E3973"/>
    <mergeCell ref="F3970:F3973"/>
    <mergeCell ref="G3970:G3973"/>
    <mergeCell ref="H3970:H3973"/>
    <mergeCell ref="W3970:W3973"/>
    <mergeCell ref="X3970:X3973"/>
    <mergeCell ref="Y3970:Y3973"/>
    <mergeCell ref="A3974:A3977"/>
    <mergeCell ref="B3974:B3977"/>
    <mergeCell ref="C3974:C3977"/>
    <mergeCell ref="D3974:D3977"/>
    <mergeCell ref="E3974:E3977"/>
    <mergeCell ref="F3974:F3977"/>
    <mergeCell ref="G3974:G3977"/>
    <mergeCell ref="H3974:H3977"/>
    <mergeCell ref="W3974:W3977"/>
    <mergeCell ref="X3974:X3977"/>
    <mergeCell ref="Y3974:Y3977"/>
    <mergeCell ref="A3978:A3981"/>
    <mergeCell ref="B3978:B3981"/>
    <mergeCell ref="C3978:C3981"/>
    <mergeCell ref="D3978:D3981"/>
    <mergeCell ref="E3978:E3981"/>
    <mergeCell ref="F3978:F3981"/>
    <mergeCell ref="G3978:G3981"/>
    <mergeCell ref="H3978:H3981"/>
    <mergeCell ref="W3978:W3981"/>
    <mergeCell ref="X3978:X3981"/>
    <mergeCell ref="Y3978:Y3981"/>
    <mergeCell ref="A3982:A3985"/>
    <mergeCell ref="B3982:B3985"/>
    <mergeCell ref="C3982:C3985"/>
    <mergeCell ref="D3982:D3985"/>
    <mergeCell ref="E3982:E3985"/>
    <mergeCell ref="F3982:F3985"/>
    <mergeCell ref="G3982:G3985"/>
    <mergeCell ref="H3982:H3985"/>
    <mergeCell ref="W3982:W3985"/>
    <mergeCell ref="X3982:X3985"/>
    <mergeCell ref="Y3982:Y3985"/>
    <mergeCell ref="A3986:A3989"/>
    <mergeCell ref="B3986:B3989"/>
    <mergeCell ref="C3986:C3989"/>
    <mergeCell ref="D3986:D3989"/>
    <mergeCell ref="E3986:E3989"/>
    <mergeCell ref="F3986:F3989"/>
    <mergeCell ref="G3986:G3989"/>
    <mergeCell ref="H3986:H3989"/>
    <mergeCell ref="W3986:W3989"/>
    <mergeCell ref="X3986:X3989"/>
    <mergeCell ref="Y3986:Y3989"/>
    <mergeCell ref="A3990:A3993"/>
    <mergeCell ref="B3990:B3993"/>
    <mergeCell ref="C3990:C3993"/>
    <mergeCell ref="D3990:D3993"/>
    <mergeCell ref="E3990:E3993"/>
    <mergeCell ref="F3990:F3993"/>
    <mergeCell ref="G3990:G3993"/>
    <mergeCell ref="H3990:H3993"/>
    <mergeCell ref="W3990:W3993"/>
    <mergeCell ref="X3990:X3993"/>
    <mergeCell ref="Y3990:Y3993"/>
    <mergeCell ref="A3994:A3997"/>
    <mergeCell ref="B3994:B3997"/>
    <mergeCell ref="C3994:C3997"/>
    <mergeCell ref="D3994:D3997"/>
    <mergeCell ref="E3994:E3997"/>
    <mergeCell ref="F3994:F3997"/>
    <mergeCell ref="G3994:G3997"/>
    <mergeCell ref="H3994:H3997"/>
    <mergeCell ref="W3994:W3997"/>
    <mergeCell ref="X3994:X3997"/>
    <mergeCell ref="Y3994:Y3997"/>
    <mergeCell ref="A3998:A4001"/>
    <mergeCell ref="B3998:B4001"/>
    <mergeCell ref="C3998:C4001"/>
    <mergeCell ref="D3998:D4001"/>
    <mergeCell ref="E3998:E4001"/>
    <mergeCell ref="F3998:F4001"/>
    <mergeCell ref="G3998:G4001"/>
    <mergeCell ref="H3998:H4001"/>
    <mergeCell ref="W3998:W4001"/>
    <mergeCell ref="X3998:X4001"/>
    <mergeCell ref="Y3998:Y4001"/>
    <mergeCell ref="A4002:A4005"/>
    <mergeCell ref="B4002:B4005"/>
    <mergeCell ref="C4002:C4005"/>
    <mergeCell ref="D4002:D4005"/>
    <mergeCell ref="E4002:E4005"/>
    <mergeCell ref="F4002:F4005"/>
    <mergeCell ref="G4002:G4005"/>
    <mergeCell ref="H4002:H4005"/>
    <mergeCell ref="W4002:W4005"/>
    <mergeCell ref="X4002:X4005"/>
    <mergeCell ref="Y4002:Y4005"/>
    <mergeCell ref="A4006:A4009"/>
    <mergeCell ref="B4006:B4009"/>
    <mergeCell ref="C4006:C4009"/>
    <mergeCell ref="D4006:D4009"/>
    <mergeCell ref="E4006:E4009"/>
    <mergeCell ref="F4006:F4009"/>
    <mergeCell ref="G4006:G4009"/>
    <mergeCell ref="H4006:H4009"/>
    <mergeCell ref="W4006:W4009"/>
    <mergeCell ref="X4006:X4009"/>
    <mergeCell ref="Y4006:Y4009"/>
    <mergeCell ref="A4010:A4013"/>
    <mergeCell ref="B4010:B4013"/>
    <mergeCell ref="C4010:C4013"/>
    <mergeCell ref="D4010:D4013"/>
    <mergeCell ref="E4010:E4013"/>
    <mergeCell ref="F4010:F4013"/>
    <mergeCell ref="G4010:G4013"/>
    <mergeCell ref="H4010:H4013"/>
    <mergeCell ref="W4010:W4013"/>
    <mergeCell ref="X4010:X4013"/>
    <mergeCell ref="Y4010:Y4013"/>
    <mergeCell ref="A4014:A4017"/>
    <mergeCell ref="B4014:B4017"/>
    <mergeCell ref="C4014:C4017"/>
    <mergeCell ref="D4014:D4017"/>
    <mergeCell ref="E4014:E4017"/>
    <mergeCell ref="F4014:F4017"/>
    <mergeCell ref="G4014:G4017"/>
    <mergeCell ref="H4014:H4017"/>
    <mergeCell ref="W4014:W4017"/>
    <mergeCell ref="X4014:X4017"/>
    <mergeCell ref="Y4014:Y4017"/>
    <mergeCell ref="A4018:A4021"/>
    <mergeCell ref="B4018:B4021"/>
    <mergeCell ref="C4018:C4021"/>
    <mergeCell ref="D4018:D4021"/>
    <mergeCell ref="E4018:E4021"/>
    <mergeCell ref="F4018:F4021"/>
    <mergeCell ref="G4018:G4021"/>
    <mergeCell ref="H4018:H4021"/>
    <mergeCell ref="W4018:W4021"/>
    <mergeCell ref="X4018:X4021"/>
    <mergeCell ref="Y4018:Y4021"/>
    <mergeCell ref="A4022:A4025"/>
    <mergeCell ref="B4022:B4025"/>
    <mergeCell ref="C4022:C4025"/>
    <mergeCell ref="D4022:D4025"/>
    <mergeCell ref="E4022:E4025"/>
    <mergeCell ref="F4022:F4025"/>
    <mergeCell ref="G4022:G4025"/>
    <mergeCell ref="H4022:H4025"/>
    <mergeCell ref="W4022:W4025"/>
    <mergeCell ref="X4022:X4025"/>
    <mergeCell ref="Y4022:Y4025"/>
    <mergeCell ref="A4026:A4029"/>
    <mergeCell ref="B4026:B4029"/>
    <mergeCell ref="C4026:C4029"/>
    <mergeCell ref="D4026:D4029"/>
    <mergeCell ref="E4026:E4029"/>
    <mergeCell ref="F4026:F4029"/>
    <mergeCell ref="G4026:G4029"/>
    <mergeCell ref="H4026:H4029"/>
    <mergeCell ref="W4026:W4029"/>
    <mergeCell ref="X4026:X4029"/>
    <mergeCell ref="Y4026:Y4029"/>
    <mergeCell ref="A4030:A4033"/>
    <mergeCell ref="B4030:B4033"/>
    <mergeCell ref="C4030:C4033"/>
    <mergeCell ref="D4030:D4033"/>
    <mergeCell ref="E4030:E4033"/>
    <mergeCell ref="F4030:F4033"/>
    <mergeCell ref="G4030:G4033"/>
    <mergeCell ref="H4030:H4033"/>
    <mergeCell ref="W4030:W4033"/>
    <mergeCell ref="X4030:X4033"/>
    <mergeCell ref="Y4030:Y4033"/>
    <mergeCell ref="A4034:A4037"/>
    <mergeCell ref="B4034:B4037"/>
    <mergeCell ref="C4034:C4037"/>
    <mergeCell ref="D4034:D4037"/>
    <mergeCell ref="E4034:E4037"/>
    <mergeCell ref="F4034:F4037"/>
    <mergeCell ref="G4034:G4037"/>
    <mergeCell ref="H4034:H4037"/>
    <mergeCell ref="W4034:W4037"/>
    <mergeCell ref="X4034:X4037"/>
    <mergeCell ref="Y4034:Y4037"/>
    <mergeCell ref="A4038:A4041"/>
    <mergeCell ref="B4038:B4041"/>
    <mergeCell ref="C4038:C4041"/>
    <mergeCell ref="D4038:D4041"/>
    <mergeCell ref="E4038:E4041"/>
    <mergeCell ref="F4038:F4041"/>
    <mergeCell ref="G4038:G4041"/>
    <mergeCell ref="H4038:H4041"/>
    <mergeCell ref="W4038:W4041"/>
    <mergeCell ref="X4038:X4041"/>
    <mergeCell ref="Y4038:Y4041"/>
    <mergeCell ref="A4042:A4045"/>
    <mergeCell ref="B4042:B4045"/>
    <mergeCell ref="C4042:C4045"/>
    <mergeCell ref="D4042:D4045"/>
    <mergeCell ref="E4042:E4045"/>
    <mergeCell ref="F4042:F4045"/>
    <mergeCell ref="G4042:G4045"/>
    <mergeCell ref="H4042:H4045"/>
    <mergeCell ref="W4042:W4045"/>
    <mergeCell ref="X4042:X4045"/>
    <mergeCell ref="Y4042:Y4045"/>
    <mergeCell ref="A4046:A4049"/>
    <mergeCell ref="B4046:B4049"/>
    <mergeCell ref="C4046:C4049"/>
    <mergeCell ref="D4046:D4049"/>
    <mergeCell ref="E4046:E4049"/>
    <mergeCell ref="F4046:F4049"/>
    <mergeCell ref="G4046:G4049"/>
    <mergeCell ref="H4046:H4049"/>
    <mergeCell ref="W4046:W4049"/>
    <mergeCell ref="X4046:X4049"/>
    <mergeCell ref="Y4046:Y4049"/>
    <mergeCell ref="A4050:A4053"/>
    <mergeCell ref="B4050:B4053"/>
    <mergeCell ref="C4050:C4053"/>
    <mergeCell ref="D4050:D4053"/>
    <mergeCell ref="E4050:E4053"/>
    <mergeCell ref="F4050:F4053"/>
    <mergeCell ref="G4050:G4053"/>
    <mergeCell ref="H4050:H4053"/>
    <mergeCell ref="W4050:W4053"/>
    <mergeCell ref="X4050:X4053"/>
    <mergeCell ref="Y4050:Y4053"/>
    <mergeCell ref="A4054:A4057"/>
    <mergeCell ref="B4054:B4057"/>
    <mergeCell ref="C4054:C4057"/>
    <mergeCell ref="D4054:D4057"/>
    <mergeCell ref="E4054:E4057"/>
    <mergeCell ref="F4054:F4057"/>
    <mergeCell ref="G4054:G4057"/>
    <mergeCell ref="H4054:H4057"/>
    <mergeCell ref="W4054:W4057"/>
    <mergeCell ref="X4054:X4057"/>
    <mergeCell ref="Y4054:Y4057"/>
    <mergeCell ref="A4058:A4061"/>
    <mergeCell ref="B4058:B4061"/>
    <mergeCell ref="C4058:C4061"/>
    <mergeCell ref="D4058:D4061"/>
    <mergeCell ref="E4058:E4061"/>
    <mergeCell ref="F4058:F4061"/>
    <mergeCell ref="G4058:G4061"/>
    <mergeCell ref="H4058:H4061"/>
    <mergeCell ref="W4058:W4061"/>
    <mergeCell ref="X4058:X4061"/>
    <mergeCell ref="Y4058:Y4061"/>
    <mergeCell ref="A4062:A4065"/>
    <mergeCell ref="B4062:B4065"/>
    <mergeCell ref="C4062:C4065"/>
    <mergeCell ref="D4062:D4065"/>
    <mergeCell ref="E4062:E4065"/>
    <mergeCell ref="F4062:F4065"/>
    <mergeCell ref="G4062:G4065"/>
    <mergeCell ref="H4062:H4065"/>
    <mergeCell ref="W4062:W4065"/>
    <mergeCell ref="X4062:X4065"/>
    <mergeCell ref="Y4062:Y4065"/>
    <mergeCell ref="A4066:A4069"/>
    <mergeCell ref="B4066:B4069"/>
    <mergeCell ref="C4066:C4069"/>
    <mergeCell ref="D4066:D4069"/>
    <mergeCell ref="E4066:E4069"/>
    <mergeCell ref="F4066:F4069"/>
    <mergeCell ref="G4066:G4069"/>
    <mergeCell ref="H4066:H4069"/>
    <mergeCell ref="W4066:W4069"/>
    <mergeCell ref="X4066:X4069"/>
    <mergeCell ref="Y4066:Y4069"/>
    <mergeCell ref="A4070:A4073"/>
    <mergeCell ref="B4070:B4073"/>
    <mergeCell ref="C4070:C4073"/>
    <mergeCell ref="D4070:D4073"/>
    <mergeCell ref="E4070:E4073"/>
    <mergeCell ref="F4070:F4073"/>
    <mergeCell ref="G4070:G4073"/>
    <mergeCell ref="H4070:H4073"/>
    <mergeCell ref="W4070:W4073"/>
    <mergeCell ref="X4070:X4073"/>
    <mergeCell ref="Y4070:Y4073"/>
    <mergeCell ref="A4074:A4077"/>
    <mergeCell ref="B4074:B4077"/>
    <mergeCell ref="C4074:C4077"/>
    <mergeCell ref="D4074:D4077"/>
    <mergeCell ref="E4074:E4077"/>
    <mergeCell ref="F4074:F4077"/>
    <mergeCell ref="G4074:G4077"/>
    <mergeCell ref="H4074:H4077"/>
    <mergeCell ref="W4074:W4077"/>
    <mergeCell ref="X4074:X4077"/>
    <mergeCell ref="Y4074:Y4077"/>
    <mergeCell ref="A4078:A4081"/>
    <mergeCell ref="B4078:B4081"/>
    <mergeCell ref="C4078:C4081"/>
    <mergeCell ref="D4078:D4081"/>
    <mergeCell ref="E4078:E4081"/>
    <mergeCell ref="F4078:F4081"/>
    <mergeCell ref="G4078:G4081"/>
    <mergeCell ref="H4078:H4081"/>
    <mergeCell ref="W4078:W4081"/>
    <mergeCell ref="X4078:X4081"/>
    <mergeCell ref="Y4078:Y4081"/>
    <mergeCell ref="A4082:A4085"/>
    <mergeCell ref="B4082:B4085"/>
    <mergeCell ref="C4082:C4085"/>
    <mergeCell ref="D4082:D4085"/>
    <mergeCell ref="E4082:E4085"/>
    <mergeCell ref="F4082:F4085"/>
    <mergeCell ref="G4082:G4085"/>
    <mergeCell ref="H4082:H4085"/>
    <mergeCell ref="W4082:W4085"/>
    <mergeCell ref="X4082:X4085"/>
    <mergeCell ref="Y4082:Y4085"/>
    <mergeCell ref="A4086:A4089"/>
    <mergeCell ref="B4086:B4089"/>
    <mergeCell ref="C4086:C4089"/>
    <mergeCell ref="D4086:D4089"/>
    <mergeCell ref="E4086:E4089"/>
    <mergeCell ref="F4086:F4089"/>
    <mergeCell ref="G4086:G4089"/>
    <mergeCell ref="H4086:H4089"/>
    <mergeCell ref="W4086:W4089"/>
    <mergeCell ref="X4086:X4089"/>
    <mergeCell ref="Y4086:Y4089"/>
    <mergeCell ref="A4090:A4093"/>
    <mergeCell ref="B4090:B4093"/>
    <mergeCell ref="C4090:C4093"/>
    <mergeCell ref="D4090:D4093"/>
    <mergeCell ref="E4090:E4093"/>
    <mergeCell ref="F4090:F4093"/>
    <mergeCell ref="G4090:G4093"/>
    <mergeCell ref="H4090:H4093"/>
    <mergeCell ref="W4090:W4093"/>
    <mergeCell ref="X4090:X4093"/>
    <mergeCell ref="Y4090:Y4093"/>
    <mergeCell ref="A4094:A4097"/>
    <mergeCell ref="B4094:B4097"/>
    <mergeCell ref="C4094:C4097"/>
    <mergeCell ref="D4094:D4097"/>
    <mergeCell ref="E4094:E4097"/>
    <mergeCell ref="F4094:F4097"/>
    <mergeCell ref="G4094:G4097"/>
    <mergeCell ref="H4094:H4097"/>
    <mergeCell ref="W4094:W4097"/>
    <mergeCell ref="X4094:X4097"/>
    <mergeCell ref="Y4094:Y4097"/>
    <mergeCell ref="A4098:A4101"/>
    <mergeCell ref="B4098:B4101"/>
    <mergeCell ref="C4098:C4101"/>
    <mergeCell ref="D4098:D4101"/>
    <mergeCell ref="E4098:E4101"/>
    <mergeCell ref="F4098:F4101"/>
    <mergeCell ref="G4098:G4101"/>
    <mergeCell ref="H4098:H4101"/>
    <mergeCell ref="W4098:W4101"/>
    <mergeCell ref="X4098:X4101"/>
    <mergeCell ref="Y4098:Y4101"/>
    <mergeCell ref="A4102:A4105"/>
    <mergeCell ref="B4102:B4105"/>
    <mergeCell ref="C4102:C4105"/>
    <mergeCell ref="D4102:D4105"/>
    <mergeCell ref="E4102:E4105"/>
    <mergeCell ref="F4102:F4105"/>
    <mergeCell ref="G4102:G4105"/>
    <mergeCell ref="H4102:H4105"/>
    <mergeCell ref="W4102:W4105"/>
    <mergeCell ref="X4102:X4105"/>
    <mergeCell ref="Y4102:Y4105"/>
    <mergeCell ref="A4106:A4109"/>
    <mergeCell ref="B4106:B4109"/>
    <mergeCell ref="C4106:C4109"/>
    <mergeCell ref="D4106:D4109"/>
    <mergeCell ref="E4106:E4109"/>
    <mergeCell ref="F4106:F4109"/>
    <mergeCell ref="G4106:G4109"/>
    <mergeCell ref="H4106:H4109"/>
    <mergeCell ref="W4106:W4109"/>
    <mergeCell ref="X4106:X4109"/>
    <mergeCell ref="Y4106:Y4109"/>
    <mergeCell ref="A4110:A4113"/>
    <mergeCell ref="B4110:B4113"/>
    <mergeCell ref="C4110:C4113"/>
    <mergeCell ref="D4110:D4113"/>
    <mergeCell ref="E4110:E4113"/>
    <mergeCell ref="F4110:F4113"/>
    <mergeCell ref="G4110:G4113"/>
    <mergeCell ref="H4110:H4113"/>
    <mergeCell ref="W4110:W4113"/>
    <mergeCell ref="X4110:X4113"/>
    <mergeCell ref="Y4110:Y4113"/>
    <mergeCell ref="A4114:A4117"/>
    <mergeCell ref="B4114:B4117"/>
    <mergeCell ref="C4114:C4117"/>
    <mergeCell ref="D4114:D4117"/>
    <mergeCell ref="E4114:E4117"/>
    <mergeCell ref="F4114:F4117"/>
    <mergeCell ref="G4114:G4117"/>
    <mergeCell ref="H4114:H4117"/>
    <mergeCell ref="W4114:W4117"/>
    <mergeCell ref="X4114:X4117"/>
    <mergeCell ref="Y4114:Y4117"/>
    <mergeCell ref="A4118:A4121"/>
    <mergeCell ref="B4118:B4121"/>
    <mergeCell ref="C4118:C4121"/>
    <mergeCell ref="D4118:D4121"/>
    <mergeCell ref="E4118:E4121"/>
    <mergeCell ref="F4118:F4121"/>
    <mergeCell ref="G4118:G4121"/>
    <mergeCell ref="H4118:H4121"/>
    <mergeCell ref="W4118:W4121"/>
    <mergeCell ref="X4118:X4121"/>
    <mergeCell ref="Y4118:Y4121"/>
    <mergeCell ref="A4122:A4125"/>
    <mergeCell ref="B4122:B4125"/>
    <mergeCell ref="C4122:C4125"/>
    <mergeCell ref="D4122:D4125"/>
    <mergeCell ref="E4122:E4125"/>
    <mergeCell ref="F4122:F4125"/>
    <mergeCell ref="G4122:G4125"/>
    <mergeCell ref="H4122:H4125"/>
    <mergeCell ref="W4122:W4125"/>
    <mergeCell ref="X4122:X4125"/>
    <mergeCell ref="Y4122:Y4125"/>
    <mergeCell ref="A4126:A4129"/>
    <mergeCell ref="B4126:B4129"/>
    <mergeCell ref="C4126:C4129"/>
    <mergeCell ref="D4126:D4129"/>
    <mergeCell ref="E4126:E4129"/>
    <mergeCell ref="F4126:F4129"/>
    <mergeCell ref="G4126:G4129"/>
    <mergeCell ref="H4126:H4129"/>
    <mergeCell ref="W4126:W4129"/>
    <mergeCell ref="X4126:X4129"/>
    <mergeCell ref="Y4126:Y4129"/>
    <mergeCell ref="A4130:A4133"/>
    <mergeCell ref="B4130:B4133"/>
    <mergeCell ref="C4130:C4133"/>
    <mergeCell ref="D4130:D4133"/>
    <mergeCell ref="E4130:E4133"/>
    <mergeCell ref="F4130:F4133"/>
    <mergeCell ref="G4130:G4133"/>
    <mergeCell ref="H4130:H4133"/>
    <mergeCell ref="W4130:W4133"/>
    <mergeCell ref="X4130:X4133"/>
    <mergeCell ref="Y4130:Y4133"/>
    <mergeCell ref="A4134:A4137"/>
    <mergeCell ref="B4134:B4137"/>
    <mergeCell ref="C4134:C4137"/>
    <mergeCell ref="D4134:D4137"/>
    <mergeCell ref="E4134:E4137"/>
    <mergeCell ref="F4134:F4137"/>
    <mergeCell ref="G4134:G4137"/>
    <mergeCell ref="H4134:H4137"/>
    <mergeCell ref="W4134:W4137"/>
    <mergeCell ref="X4134:X4137"/>
    <mergeCell ref="Y4134:Y4137"/>
    <mergeCell ref="A4138:A4141"/>
    <mergeCell ref="B4138:B4141"/>
    <mergeCell ref="C4138:C4141"/>
    <mergeCell ref="D4138:D4141"/>
    <mergeCell ref="E4138:E4141"/>
    <mergeCell ref="F4138:F4141"/>
    <mergeCell ref="G4138:G4141"/>
    <mergeCell ref="H4138:H4141"/>
    <mergeCell ref="W4138:W4141"/>
    <mergeCell ref="X4138:X4141"/>
    <mergeCell ref="Y4138:Y4141"/>
    <mergeCell ref="A4142:A4145"/>
    <mergeCell ref="B4142:B4145"/>
    <mergeCell ref="C4142:C4145"/>
    <mergeCell ref="D4142:D4145"/>
    <mergeCell ref="E4142:E4145"/>
    <mergeCell ref="F4142:F4145"/>
    <mergeCell ref="G4142:G4145"/>
    <mergeCell ref="H4142:H4145"/>
    <mergeCell ref="W4142:W4145"/>
    <mergeCell ref="X4142:X4145"/>
    <mergeCell ref="Y4142:Y4145"/>
    <mergeCell ref="A4146:A4149"/>
    <mergeCell ref="B4146:B4149"/>
    <mergeCell ref="C4146:C4149"/>
    <mergeCell ref="D4146:D4149"/>
    <mergeCell ref="E4146:E4149"/>
    <mergeCell ref="F4146:F4149"/>
    <mergeCell ref="G4146:G4149"/>
    <mergeCell ref="H4146:H4149"/>
    <mergeCell ref="W4146:W4149"/>
    <mergeCell ref="X4146:X4149"/>
    <mergeCell ref="Y4146:Y4149"/>
    <mergeCell ref="A4150:A4153"/>
    <mergeCell ref="B4150:B4153"/>
    <mergeCell ref="C4150:C4153"/>
    <mergeCell ref="D4150:D4153"/>
    <mergeCell ref="E4150:E4153"/>
    <mergeCell ref="F4150:F4153"/>
    <mergeCell ref="G4150:G4153"/>
    <mergeCell ref="H4150:H4153"/>
    <mergeCell ref="W4150:W4153"/>
    <mergeCell ref="X4150:X4153"/>
    <mergeCell ref="Y4150:Y4153"/>
    <mergeCell ref="A4154:A4157"/>
    <mergeCell ref="B4154:B4157"/>
    <mergeCell ref="C4154:C4157"/>
    <mergeCell ref="D4154:D4157"/>
    <mergeCell ref="E4154:E4157"/>
    <mergeCell ref="F4154:F4157"/>
    <mergeCell ref="G4154:G4157"/>
    <mergeCell ref="H4154:H4157"/>
    <mergeCell ref="W4154:W4157"/>
    <mergeCell ref="X4154:X4157"/>
    <mergeCell ref="Y4154:Y4157"/>
    <mergeCell ref="A4158:A4161"/>
    <mergeCell ref="B4158:B4161"/>
    <mergeCell ref="C4158:C4161"/>
    <mergeCell ref="D4158:D4161"/>
    <mergeCell ref="E4158:E4161"/>
    <mergeCell ref="F4158:F4161"/>
    <mergeCell ref="G4158:G4161"/>
    <mergeCell ref="H4158:H4161"/>
    <mergeCell ref="W4158:W4161"/>
    <mergeCell ref="X4158:X4161"/>
    <mergeCell ref="Y4158:Y4161"/>
    <mergeCell ref="A4162:A4165"/>
    <mergeCell ref="B4162:B4165"/>
    <mergeCell ref="C4162:C4165"/>
    <mergeCell ref="D4162:D4165"/>
    <mergeCell ref="E4162:E4165"/>
    <mergeCell ref="F4162:F4165"/>
    <mergeCell ref="G4162:G4165"/>
    <mergeCell ref="H4162:H4165"/>
    <mergeCell ref="W4162:W4165"/>
    <mergeCell ref="X4162:X4165"/>
    <mergeCell ref="Y4162:Y4165"/>
    <mergeCell ref="A4166:A4169"/>
    <mergeCell ref="B4166:B4169"/>
    <mergeCell ref="C4166:C4169"/>
    <mergeCell ref="D4166:D4169"/>
    <mergeCell ref="E4166:E4169"/>
    <mergeCell ref="F4166:F4169"/>
    <mergeCell ref="G4166:G4169"/>
    <mergeCell ref="H4166:H4169"/>
    <mergeCell ref="W4166:W4169"/>
    <mergeCell ref="X4166:X4169"/>
    <mergeCell ref="Y4166:Y4169"/>
    <mergeCell ref="A4170:A4173"/>
    <mergeCell ref="B4170:B4173"/>
    <mergeCell ref="C4170:C4173"/>
    <mergeCell ref="D4170:D4173"/>
    <mergeCell ref="E4170:E4173"/>
    <mergeCell ref="F4170:F4173"/>
    <mergeCell ref="G4170:G4173"/>
    <mergeCell ref="H4170:H4173"/>
    <mergeCell ref="W4170:W4173"/>
    <mergeCell ref="X4170:X4173"/>
    <mergeCell ref="Y4170:Y4173"/>
    <mergeCell ref="A4174:A4177"/>
    <mergeCell ref="B4174:B4177"/>
    <mergeCell ref="C4174:C4177"/>
    <mergeCell ref="D4174:D4177"/>
    <mergeCell ref="E4174:E4177"/>
    <mergeCell ref="F4174:F4177"/>
    <mergeCell ref="G4174:G4177"/>
    <mergeCell ref="H4174:H4177"/>
    <mergeCell ref="W4174:W4177"/>
    <mergeCell ref="X4174:X4177"/>
    <mergeCell ref="Y4174:Y4177"/>
    <mergeCell ref="A4178:A4181"/>
    <mergeCell ref="B4178:B4181"/>
    <mergeCell ref="C4178:C4181"/>
    <mergeCell ref="D4178:D4181"/>
    <mergeCell ref="E4178:E4181"/>
    <mergeCell ref="F4178:F4181"/>
    <mergeCell ref="G4178:G4181"/>
    <mergeCell ref="H4178:H4181"/>
    <mergeCell ref="W4178:W4181"/>
    <mergeCell ref="X4178:X4181"/>
    <mergeCell ref="Y4178:Y4181"/>
    <mergeCell ref="A4182:A4185"/>
    <mergeCell ref="B4182:B4185"/>
    <mergeCell ref="C4182:C4185"/>
    <mergeCell ref="D4182:D4185"/>
    <mergeCell ref="E4182:E4185"/>
    <mergeCell ref="F4182:F4185"/>
    <mergeCell ref="G4182:G4185"/>
    <mergeCell ref="H4182:H4185"/>
    <mergeCell ref="W4182:W4185"/>
    <mergeCell ref="X4182:X4185"/>
    <mergeCell ref="Y4182:Y4185"/>
    <mergeCell ref="A4186:A4189"/>
    <mergeCell ref="B4186:B4189"/>
    <mergeCell ref="C4186:C4189"/>
    <mergeCell ref="D4186:D4189"/>
    <mergeCell ref="E4186:E4189"/>
    <mergeCell ref="F4186:F4189"/>
    <mergeCell ref="G4186:G4189"/>
    <mergeCell ref="H4186:H4189"/>
    <mergeCell ref="W4186:W4189"/>
    <mergeCell ref="X4186:X4189"/>
    <mergeCell ref="Y4186:Y4189"/>
    <mergeCell ref="A4190:A4193"/>
    <mergeCell ref="B4190:B4193"/>
    <mergeCell ref="C4190:C4193"/>
    <mergeCell ref="D4190:D4193"/>
    <mergeCell ref="E4190:E4193"/>
    <mergeCell ref="F4190:F4193"/>
    <mergeCell ref="G4190:G4193"/>
    <mergeCell ref="H4190:H4193"/>
    <mergeCell ref="W4190:W4193"/>
    <mergeCell ref="X4190:X4193"/>
    <mergeCell ref="Y4190:Y4193"/>
    <mergeCell ref="A4194:A4197"/>
    <mergeCell ref="B4194:B4197"/>
    <mergeCell ref="C4194:C4197"/>
    <mergeCell ref="D4194:D4197"/>
    <mergeCell ref="E4194:E4197"/>
    <mergeCell ref="F4194:F4197"/>
    <mergeCell ref="G4194:G4197"/>
    <mergeCell ref="H4194:H4197"/>
    <mergeCell ref="W4194:W4197"/>
    <mergeCell ref="X4194:X4197"/>
    <mergeCell ref="Y4194:Y4197"/>
    <mergeCell ref="A4198:A4201"/>
    <mergeCell ref="B4198:B4201"/>
    <mergeCell ref="C4198:C4201"/>
    <mergeCell ref="D4198:D4201"/>
    <mergeCell ref="E4198:E4201"/>
    <mergeCell ref="F4198:F4201"/>
    <mergeCell ref="G4198:G4201"/>
    <mergeCell ref="H4198:H4201"/>
    <mergeCell ref="W4198:W4201"/>
    <mergeCell ref="X4198:X4201"/>
    <mergeCell ref="Y4198:Y4201"/>
    <mergeCell ref="A4202:A4205"/>
    <mergeCell ref="B4202:B4205"/>
    <mergeCell ref="C4202:C4205"/>
    <mergeCell ref="D4202:D4205"/>
    <mergeCell ref="E4202:E4205"/>
    <mergeCell ref="F4202:F4205"/>
    <mergeCell ref="G4202:G4205"/>
    <mergeCell ref="H4202:H4205"/>
    <mergeCell ref="W4202:W4205"/>
    <mergeCell ref="X4202:X4205"/>
    <mergeCell ref="Y4202:Y4205"/>
    <mergeCell ref="A4206:A4209"/>
    <mergeCell ref="B4206:B4209"/>
    <mergeCell ref="C4206:C4209"/>
    <mergeCell ref="D4206:D4209"/>
    <mergeCell ref="E4206:E4209"/>
    <mergeCell ref="F4206:F4209"/>
    <mergeCell ref="G4206:G4209"/>
    <mergeCell ref="H4206:H4209"/>
    <mergeCell ref="W4206:W4209"/>
    <mergeCell ref="X4206:X4209"/>
    <mergeCell ref="Y4206:Y4209"/>
    <mergeCell ref="A4210:A4213"/>
    <mergeCell ref="B4210:B4213"/>
    <mergeCell ref="C4210:C4213"/>
    <mergeCell ref="D4210:D4213"/>
    <mergeCell ref="E4210:E4213"/>
    <mergeCell ref="F4210:F4213"/>
    <mergeCell ref="G4210:G4213"/>
    <mergeCell ref="H4210:H4213"/>
    <mergeCell ref="W4210:W4213"/>
    <mergeCell ref="X4210:X4213"/>
    <mergeCell ref="Y4210:Y4213"/>
    <mergeCell ref="A4214:A4217"/>
    <mergeCell ref="B4214:B4217"/>
    <mergeCell ref="C4214:C4217"/>
    <mergeCell ref="D4214:D4217"/>
    <mergeCell ref="E4214:E4217"/>
    <mergeCell ref="F4214:F4217"/>
    <mergeCell ref="G4214:G4217"/>
    <mergeCell ref="H4214:H4217"/>
    <mergeCell ref="W4214:W4217"/>
    <mergeCell ref="X4214:X4217"/>
    <mergeCell ref="Y4214:Y4217"/>
    <mergeCell ref="A4218:A4221"/>
    <mergeCell ref="B4218:B4221"/>
    <mergeCell ref="C4218:C4221"/>
    <mergeCell ref="D4218:D4221"/>
    <mergeCell ref="E4218:E4221"/>
    <mergeCell ref="F4218:F4221"/>
    <mergeCell ref="G4218:G4221"/>
    <mergeCell ref="H4218:H4221"/>
    <mergeCell ref="W4218:W4221"/>
    <mergeCell ref="X4218:X4221"/>
    <mergeCell ref="Y4218:Y4221"/>
    <mergeCell ref="A4222:A4225"/>
    <mergeCell ref="B4222:B4225"/>
    <mergeCell ref="C4222:C4225"/>
    <mergeCell ref="D4222:D4225"/>
    <mergeCell ref="E4222:E4225"/>
    <mergeCell ref="F4222:F4225"/>
    <mergeCell ref="G4222:G4225"/>
    <mergeCell ref="H4222:H4225"/>
    <mergeCell ref="W4222:W4225"/>
    <mergeCell ref="X4222:X4225"/>
    <mergeCell ref="Y4222:Y4225"/>
    <mergeCell ref="A4226:A4229"/>
    <mergeCell ref="B4226:B4229"/>
    <mergeCell ref="C4226:C4229"/>
    <mergeCell ref="D4226:D4229"/>
    <mergeCell ref="E4226:E4229"/>
    <mergeCell ref="F4226:F4229"/>
    <mergeCell ref="G4226:G4229"/>
    <mergeCell ref="H4226:H4229"/>
    <mergeCell ref="W4226:W4229"/>
    <mergeCell ref="X4226:X4229"/>
    <mergeCell ref="Y4226:Y4229"/>
    <mergeCell ref="A4230:A4233"/>
    <mergeCell ref="B4230:B4233"/>
    <mergeCell ref="C4230:C4233"/>
    <mergeCell ref="D4230:D4233"/>
    <mergeCell ref="E4230:E4233"/>
    <mergeCell ref="F4230:F4233"/>
    <mergeCell ref="G4230:G4233"/>
    <mergeCell ref="H4230:H4233"/>
    <mergeCell ref="W4230:W4233"/>
    <mergeCell ref="X4230:X4233"/>
    <mergeCell ref="Y4230:Y4233"/>
    <mergeCell ref="A4234:A4237"/>
    <mergeCell ref="B4234:B4237"/>
    <mergeCell ref="C4234:C4237"/>
    <mergeCell ref="D4234:D4237"/>
    <mergeCell ref="E4234:E4237"/>
    <mergeCell ref="F4234:F4237"/>
    <mergeCell ref="G4234:G4237"/>
    <mergeCell ref="H4234:H4237"/>
    <mergeCell ref="W4234:W4237"/>
    <mergeCell ref="X4234:X4237"/>
    <mergeCell ref="Y4234:Y4237"/>
    <mergeCell ref="A4238:A4241"/>
    <mergeCell ref="B4238:B4241"/>
    <mergeCell ref="C4238:C4241"/>
    <mergeCell ref="D4238:D4241"/>
    <mergeCell ref="E4238:E4241"/>
    <mergeCell ref="F4238:F4241"/>
    <mergeCell ref="G4238:G4241"/>
    <mergeCell ref="H4238:H4241"/>
    <mergeCell ref="W4238:W4241"/>
    <mergeCell ref="X4238:X4241"/>
    <mergeCell ref="Y4238:Y4241"/>
    <mergeCell ref="A4242:A4245"/>
    <mergeCell ref="B4242:B4245"/>
    <mergeCell ref="C4242:C4245"/>
    <mergeCell ref="D4242:D4245"/>
    <mergeCell ref="E4242:E4245"/>
    <mergeCell ref="F4242:F4245"/>
    <mergeCell ref="G4242:G4245"/>
    <mergeCell ref="H4242:H4245"/>
    <mergeCell ref="W4242:W4245"/>
    <mergeCell ref="X4242:X4245"/>
    <mergeCell ref="Y4242:Y4245"/>
    <mergeCell ref="A4246:A4249"/>
    <mergeCell ref="B4246:B4249"/>
    <mergeCell ref="C4246:C4249"/>
    <mergeCell ref="D4246:D4249"/>
    <mergeCell ref="E4246:E4249"/>
    <mergeCell ref="F4246:F4249"/>
    <mergeCell ref="G4246:G4249"/>
    <mergeCell ref="H4246:H4249"/>
    <mergeCell ref="W4246:W4249"/>
    <mergeCell ref="X4246:X4249"/>
    <mergeCell ref="Y4246:Y4249"/>
    <mergeCell ref="A4250:A4253"/>
    <mergeCell ref="B4250:B4253"/>
    <mergeCell ref="C4250:C4253"/>
    <mergeCell ref="D4250:D4253"/>
    <mergeCell ref="E4250:E4253"/>
    <mergeCell ref="F4250:F4253"/>
    <mergeCell ref="G4250:G4253"/>
    <mergeCell ref="H4250:H4253"/>
    <mergeCell ref="W4250:W4253"/>
    <mergeCell ref="X4250:X4253"/>
    <mergeCell ref="Y4250:Y4253"/>
    <mergeCell ref="A4254:A4257"/>
    <mergeCell ref="B4254:B4257"/>
    <mergeCell ref="C4254:C4257"/>
    <mergeCell ref="D4254:D4257"/>
    <mergeCell ref="E4254:E4257"/>
    <mergeCell ref="F4254:F4257"/>
    <mergeCell ref="G4254:G4257"/>
    <mergeCell ref="H4254:H4257"/>
    <mergeCell ref="W4254:W4257"/>
    <mergeCell ref="X4254:X4257"/>
    <mergeCell ref="Y4254:Y4257"/>
    <mergeCell ref="A4258:A4261"/>
    <mergeCell ref="B4258:B4261"/>
    <mergeCell ref="C4258:C4261"/>
    <mergeCell ref="D4258:D4261"/>
    <mergeCell ref="E4258:E4261"/>
    <mergeCell ref="F4258:F4261"/>
    <mergeCell ref="G4258:G4261"/>
    <mergeCell ref="H4258:H4261"/>
    <mergeCell ref="W4258:W4261"/>
    <mergeCell ref="X4258:X4261"/>
    <mergeCell ref="Y4258:Y4261"/>
    <mergeCell ref="A4262:A4265"/>
    <mergeCell ref="B4262:B4265"/>
    <mergeCell ref="C4262:C4265"/>
    <mergeCell ref="D4262:D4265"/>
    <mergeCell ref="E4262:E4265"/>
    <mergeCell ref="F4262:F4265"/>
    <mergeCell ref="G4262:G4265"/>
    <mergeCell ref="H4262:H4265"/>
    <mergeCell ref="W4262:W4265"/>
    <mergeCell ref="X4262:X4265"/>
    <mergeCell ref="Y4262:Y4265"/>
    <mergeCell ref="A4266:A4269"/>
    <mergeCell ref="B4266:B4269"/>
    <mergeCell ref="C4266:C4269"/>
    <mergeCell ref="D4266:D4269"/>
    <mergeCell ref="E4266:E4269"/>
    <mergeCell ref="F4266:F4269"/>
    <mergeCell ref="G4266:G4269"/>
    <mergeCell ref="H4266:H4269"/>
    <mergeCell ref="W4266:W4269"/>
    <mergeCell ref="X4266:X4269"/>
    <mergeCell ref="Y4266:Y4269"/>
    <mergeCell ref="A4270:A4273"/>
    <mergeCell ref="B4270:B4273"/>
    <mergeCell ref="C4270:C4273"/>
    <mergeCell ref="D4270:D4273"/>
    <mergeCell ref="E4270:E4273"/>
    <mergeCell ref="F4270:F4273"/>
    <mergeCell ref="G4270:G4273"/>
    <mergeCell ref="H4270:H4273"/>
    <mergeCell ref="W4270:W4273"/>
    <mergeCell ref="X4270:X4273"/>
    <mergeCell ref="Y4270:Y4273"/>
    <mergeCell ref="A4274:A4277"/>
    <mergeCell ref="B4274:B4277"/>
    <mergeCell ref="C4274:C4277"/>
    <mergeCell ref="D4274:D4277"/>
    <mergeCell ref="E4274:E4277"/>
    <mergeCell ref="F4274:F4277"/>
    <mergeCell ref="G4274:G4277"/>
    <mergeCell ref="H4274:H4277"/>
    <mergeCell ref="W4274:W4277"/>
    <mergeCell ref="X4274:X4277"/>
    <mergeCell ref="Y4274:Y4277"/>
    <mergeCell ref="A4278:A4281"/>
    <mergeCell ref="B4278:B4281"/>
    <mergeCell ref="C4278:C4281"/>
    <mergeCell ref="D4278:D4281"/>
    <mergeCell ref="E4278:E4281"/>
    <mergeCell ref="F4278:F4281"/>
    <mergeCell ref="G4278:G4281"/>
    <mergeCell ref="H4278:H4281"/>
    <mergeCell ref="W4278:W4281"/>
    <mergeCell ref="X4278:X4281"/>
    <mergeCell ref="Y4278:Y4281"/>
    <mergeCell ref="A4282:A4285"/>
    <mergeCell ref="B4282:B4285"/>
    <mergeCell ref="C4282:C4285"/>
    <mergeCell ref="D4282:D4285"/>
    <mergeCell ref="E4282:E4285"/>
    <mergeCell ref="F4282:F4285"/>
    <mergeCell ref="G4282:G4285"/>
    <mergeCell ref="H4282:H4285"/>
    <mergeCell ref="W4282:W4285"/>
    <mergeCell ref="X4282:X4285"/>
    <mergeCell ref="Y4282:Y4285"/>
    <mergeCell ref="A4286:A4289"/>
    <mergeCell ref="B4286:B4289"/>
    <mergeCell ref="C4286:C4289"/>
    <mergeCell ref="D4286:D4289"/>
    <mergeCell ref="E4286:E4289"/>
    <mergeCell ref="F4286:F4289"/>
    <mergeCell ref="G4286:G4289"/>
    <mergeCell ref="H4286:H4289"/>
    <mergeCell ref="W4286:W4289"/>
    <mergeCell ref="X4286:X4289"/>
    <mergeCell ref="Y4286:Y4289"/>
    <mergeCell ref="A4290:A4293"/>
    <mergeCell ref="B4290:B4293"/>
    <mergeCell ref="C4290:C4293"/>
    <mergeCell ref="D4290:D4293"/>
    <mergeCell ref="E4290:E4293"/>
    <mergeCell ref="F4290:F4293"/>
    <mergeCell ref="G4290:G4293"/>
    <mergeCell ref="H4290:H4293"/>
    <mergeCell ref="W4290:W4293"/>
    <mergeCell ref="X4290:X4293"/>
    <mergeCell ref="Y4290:Y4293"/>
    <mergeCell ref="A4294:A4297"/>
    <mergeCell ref="B4294:B4297"/>
    <mergeCell ref="C4294:C4297"/>
    <mergeCell ref="D4294:D4297"/>
    <mergeCell ref="E4294:E4297"/>
    <mergeCell ref="F4294:F4297"/>
    <mergeCell ref="G4294:G4297"/>
    <mergeCell ref="H4294:H4297"/>
    <mergeCell ref="W4294:W4297"/>
    <mergeCell ref="X4294:X4297"/>
    <mergeCell ref="Y4294:Y4297"/>
    <mergeCell ref="A4298:A4301"/>
    <mergeCell ref="B4298:B4301"/>
    <mergeCell ref="C4298:C4301"/>
    <mergeCell ref="D4298:D4301"/>
    <mergeCell ref="E4298:E4301"/>
    <mergeCell ref="F4298:F4301"/>
    <mergeCell ref="G4298:G4301"/>
    <mergeCell ref="H4298:H4301"/>
    <mergeCell ref="W4298:W4301"/>
    <mergeCell ref="X4298:X4301"/>
    <mergeCell ref="Y4298:Y4301"/>
    <mergeCell ref="A4302:A4305"/>
    <mergeCell ref="B4302:B4305"/>
    <mergeCell ref="C4302:C4305"/>
    <mergeCell ref="D4302:D4305"/>
    <mergeCell ref="E4302:E4305"/>
    <mergeCell ref="F4302:F4305"/>
    <mergeCell ref="G4302:G4305"/>
    <mergeCell ref="H4302:H4305"/>
    <mergeCell ref="W4302:W4305"/>
    <mergeCell ref="X4302:X4305"/>
    <mergeCell ref="Y4302:Y4305"/>
    <mergeCell ref="A4306:A4309"/>
    <mergeCell ref="B4306:B4309"/>
    <mergeCell ref="C4306:C4309"/>
    <mergeCell ref="D4306:D4309"/>
    <mergeCell ref="E4306:E4309"/>
    <mergeCell ref="F4306:F4309"/>
    <mergeCell ref="G4306:G4309"/>
    <mergeCell ref="H4306:H4309"/>
    <mergeCell ref="W4306:W4309"/>
    <mergeCell ref="X4306:X4309"/>
    <mergeCell ref="Y4306:Y4309"/>
    <mergeCell ref="A4310:A4313"/>
    <mergeCell ref="B4310:B4313"/>
    <mergeCell ref="C4310:C4313"/>
    <mergeCell ref="D4310:D4313"/>
    <mergeCell ref="E4310:E4313"/>
    <mergeCell ref="F4310:F4313"/>
    <mergeCell ref="G4310:G4313"/>
    <mergeCell ref="H4310:H4313"/>
    <mergeCell ref="W4310:W4313"/>
    <mergeCell ref="X4310:X4313"/>
    <mergeCell ref="Y4310:Y4313"/>
    <mergeCell ref="A4314:A4317"/>
    <mergeCell ref="B4314:B4317"/>
    <mergeCell ref="C4314:C4317"/>
    <mergeCell ref="D4314:D4317"/>
    <mergeCell ref="E4314:E4317"/>
    <mergeCell ref="F4314:F4317"/>
    <mergeCell ref="G4314:G4317"/>
    <mergeCell ref="H4314:H4317"/>
    <mergeCell ref="W4314:W4317"/>
    <mergeCell ref="X4314:X4317"/>
    <mergeCell ref="Y4314:Y4317"/>
    <mergeCell ref="A4318:A4321"/>
    <mergeCell ref="B4318:B4321"/>
    <mergeCell ref="C4318:C4321"/>
    <mergeCell ref="D4318:D4321"/>
    <mergeCell ref="E4318:E4321"/>
    <mergeCell ref="F4318:F4321"/>
    <mergeCell ref="G4318:G4321"/>
    <mergeCell ref="H4318:H4321"/>
    <mergeCell ref="W4318:W4321"/>
    <mergeCell ref="X4318:X4321"/>
    <mergeCell ref="Y4318:Y4321"/>
    <mergeCell ref="A4322:A4325"/>
    <mergeCell ref="B4322:B4325"/>
    <mergeCell ref="C4322:C4325"/>
    <mergeCell ref="D4322:D4325"/>
    <mergeCell ref="E4322:E4325"/>
    <mergeCell ref="F4322:F4325"/>
    <mergeCell ref="G4322:G4325"/>
    <mergeCell ref="H4322:H4325"/>
    <mergeCell ref="W4322:W4325"/>
    <mergeCell ref="X4322:X4325"/>
    <mergeCell ref="Y4322:Y4325"/>
    <mergeCell ref="A4326:A4329"/>
    <mergeCell ref="B4326:B4329"/>
    <mergeCell ref="C4326:C4329"/>
    <mergeCell ref="D4326:D4329"/>
    <mergeCell ref="E4326:E4329"/>
    <mergeCell ref="F4326:F4329"/>
    <mergeCell ref="G4326:G4329"/>
    <mergeCell ref="H4326:H4329"/>
    <mergeCell ref="W4326:W4329"/>
    <mergeCell ref="X4326:X4329"/>
    <mergeCell ref="Y4326:Y4329"/>
    <mergeCell ref="A4330:A4333"/>
    <mergeCell ref="B4330:B4333"/>
    <mergeCell ref="C4330:C4333"/>
    <mergeCell ref="D4330:D4333"/>
    <mergeCell ref="E4330:E4333"/>
    <mergeCell ref="F4330:F4333"/>
    <mergeCell ref="G4330:G4333"/>
    <mergeCell ref="H4330:H4333"/>
    <mergeCell ref="W4330:W4333"/>
    <mergeCell ref="X4330:X4333"/>
    <mergeCell ref="Y4330:Y4333"/>
    <mergeCell ref="A4334:A4337"/>
    <mergeCell ref="B4334:B4337"/>
    <mergeCell ref="C4334:C4337"/>
    <mergeCell ref="D4334:D4337"/>
    <mergeCell ref="E4334:E4337"/>
    <mergeCell ref="F4334:F4337"/>
    <mergeCell ref="G4334:G4337"/>
    <mergeCell ref="H4334:H4337"/>
    <mergeCell ref="W4334:W4337"/>
    <mergeCell ref="X4334:X4337"/>
    <mergeCell ref="Y4334:Y4337"/>
    <mergeCell ref="A4338:A4341"/>
    <mergeCell ref="B4338:B4341"/>
    <mergeCell ref="C4338:C4341"/>
    <mergeCell ref="D4338:D4341"/>
    <mergeCell ref="E4338:E4341"/>
    <mergeCell ref="F4338:F4341"/>
    <mergeCell ref="G4338:G4341"/>
    <mergeCell ref="H4338:H4341"/>
    <mergeCell ref="W4338:W4341"/>
    <mergeCell ref="X4338:X4341"/>
    <mergeCell ref="Y4338:Y4341"/>
    <mergeCell ref="A4342:A4345"/>
    <mergeCell ref="B4342:B4345"/>
    <mergeCell ref="C4342:C4345"/>
    <mergeCell ref="D4342:D4345"/>
    <mergeCell ref="E4342:E4345"/>
    <mergeCell ref="F4342:F4345"/>
    <mergeCell ref="G4342:G4345"/>
    <mergeCell ref="H4342:H4345"/>
    <mergeCell ref="W4342:W4345"/>
    <mergeCell ref="X4342:X4345"/>
    <mergeCell ref="Y4342:Y4345"/>
    <mergeCell ref="A4346:A4349"/>
    <mergeCell ref="B4346:B4349"/>
    <mergeCell ref="C4346:C4349"/>
    <mergeCell ref="D4346:D4349"/>
    <mergeCell ref="E4346:E4349"/>
    <mergeCell ref="F4346:F4349"/>
    <mergeCell ref="G4346:G4349"/>
    <mergeCell ref="H4346:H4349"/>
    <mergeCell ref="W4346:W4349"/>
    <mergeCell ref="X4346:X4349"/>
    <mergeCell ref="Y4346:Y4349"/>
    <mergeCell ref="A4350:A4353"/>
    <mergeCell ref="B4350:B4353"/>
    <mergeCell ref="C4350:C4353"/>
    <mergeCell ref="D4350:D4353"/>
    <mergeCell ref="E4350:E4353"/>
    <mergeCell ref="F4350:F4353"/>
    <mergeCell ref="G4350:G4353"/>
    <mergeCell ref="H4350:H4353"/>
    <mergeCell ref="W4350:W4353"/>
    <mergeCell ref="X4350:X4353"/>
    <mergeCell ref="Y4350:Y4353"/>
    <mergeCell ref="A4354:A4357"/>
    <mergeCell ref="B4354:B4357"/>
    <mergeCell ref="C4354:C4357"/>
    <mergeCell ref="D4354:D4357"/>
    <mergeCell ref="E4354:E4357"/>
    <mergeCell ref="F4354:F4357"/>
    <mergeCell ref="G4354:G4357"/>
    <mergeCell ref="H4354:H4357"/>
    <mergeCell ref="W4354:W4357"/>
    <mergeCell ref="X4354:X4357"/>
    <mergeCell ref="Y4354:Y4357"/>
    <mergeCell ref="A4358:A4361"/>
    <mergeCell ref="B4358:B4361"/>
    <mergeCell ref="C4358:C4361"/>
    <mergeCell ref="D4358:D4361"/>
    <mergeCell ref="E4358:E4361"/>
    <mergeCell ref="F4358:F4361"/>
    <mergeCell ref="G4358:G4361"/>
    <mergeCell ref="H4358:H4361"/>
    <mergeCell ref="W4358:W4361"/>
    <mergeCell ref="X4358:X4361"/>
    <mergeCell ref="Y4358:Y4361"/>
    <mergeCell ref="A4362:A4365"/>
    <mergeCell ref="B4362:B4365"/>
    <mergeCell ref="C4362:C4365"/>
    <mergeCell ref="D4362:D4365"/>
    <mergeCell ref="E4362:E4365"/>
    <mergeCell ref="F4362:F4365"/>
    <mergeCell ref="G4362:G4365"/>
    <mergeCell ref="H4362:H4365"/>
    <mergeCell ref="W4362:W4365"/>
    <mergeCell ref="X4362:X4365"/>
    <mergeCell ref="Y4362:Y4365"/>
    <mergeCell ref="A4366:A4369"/>
    <mergeCell ref="B4366:B4369"/>
    <mergeCell ref="C4366:C4369"/>
    <mergeCell ref="D4366:D4369"/>
    <mergeCell ref="E4366:E4369"/>
    <mergeCell ref="F4366:F4369"/>
    <mergeCell ref="G4366:G4369"/>
    <mergeCell ref="H4366:H4369"/>
    <mergeCell ref="W4366:W4369"/>
    <mergeCell ref="X4366:X4369"/>
    <mergeCell ref="Y4366:Y4369"/>
    <mergeCell ref="A4370:A4373"/>
    <mergeCell ref="B4370:B4373"/>
    <mergeCell ref="C4370:C4373"/>
    <mergeCell ref="D4370:D4373"/>
    <mergeCell ref="E4370:E4373"/>
    <mergeCell ref="F4370:F4373"/>
    <mergeCell ref="G4370:G4373"/>
    <mergeCell ref="H4370:H4373"/>
    <mergeCell ref="W4370:W4373"/>
    <mergeCell ref="X4370:X4373"/>
    <mergeCell ref="Y4370:Y4373"/>
    <mergeCell ref="A4374:A4377"/>
    <mergeCell ref="B4374:B4377"/>
    <mergeCell ref="C4374:C4377"/>
    <mergeCell ref="D4374:D4377"/>
    <mergeCell ref="E4374:E4377"/>
    <mergeCell ref="F4374:F4377"/>
    <mergeCell ref="G4374:G4377"/>
    <mergeCell ref="H4374:H4377"/>
    <mergeCell ref="W4374:W4377"/>
    <mergeCell ref="X4374:X4377"/>
    <mergeCell ref="Y4374:Y4377"/>
    <mergeCell ref="A4378:A4381"/>
    <mergeCell ref="B4378:B4381"/>
    <mergeCell ref="C4378:C4381"/>
    <mergeCell ref="D4378:D4381"/>
    <mergeCell ref="E4378:E4381"/>
    <mergeCell ref="F4378:F4381"/>
    <mergeCell ref="G4378:G4381"/>
    <mergeCell ref="H4378:H4381"/>
    <mergeCell ref="W4378:W4381"/>
    <mergeCell ref="X4378:X4381"/>
    <mergeCell ref="Y4378:Y4381"/>
    <mergeCell ref="A4382:A4385"/>
    <mergeCell ref="B4382:B4385"/>
    <mergeCell ref="C4382:C4385"/>
    <mergeCell ref="D4382:D4385"/>
    <mergeCell ref="E4382:E4385"/>
    <mergeCell ref="F4382:F4385"/>
    <mergeCell ref="G4382:G4385"/>
    <mergeCell ref="H4382:H4385"/>
    <mergeCell ref="W4382:W4385"/>
    <mergeCell ref="X4382:X4385"/>
    <mergeCell ref="Y4382:Y4385"/>
    <mergeCell ref="A4386:A4389"/>
    <mergeCell ref="B4386:B4389"/>
    <mergeCell ref="C4386:C4389"/>
    <mergeCell ref="D4386:D4389"/>
    <mergeCell ref="E4386:E4389"/>
    <mergeCell ref="F4386:F4389"/>
    <mergeCell ref="G4386:G4389"/>
    <mergeCell ref="H4386:H4389"/>
    <mergeCell ref="W4386:W4389"/>
    <mergeCell ref="X4386:X4389"/>
    <mergeCell ref="Y4386:Y4389"/>
    <mergeCell ref="A4390:A4393"/>
    <mergeCell ref="B4390:B4393"/>
    <mergeCell ref="C4390:C4393"/>
    <mergeCell ref="D4390:D4393"/>
    <mergeCell ref="E4390:E4393"/>
    <mergeCell ref="F4390:F4393"/>
    <mergeCell ref="G4390:G4393"/>
    <mergeCell ref="H4390:H4393"/>
    <mergeCell ref="W4390:W4393"/>
    <mergeCell ref="X4390:X4393"/>
    <mergeCell ref="Y4390:Y4393"/>
    <mergeCell ref="A4394:A4397"/>
    <mergeCell ref="B4394:B4397"/>
    <mergeCell ref="C4394:C4397"/>
    <mergeCell ref="D4394:D4397"/>
    <mergeCell ref="E4394:E4397"/>
    <mergeCell ref="F4394:F4397"/>
    <mergeCell ref="G4394:G4397"/>
    <mergeCell ref="H4394:H4397"/>
    <mergeCell ref="W4394:W4397"/>
    <mergeCell ref="X4394:X4397"/>
    <mergeCell ref="Y4394:Y4397"/>
    <mergeCell ref="A4398:A4401"/>
    <mergeCell ref="B4398:B4401"/>
    <mergeCell ref="C4398:C4401"/>
    <mergeCell ref="D4398:D4401"/>
    <mergeCell ref="E4398:E4401"/>
    <mergeCell ref="F4398:F4401"/>
    <mergeCell ref="G4398:G4401"/>
    <mergeCell ref="H4398:H4401"/>
    <mergeCell ref="W4398:W4401"/>
    <mergeCell ref="X4398:X4401"/>
    <mergeCell ref="Y4398:Y4401"/>
    <mergeCell ref="A4402:A4405"/>
    <mergeCell ref="B4402:B4405"/>
    <mergeCell ref="C4402:C4405"/>
    <mergeCell ref="D4402:D4405"/>
    <mergeCell ref="E4402:E4405"/>
    <mergeCell ref="F4402:F4405"/>
    <mergeCell ref="G4402:G4405"/>
    <mergeCell ref="H4402:H4405"/>
    <mergeCell ref="W4402:W4405"/>
    <mergeCell ref="X4402:X4405"/>
    <mergeCell ref="Y4402:Y4405"/>
    <mergeCell ref="A4406:A4409"/>
    <mergeCell ref="B4406:B4409"/>
    <mergeCell ref="C4406:C4409"/>
    <mergeCell ref="D4406:D4409"/>
    <mergeCell ref="E4406:E4409"/>
    <mergeCell ref="F4406:F4409"/>
    <mergeCell ref="G4406:G4409"/>
    <mergeCell ref="H4406:H4409"/>
    <mergeCell ref="W4406:W4409"/>
    <mergeCell ref="X4406:X4409"/>
    <mergeCell ref="Y4406:Y4409"/>
    <mergeCell ref="A4410:A4413"/>
    <mergeCell ref="B4410:B4413"/>
    <mergeCell ref="C4410:C4413"/>
    <mergeCell ref="D4410:D4413"/>
    <mergeCell ref="E4410:E4413"/>
    <mergeCell ref="F4410:F4413"/>
    <mergeCell ref="G4410:G4413"/>
    <mergeCell ref="H4410:H4413"/>
    <mergeCell ref="W4410:W4413"/>
    <mergeCell ref="X4410:X4413"/>
    <mergeCell ref="Y4410:Y4413"/>
    <mergeCell ref="A4414:A4417"/>
    <mergeCell ref="B4414:B4417"/>
    <mergeCell ref="C4414:C4417"/>
    <mergeCell ref="D4414:D4417"/>
    <mergeCell ref="E4414:E4417"/>
    <mergeCell ref="F4414:F4417"/>
    <mergeCell ref="G4414:G4417"/>
    <mergeCell ref="H4414:H4417"/>
    <mergeCell ref="W4414:W4417"/>
    <mergeCell ref="X4414:X4417"/>
    <mergeCell ref="Y4414:Y4417"/>
    <mergeCell ref="A4418:A4421"/>
    <mergeCell ref="B4418:B4421"/>
    <mergeCell ref="C4418:C4421"/>
    <mergeCell ref="D4418:D4421"/>
    <mergeCell ref="E4418:E4421"/>
    <mergeCell ref="F4418:F4421"/>
    <mergeCell ref="G4418:G4421"/>
    <mergeCell ref="H4418:H4421"/>
    <mergeCell ref="W4418:W4421"/>
    <mergeCell ref="X4418:X4421"/>
    <mergeCell ref="Y4418:Y4421"/>
    <mergeCell ref="A4422:A4425"/>
    <mergeCell ref="B4422:B4425"/>
    <mergeCell ref="C4422:C4425"/>
    <mergeCell ref="D4422:D4425"/>
    <mergeCell ref="E4422:E4425"/>
    <mergeCell ref="F4422:F4425"/>
    <mergeCell ref="G4422:G4425"/>
    <mergeCell ref="H4422:H4425"/>
    <mergeCell ref="W4422:W4425"/>
    <mergeCell ref="X4422:X4425"/>
    <mergeCell ref="Y4422:Y4425"/>
    <mergeCell ref="A4426:A4429"/>
    <mergeCell ref="B4426:B4429"/>
    <mergeCell ref="C4426:C4429"/>
    <mergeCell ref="D4426:D4429"/>
    <mergeCell ref="E4426:E4429"/>
    <mergeCell ref="F4426:F4429"/>
    <mergeCell ref="G4426:G4429"/>
    <mergeCell ref="H4426:H4429"/>
    <mergeCell ref="W4426:W4429"/>
    <mergeCell ref="X4426:X4429"/>
    <mergeCell ref="Y4426:Y4429"/>
    <mergeCell ref="A4430:A4433"/>
    <mergeCell ref="B4430:B4433"/>
    <mergeCell ref="C4430:C4433"/>
    <mergeCell ref="D4430:D4433"/>
    <mergeCell ref="E4430:E4433"/>
    <mergeCell ref="F4430:F4433"/>
    <mergeCell ref="G4430:G4433"/>
    <mergeCell ref="H4430:H4433"/>
    <mergeCell ref="W4430:W4433"/>
    <mergeCell ref="X4430:X4433"/>
    <mergeCell ref="Y4430:Y4433"/>
    <mergeCell ref="A4434:A4437"/>
    <mergeCell ref="B4434:B4437"/>
    <mergeCell ref="C4434:C4437"/>
    <mergeCell ref="D4434:D4437"/>
    <mergeCell ref="E4434:E4437"/>
    <mergeCell ref="F4434:F4437"/>
    <mergeCell ref="G4434:G4437"/>
    <mergeCell ref="H4434:H4437"/>
    <mergeCell ref="W4434:W4437"/>
    <mergeCell ref="X4434:X4437"/>
    <mergeCell ref="Y4434:Y4437"/>
    <mergeCell ref="A4438:A4441"/>
    <mergeCell ref="B4438:B4441"/>
    <mergeCell ref="C4438:C4441"/>
    <mergeCell ref="D4438:D4441"/>
    <mergeCell ref="E4438:E4441"/>
    <mergeCell ref="F4438:F4441"/>
    <mergeCell ref="G4438:G4441"/>
    <mergeCell ref="H4438:H4441"/>
    <mergeCell ref="W4438:W4441"/>
    <mergeCell ref="X4438:X4441"/>
    <mergeCell ref="Y4438:Y4441"/>
    <mergeCell ref="A4442:A4445"/>
    <mergeCell ref="B4442:B4445"/>
    <mergeCell ref="C4442:C4445"/>
    <mergeCell ref="D4442:D4445"/>
    <mergeCell ref="E4442:E4445"/>
    <mergeCell ref="F4442:F4445"/>
    <mergeCell ref="G4442:G4445"/>
    <mergeCell ref="H4442:H4445"/>
    <mergeCell ref="W4442:W4445"/>
    <mergeCell ref="X4442:X4445"/>
    <mergeCell ref="Y4442:Y4445"/>
    <mergeCell ref="A4446:A4449"/>
    <mergeCell ref="B4446:B4449"/>
    <mergeCell ref="C4446:C4449"/>
    <mergeCell ref="D4446:D4449"/>
    <mergeCell ref="E4446:E4449"/>
    <mergeCell ref="F4446:F4449"/>
    <mergeCell ref="G4446:G4449"/>
    <mergeCell ref="H4446:H4449"/>
    <mergeCell ref="W4446:W4449"/>
    <mergeCell ref="X4446:X4449"/>
    <mergeCell ref="Y4446:Y4449"/>
    <mergeCell ref="A4450:A4453"/>
    <mergeCell ref="B4450:B4453"/>
    <mergeCell ref="C4450:C4453"/>
    <mergeCell ref="D4450:D4453"/>
    <mergeCell ref="E4450:E4453"/>
    <mergeCell ref="F4450:F4453"/>
    <mergeCell ref="G4450:G4453"/>
    <mergeCell ref="H4450:H4453"/>
    <mergeCell ref="W4450:W4453"/>
    <mergeCell ref="X4450:X4453"/>
    <mergeCell ref="Y4450:Y4453"/>
    <mergeCell ref="A4454:A4457"/>
    <mergeCell ref="B4454:B4457"/>
    <mergeCell ref="C4454:C4457"/>
    <mergeCell ref="D4454:D4457"/>
    <mergeCell ref="E4454:E4457"/>
    <mergeCell ref="F4454:F4457"/>
    <mergeCell ref="G4454:G4457"/>
    <mergeCell ref="H4454:H4457"/>
    <mergeCell ref="W4454:W4457"/>
    <mergeCell ref="X4454:X4457"/>
    <mergeCell ref="Y4454:Y4457"/>
    <mergeCell ref="A4458:A4461"/>
    <mergeCell ref="B4458:B4461"/>
    <mergeCell ref="C4458:C4461"/>
    <mergeCell ref="D4458:D4461"/>
    <mergeCell ref="E4458:E4461"/>
    <mergeCell ref="F4458:F4461"/>
    <mergeCell ref="G4458:G4461"/>
    <mergeCell ref="H4458:H4461"/>
    <mergeCell ref="W4458:W4461"/>
    <mergeCell ref="X4458:X4461"/>
    <mergeCell ref="Y4458:Y4461"/>
    <mergeCell ref="A4462:A4465"/>
    <mergeCell ref="B4462:B4465"/>
    <mergeCell ref="C4462:C4465"/>
    <mergeCell ref="D4462:D4465"/>
    <mergeCell ref="E4462:E4465"/>
    <mergeCell ref="F4462:F4465"/>
    <mergeCell ref="G4462:G4465"/>
    <mergeCell ref="H4462:H4465"/>
    <mergeCell ref="W4462:W4465"/>
    <mergeCell ref="X4462:X4465"/>
    <mergeCell ref="Y4462:Y4465"/>
    <mergeCell ref="A4466:A4469"/>
    <mergeCell ref="B4466:B4469"/>
    <mergeCell ref="C4466:C4469"/>
    <mergeCell ref="D4466:D4469"/>
    <mergeCell ref="E4466:E4469"/>
    <mergeCell ref="F4466:F4469"/>
    <mergeCell ref="G4466:G4469"/>
    <mergeCell ref="H4466:H4469"/>
    <mergeCell ref="W4466:W4469"/>
    <mergeCell ref="X4466:X4469"/>
    <mergeCell ref="Y4466:Y4469"/>
    <mergeCell ref="A4470:A4473"/>
    <mergeCell ref="B4470:B4473"/>
    <mergeCell ref="C4470:C4473"/>
    <mergeCell ref="D4470:D4473"/>
    <mergeCell ref="E4470:E4473"/>
    <mergeCell ref="F4470:F4473"/>
    <mergeCell ref="G4470:G4473"/>
    <mergeCell ref="H4470:H4473"/>
    <mergeCell ref="W4470:W4473"/>
    <mergeCell ref="X4470:X4473"/>
    <mergeCell ref="Y4470:Y4473"/>
    <mergeCell ref="A4474:A4477"/>
    <mergeCell ref="B4474:B4477"/>
    <mergeCell ref="C4474:C4477"/>
    <mergeCell ref="D4474:D4477"/>
    <mergeCell ref="E4474:E4477"/>
    <mergeCell ref="F4474:F4477"/>
    <mergeCell ref="G4474:G4477"/>
    <mergeCell ref="H4474:H4477"/>
    <mergeCell ref="W4474:W4477"/>
    <mergeCell ref="X4474:X4477"/>
    <mergeCell ref="Y4474:Y4477"/>
    <mergeCell ref="A4478:A4481"/>
    <mergeCell ref="B4478:B4481"/>
    <mergeCell ref="C4478:C4481"/>
    <mergeCell ref="D4478:D4481"/>
    <mergeCell ref="E4478:E4481"/>
    <mergeCell ref="F4478:F4481"/>
    <mergeCell ref="G4478:G4481"/>
    <mergeCell ref="H4478:H4481"/>
    <mergeCell ref="W4478:W4481"/>
    <mergeCell ref="X4478:X4481"/>
    <mergeCell ref="Y4478:Y4481"/>
    <mergeCell ref="A4482:A4485"/>
    <mergeCell ref="B4482:B4485"/>
    <mergeCell ref="C4482:C4485"/>
    <mergeCell ref="D4482:D4485"/>
    <mergeCell ref="E4482:E4485"/>
    <mergeCell ref="F4482:F4485"/>
    <mergeCell ref="G4482:G4485"/>
    <mergeCell ref="H4482:H4485"/>
    <mergeCell ref="W4482:W4485"/>
    <mergeCell ref="X4482:X4485"/>
    <mergeCell ref="Y4482:Y4485"/>
    <mergeCell ref="A4486:A4489"/>
    <mergeCell ref="B4486:B4489"/>
    <mergeCell ref="C4486:C4489"/>
    <mergeCell ref="D4486:D4489"/>
    <mergeCell ref="E4486:E4489"/>
    <mergeCell ref="F4486:F4489"/>
    <mergeCell ref="G4486:G4489"/>
    <mergeCell ref="H4486:H4489"/>
    <mergeCell ref="W4486:W4489"/>
    <mergeCell ref="X4486:X4489"/>
    <mergeCell ref="Y4486:Y4489"/>
    <mergeCell ref="A4490:A4493"/>
    <mergeCell ref="B4490:B4493"/>
    <mergeCell ref="C4490:C4493"/>
    <mergeCell ref="D4490:D4493"/>
    <mergeCell ref="E4490:E4493"/>
    <mergeCell ref="F4490:F4493"/>
    <mergeCell ref="G4490:G4493"/>
    <mergeCell ref="H4490:H4493"/>
    <mergeCell ref="W4490:W4493"/>
    <mergeCell ref="X4490:X4493"/>
    <mergeCell ref="Y4490:Y4493"/>
    <mergeCell ref="A4494:A4497"/>
    <mergeCell ref="B4494:B4497"/>
    <mergeCell ref="C4494:C4497"/>
    <mergeCell ref="D4494:D4497"/>
    <mergeCell ref="E4494:E4497"/>
    <mergeCell ref="F4494:F4497"/>
    <mergeCell ref="G4494:G4497"/>
    <mergeCell ref="H4494:H4497"/>
    <mergeCell ref="W4494:W4497"/>
    <mergeCell ref="X4494:X4497"/>
    <mergeCell ref="Y4494:Y4497"/>
    <mergeCell ref="A4498:A4501"/>
    <mergeCell ref="B4498:B4501"/>
    <mergeCell ref="C4498:C4501"/>
    <mergeCell ref="D4498:D4501"/>
    <mergeCell ref="E4498:E4501"/>
    <mergeCell ref="F4498:F4501"/>
    <mergeCell ref="G4498:G4501"/>
    <mergeCell ref="H4498:H4501"/>
    <mergeCell ref="W4498:W4501"/>
    <mergeCell ref="X4498:X4501"/>
    <mergeCell ref="Y4498:Y4501"/>
    <mergeCell ref="A4502:A4505"/>
    <mergeCell ref="B4502:B4505"/>
    <mergeCell ref="C4502:C4505"/>
    <mergeCell ref="D4502:D4505"/>
    <mergeCell ref="E4502:E4505"/>
    <mergeCell ref="F4502:F4505"/>
    <mergeCell ref="G4502:G4505"/>
    <mergeCell ref="H4502:H4505"/>
    <mergeCell ref="W4502:W4505"/>
    <mergeCell ref="X4502:X4505"/>
    <mergeCell ref="Y4502:Y4505"/>
    <mergeCell ref="A4506:A4509"/>
    <mergeCell ref="B4506:B4509"/>
    <mergeCell ref="C4506:C4509"/>
    <mergeCell ref="D4506:D4509"/>
    <mergeCell ref="E4506:E4509"/>
    <mergeCell ref="F4506:F4509"/>
    <mergeCell ref="G4506:G4509"/>
    <mergeCell ref="H4506:H4509"/>
    <mergeCell ref="W4506:W4509"/>
    <mergeCell ref="X4506:X4509"/>
    <mergeCell ref="Y4506:Y4509"/>
    <mergeCell ref="A4510:A4513"/>
    <mergeCell ref="B4510:B4513"/>
    <mergeCell ref="C4510:C4513"/>
    <mergeCell ref="D4510:D4513"/>
    <mergeCell ref="E4510:E4513"/>
    <mergeCell ref="F4510:F4513"/>
    <mergeCell ref="G4510:G4513"/>
    <mergeCell ref="H4510:H4513"/>
    <mergeCell ref="W4510:W4513"/>
    <mergeCell ref="X4510:X4513"/>
    <mergeCell ref="Y4510:Y4513"/>
    <mergeCell ref="A4514:A4517"/>
    <mergeCell ref="B4514:B4517"/>
    <mergeCell ref="C4514:C4517"/>
    <mergeCell ref="D4514:D4517"/>
    <mergeCell ref="E4514:E4517"/>
    <mergeCell ref="F4514:F4517"/>
    <mergeCell ref="G4514:G4517"/>
    <mergeCell ref="H4514:H4517"/>
    <mergeCell ref="W4514:W4517"/>
    <mergeCell ref="X4514:X4517"/>
    <mergeCell ref="Y4514:Y4517"/>
    <mergeCell ref="A4518:A4521"/>
    <mergeCell ref="B4518:B4521"/>
    <mergeCell ref="C4518:C4521"/>
    <mergeCell ref="D4518:D4521"/>
    <mergeCell ref="E4518:E4521"/>
    <mergeCell ref="F4518:F4521"/>
    <mergeCell ref="G4518:G4521"/>
    <mergeCell ref="H4518:H4521"/>
    <mergeCell ref="W4518:W4521"/>
    <mergeCell ref="X4518:X4521"/>
    <mergeCell ref="Y4518:Y4521"/>
    <mergeCell ref="A4522:A4525"/>
    <mergeCell ref="B4522:B4525"/>
    <mergeCell ref="C4522:C4525"/>
    <mergeCell ref="D4522:D4525"/>
    <mergeCell ref="E4522:E4525"/>
    <mergeCell ref="F4522:F4525"/>
    <mergeCell ref="G4522:G4525"/>
    <mergeCell ref="H4522:H4525"/>
    <mergeCell ref="W4522:W4525"/>
    <mergeCell ref="X4522:X4525"/>
    <mergeCell ref="Y4522:Y4525"/>
    <mergeCell ref="A4526:A4529"/>
    <mergeCell ref="B4526:B4529"/>
    <mergeCell ref="C4526:C4529"/>
    <mergeCell ref="D4526:D4529"/>
    <mergeCell ref="E4526:E4529"/>
    <mergeCell ref="F4526:F4529"/>
    <mergeCell ref="G4526:G4529"/>
    <mergeCell ref="H4526:H4529"/>
    <mergeCell ref="W4526:W4529"/>
    <mergeCell ref="X4526:X4529"/>
    <mergeCell ref="Y4526:Y4529"/>
    <mergeCell ref="A4530:A4533"/>
    <mergeCell ref="B4530:B4533"/>
    <mergeCell ref="C4530:C4533"/>
    <mergeCell ref="D4530:D4533"/>
    <mergeCell ref="E4530:E4533"/>
    <mergeCell ref="F4530:F4533"/>
    <mergeCell ref="G4530:G4533"/>
    <mergeCell ref="H4530:H4533"/>
    <mergeCell ref="W4530:W4533"/>
    <mergeCell ref="X4530:X4533"/>
    <mergeCell ref="Y4530:Y4533"/>
    <mergeCell ref="A4534:A4537"/>
    <mergeCell ref="B4534:B4537"/>
    <mergeCell ref="C4534:C4537"/>
    <mergeCell ref="D4534:D4537"/>
    <mergeCell ref="E4534:E4537"/>
    <mergeCell ref="F4534:F4537"/>
    <mergeCell ref="G4534:G4537"/>
    <mergeCell ref="H4534:H4537"/>
    <mergeCell ref="W4534:W4537"/>
    <mergeCell ref="X4534:X4537"/>
    <mergeCell ref="Y4534:Y4537"/>
    <mergeCell ref="A4538:A4541"/>
    <mergeCell ref="B4538:B4541"/>
    <mergeCell ref="C4538:C4541"/>
    <mergeCell ref="D4538:D4541"/>
    <mergeCell ref="E4538:E4541"/>
    <mergeCell ref="F4538:F4541"/>
    <mergeCell ref="G4538:G4541"/>
    <mergeCell ref="H4538:H4541"/>
    <mergeCell ref="W4538:W4541"/>
    <mergeCell ref="X4538:X4541"/>
    <mergeCell ref="Y4538:Y4541"/>
    <mergeCell ref="A4542:A4545"/>
    <mergeCell ref="B4542:B4545"/>
    <mergeCell ref="C4542:C4545"/>
    <mergeCell ref="D4542:D4545"/>
    <mergeCell ref="E4542:E4545"/>
    <mergeCell ref="F4542:F4545"/>
    <mergeCell ref="G4542:G4545"/>
    <mergeCell ref="H4542:H4545"/>
    <mergeCell ref="W4542:W4545"/>
    <mergeCell ref="X4542:X4545"/>
    <mergeCell ref="Y4542:Y4545"/>
    <mergeCell ref="A4546:A4549"/>
    <mergeCell ref="B4546:B4549"/>
    <mergeCell ref="C4546:C4549"/>
    <mergeCell ref="D4546:D4549"/>
    <mergeCell ref="E4546:E4549"/>
    <mergeCell ref="F4546:F4549"/>
    <mergeCell ref="G4546:G4549"/>
    <mergeCell ref="H4546:H4549"/>
    <mergeCell ref="W4546:W4549"/>
    <mergeCell ref="X4546:X4549"/>
    <mergeCell ref="Y4546:Y4549"/>
    <mergeCell ref="A4550:A4553"/>
    <mergeCell ref="B4550:B4553"/>
    <mergeCell ref="C4550:C4553"/>
    <mergeCell ref="D4550:D4553"/>
    <mergeCell ref="E4550:E4553"/>
    <mergeCell ref="F4550:F4553"/>
    <mergeCell ref="G4550:G4553"/>
    <mergeCell ref="H4550:H4553"/>
    <mergeCell ref="W4550:W4553"/>
    <mergeCell ref="X4550:X4553"/>
    <mergeCell ref="Y4550:Y4553"/>
    <mergeCell ref="A4554:A4557"/>
    <mergeCell ref="B4554:B4557"/>
    <mergeCell ref="C4554:C4557"/>
    <mergeCell ref="D4554:D4557"/>
    <mergeCell ref="E4554:E4557"/>
    <mergeCell ref="F4554:F4557"/>
    <mergeCell ref="G4554:G4557"/>
    <mergeCell ref="H4554:H4557"/>
    <mergeCell ref="W4554:W4557"/>
    <mergeCell ref="X4554:X4557"/>
    <mergeCell ref="Y4554:Y4557"/>
    <mergeCell ref="A4558:A4561"/>
    <mergeCell ref="B4558:B4561"/>
    <mergeCell ref="C4558:C4561"/>
    <mergeCell ref="D4558:D4561"/>
    <mergeCell ref="E4558:E4561"/>
    <mergeCell ref="F4558:F4561"/>
    <mergeCell ref="G4558:G4561"/>
    <mergeCell ref="H4558:H4561"/>
    <mergeCell ref="W4558:W4561"/>
    <mergeCell ref="X4558:X4561"/>
    <mergeCell ref="Y4558:Y4561"/>
    <mergeCell ref="A4562:A4565"/>
    <mergeCell ref="B4562:B4565"/>
    <mergeCell ref="C4562:C4565"/>
    <mergeCell ref="D4562:D4565"/>
    <mergeCell ref="E4562:E4565"/>
    <mergeCell ref="F4562:F4565"/>
    <mergeCell ref="G4562:G4565"/>
    <mergeCell ref="H4562:H4565"/>
    <mergeCell ref="W4562:W4565"/>
    <mergeCell ref="X4562:X4565"/>
    <mergeCell ref="Y4562:Y4565"/>
    <mergeCell ref="A4566:A4569"/>
    <mergeCell ref="B4566:B4569"/>
    <mergeCell ref="C4566:C4569"/>
    <mergeCell ref="D4566:D4569"/>
    <mergeCell ref="E4566:E4569"/>
    <mergeCell ref="F4566:F4569"/>
    <mergeCell ref="G4566:G4569"/>
    <mergeCell ref="H4566:H4569"/>
    <mergeCell ref="W4566:W4569"/>
    <mergeCell ref="X4566:X4569"/>
    <mergeCell ref="Y4566:Y4569"/>
    <mergeCell ref="A4570:A4573"/>
    <mergeCell ref="B4570:B4573"/>
    <mergeCell ref="C4570:C4573"/>
    <mergeCell ref="D4570:D4573"/>
    <mergeCell ref="E4570:E4573"/>
    <mergeCell ref="F4570:F4573"/>
    <mergeCell ref="G4570:G4573"/>
    <mergeCell ref="H4570:H4573"/>
    <mergeCell ref="W4570:W4573"/>
    <mergeCell ref="X4570:X4573"/>
    <mergeCell ref="Y4570:Y4573"/>
    <mergeCell ref="A4574:A4577"/>
    <mergeCell ref="B4574:B4577"/>
    <mergeCell ref="C4574:C4577"/>
    <mergeCell ref="D4574:D4577"/>
    <mergeCell ref="E4574:E4577"/>
    <mergeCell ref="F4574:F4577"/>
    <mergeCell ref="G4574:G4577"/>
    <mergeCell ref="H4574:H4577"/>
    <mergeCell ref="W4574:W4577"/>
    <mergeCell ref="X4574:X4577"/>
    <mergeCell ref="Y4574:Y4577"/>
    <mergeCell ref="A4578:A4581"/>
    <mergeCell ref="B4578:B4581"/>
    <mergeCell ref="C4578:C4581"/>
    <mergeCell ref="D4578:D4581"/>
    <mergeCell ref="E4578:E4581"/>
    <mergeCell ref="F4578:F4581"/>
    <mergeCell ref="G4578:G4581"/>
    <mergeCell ref="H4578:H4581"/>
    <mergeCell ref="W4578:W4581"/>
    <mergeCell ref="X4578:X4581"/>
    <mergeCell ref="Y4578:Y4581"/>
    <mergeCell ref="A4582:A4585"/>
    <mergeCell ref="B4582:B4585"/>
    <mergeCell ref="C4582:C4585"/>
    <mergeCell ref="D4582:D4585"/>
    <mergeCell ref="E4582:E4585"/>
    <mergeCell ref="F4582:F4585"/>
    <mergeCell ref="G4582:G4585"/>
    <mergeCell ref="H4582:H4585"/>
    <mergeCell ref="W4582:W4585"/>
    <mergeCell ref="X4582:X4585"/>
    <mergeCell ref="Y4582:Y4585"/>
    <mergeCell ref="A4586:A4589"/>
    <mergeCell ref="B4586:B4589"/>
    <mergeCell ref="C4586:C4589"/>
    <mergeCell ref="D4586:D4589"/>
    <mergeCell ref="E4586:E4589"/>
    <mergeCell ref="F4586:F4589"/>
    <mergeCell ref="G4586:G4589"/>
    <mergeCell ref="H4586:H4589"/>
    <mergeCell ref="W4586:W4589"/>
    <mergeCell ref="X4586:X4589"/>
    <mergeCell ref="Y4586:Y4589"/>
    <mergeCell ref="A4590:A4593"/>
    <mergeCell ref="B4590:B4593"/>
    <mergeCell ref="C4590:C4593"/>
    <mergeCell ref="D4590:D4593"/>
    <mergeCell ref="E4590:E4593"/>
    <mergeCell ref="F4590:F4593"/>
    <mergeCell ref="G4590:G4593"/>
    <mergeCell ref="H4590:H4593"/>
    <mergeCell ref="W4590:W4593"/>
    <mergeCell ref="X4590:X4593"/>
    <mergeCell ref="Y4590:Y4593"/>
    <mergeCell ref="A4594:A4597"/>
    <mergeCell ref="B4594:B4597"/>
    <mergeCell ref="C4594:C4597"/>
    <mergeCell ref="D4594:D4597"/>
    <mergeCell ref="E4594:E4597"/>
    <mergeCell ref="F4594:F4597"/>
    <mergeCell ref="G4594:G4597"/>
    <mergeCell ref="H4594:H4597"/>
    <mergeCell ref="W4594:W4597"/>
    <mergeCell ref="X4594:X4597"/>
    <mergeCell ref="Y4594:Y4597"/>
    <mergeCell ref="A4598:A4601"/>
    <mergeCell ref="B4598:B4601"/>
    <mergeCell ref="C4598:C4601"/>
    <mergeCell ref="D4598:D4601"/>
    <mergeCell ref="E4598:E4601"/>
    <mergeCell ref="F4598:F4601"/>
    <mergeCell ref="G4598:G4601"/>
    <mergeCell ref="H4598:H4601"/>
    <mergeCell ref="W4598:W4601"/>
    <mergeCell ref="X4598:X4601"/>
    <mergeCell ref="Y4598:Y4601"/>
    <mergeCell ref="A4602:A4605"/>
    <mergeCell ref="B4602:B4605"/>
    <mergeCell ref="C4602:C4605"/>
    <mergeCell ref="D4602:D4605"/>
    <mergeCell ref="E4602:E4605"/>
    <mergeCell ref="F4602:F4605"/>
    <mergeCell ref="G4602:G4605"/>
    <mergeCell ref="H4602:H4605"/>
    <mergeCell ref="W4602:W4605"/>
    <mergeCell ref="X4602:X4605"/>
    <mergeCell ref="Y4602:Y4605"/>
    <mergeCell ref="A4606:A4609"/>
    <mergeCell ref="B4606:B4609"/>
    <mergeCell ref="C4606:C4609"/>
    <mergeCell ref="D4606:D4609"/>
    <mergeCell ref="E4606:E4609"/>
    <mergeCell ref="F4606:F4609"/>
    <mergeCell ref="G4606:G4609"/>
    <mergeCell ref="H4606:H4609"/>
    <mergeCell ref="W4606:W4609"/>
    <mergeCell ref="X4606:X4609"/>
    <mergeCell ref="Y4606:Y4609"/>
    <mergeCell ref="A4610:A4613"/>
    <mergeCell ref="B4610:B4613"/>
    <mergeCell ref="C4610:C4613"/>
    <mergeCell ref="D4610:D4613"/>
    <mergeCell ref="E4610:E4613"/>
    <mergeCell ref="F4610:F4613"/>
    <mergeCell ref="G4610:G4613"/>
    <mergeCell ref="H4610:H4613"/>
    <mergeCell ref="W4610:W4613"/>
    <mergeCell ref="X4610:X4613"/>
    <mergeCell ref="Y4610:Y4613"/>
    <mergeCell ref="A4614:A4617"/>
    <mergeCell ref="B4614:B4617"/>
    <mergeCell ref="C4614:C4617"/>
    <mergeCell ref="D4614:D4617"/>
    <mergeCell ref="E4614:E4617"/>
    <mergeCell ref="F4614:F4617"/>
    <mergeCell ref="G4614:G4617"/>
    <mergeCell ref="H4614:H4617"/>
    <mergeCell ref="W4614:W4617"/>
    <mergeCell ref="X4614:X4617"/>
    <mergeCell ref="Y4614:Y4617"/>
    <mergeCell ref="A4618:A4621"/>
    <mergeCell ref="B4618:B4621"/>
    <mergeCell ref="C4618:C4621"/>
    <mergeCell ref="D4618:D4621"/>
    <mergeCell ref="E4618:E4621"/>
    <mergeCell ref="F4618:F4621"/>
    <mergeCell ref="G4618:G4621"/>
    <mergeCell ref="H4618:H4621"/>
    <mergeCell ref="W4618:W4621"/>
    <mergeCell ref="X4618:X4621"/>
    <mergeCell ref="Y4618:Y4621"/>
    <mergeCell ref="A4622:A4625"/>
    <mergeCell ref="B4622:B4625"/>
    <mergeCell ref="C4622:C4625"/>
    <mergeCell ref="D4622:D4625"/>
    <mergeCell ref="E4622:E4625"/>
    <mergeCell ref="F4622:F4625"/>
    <mergeCell ref="G4622:G4625"/>
    <mergeCell ref="H4622:H4625"/>
    <mergeCell ref="W4622:W4625"/>
    <mergeCell ref="X4622:X4625"/>
    <mergeCell ref="Y4622:Y4625"/>
    <mergeCell ref="A4626:A4629"/>
    <mergeCell ref="B4626:B4629"/>
    <mergeCell ref="C4626:C4629"/>
    <mergeCell ref="D4626:D4629"/>
    <mergeCell ref="E4626:E4629"/>
    <mergeCell ref="F4626:F4629"/>
    <mergeCell ref="G4626:G4629"/>
    <mergeCell ref="H4626:H4629"/>
    <mergeCell ref="W4626:W4629"/>
    <mergeCell ref="X4626:X4629"/>
    <mergeCell ref="Y4626:Y4629"/>
    <mergeCell ref="A4630:A4633"/>
    <mergeCell ref="B4630:B4633"/>
    <mergeCell ref="C4630:C4633"/>
    <mergeCell ref="D4630:D4633"/>
    <mergeCell ref="E4630:E4633"/>
    <mergeCell ref="F4630:F4633"/>
    <mergeCell ref="G4630:G4633"/>
    <mergeCell ref="H4630:H4633"/>
    <mergeCell ref="W4630:W4633"/>
    <mergeCell ref="X4630:X4633"/>
    <mergeCell ref="Y4630:Y4633"/>
    <mergeCell ref="A4634:A4637"/>
    <mergeCell ref="B4634:B4637"/>
    <mergeCell ref="C4634:C4637"/>
    <mergeCell ref="D4634:D4637"/>
    <mergeCell ref="E4634:E4637"/>
    <mergeCell ref="F4634:F4637"/>
    <mergeCell ref="G4634:G4637"/>
    <mergeCell ref="H4634:H4637"/>
    <mergeCell ref="W4634:W4637"/>
    <mergeCell ref="X4634:X4637"/>
    <mergeCell ref="Y4634:Y4637"/>
    <mergeCell ref="A4638:A4641"/>
    <mergeCell ref="B4638:B4641"/>
    <mergeCell ref="C4638:C4641"/>
    <mergeCell ref="D4638:D4641"/>
    <mergeCell ref="E4638:E4641"/>
    <mergeCell ref="F4638:F4641"/>
    <mergeCell ref="G4638:G4641"/>
    <mergeCell ref="H4638:H4641"/>
    <mergeCell ref="W4638:W4641"/>
    <mergeCell ref="X4638:X4641"/>
    <mergeCell ref="Y4638:Y4641"/>
    <mergeCell ref="A4642:A4645"/>
    <mergeCell ref="B4642:B4645"/>
    <mergeCell ref="C4642:C4645"/>
    <mergeCell ref="D4642:D4645"/>
    <mergeCell ref="E4642:E4645"/>
    <mergeCell ref="F4642:F4645"/>
    <mergeCell ref="G4642:G4645"/>
    <mergeCell ref="H4642:H4645"/>
    <mergeCell ref="W4642:W4645"/>
    <mergeCell ref="X4642:X4645"/>
    <mergeCell ref="Y4642:Y4645"/>
    <mergeCell ref="A4646:A4649"/>
    <mergeCell ref="B4646:B4649"/>
    <mergeCell ref="C4646:C4649"/>
    <mergeCell ref="D4646:D4649"/>
    <mergeCell ref="E4646:E4649"/>
    <mergeCell ref="F4646:F4649"/>
    <mergeCell ref="G4646:G4649"/>
    <mergeCell ref="H4646:H4649"/>
    <mergeCell ref="W4646:W4649"/>
    <mergeCell ref="X4646:X4649"/>
    <mergeCell ref="Y4646:Y4649"/>
    <mergeCell ref="A4650:A4653"/>
    <mergeCell ref="B4650:B4653"/>
    <mergeCell ref="C4650:C4653"/>
    <mergeCell ref="D4650:D4653"/>
    <mergeCell ref="E4650:E4653"/>
    <mergeCell ref="F4650:F4653"/>
    <mergeCell ref="G4650:G4653"/>
    <mergeCell ref="H4650:H4653"/>
    <mergeCell ref="W4650:W4653"/>
    <mergeCell ref="X4650:X4653"/>
    <mergeCell ref="Y4650:Y4653"/>
    <mergeCell ref="A4654:A4657"/>
    <mergeCell ref="B4654:B4657"/>
    <mergeCell ref="C4654:C4657"/>
    <mergeCell ref="D4654:D4657"/>
    <mergeCell ref="E4654:E4657"/>
    <mergeCell ref="F4654:F4657"/>
    <mergeCell ref="G4654:G4657"/>
    <mergeCell ref="H4654:H4657"/>
    <mergeCell ref="W4654:W4657"/>
    <mergeCell ref="X4654:X4657"/>
    <mergeCell ref="Y4654:Y4657"/>
    <mergeCell ref="A4658:A4661"/>
    <mergeCell ref="B4658:B4661"/>
    <mergeCell ref="C4658:C4661"/>
    <mergeCell ref="D4658:D4661"/>
    <mergeCell ref="E4658:E4661"/>
    <mergeCell ref="F4658:F4661"/>
    <mergeCell ref="G4658:G4661"/>
    <mergeCell ref="H4658:H4661"/>
    <mergeCell ref="W4658:W4661"/>
    <mergeCell ref="X4658:X4661"/>
    <mergeCell ref="Y4658:Y4661"/>
    <mergeCell ref="A4662:A4665"/>
    <mergeCell ref="B4662:B4665"/>
    <mergeCell ref="C4662:C4665"/>
    <mergeCell ref="D4662:D4665"/>
    <mergeCell ref="E4662:E4665"/>
    <mergeCell ref="F4662:F4665"/>
    <mergeCell ref="G4662:G4665"/>
    <mergeCell ref="H4662:H4665"/>
    <mergeCell ref="W4662:W4665"/>
    <mergeCell ref="X4662:X4665"/>
    <mergeCell ref="Y4662:Y4665"/>
    <mergeCell ref="A4666:A4669"/>
    <mergeCell ref="B4666:B4669"/>
    <mergeCell ref="C4666:C4669"/>
    <mergeCell ref="D4666:D4669"/>
    <mergeCell ref="E4666:E4669"/>
    <mergeCell ref="F4666:F4669"/>
    <mergeCell ref="G4666:G4669"/>
    <mergeCell ref="H4666:H4669"/>
    <mergeCell ref="W4666:W4669"/>
    <mergeCell ref="X4666:X4669"/>
    <mergeCell ref="Y4666:Y4669"/>
    <mergeCell ref="A4670:A4673"/>
    <mergeCell ref="B4670:B4673"/>
    <mergeCell ref="C4670:C4673"/>
    <mergeCell ref="D4670:D4673"/>
    <mergeCell ref="E4670:E4673"/>
    <mergeCell ref="F4670:F4673"/>
    <mergeCell ref="G4670:G4673"/>
    <mergeCell ref="H4670:H4673"/>
    <mergeCell ref="W4670:W4673"/>
    <mergeCell ref="X4670:X4673"/>
    <mergeCell ref="Y4670:Y4673"/>
    <mergeCell ref="A4674:A4677"/>
    <mergeCell ref="B4674:B4677"/>
    <mergeCell ref="C4674:C4677"/>
    <mergeCell ref="D4674:D4677"/>
    <mergeCell ref="E4674:E4677"/>
    <mergeCell ref="F4674:F4677"/>
    <mergeCell ref="G4674:G4677"/>
    <mergeCell ref="H4674:H4677"/>
    <mergeCell ref="W4674:W4677"/>
    <mergeCell ref="X4674:X4677"/>
    <mergeCell ref="Y4674:Y4677"/>
    <mergeCell ref="A4678:A4681"/>
    <mergeCell ref="B4678:B4681"/>
    <mergeCell ref="C4678:C4681"/>
    <mergeCell ref="D4678:D4681"/>
    <mergeCell ref="E4678:E4681"/>
    <mergeCell ref="F4678:F4681"/>
    <mergeCell ref="G4678:G4681"/>
    <mergeCell ref="H4678:H4681"/>
    <mergeCell ref="W4678:W4681"/>
    <mergeCell ref="X4678:X4681"/>
    <mergeCell ref="Y4678:Y4681"/>
    <mergeCell ref="A4682:A4685"/>
    <mergeCell ref="B4682:B4685"/>
    <mergeCell ref="C4682:C4685"/>
    <mergeCell ref="D4682:D4685"/>
    <mergeCell ref="E4682:E4685"/>
    <mergeCell ref="F4682:F4685"/>
    <mergeCell ref="G4682:G4685"/>
    <mergeCell ref="H4682:H4685"/>
    <mergeCell ref="W4682:W4685"/>
    <mergeCell ref="X4682:X4685"/>
    <mergeCell ref="Y4682:Y4685"/>
    <mergeCell ref="A4686:A4689"/>
    <mergeCell ref="B4686:B4689"/>
    <mergeCell ref="C4686:C4689"/>
    <mergeCell ref="D4686:D4689"/>
    <mergeCell ref="E4686:E4689"/>
    <mergeCell ref="F4686:F4689"/>
    <mergeCell ref="G4686:G4689"/>
    <mergeCell ref="H4686:H4689"/>
    <mergeCell ref="W4686:W4689"/>
    <mergeCell ref="X4686:X4689"/>
    <mergeCell ref="Y4686:Y4689"/>
    <mergeCell ref="A4690:A4693"/>
    <mergeCell ref="B4690:B4693"/>
    <mergeCell ref="C4690:C4693"/>
    <mergeCell ref="D4690:D4693"/>
    <mergeCell ref="E4690:E4693"/>
    <mergeCell ref="F4690:F4693"/>
    <mergeCell ref="G4690:G4693"/>
    <mergeCell ref="H4690:H4693"/>
    <mergeCell ref="W4690:W4693"/>
    <mergeCell ref="X4690:X4693"/>
    <mergeCell ref="Y4690:Y4693"/>
    <mergeCell ref="A4694:A4697"/>
    <mergeCell ref="B4694:B4697"/>
    <mergeCell ref="C4694:C4697"/>
    <mergeCell ref="D4694:D4697"/>
    <mergeCell ref="E4694:E4697"/>
    <mergeCell ref="F4694:F4697"/>
    <mergeCell ref="G4694:G4697"/>
    <mergeCell ref="H4694:H4697"/>
    <mergeCell ref="W4694:W4697"/>
    <mergeCell ref="X4694:X4697"/>
    <mergeCell ref="Y4694:Y4697"/>
    <mergeCell ref="A4698:A4701"/>
    <mergeCell ref="B4698:B4701"/>
    <mergeCell ref="C4698:C4701"/>
    <mergeCell ref="D4698:D4701"/>
    <mergeCell ref="E4698:E4701"/>
    <mergeCell ref="F4698:F4701"/>
    <mergeCell ref="G4698:G4701"/>
    <mergeCell ref="H4698:H4701"/>
    <mergeCell ref="W4698:W4701"/>
    <mergeCell ref="X4698:X4701"/>
    <mergeCell ref="Y4698:Y4701"/>
    <mergeCell ref="A4702:A4705"/>
    <mergeCell ref="B4702:B4705"/>
    <mergeCell ref="C4702:C4705"/>
    <mergeCell ref="D4702:D4705"/>
    <mergeCell ref="E4702:E4705"/>
    <mergeCell ref="F4702:F4705"/>
    <mergeCell ref="G4702:G4705"/>
    <mergeCell ref="H4702:H4705"/>
    <mergeCell ref="W4702:W4705"/>
    <mergeCell ref="X4702:X4705"/>
    <mergeCell ref="Y4702:Y4705"/>
    <mergeCell ref="A4706:A4709"/>
    <mergeCell ref="B4706:B4709"/>
    <mergeCell ref="C4706:C4709"/>
    <mergeCell ref="D4706:D4709"/>
    <mergeCell ref="E4706:E4709"/>
    <mergeCell ref="F4706:F4709"/>
    <mergeCell ref="G4706:G4709"/>
    <mergeCell ref="H4706:H4709"/>
    <mergeCell ref="W4706:W4709"/>
    <mergeCell ref="X4706:X4709"/>
    <mergeCell ref="Y4706:Y4709"/>
    <mergeCell ref="A4710:A4713"/>
    <mergeCell ref="B4710:B4713"/>
    <mergeCell ref="C4710:C4713"/>
    <mergeCell ref="D4710:D4713"/>
    <mergeCell ref="E4710:E4713"/>
    <mergeCell ref="F4710:F4713"/>
    <mergeCell ref="G4710:G4713"/>
    <mergeCell ref="H4710:H4713"/>
    <mergeCell ref="W4710:W4713"/>
    <mergeCell ref="X4710:X4713"/>
    <mergeCell ref="Y4710:Y4713"/>
    <mergeCell ref="A4714:A4717"/>
    <mergeCell ref="B4714:B4717"/>
    <mergeCell ref="C4714:C4717"/>
    <mergeCell ref="D4714:D4717"/>
    <mergeCell ref="E4714:E4717"/>
    <mergeCell ref="F4714:F4717"/>
    <mergeCell ref="G4714:G4717"/>
    <mergeCell ref="H4714:H4717"/>
    <mergeCell ref="W4714:W4717"/>
    <mergeCell ref="X4714:X4717"/>
    <mergeCell ref="Y4714:Y4717"/>
    <mergeCell ref="A4718:A4721"/>
    <mergeCell ref="B4718:B4721"/>
    <mergeCell ref="C4718:C4721"/>
    <mergeCell ref="D4718:D4721"/>
    <mergeCell ref="E4718:E4721"/>
    <mergeCell ref="F4718:F4721"/>
    <mergeCell ref="G4718:G4721"/>
    <mergeCell ref="H4718:H4721"/>
    <mergeCell ref="W4718:W4721"/>
    <mergeCell ref="X4718:X4721"/>
    <mergeCell ref="Y4718:Y4721"/>
    <mergeCell ref="A4722:A4725"/>
    <mergeCell ref="B4722:B4725"/>
    <mergeCell ref="C4722:C4725"/>
    <mergeCell ref="D4722:D4725"/>
    <mergeCell ref="E4722:E4725"/>
    <mergeCell ref="F4722:F4725"/>
    <mergeCell ref="G4722:G4725"/>
    <mergeCell ref="H4722:H4725"/>
    <mergeCell ref="W4722:W4725"/>
    <mergeCell ref="X4722:X4725"/>
    <mergeCell ref="Y4722:Y4725"/>
    <mergeCell ref="A4726:A4729"/>
    <mergeCell ref="B4726:B4729"/>
    <mergeCell ref="C4726:C4729"/>
    <mergeCell ref="D4726:D4729"/>
    <mergeCell ref="E4726:E4729"/>
    <mergeCell ref="F4726:F4729"/>
    <mergeCell ref="G4726:G4729"/>
    <mergeCell ref="H4726:H4729"/>
    <mergeCell ref="W4726:W4729"/>
    <mergeCell ref="X4726:X4729"/>
    <mergeCell ref="Y4726:Y4729"/>
    <mergeCell ref="A4730:A4733"/>
    <mergeCell ref="B4730:B4733"/>
    <mergeCell ref="C4730:C4733"/>
    <mergeCell ref="D4730:D4733"/>
    <mergeCell ref="E4730:E4733"/>
    <mergeCell ref="F4730:F4733"/>
    <mergeCell ref="G4730:G4733"/>
    <mergeCell ref="H4730:H4733"/>
    <mergeCell ref="W4730:W4733"/>
    <mergeCell ref="X4730:X4733"/>
    <mergeCell ref="Y4730:Y4733"/>
    <mergeCell ref="A4734:A4737"/>
    <mergeCell ref="B4734:B4737"/>
    <mergeCell ref="C4734:C4737"/>
    <mergeCell ref="D4734:D4737"/>
    <mergeCell ref="E4734:E4737"/>
    <mergeCell ref="F4734:F4737"/>
    <mergeCell ref="G4734:G4737"/>
    <mergeCell ref="H4734:H4737"/>
    <mergeCell ref="W4734:W4737"/>
    <mergeCell ref="X4734:X4737"/>
    <mergeCell ref="Y4734:Y4737"/>
    <mergeCell ref="A4738:A4741"/>
    <mergeCell ref="B4738:B4741"/>
    <mergeCell ref="C4738:C4741"/>
    <mergeCell ref="D4738:D4741"/>
    <mergeCell ref="E4738:E4741"/>
    <mergeCell ref="F4738:F4741"/>
    <mergeCell ref="G4738:G4741"/>
    <mergeCell ref="H4738:H4741"/>
    <mergeCell ref="W4738:W4741"/>
    <mergeCell ref="X4738:X4741"/>
    <mergeCell ref="Y4738:Y4741"/>
    <mergeCell ref="A4742:A4745"/>
    <mergeCell ref="B4742:B4745"/>
    <mergeCell ref="C4742:C4745"/>
    <mergeCell ref="D4742:D4745"/>
    <mergeCell ref="E4742:E4745"/>
    <mergeCell ref="F4742:F4745"/>
    <mergeCell ref="G4742:G4745"/>
    <mergeCell ref="H4742:H4745"/>
    <mergeCell ref="W4742:W4745"/>
    <mergeCell ref="X4742:X4745"/>
    <mergeCell ref="Y4742:Y4745"/>
    <mergeCell ref="A4746:A4749"/>
    <mergeCell ref="B4746:B4749"/>
    <mergeCell ref="C4746:C4749"/>
    <mergeCell ref="D4746:D4749"/>
    <mergeCell ref="E4746:E4749"/>
    <mergeCell ref="F4746:F4749"/>
    <mergeCell ref="G4746:G4749"/>
    <mergeCell ref="H4746:H4749"/>
    <mergeCell ref="W4746:W4749"/>
    <mergeCell ref="X4746:X4749"/>
    <mergeCell ref="Y4746:Y4749"/>
    <mergeCell ref="A4750:A4753"/>
    <mergeCell ref="B4750:B4753"/>
    <mergeCell ref="C4750:C4753"/>
    <mergeCell ref="D4750:D4753"/>
    <mergeCell ref="E4750:E4753"/>
    <mergeCell ref="F4750:F4753"/>
    <mergeCell ref="G4750:G4753"/>
    <mergeCell ref="H4750:H4753"/>
    <mergeCell ref="W4750:W4753"/>
    <mergeCell ref="X4750:X4753"/>
    <mergeCell ref="Y4750:Y4753"/>
    <mergeCell ref="A4754:A4757"/>
    <mergeCell ref="B4754:B4757"/>
    <mergeCell ref="C4754:C4757"/>
    <mergeCell ref="D4754:D4757"/>
    <mergeCell ref="E4754:E4757"/>
    <mergeCell ref="F4754:F4757"/>
    <mergeCell ref="G4754:G4757"/>
    <mergeCell ref="H4754:H4757"/>
    <mergeCell ref="W4754:W4757"/>
    <mergeCell ref="X4754:X4757"/>
    <mergeCell ref="Y4754:Y4757"/>
    <mergeCell ref="A4758:A4761"/>
    <mergeCell ref="B4758:B4761"/>
    <mergeCell ref="C4758:C4761"/>
    <mergeCell ref="D4758:D4761"/>
    <mergeCell ref="E4758:E4761"/>
    <mergeCell ref="F4758:F4761"/>
    <mergeCell ref="G4758:G4761"/>
    <mergeCell ref="H4758:H4761"/>
    <mergeCell ref="W4758:W4761"/>
    <mergeCell ref="X4758:X4761"/>
    <mergeCell ref="Y4758:Y4761"/>
    <mergeCell ref="A4762:A4765"/>
    <mergeCell ref="B4762:B4765"/>
    <mergeCell ref="C4762:C4765"/>
    <mergeCell ref="D4762:D4765"/>
    <mergeCell ref="E4762:E4765"/>
    <mergeCell ref="F4762:F4765"/>
    <mergeCell ref="G4762:G4765"/>
    <mergeCell ref="H4762:H4765"/>
    <mergeCell ref="W4762:W4765"/>
    <mergeCell ref="X4762:X4765"/>
    <mergeCell ref="Y4762:Y4765"/>
    <mergeCell ref="A4766:A4769"/>
    <mergeCell ref="B4766:B4769"/>
    <mergeCell ref="C4766:C4769"/>
    <mergeCell ref="D4766:D4769"/>
    <mergeCell ref="E4766:E4769"/>
    <mergeCell ref="F4766:F4769"/>
    <mergeCell ref="G4766:G4769"/>
    <mergeCell ref="H4766:H4769"/>
    <mergeCell ref="W4766:W4769"/>
    <mergeCell ref="X4766:X4769"/>
    <mergeCell ref="Y4766:Y4769"/>
    <mergeCell ref="A4770:A4773"/>
    <mergeCell ref="B4770:B4773"/>
    <mergeCell ref="C4770:C4773"/>
    <mergeCell ref="D4770:D4773"/>
    <mergeCell ref="E4770:E4773"/>
    <mergeCell ref="F4770:F4773"/>
    <mergeCell ref="G4770:G4773"/>
    <mergeCell ref="H4770:H4773"/>
    <mergeCell ref="W4770:W4773"/>
    <mergeCell ref="X4770:X4773"/>
    <mergeCell ref="Y4770:Y4773"/>
    <mergeCell ref="A4774:A4777"/>
    <mergeCell ref="B4774:B4777"/>
    <mergeCell ref="C4774:C4777"/>
    <mergeCell ref="D4774:D4777"/>
    <mergeCell ref="E4774:E4777"/>
    <mergeCell ref="F4774:F4777"/>
    <mergeCell ref="G4774:G4777"/>
    <mergeCell ref="H4774:H4777"/>
    <mergeCell ref="W4774:W4777"/>
    <mergeCell ref="X4774:X4777"/>
    <mergeCell ref="Y4774:Y4777"/>
    <mergeCell ref="A4778:A4781"/>
    <mergeCell ref="B4778:B4781"/>
    <mergeCell ref="C4778:C4781"/>
    <mergeCell ref="D4778:D4781"/>
    <mergeCell ref="E4778:E4781"/>
    <mergeCell ref="F4778:F4781"/>
    <mergeCell ref="G4778:G4781"/>
    <mergeCell ref="H4778:H4781"/>
    <mergeCell ref="W4778:W4781"/>
    <mergeCell ref="X4778:X4781"/>
    <mergeCell ref="Y4778:Y4781"/>
    <mergeCell ref="A4782:A4785"/>
    <mergeCell ref="B4782:B4785"/>
    <mergeCell ref="C4782:C4785"/>
    <mergeCell ref="D4782:D4785"/>
    <mergeCell ref="E4782:E4785"/>
    <mergeCell ref="F4782:F4785"/>
    <mergeCell ref="G4782:G4785"/>
    <mergeCell ref="H4782:H4785"/>
    <mergeCell ref="W4782:W4785"/>
    <mergeCell ref="X4782:X4785"/>
    <mergeCell ref="Y4782:Y4785"/>
    <mergeCell ref="A4786:A4789"/>
    <mergeCell ref="B4786:B4789"/>
    <mergeCell ref="C4786:C4789"/>
    <mergeCell ref="D4786:D4789"/>
    <mergeCell ref="E4786:E4789"/>
    <mergeCell ref="F4786:F4789"/>
    <mergeCell ref="G4786:G4789"/>
    <mergeCell ref="H4786:H4789"/>
    <mergeCell ref="W4786:W4789"/>
    <mergeCell ref="X4786:X4789"/>
    <mergeCell ref="Y4786:Y4789"/>
    <mergeCell ref="A4790:A4793"/>
    <mergeCell ref="B4790:B4793"/>
    <mergeCell ref="C4790:C4793"/>
    <mergeCell ref="D4790:D4793"/>
    <mergeCell ref="E4790:E4793"/>
    <mergeCell ref="F4790:F4793"/>
    <mergeCell ref="G4790:G4793"/>
    <mergeCell ref="H4790:H4793"/>
    <mergeCell ref="W4790:W4793"/>
    <mergeCell ref="X4790:X4793"/>
    <mergeCell ref="Y4790:Y4793"/>
    <mergeCell ref="A4794:A4797"/>
    <mergeCell ref="B4794:B4797"/>
    <mergeCell ref="C4794:C4797"/>
    <mergeCell ref="D4794:D4797"/>
    <mergeCell ref="E4794:E4797"/>
    <mergeCell ref="F4794:F4797"/>
    <mergeCell ref="G4794:G4797"/>
    <mergeCell ref="H4794:H4797"/>
    <mergeCell ref="W4794:W4797"/>
    <mergeCell ref="X4794:X4797"/>
    <mergeCell ref="Y4794:Y4797"/>
    <mergeCell ref="A4798:A4801"/>
    <mergeCell ref="B4798:B4801"/>
    <mergeCell ref="C4798:C4801"/>
    <mergeCell ref="D4798:D4801"/>
    <mergeCell ref="E4798:E4801"/>
    <mergeCell ref="F4798:F4801"/>
    <mergeCell ref="G4798:G4801"/>
    <mergeCell ref="H4798:H4801"/>
    <mergeCell ref="W4798:W4801"/>
    <mergeCell ref="X4798:X4801"/>
    <mergeCell ref="Y4798:Y4801"/>
    <mergeCell ref="A4802:A4805"/>
    <mergeCell ref="B4802:B4805"/>
    <mergeCell ref="C4802:C4805"/>
    <mergeCell ref="D4802:D4805"/>
    <mergeCell ref="E4802:E4805"/>
    <mergeCell ref="F4802:F4805"/>
    <mergeCell ref="G4802:G4805"/>
    <mergeCell ref="H4802:H4805"/>
    <mergeCell ref="W4802:W4805"/>
    <mergeCell ref="X4802:X4805"/>
    <mergeCell ref="Y4802:Y4805"/>
    <mergeCell ref="A4806:A4809"/>
    <mergeCell ref="B4806:B4809"/>
    <mergeCell ref="C4806:C4809"/>
    <mergeCell ref="D4806:D4809"/>
    <mergeCell ref="E4806:E4809"/>
    <mergeCell ref="F4806:F4809"/>
    <mergeCell ref="G4806:G4809"/>
    <mergeCell ref="H4806:H4809"/>
    <mergeCell ref="W4806:W4809"/>
    <mergeCell ref="X4806:X4809"/>
    <mergeCell ref="Y4806:Y4809"/>
    <mergeCell ref="A4810:A4813"/>
    <mergeCell ref="B4810:B4813"/>
    <mergeCell ref="C4810:C4813"/>
    <mergeCell ref="D4810:D4813"/>
    <mergeCell ref="E4810:E4813"/>
    <mergeCell ref="F4810:F4813"/>
    <mergeCell ref="G4810:G4813"/>
    <mergeCell ref="H4810:H4813"/>
    <mergeCell ref="W4810:W4813"/>
    <mergeCell ref="X4810:X4813"/>
    <mergeCell ref="Y4810:Y4813"/>
    <mergeCell ref="A4814:A4817"/>
    <mergeCell ref="B4814:B4817"/>
    <mergeCell ref="C4814:C4817"/>
    <mergeCell ref="D4814:D4817"/>
    <mergeCell ref="E4814:E4817"/>
    <mergeCell ref="F4814:F4817"/>
    <mergeCell ref="G4814:G4817"/>
    <mergeCell ref="H4814:H4817"/>
    <mergeCell ref="W4814:W4817"/>
    <mergeCell ref="X4814:X4817"/>
    <mergeCell ref="Y4814:Y4817"/>
    <mergeCell ref="A4818:A4821"/>
    <mergeCell ref="B4818:B4821"/>
    <mergeCell ref="C4818:C4821"/>
    <mergeCell ref="D4818:D4821"/>
    <mergeCell ref="E4818:E4821"/>
    <mergeCell ref="F4818:F4821"/>
    <mergeCell ref="G4818:G4821"/>
    <mergeCell ref="H4818:H4821"/>
    <mergeCell ref="W4818:W4821"/>
    <mergeCell ref="X4818:X4821"/>
    <mergeCell ref="Y4818:Y4821"/>
    <mergeCell ref="A4822:A4825"/>
    <mergeCell ref="B4822:B4825"/>
    <mergeCell ref="C4822:C4825"/>
    <mergeCell ref="D4822:D4825"/>
    <mergeCell ref="E4822:E4825"/>
    <mergeCell ref="F4822:F4825"/>
    <mergeCell ref="G4822:G4825"/>
    <mergeCell ref="H4822:H4825"/>
    <mergeCell ref="W4822:W4825"/>
    <mergeCell ref="X4822:X4825"/>
    <mergeCell ref="Y4822:Y4825"/>
    <mergeCell ref="A4826:A4829"/>
    <mergeCell ref="B4826:B4829"/>
    <mergeCell ref="C4826:C4829"/>
    <mergeCell ref="D4826:D4829"/>
    <mergeCell ref="E4826:E4829"/>
    <mergeCell ref="F4826:F4829"/>
    <mergeCell ref="G4826:G4829"/>
    <mergeCell ref="H4826:H4829"/>
    <mergeCell ref="W4826:W4829"/>
    <mergeCell ref="X4826:X4829"/>
    <mergeCell ref="Y4826:Y4829"/>
    <mergeCell ref="A4830:A4833"/>
    <mergeCell ref="B4830:B4833"/>
    <mergeCell ref="C4830:C4833"/>
    <mergeCell ref="D4830:D4833"/>
    <mergeCell ref="E4830:E4833"/>
    <mergeCell ref="F4830:F4833"/>
    <mergeCell ref="G4830:G4833"/>
    <mergeCell ref="H4830:H4833"/>
    <mergeCell ref="W4830:W4833"/>
    <mergeCell ref="X4830:X4833"/>
    <mergeCell ref="Y4830:Y4833"/>
    <mergeCell ref="A4834:A4837"/>
    <mergeCell ref="B4834:B4837"/>
    <mergeCell ref="C4834:C4837"/>
    <mergeCell ref="D4834:D4837"/>
    <mergeCell ref="E4834:E4837"/>
    <mergeCell ref="F4834:F4837"/>
    <mergeCell ref="G4834:G4837"/>
    <mergeCell ref="H4834:H4837"/>
    <mergeCell ref="W4834:W4837"/>
    <mergeCell ref="X4834:X4837"/>
    <mergeCell ref="Y4834:Y4837"/>
    <mergeCell ref="A4838:A4841"/>
    <mergeCell ref="B4838:B4841"/>
    <mergeCell ref="C4838:C4841"/>
    <mergeCell ref="D4838:D4841"/>
    <mergeCell ref="E4838:E4841"/>
    <mergeCell ref="F4838:F4841"/>
    <mergeCell ref="G4838:G4841"/>
    <mergeCell ref="H4838:H4841"/>
    <mergeCell ref="W4838:W4841"/>
    <mergeCell ref="X4838:X4841"/>
    <mergeCell ref="Y4838:Y4841"/>
    <mergeCell ref="A4842:A4845"/>
    <mergeCell ref="B4842:B4845"/>
    <mergeCell ref="C4842:C4845"/>
    <mergeCell ref="D4842:D4845"/>
    <mergeCell ref="E4842:E4845"/>
    <mergeCell ref="F4842:F4845"/>
    <mergeCell ref="G4842:G4845"/>
    <mergeCell ref="H4842:H4845"/>
    <mergeCell ref="W4842:W4845"/>
    <mergeCell ref="X4842:X4845"/>
    <mergeCell ref="Y4842:Y4845"/>
    <mergeCell ref="A4846:A4849"/>
    <mergeCell ref="B4846:B4849"/>
    <mergeCell ref="C4846:C4849"/>
    <mergeCell ref="D4846:D4849"/>
    <mergeCell ref="E4846:E4849"/>
    <mergeCell ref="F4846:F4849"/>
    <mergeCell ref="G4846:G4849"/>
    <mergeCell ref="H4846:H4849"/>
    <mergeCell ref="W4846:W4849"/>
    <mergeCell ref="X4846:X4849"/>
    <mergeCell ref="Y4846:Y4849"/>
    <mergeCell ref="A4850:A4853"/>
    <mergeCell ref="B4850:B4853"/>
    <mergeCell ref="C4850:C4853"/>
    <mergeCell ref="D4850:D4853"/>
    <mergeCell ref="E4850:E4853"/>
    <mergeCell ref="F4850:F4853"/>
    <mergeCell ref="G4850:G4853"/>
    <mergeCell ref="H4850:H4853"/>
    <mergeCell ref="W4850:W4853"/>
    <mergeCell ref="X4850:X4853"/>
    <mergeCell ref="Y4850:Y4853"/>
    <mergeCell ref="A4854:A4857"/>
    <mergeCell ref="B4854:B4857"/>
    <mergeCell ref="C4854:C4857"/>
    <mergeCell ref="D4854:D4857"/>
    <mergeCell ref="E4854:E4857"/>
    <mergeCell ref="F4854:F4857"/>
    <mergeCell ref="G4854:G4857"/>
    <mergeCell ref="H4854:H4857"/>
    <mergeCell ref="W4854:W4857"/>
    <mergeCell ref="X4854:X4857"/>
    <mergeCell ref="Y4854:Y4857"/>
    <mergeCell ref="A4858:A4861"/>
    <mergeCell ref="B4858:B4861"/>
    <mergeCell ref="C4858:C4861"/>
    <mergeCell ref="D4858:D4861"/>
    <mergeCell ref="E4858:E4861"/>
    <mergeCell ref="F4858:F4861"/>
    <mergeCell ref="G4858:G4861"/>
    <mergeCell ref="H4858:H4861"/>
    <mergeCell ref="W4858:W4861"/>
    <mergeCell ref="X4858:X4861"/>
    <mergeCell ref="Y4858:Y4861"/>
    <mergeCell ref="A4862:A4865"/>
    <mergeCell ref="B4862:B4865"/>
    <mergeCell ref="C4862:C4865"/>
    <mergeCell ref="D4862:D4865"/>
    <mergeCell ref="E4862:E4865"/>
    <mergeCell ref="F4862:F4865"/>
    <mergeCell ref="G4862:G4865"/>
    <mergeCell ref="H4862:H4865"/>
    <mergeCell ref="W4862:W4865"/>
    <mergeCell ref="X4862:X4865"/>
    <mergeCell ref="Y4862:Y4865"/>
    <mergeCell ref="A4866:A4869"/>
    <mergeCell ref="B4866:B4869"/>
    <mergeCell ref="C4866:C4869"/>
    <mergeCell ref="D4866:D4869"/>
    <mergeCell ref="E4866:E4869"/>
    <mergeCell ref="F4866:F4869"/>
    <mergeCell ref="G4866:G4869"/>
    <mergeCell ref="H4866:H4869"/>
    <mergeCell ref="W4866:W4869"/>
    <mergeCell ref="X4866:X4869"/>
    <mergeCell ref="Y4866:Y4869"/>
    <mergeCell ref="A4870:A4873"/>
    <mergeCell ref="B4870:B4873"/>
    <mergeCell ref="C4870:C4873"/>
    <mergeCell ref="D4870:D4873"/>
    <mergeCell ref="E4870:E4873"/>
    <mergeCell ref="F4870:F4873"/>
    <mergeCell ref="G4870:G4873"/>
    <mergeCell ref="H4870:H4873"/>
    <mergeCell ref="W4870:W4873"/>
    <mergeCell ref="X4870:X4873"/>
    <mergeCell ref="Y4870:Y4873"/>
    <mergeCell ref="A4874:A4877"/>
    <mergeCell ref="B4874:B4877"/>
    <mergeCell ref="C4874:C4877"/>
    <mergeCell ref="D4874:D4877"/>
    <mergeCell ref="E4874:E4877"/>
    <mergeCell ref="F4874:F4877"/>
    <mergeCell ref="G4874:G4877"/>
    <mergeCell ref="H4874:H4877"/>
    <mergeCell ref="W4874:W4877"/>
    <mergeCell ref="X4874:X4877"/>
    <mergeCell ref="Y4874:Y4877"/>
    <mergeCell ref="A4878:A4881"/>
    <mergeCell ref="B4878:B4881"/>
    <mergeCell ref="C4878:C4881"/>
    <mergeCell ref="D4878:D4881"/>
    <mergeCell ref="E4878:E4881"/>
    <mergeCell ref="F4878:F4881"/>
    <mergeCell ref="G4878:G4881"/>
    <mergeCell ref="H4878:H4881"/>
    <mergeCell ref="W4878:W4881"/>
    <mergeCell ref="X4878:X4881"/>
    <mergeCell ref="Y4878:Y4881"/>
    <mergeCell ref="A4882:A4885"/>
    <mergeCell ref="B4882:B4885"/>
    <mergeCell ref="C4882:C4885"/>
    <mergeCell ref="D4882:D4885"/>
    <mergeCell ref="E4882:E4885"/>
    <mergeCell ref="F4882:F4885"/>
    <mergeCell ref="G4882:G4885"/>
    <mergeCell ref="H4882:H4885"/>
    <mergeCell ref="W4882:W4885"/>
    <mergeCell ref="X4882:X4885"/>
    <mergeCell ref="Y4882:Y4885"/>
    <mergeCell ref="A4886:A4889"/>
    <mergeCell ref="B4886:B4889"/>
    <mergeCell ref="C4886:C4889"/>
    <mergeCell ref="D4886:D4889"/>
    <mergeCell ref="E4886:E4889"/>
    <mergeCell ref="F4886:F4889"/>
    <mergeCell ref="G4886:G4889"/>
    <mergeCell ref="H4886:H4889"/>
    <mergeCell ref="W4886:W4889"/>
    <mergeCell ref="X4886:X4889"/>
    <mergeCell ref="Y4886:Y4889"/>
    <mergeCell ref="A4890:A4893"/>
    <mergeCell ref="B4890:B4893"/>
    <mergeCell ref="C4890:C4893"/>
    <mergeCell ref="D4890:D4893"/>
    <mergeCell ref="E4890:E4893"/>
    <mergeCell ref="F4890:F4893"/>
    <mergeCell ref="G4890:G4893"/>
    <mergeCell ref="H4890:H4893"/>
    <mergeCell ref="W4890:W4893"/>
    <mergeCell ref="X4890:X4893"/>
    <mergeCell ref="Y4890:Y4893"/>
    <mergeCell ref="A4894:A4897"/>
    <mergeCell ref="B4894:B4897"/>
    <mergeCell ref="C4894:C4897"/>
    <mergeCell ref="D4894:D4897"/>
    <mergeCell ref="E4894:E4897"/>
    <mergeCell ref="F4894:F4897"/>
    <mergeCell ref="G4894:G4897"/>
    <mergeCell ref="H4894:H4897"/>
    <mergeCell ref="W4894:W4897"/>
    <mergeCell ref="X4894:X4897"/>
    <mergeCell ref="Y4894:Y4897"/>
    <mergeCell ref="A4898:A4901"/>
    <mergeCell ref="B4898:B4901"/>
    <mergeCell ref="C4898:C4901"/>
    <mergeCell ref="D4898:D4901"/>
    <mergeCell ref="E4898:E4901"/>
    <mergeCell ref="F4898:F4901"/>
    <mergeCell ref="G4898:G4901"/>
    <mergeCell ref="H4898:H4901"/>
    <mergeCell ref="W4898:W4901"/>
    <mergeCell ref="X4898:X4901"/>
    <mergeCell ref="Y4898:Y4901"/>
    <mergeCell ref="A4902:A4905"/>
    <mergeCell ref="B4902:B4905"/>
    <mergeCell ref="C4902:C4905"/>
    <mergeCell ref="D4902:D4905"/>
    <mergeCell ref="E4902:E4905"/>
    <mergeCell ref="F4902:F4905"/>
    <mergeCell ref="G4902:G4905"/>
    <mergeCell ref="H4902:H4905"/>
    <mergeCell ref="W4902:W4905"/>
    <mergeCell ref="X4902:X4905"/>
    <mergeCell ref="Y4902:Y4905"/>
    <mergeCell ref="A4906:A4909"/>
    <mergeCell ref="B4906:B4909"/>
    <mergeCell ref="C4906:C4909"/>
    <mergeCell ref="D4906:D4909"/>
    <mergeCell ref="E4906:E4909"/>
    <mergeCell ref="F4906:F4909"/>
    <mergeCell ref="G4906:G4909"/>
    <mergeCell ref="H4906:H4909"/>
    <mergeCell ref="W4906:W4909"/>
    <mergeCell ref="X4906:X4909"/>
    <mergeCell ref="Y4906:Y4909"/>
    <mergeCell ref="A4910:A4913"/>
    <mergeCell ref="B4910:B4913"/>
    <mergeCell ref="C4910:C4913"/>
    <mergeCell ref="D4910:D4913"/>
    <mergeCell ref="E4910:E4913"/>
    <mergeCell ref="F4910:F4913"/>
    <mergeCell ref="G4910:G4913"/>
    <mergeCell ref="H4910:H4913"/>
    <mergeCell ref="W4910:W4913"/>
    <mergeCell ref="X4910:X4913"/>
    <mergeCell ref="Y4910:Y4913"/>
    <mergeCell ref="A4914:A4917"/>
    <mergeCell ref="B4914:B4917"/>
    <mergeCell ref="C4914:C4917"/>
    <mergeCell ref="D4914:D4917"/>
    <mergeCell ref="E4914:E4917"/>
    <mergeCell ref="F4914:F4917"/>
    <mergeCell ref="G4914:G4917"/>
    <mergeCell ref="H4914:H4917"/>
    <mergeCell ref="W4914:W4917"/>
    <mergeCell ref="X4914:X4917"/>
    <mergeCell ref="Y4914:Y4917"/>
    <mergeCell ref="A4918:A4921"/>
    <mergeCell ref="B4918:B4921"/>
    <mergeCell ref="C4918:C4921"/>
    <mergeCell ref="D4918:D4921"/>
    <mergeCell ref="E4918:E4921"/>
    <mergeCell ref="F4918:F4921"/>
    <mergeCell ref="G4918:G4921"/>
    <mergeCell ref="H4918:H4921"/>
    <mergeCell ref="W4918:W4921"/>
    <mergeCell ref="X4918:X4921"/>
    <mergeCell ref="Y4918:Y4921"/>
    <mergeCell ref="A4922:A4925"/>
    <mergeCell ref="B4922:B4925"/>
    <mergeCell ref="C4922:C4925"/>
    <mergeCell ref="D4922:D4925"/>
    <mergeCell ref="E4922:E4925"/>
    <mergeCell ref="F4922:F4925"/>
    <mergeCell ref="G4922:G4925"/>
    <mergeCell ref="H4922:H4925"/>
    <mergeCell ref="W4922:W4925"/>
    <mergeCell ref="X4922:X4925"/>
    <mergeCell ref="Y4922:Y4925"/>
    <mergeCell ref="A4926:A4929"/>
    <mergeCell ref="B4926:B4929"/>
    <mergeCell ref="C4926:C4929"/>
    <mergeCell ref="D4926:D4929"/>
    <mergeCell ref="E4926:E4929"/>
    <mergeCell ref="F4926:F4929"/>
    <mergeCell ref="G4926:G4929"/>
    <mergeCell ref="H4926:H4929"/>
    <mergeCell ref="W4926:W4929"/>
    <mergeCell ref="X4926:X4929"/>
    <mergeCell ref="Y4926:Y4929"/>
    <mergeCell ref="A4930:A4933"/>
    <mergeCell ref="B4930:B4933"/>
    <mergeCell ref="C4930:C4933"/>
    <mergeCell ref="D4930:D4933"/>
    <mergeCell ref="E4930:E4933"/>
    <mergeCell ref="F4930:F4933"/>
    <mergeCell ref="G4930:G4933"/>
    <mergeCell ref="H4930:H4933"/>
    <mergeCell ref="W4930:W4933"/>
    <mergeCell ref="X4930:X4933"/>
    <mergeCell ref="Y4930:Y4933"/>
    <mergeCell ref="A4934:A4937"/>
    <mergeCell ref="B4934:B4937"/>
    <mergeCell ref="C4934:C4937"/>
    <mergeCell ref="D4934:D4937"/>
    <mergeCell ref="E4934:E4937"/>
    <mergeCell ref="F4934:F4937"/>
    <mergeCell ref="G4934:G4937"/>
    <mergeCell ref="H4934:H4937"/>
    <mergeCell ref="W4934:W4937"/>
    <mergeCell ref="X4934:X4937"/>
    <mergeCell ref="Y4934:Y4937"/>
    <mergeCell ref="A4938:A4941"/>
    <mergeCell ref="B4938:B4941"/>
    <mergeCell ref="C4938:C4941"/>
    <mergeCell ref="D4938:D4941"/>
    <mergeCell ref="E4938:E4941"/>
    <mergeCell ref="F4938:F4941"/>
    <mergeCell ref="G4938:G4941"/>
    <mergeCell ref="H4938:H4941"/>
    <mergeCell ref="W4938:W4941"/>
    <mergeCell ref="X4938:X4941"/>
    <mergeCell ref="Y4938:Y4941"/>
    <mergeCell ref="A4942:A4945"/>
    <mergeCell ref="B4942:B4945"/>
    <mergeCell ref="C4942:C4945"/>
    <mergeCell ref="D4942:D4945"/>
    <mergeCell ref="E4942:E4945"/>
    <mergeCell ref="F4942:F4945"/>
    <mergeCell ref="G4942:G4945"/>
    <mergeCell ref="H4942:H4945"/>
    <mergeCell ref="W4942:W4945"/>
    <mergeCell ref="X4942:X4945"/>
    <mergeCell ref="Y4942:Y4945"/>
    <mergeCell ref="A4946:A4949"/>
    <mergeCell ref="B4946:B4949"/>
    <mergeCell ref="C4946:C4949"/>
    <mergeCell ref="D4946:D4949"/>
    <mergeCell ref="E4946:E4949"/>
    <mergeCell ref="F4946:F4949"/>
    <mergeCell ref="G4946:G4949"/>
    <mergeCell ref="H4946:H4949"/>
    <mergeCell ref="W4946:W4949"/>
    <mergeCell ref="X4946:X4949"/>
    <mergeCell ref="Y4946:Y4949"/>
    <mergeCell ref="A4950:A4953"/>
    <mergeCell ref="B4950:B4953"/>
    <mergeCell ref="C4950:C4953"/>
    <mergeCell ref="D4950:D4953"/>
    <mergeCell ref="E4950:E4953"/>
    <mergeCell ref="F4950:F4953"/>
    <mergeCell ref="G4950:G4953"/>
    <mergeCell ref="H4950:H4953"/>
    <mergeCell ref="W4950:W4953"/>
    <mergeCell ref="X4950:X4953"/>
    <mergeCell ref="Y4950:Y4953"/>
    <mergeCell ref="A4954:A4957"/>
    <mergeCell ref="B4954:B4957"/>
    <mergeCell ref="C4954:C4957"/>
    <mergeCell ref="D4954:D4957"/>
    <mergeCell ref="E4954:E4957"/>
    <mergeCell ref="F4954:F4957"/>
    <mergeCell ref="G4954:G4957"/>
    <mergeCell ref="H4954:H4957"/>
    <mergeCell ref="W4954:W4957"/>
    <mergeCell ref="X4954:X4957"/>
    <mergeCell ref="Y4954:Y4957"/>
    <mergeCell ref="A4958:A4961"/>
    <mergeCell ref="B4958:B4961"/>
    <mergeCell ref="C4958:C4961"/>
    <mergeCell ref="D4958:D4961"/>
    <mergeCell ref="E4958:E4961"/>
    <mergeCell ref="F4958:F4961"/>
    <mergeCell ref="G4958:G4961"/>
    <mergeCell ref="H4958:H4961"/>
    <mergeCell ref="W4958:W4961"/>
    <mergeCell ref="X4958:X4961"/>
    <mergeCell ref="Y4958:Y4961"/>
    <mergeCell ref="A4962:A4965"/>
    <mergeCell ref="B4962:B4965"/>
    <mergeCell ref="C4962:C4965"/>
    <mergeCell ref="D4962:D4965"/>
    <mergeCell ref="E4962:E4965"/>
    <mergeCell ref="F4962:F4965"/>
    <mergeCell ref="G4962:G4965"/>
    <mergeCell ref="H4962:H4965"/>
    <mergeCell ref="W4962:W4965"/>
    <mergeCell ref="X4962:X4965"/>
    <mergeCell ref="Y4962:Y4965"/>
    <mergeCell ref="A4966:A4969"/>
    <mergeCell ref="B4966:B4969"/>
    <mergeCell ref="C4966:C4969"/>
    <mergeCell ref="D4966:D4969"/>
    <mergeCell ref="E4966:E4969"/>
    <mergeCell ref="F4966:F4969"/>
    <mergeCell ref="G4966:G4969"/>
    <mergeCell ref="H4966:H4969"/>
    <mergeCell ref="W4966:W4969"/>
    <mergeCell ref="X4966:X4969"/>
    <mergeCell ref="Y4966:Y4969"/>
    <mergeCell ref="A4970:A4973"/>
    <mergeCell ref="B4970:B4973"/>
    <mergeCell ref="C4970:C4973"/>
    <mergeCell ref="D4970:D4973"/>
    <mergeCell ref="E4970:E4973"/>
    <mergeCell ref="F4970:F4973"/>
    <mergeCell ref="G4970:G4973"/>
    <mergeCell ref="H4970:H4973"/>
    <mergeCell ref="W4970:W4973"/>
    <mergeCell ref="X4970:X4973"/>
    <mergeCell ref="Y4970:Y4973"/>
    <mergeCell ref="A4974:A4977"/>
    <mergeCell ref="B4974:B4977"/>
    <mergeCell ref="C4974:C4977"/>
    <mergeCell ref="D4974:D4977"/>
    <mergeCell ref="E4974:E4977"/>
    <mergeCell ref="F4974:F4977"/>
    <mergeCell ref="G4974:G4977"/>
    <mergeCell ref="H4974:H4977"/>
    <mergeCell ref="W4974:W4977"/>
    <mergeCell ref="X4974:X4977"/>
    <mergeCell ref="Y4974:Y4977"/>
  </mergeCells>
  <conditionalFormatting sqref="D2:D4977">
    <cfRule type="cellIs" priority="2" operator="equal" aboveAverage="0" equalAverage="0" bottom="0" percent="0" rank="0" text="" dxfId="0">
      <formula>"=Parameter Restrictions"</formula>
    </cfRule>
  </conditionalFormatting>
  <conditionalFormatting sqref="G2:G4977">
    <cfRule type="expression" priority="3" aboveAverage="0" equalAverage="0" bottom="0" percent="0" rank="0" text="" dxfId="1">
      <formula>OR(G2&gt;VALUE(INDIRECT("'Parameter Restrictions'!$G$3")),G2&lt;VALUE(INDIRECT("'Parameter Restrictions'!$G$2")))</formula>
    </cfRule>
  </conditionalFormatting>
  <conditionalFormatting sqref="H2:H4977">
    <cfRule type="expression" priority="4" aboveAverage="0" equalAverage="0" bottom="0" percent="0" rank="0" text="" dxfId="1">
      <formula>OR(H2&gt;VALUE(INDIRECT("'Parameter Restrictions'!$H$3")),H2&lt;VALUE(INDIRECT("'Parameter Restrictions'!$H$2")))</formula>
    </cfRule>
  </conditionalFormatting>
  <conditionalFormatting sqref="K2:T4977">
    <cfRule type="expression" priority="5" aboveAverage="0" equalAverage="0" bottom="0" percent="0" rank="0" text="" dxfId="2">
      <formula>LEN(TRIM(K2))=0</formula>
    </cfRule>
  </conditionalFormatting>
  <conditionalFormatting sqref="K2:K4977">
    <cfRule type="expression" priority="6" aboveAverage="0" equalAverage="0" bottom="0" percent="0" rank="0" text="" dxfId="3">
      <formula>OR(K2&gt;VALUE(INDIRECT("'Parameter Restrictions'!$K$3")),K2&lt;VALUE(INDIRECT("'Parameter Restrictions'!$K$2")))</formula>
    </cfRule>
  </conditionalFormatting>
  <conditionalFormatting sqref="M2:M4977">
    <cfRule type="expression" priority="7" aboveAverage="0" equalAverage="0" bottom="0" percent="0" rank="0" text="" dxfId="3">
      <formula>OR(M2&gt;VALUE(INDIRECT("'Parameter Restrictions'!$M$3")),M2&lt;VALUE(INDIRECT("'Parameter Restrictions'!$M$2")))</formula>
    </cfRule>
  </conditionalFormatting>
  <conditionalFormatting sqref="O2:O4977">
    <cfRule type="expression" priority="8" aboveAverage="0" equalAverage="0" bottom="0" percent="0" rank="0" text="" dxfId="3">
      <formula>OR(O2&gt;VALUE(INDIRECT("'Parameter Restrictions'!$O$3")),O2&lt;VALUE(INDIRECT("'Parameter Restrictions'!$O$2")))</formula>
    </cfRule>
  </conditionalFormatting>
  <conditionalFormatting sqref="P2:P4977">
    <cfRule type="expression" priority="9" aboveAverage="0" equalAverage="0" bottom="0" percent="0" rank="0" text="" dxfId="3">
      <formula>OR(P2&gt;VALUE(INDIRECT("'Parameter Restrictions'!$P$3")),P2&lt;VALUE(INDIRECT("'Parameter Restrictions'!$P$2")))</formula>
    </cfRule>
  </conditionalFormatting>
  <conditionalFormatting sqref="Q2:Q4977">
    <cfRule type="expression" priority="10" aboveAverage="0" equalAverage="0" bottom="0" percent="0" rank="0" text="" dxfId="3">
      <formula>OR(Q2&gt;VALUE(INDIRECT("'Parameter Restrictions'!$Q$3")),Q2&lt;VALUE(INDIRECT("'Parameter Restrictions'!$Q$2")))</formula>
    </cfRule>
  </conditionalFormatting>
  <conditionalFormatting sqref="R2:R4977">
    <cfRule type="expression" priority="11" aboveAverage="0" equalAverage="0" bottom="0" percent="0" rank="0" text="" dxfId="4">
      <formula>OR(R2&gt;VALUE(INDIRECT("'Parameter Restrictions'!$R$3")),R2&lt;VALUE(INDIRECT("'Parameter Restrictions'!$R$2")))</formula>
    </cfRule>
  </conditionalFormatting>
  <conditionalFormatting sqref="S2:S4977">
    <cfRule type="expression" priority="12" aboveAverage="0" equalAverage="0" bottom="0" percent="0" rank="0" text="" dxfId="4">
      <formula>OR(S2&gt;VALUE(INDIRECT("'Parameter Restrictions'!$S$3")),S2&lt;VALUE(INDIRECT("'Parameter Restrictions'!$S$2")))</formula>
    </cfRule>
  </conditionalFormatting>
  <conditionalFormatting sqref="T2:T4977">
    <cfRule type="expression" priority="13" aboveAverage="0" equalAverage="0" bottom="0" percent="0" rank="0" text="" dxfId="3">
      <formula>OR(T2&gt;VALUE(INDIRECT("'Parameter Restrictions'!$T$3")),T2&lt;VALUE(INDIRECT("'Parameter Restrictions'!$T$2")))</formula>
    </cfRule>
  </conditionalFormatting>
  <conditionalFormatting sqref="L2:L4977">
    <cfRule type="expression" priority="14" aboveAverage="0" equalAverage="0" bottom="0" percent="0" rank="0" text="" dxfId="3">
      <formula>OR(L2&gt;VALUE(INDIRECT("'Parameter Restrictions'!$L$3")),L2&lt;VALUE(INDIRECT("'Parameter Restrictions'!$L$2")))</formula>
    </cfRule>
  </conditionalFormatting>
  <conditionalFormatting sqref="N2:N4977">
    <cfRule type="expression" priority="15" aboveAverage="0" equalAverage="0" bottom="0" percent="0" rank="0" text="" dxfId="3">
      <formula>OR(N2&gt;VALUE(INDIRECT("'Parameter Restrictions'!$N$3")),N2&lt;VALUE(INDIRECT("'Parameter Restrictions'!$N$2")))</formula>
    </cfRule>
  </conditionalFormatting>
  <dataValidations count="6">
    <dataValidation allowBlank="true" errorStyle="stop" operator="between" prompt="Please scan QR code of the station you are working at" showDropDown="false" showErrorMessage="true" showInputMessage="true" sqref="B2 B6 B10 B14 B18 B22 B26 B30 B34 B38 B42 B46 B50 B54 B58 B62 B66 B70 B74 B78 B82 B86 B90 B94 B98 B102 B106 B110 B114 B118 B122 B126 B130 B134 B138 B142 B146 B150 B154 B158 B162 B166 B170 B174 B178 B182 B186 B190 B194 B198 B202 B206 B210 B214 B218 B222 B226 B230 B234 B238 B242 B246 B250 B254 B258 B262 B266 B270 B274 B278 B282 B286 B290 B294 B298 B302 B306 B310 B314 B318 B322 B326 B330 B334 B338 B342 B346 B350 B354 B358 B362 B366 B370 B374 B378 B382 B386 B390 B394 B398 B406 B410 B414 B418 B422 B426 B430 B434 B438 B442 B446 B450 B454 B458 B462 B466 B470 B474 B478 B482 B486 B490 B494 B498 B502 B506 B510 B514 B518 B522 B526 B530 B534 B538 B542 B546 B550 B554 B558 B562 B566 B570 B574 B578 B582 B586 B590 B594 B598 B602 B606 B610 B614 B618 B622 B626 B630 B634 B638 B642 B646 B650 B654 B658 B662 B666 B670 B674 B678 B682 B686 B690 B694 B698 B702 B706 B710 B714 B718 B722 B726 B730 B734 B738 B742 B746 B750 B754 B758 B762 B766 B770 B774 B778 B782 B786 B790 B794 B798 B802 B806 B810 B814 B818 B822 B826 B830 B834 B838 B842 B846 B850 B854 B858 B862 B866 B870 B874 B878 B882 B886 B890 B894 B898 B902 B906 B910 B914 B918 B922 B926 B930 B934 B938 B942 B946 B950 B954 B958 B962 B966 B970 B974 B978 B982 B986 B990 B994 B998 B1002 B1006 B1010 B1014 B1018 B1022 B1026 B1030 B1034 B1038 B1042 B1046 B1050 B1054 B1058 B1062 B1066 B1070 B1074 B1078 B1082 B1086 B1090 B1094 B1098 B1102 B1106 B1110 B1114 B1118 B1122 B1126 B1130 B1134 B1138 B1142 B1146 B1150 B1154 B1158 B1162 B1166 B1170 B1174 B1178 B1182 B1186 B1190 B1194 B1198 B1202 B1206 B1210 B1214 B1218 B1222 B1226 B1230 B1234 B1238 B1242 B1246 B1250 B1254 B1258 B1262 B1266 B1270 B1274 B1278 B1282 B1286 B1290 B1294 B1298 B1302 B1306 B1310 B1314 B1318 B1322 B1326 B1330 B1334 B1338 B1342 B1346 B1350 B1354 B1358 B1362 B1366 B1370 B1374 B1378 B1382 B1386 B1390 B1394 B1398 B1402 B1406 B1410 B1414 B1418 B1422 B1426 B1430 B1434 B1438 B1442 B1446 B1450 B1454 B1458 B1462 B1466 B1470 B1474 B1478 B1482 B1486 B1490 B1494 B1498 B1502 B1506 B1510 B1514 B1518 B1522 B1526 B1530 B1534 B1538 B1542 B1546 B1550 B1554 B1558 B1562 B1566 B1570 B1574 B1578 B1582 B1586 B1590 B1594 B1598 B1602 B1606 B1610 B1614 B1618 B1622 B1626 B1630 B1634 B1638 B1642 B1646 B1650 B1654 B1658 B1662 B1666 B1670 B1674 B1678 B1682 B1686 B1690 B1694 B1698 B1702 B1706 B1710 B1714 B1718 B1722 B1726 B1730 B1734 B1738 B1742 B1746 B1750 B1754 B1758 B1762 B1766 B1770 B1774 B1778 B1782 B1786 B1790 B1794 B1798 B1802 B1806 B1810 B1814 B1818 B1822 B1826 B1830 B1834 B1838 B1842 B1846 B1850 B1854 B1858 B1862 B1866 B1870 B1874 B1878 B1882 B1886 B1890 B1894 B1898 B1902 B1906 B1910 B1914 B1918 B1922 B1926 B1930 B1934 B1938 B1942 B1946 B1950 B1954 B1958 B1962 B1966 B1970 B1974 B1978 B1982 B1986 B1990 B1994 B1998 B2002 B2006 B2010 B2014 B2018 B2022 B2026 B2030 B2034 B2038 B2042 B2046 B2050 B2054 B2058 B2062 B2066 B2070 B2074 B2078 B2082 B2086 B2090 B2094 B2098 B2102 B2106 B2110 B2114 B2118 B2122 B2126 B2130 B2134 B2138 B2142 B2146 B2150 B2154 B2158 B2162 B2166 B2170 B2174 B2178 B2182 B2186 B2190 B2194 B2198 B2202 B2206 B2210 B2214 B2218 B2222 B2226 B2230 B2234 B2238 B2242 B2246 B2250 B2254 B2258 B2262 B2266 B2270 B2274 B2278 B2282 B2286 B2290 B2294 B2298 B2302 B2306 B2310 B2314 B2318 B2322 B2326 B2330 B2334 B2338 B2342 B2346 B2350 B2354 B2358 B2362 B2366 B2370 B2374 B2378 B2382 B2386 B2390 B2394 B2398 B2402 B2406 B2410 B2414 B2418 B2422 B2426 B2430 B2434 B2438 B2442 B2446 B2450 B2454 B2458 B2462 B2466 B2470 B2474 B2478 B2482 B2486 B2490 B2494 B2498 B2502 B2506 B2510 B2514 B2518 B2522 B2526 B2530 B2534 B2538 B2542 B2546 B2550 B2554 B2558 B2562 B2566 B2570 B2574 B2578 B2582 B2586 B2590 B2594 B2598 B2602 B2606 B2610 B2614 B2618 B2622 B2626 B2630 B2634 B2638 B2642 B2646 B2650 B2654 B2658 B2662 B2666 B2670 B2674 B2678 B2682 B2686 B2690 B2694 B2698 B2702 B2706 B2710 B2714 B2718 B2722 B2726 B2730 B2734 B2738 B2742 B2746 B2750 B2754 B2758 B2762 B2766 B2770 B2774 B2778 B2782 B2786 B2790 B2794 B2798 B2802 B2806 B2810 B2814 B2818 B2822 B2826 B2830 B2834 B2838 B2842 B2846 B2850 B2854 B2858 B2862 B2866 B2870 B2874 B2878 B2882 B2886 B2890 B2894 B2898 B2902 B2906 B2910 B2914 B2918 B2922 B2926 B2930 B2934 B2938 B2942 B2946 B2950 B2954 B2958 B2962 B2966 B2970 B2974 B2978 B2982 B2986 B2990 B2994 B2998 B3002 B3006 B3010 B3014 B3018 B3022 B3026 B3030 B3034 B3038 B3042 B3046 B3050 B3054 B3058 B3062 B3066 B3070 B3074 B3078 B3082 B3086 B3090 B3094 B3098 B3102 B3106 B3110 B3114 B3118 B3122 B3126 B3130 B3134 B3138 B3142 B3146 B3150 B3154 B3158 B3162 B3166 B3170 B3174 B3178 B3182 B3186 B3190 B3194 B3198 B3202 B3206 B3210 B3214 B3218 B3222 B3226 B3230 B3234 B3238 B3242 B3246 B3250 B3254 B3258 B3262 B3266 B3270 B3274 B3278 B3282 B3286 B3290 B3294 B3298 B3302 B3306 B3310 B3314 B3318 B3322 B3326 B3330 B3334 B3338 B3342 B3346 B3350 B3354 B3358 B3362 B3366 B3370 B3374 B3378 B3382 B3386 B3390 B3394 B3398 B3402 B3406 B3410 B3414 B3418 B3422 B3426 B3430 B3434 B3438 B3442 B3446 B3450 B3454 B3458 B3462 B3466 B3470 B3474 B3478 B3482 B3486 B3490 B3494 B3498 B3502 B3506 B3510 B3514 B3518 B3522 B3526 B3530 B3534 B3538 B3542 B3546 B3550 B3554 B3558 B3562 B3566 B3570 B3574 B3578 B3582 B3586 B3590 B3594 B3598 B3602 B3606 B3610 B3614 B3618 B3622 B3626 B3630 B3634 B3638 B3642 B3646 B3650 B3654 B3658 B3662 B3666 B3670 B3674 B3678 B3682 B3686 B3690 B3694 B3698 B3702 B3706 B3710 B3714 B3718 B3722 B3726 B3730 B3734 B3738 B3742 B3746 B3750 B3754 B3758 B3762 B3766 B3770 B3774 B3778 B3782 B3786 B3790 B3794 B3798 B3802 B3806 B3810 B3814 B3818 B3822 B3826 B3830 B3834 B3838 B3842 B3846 B3850 B3854 B3858 B3862 B3866 B3870 B3874 B3878 B3882 B3886 B3890 B3894 B3898 B3902 B3906 B3910 B3914 B3918 B3922 B3926 B3930 B3934 B3938 B3942 B3946 B3950 B3954 B3958 B3962 B3966 B3970 B3974 B3978 B3982 B3986 B3990 B3994 B3998 B4002 B4006 B4010 B4014 B4018 B4022 B4026 B4030 B4034 B4038 B4042 B4046 B4050 B4054 B4058 B4062 B4066 B4070 B4074 B4078 B4082 B4086 B4090 B4094 B4098 B4102 B4106 B4110 B4114 B4118 B4122 B4126 B4130 B4134 B4138 B4142 B4146 B4150 B4154 B4158 B4162 B4166 B4170 B4174 B4178 B4182 B4186 B4190 B4194 B4198 B4202 B4206 B4210 B4214 B4218 B4222 B4226 B4230 B4234 B4238 B4242 B4246 B4250 B4254 B4258 B4262 B4266 B4270 B4274 B4278 B4282 B4286 B4290 B4294 B4298 B4302 B4306 B4310 B4314 B4318 B4322 B4326 B4330 B4334 B4338 B4342 B4346 B4350 B4354 B4358 B4362 B4366 B4370 B4374 B4378 B4382 B4386 B4390 B4394 B4398 B4402 B4406 B4410 B4414 B4418 B4422 B4426 B4430 B4434 B4438 B4442 B4446 B4450 B4454 B4458 B4462 B4466 B4470 B4474 B4478 B4482 B4486 B4490 B4494 B4498 B4502 B4506 B4510 B4514 B4518 B4522 B4526 B4530 B4534 B4538 B4542 B4546 B4550 B4554 B4558 B4562 B4566 B4570 B4574 B4578 B4582 B4586 B4590 B4594 B4598 B4602 B4606 B4610 B4614 B4618 B4622 B4626 B4630 B4634 B4638 B4642 B4646 B4650 B4654 B4658 B4662 B4666 B4670 B4674 B4678 B4682 B4686 B4690 B4694 B4698 B4702 B4706 B4710 B4714 B4718 B4722 B4726 B4730 B4734 B4738 B4742 B4746 B4750 B4754 B4758 B4762 B4766 B4770 B4774 B4778 B4782 B4786 B4790 B4794 B4798 B4802 B4806 B4810 B4814 B4818 B4822 B4826 B4830 B4834 B4838 B4842 B4846 B4850 B4854 B4858 B4862 B4866 B4870 B4874 B4878 B4882 B4886 B4890 B4894 B4898 B4902 B4906 B4910 B4914 B4918 B4922 B4926 B4930 B4934 B4938 B4942 B4946 B4950 B4954 B4958 B4962 B4966 B4970 B4974" type="list">
      <formula1>'Parameter Restrictions'!$B$2:$B$8</formula1>
      <formula2>0</formula2>
    </dataValidation>
    <dataValidation allowBlank="true" errorStyle="stop" operator="between" showDropDown="false" showErrorMessage="true" showInputMessage="false" sqref="D2 D6 D10 D14 D18 D22 D26 D30 D34 D38 D42 D46 D50 D54 D58 D62 D66 D70 D74 D78 D82 D86 D90 D94 D98 D102 D106 D110 D114 D118 D122 D126 D130 D134 D138 D142 D146 D150 D154 D158 D162 D166 D170 D174 D178 D182 D186 D190 D194 D198 D202 D206 D210 D214 D218 D222 D226 D230 D234 D238 D242 D246 D250 D254 D258 D262 D266 D270 D274 D278 D282 D286 D290 D294 D298 D302 D306 D310 D314 D318 D322 D326 D330 D334 D338 D342 D346 D350 D354 D358 D362 D366 D370 D374 D378 D382 D386 D390 D394 D398 D402 D406 D410 D414 D418 D422 D426 D430 D434 D438 D442 D446 D450 D454 D458 D462 D466 D470 D474 D478 D482 D486 D490 D494 D498 D502 D506 D510 D514 D518 D522 D526 D530 D534 D538 D542 D546 D550 D554 D558 D562 D566 D570 D574 D578 D582 D586 D590 D594 D598 D602 D606 D610 D614 D618 D622 D626 D630 D634 D638 D642 D646 D650 D654 D658 D662 D666 D670 D674 D678 D682 D686 D690 D694 D698 D702 D706 D710 D714 D718 D722 D726 D730 D734 D738 D742 D746 D750 D754 D758 D762 D766 D770 D774 D778 D782 D786 D790 D794 D798 D802 D806 D810 D814 D818 D822 D826 D830 D834 D838 D842 D846 D850 D854 D858 D862 D866 D870 D874 D878 D882 D886 D890 D894 D898 D902 D906 D910 D914 D918 D922 D926 D930 D934 D938 D942 D946 D950 D954 D958 D962 D966 D970 D974 D978 D982 D986 D990 D994 D998 D1002 D1006 D1010 D1014 D1018 D1022 D1026 D1030 D1034 D1038 D1042 D1046 D1050 D1054 D1058 D1062 D1066 D1070 D1074 D1078 D1082 D1086 D1090 D1094 D1098 D1102 D1106 D1110 D1114 D1118 D1122 D1126 D1130 D1134 D1138 D1142 D1146 D1150 D1154 D1158 D1162 D1166 D1170 D1174 D1178 D1182 D1186 D1190 D1194 D1198 D1202 D1206 D1210 D1214 D1218 D1222 D1226 D1230 D1234 D1238 D1242 D1246 D1250 D1254 D1258 D1262 D1266 D1270 D1274 D1278 D1282 D1286 D1290 D1294 D1298 D1302 D1306 D1310 D1314 D1318 D1322 D1326 D1330 D1334 D1338 D1342 D1346 D1350 D1354 D1358 D1362 D1366 D1370 D1374 D1378 D1382 D1386 D1390 D1394 D1398 D1402 D1406 D1410 D1414 D1418 D1422 D1426 D1430 D1434 D1438 D1442 D1446 D1450 D1454 D1458 D1462 D1466 D1470 D1474 D1478 D1482 D1486 D1490 D1494 D1498 D1502 D1506 D1510 D1514 D1518 D1522 D1526 D1530 D1534 D1538 D1542 D1546 D1550 D1554 D1558 D1562 D1566 D1570 D1574 D1578 D1582 D1586 D1590 D1594 D1598 D1602 D1606 D1610 D1614 D1618 D1622 D1626 D1630 D1634 D1638 D1642 D1646 D1650 D1654 D1658 D1662 D1666 D1670 D1674 D1678 D1682 D1686 D1690 D1694 D1698 D1702 D1706 D1710 D1714 D1718 D1722 D1726 D1730 D1734 D1738 D1742 D1746 D1750 D1754 D1758 D1762 D1766 D1770 D1774 D1778 D1782 D1786 D1790 D1794 D1798 D1802 D1806 D1810 D1814 D1818 D1822 D1826 D1830 D1834 D1838 D1842 D1846 D1850 D1854 D1858 D1862 D1866 D1870 D1874 D1878 D1882 D1886 D1890 D1894 D1898 D1902 D1906 D1910 D1914 D1918 D1922 D1926 D1930 D1934 D1938 D1942 D1946 D1950 D1954 D1958 D1962 D1966 D1970 D1974 D1978 D1982 D1986 D1990 D1994 D1998 D2002 D2006 D2010 D2014 D2018 D2022 D2026 D2030 D2034 D2038 D2042 D2046 D2050 D2054 D2058 D2062 D2066 D2070 D2074 D2078 D2082 D2086 D2090 D2094 D2098 D2102 D2106 D2110 D2114 D2118 D2122 D2126 D2130 D2134 D2138 D2142 D2146 D2150 D2154 D2158 D2162 D2166 D2170 D2174 D2178 D2182 D2186 D2190 D2194 D2198 D2202 D2206 D2210 D2214 D2218 D2222 D2226 D2230 D2234 D2238 D2242 D2246 D2250 D2254 D2258 D2262 D2266 D2270 D2274 D2278 D2282 D2286 D2290 D2294 D2298 D2302 D2306 D2310 D2314 D2318 D2322 D2326 D2330 D2334 D2338 D2342 D2346 D2350 D2354 D2358 D2362 D2366 D2370 D2374 D2378 D2382 D2386 D2390 D2394 D2398 D2402 D2406 D2410 D2414 D2418 D2422 D2426 D2430 D2434 D2438 D2442 D2446 D2450 D2454 D2458 D2462 D2466 D2470 D2474 D2478 D2482 D2486 D2490 D2494 D2498 D2502 D2506 D2510 D2514 D2518 D2522 D2526 D2530 D2534 D2538 D2542 D2546 D2550 D2554 D2558 D2562 D2566 D2570 D2574 D2578 D2582 D2586 D2590 D2594 D2598 D2602 D2606 D2610 D2614 D2618 D2622 D2626 D2630 D2634 D2638 D2642 D2646 D2650 D2654 D2658 D2662 D2666 D2670 D2674 D2678 D2682 D2686 D2690 D2694 D2698 D2702 D2706 D2710 D2714 D2718 D2722 D2726 D2730 D2734 D2738 D2742 D2746 D2750 D2754 D2758 D2762 D2766 D2770 D2774 D2778 D2782 D2786 D2790 D2794 D2798 D2802 D2806 D2810 D2814 D2818 D2822 D2826 D2830 D2834 D2838 D2842 D2846 D2850 D2854 D2858 D2862 D2866 D2870 D2874 D2878 D2882 D2886 D2890 D2894 D2898 D2902 D2906 D2910 D2914 D2918 D2922 D2926 D2930 D2934 D2938 D2942 D2946 D2950 D2954 D2958 D2962 D2966 D2970 D2974 D2978 D2982 D2986 D2990 D2994 D2998 D3002 D3006 D3010 D3014 D3018 D3022 D3026 D3030 D3034 D3038 D3042 D3046 D3050 D3054 D3058 D3062 D3066 D3070 D3074 D3078 D3082 D3086 D3090 D3094 D3098 D3102 D3106 D3110 D3114 D3118 D3122 D3126 D3130 D3134 D3138 D3142 D3146 D3150 D3154 D3158 D3162 D3166 D3170 D3174 D3178 D3182 D3186 D3190 D3194 D3198 D3202 D3206 D3210 D3214 D3218 D3222 D3226 D3230 D3234 D3238 D3242 D3246 D3250 D3254 D3258 D3262 D3266 D3270 D3274 D3278 D3282 D3286 D3290 D3294 D3298 D3302 D3306 D3310 D3314 D3318 D3322 D3326 D3330 D3334 D3338 D3342 D3346 D3350 D3354 D3358 D3362 D3366 D3370 D3374 D3378 D3382 D3386 D3390 D3394 D3398 D3402 D3406 D3410 D3414 D3418 D3422 D3426 D3430 D3434 D3438 D3442 D3446 D3450 D3454 D3458 D3462 D3466 D3470 D3474 D3478 D3482 D3486 D3490 D3494 D3498 D3502 D3506 D3510 D3514 D3518 D3522 D3526 D3530 D3534 D3538 D3542 D3546 D3550 D3554 D3558 D3562 D3566 D3570 D3574 D3578 D3582 D3586 D3590 D3594 D3598 D3602 D3606 D3610 D3614 D3618 D3622 D3626 D3630 D3634 D3638 D3642 D3646 D3650 D3654 D3658 D3662 D3666 D3670 D3674 D3678 D3682 D3686 D3690 D3694 D3698 D3702 D3706 D3710 D3714 D3718 D3722 D3726 D3730 D3734 D3738 D3742 D3746 D3750 D3754 D3758 D3762 D3766 D3770 D3774 D3778 D3782 D3786 D3790 D3794 D3798 D3802 D3806 D3810 D3814 D3818 D3822 D3826 D3830 D3834 D3838 D3842 D3846 D3850 D3854 D3858 D3862 D3866 D3870 D3874 D3878 D3882 D3886 D3890 D3894 D3898 D3902 D3906 D3910 D3914 D3918 D3922 D3926 D3930 D3934 D3938 D3942 D3946 D3950 D3954 D3958 D3962 D3966 D3970 D3974 D3978 D3982 D3986 D3990 D3994 D3998 D4002 D4006 D4010 D4014 D4018 D4022 D4026 D4030 D4034 D4038 D4042 D4046 D4050 D4054 D4058 D4062 D4066 D4070 D4074 D4078 D4082 D4086 D4090 D4094 D4098 D4102 D4106 D4110 D4114 D4118 D4122 D4126 D4130 D4134 D4138 D4142 D4146 D4150 D4154 D4158 D4162 D4166 D4170 D4174 D4178 D4182 D4186 D4190 D4194 D4198 D4202 D4206 D4210 D4214 D4218 D4222 D4226 D4230 D4234 D4238 D4242 D4246 D4250 D4254 D4258 D4262 D4266 D4270 D4274 D4278 D4282 D4286 D4290 D4294 D4298 D4302 D4306 D4310 D4314 D4318 D4322 D4326 D4330 D4334 D4338 D4342 D4346 D4350 D4354 D4358 D4362 D4366 D4370 D4374 D4378 D4382 D4386 D4390 D4394 D4398 D4402 D4406 D4410 D4414 D4418 D4422 D4426 D4430 D4434 D4438 D4442 D4446 D4450 D4454 D4458 D4462 D4466 D4470 D4474 D4478 D4482 D4486 D4490 D4494 D4498 D4502 D4506 D4510 D4514 D4518 D4522 D4526 D4530 D4534 D4538 D4542 D4546 D4550 D4554 D4558 D4562 D4566 D4570 D4574 D4578 D4582 D4586 D4590 D4594 D4598 D4602 D4606 D4610 D4614 D4618 D4622 D4626 D4630 D4634 D4638 D4642 D4646 D4650 D4654 D4658 D4662 D4666 D4670 D4674 D4678 D4682 D4686 D4690 D4694 D4698 D4702 D4706 D4710 D4714 D4718 D4722 D4726 D4730 D4734 D4738 D4742 D4746 D4750 D4754 D4758 D4762 D4766 D4770 D4774 D4778 D4782 D4786 D4790 D4794 D4798 D4802 D4806 D4810 D4814 D4818 D4822 D4826 D4830 D4834 D4838 D4842 D4846 D4850 D4854 D4858 D4862 D4866 D4870 D4874 D4878 D4882 D4886 D4890 D4894 D4898 D4902 D4906 D4910 D4914 D4918 D4922 D4926 D4930 D4934 D4938 D4942 D4946 D4950 D4954 D4958 D4962 D4966 D4970 D4974" type="list">
      <formula1>'Parameter Restrictions'!$D$2:$D$8</formula1>
      <formula2>0</formula2>
    </dataValidation>
    <dataValidation allowBlank="true" errorStyle="stop" operator="between" showDropDown="false" showErrorMessage="false" showInputMessage="false" sqref="J2:J4977" type="list">
      <formula1>'Parameter Restrictions'!$J$2:$J$100</formula1>
      <formula2>0</formula2>
    </dataValidation>
    <dataValidation allowBlank="true" errorStyle="stop" operator="between" showDropDown="false" showErrorMessage="true" showInputMessage="false" sqref="E2 E6 E10 E14 E18 E22 E26 E30 E34 E38 E42 E46 E50 E54 E58 E62 E66 E70 E74 E78 E82 E86 E90 E94 E98 E102 E106 E110 E114 E118 E122 E126 E130 E134 E138 E142 E146 E150 E154 E158 E162 E166 E170 E174 E178 E182 E186 E190 E194 E198 E202 E206 E210 E214 E218 E222 E226 E230 E234 E238 E242 E246 E250 E254 E258 E262 E266 E270 E274 E278 E282 E286 E290 E294 E298 E302 E306 E310 E314 E318 E322 E326 E330 E334 E338 E342 E346 E350 E354 E358 E362 E366 E370 E374 E378 E382 E386 E390 E394 E398 E402 E406 E410 E414 E418 E422 E426 E430 E434 E438 E442 E446 E450 E454 E458 E462 E466 E470 E474 E478 E482 E486 E490 E494 E498 E502 E506 E510 E514 E518 E522 E526 E530 E534 E538 E542 E546 E550 E554 E558 E562 E566 E570 E574 E578 E582 E586 E590 E594 E598 E602 E606 E610 E614 E618 E622 E626 E630 E634 E638 E642 E646 E650 E654 E658 E662 E666 E670 E674 E678 E682 E686 E690 E694 E698 E702 E706 E710 E714 E718 E722 E726 E730 E734 E738 E742 E746 E750 E754 E758 E762 E766 E770 E774 E778 E782 E786 E790 E794 E798 E802 E806 E810 E814 E818 E822 E826 E830 E834 E838 E842 E846 E850 E854 E858 E862 E866 E870 E874 E878 E882 E886 E890 E894 E898 E902 E906 E910 E914 E918 E922 E926 E930 E934 E938 E942 E946 E950 E954 E958 E962 E966 E970 E974 E978 E982 E986 E990 E994 E998 E1002 E1006 E1010 E1014 E1018 E1022 E1026 E1030 E1034 E1038 E1042 E1046 E1050 E1054 E1058 E1062 E1066 E1070 E1074 E1078 E1082 E1086 E1090 E1094 E1098 E1102 E1106 E1110 E1114 E1118 E1122 E1126 E1130 E1134 E1138 E1142 E1146 E1150 E1154 E1158 E1162 E1166 E1170 E1174 E1178 E1182 E1186 E1190 E1194 E1198 E1202 E1206 E1210 E1214 E1218 E1222 E1226 E1230 E1234 E1238 E1242 E1246 E1250 E1254 E1258 E1262 E1266 E1270 E1274 E1278 E1282 E1286 E1290 E1294 E1298 E1302 E1306 E1310 E1314 E1318 E1322 E1326 E1330 E1334 E1338 E1342 E1346 E1350 E1354 E1358 E1362 E1366 E1370 E1374 E1378 E1382 E1386 E1390 E1394 E1398 E1402 E1406 E1410 E1414 E1418 E1422 E1426 E1430 E1434 E1438 E1442 E1446 E1450 E1454 E1458 E1462 E1466 E1470 E1474 E1478 E1482 E1486 E1490 E1494 E1498 E1502 E1506 E1510 E1514 E1518 E1522 E1526 E1530 E1534 E1538 E1542 E1546 E1550 E1554 E1558 E1562 E1566 E1570 E1574 E1578 E1582 E1586 E1590 E1594 E1598 E1602 E1606 E1610 E1614 E1618 E1622 E1626 E1630 E1634 E1638 E1642 E1646 E1650 E1654 E1658 E1662 E1666 E1670 E1674 E1678 E1682 E1686 E1690 E1694 E1698 E1702 E1706 E1710 E1714 E1718 E1722 E1726 E1730 E1734 E1738 E1742 E1746 E1750 E1754 E1758 E1762 E1766 E1770 E1774 E1778 E1782 E1786 E1790 E1794 E1798 E1802 E1806 E1810 E1814 E1818 E1822 E1826 E1830 E1834 E1838 E1842 E1846 E1850 E1854 E1858 E1862 E1866 E1870 E1874 E1878 E1882 E1886 E1890 E1894 E1898 E1902 E1906 E1910 E1914 E1918 E1922 E1926 E1930 E1934 E1938 E1942 E1946 E1950 E1954 E1958 E1962 E1966 E1970 E1974 E1978 E1982 E1986 E1990 E1994 E1998 E2002 E2006 E2010 E2014 E2018 E2022 E2026 E2030 E2034 E2038 E2042 E2046 E2050 E2054 E2058 E2062 E2066 E2070 E2074 E2078 E2082 E2086 E2090 E2094 E2098 E2102 E2106 E2110 E2114 E2118 E2122 E2126 E2130 E2134 E2138 E2142 E2146 E2150 E2154 E2158 E2162 E2166 E2170 E2174 E2178 E2182 E2186 E2190 E2194 E2198 E2202 E2206 E2210 E2214 E2218 E2222 E2226 E2230 E2234 E2238 E2242 E2246 E2250 E2254 E2258 E2262 E2266 E2270 E2274 E2278 E2282 E2286 E2290 E2294 E2298 E2302 E2306 E2310 E2314 E2318 E2322 E2326 E2330 E2334 E2338 E2342 E2346 E2350 E2354 E2358 E2362 E2366 E2370 E2374 E2378 E2382 E2386 E2390 E2394 E2398 E2402 E2406 E2410 E2414 E2418 E2422 E2426 E2430 E2434 E2438 E2442 E2446 E2450 E2454 E2458 E2462 E2466 E2470 E2474 E2478 E2482 E2486 E2490 E2494 E2498 E2502 E2506 E2510 E2514 E2518 E2522 E2526 E2530 E2534 E2538 E2542 E2546 E2550 E2554 E2558 E2562 E2566 E2570 E2574 E2578 E2582 E2586 E2590 E2594 E2598 E2602 E2606 E2610 E2614 E2618 E2622 E2626 E2630 E2634 E2638 E2642 E2646 E2650 E2654 E2658 E2662 E2666 E2670 E2674 E2678 E2682 E2686 E2690 E2694 E2698 E2702 E2706 E2710 E2714 E2718 E2722 E2726 E2730 E2734 E2738 E2742 E2746 E2750 E2754 E2758 E2762 E2766 E2770 E2774 E2778 E2782 E2786 E2790 E2794 E2798 E2802 E2806 E2810 E2814 E2818 E2822 E2826 E2830 E2834 E2838 E2842 E2846 E2850 E2854 E2858 E2862 E2866 E2870 E2874 E2878 E2882 E2886 E2890 E2894 E2898 E2902 E2906 E2910 E2914 E2918 E2922 E2926 E2930 E2934 E2938 E2942 E2946 E2950 E2954 E2958 E2962 E2966 E2970 E2974 E2978 E2982 E2986 E2990 E2994 E2998 E3002 E3006 E3010 E3014 E3018 E3022 E3026 E3030 E3034 E3038 E3042 E3046 E3050 E3054 E3058 E3062 E3066 E3070 E3074 E3078 E3082 E3086 E3090 E3094 E3098 E3102 E3106 E3110 E3114 E3118 E3122 E3126 E3130 E3134 E3138 E3142 E3146 E3150 E3154 E3158 E3162 E3166 E3170 E3174 E3178 E3182 E3186 E3190 E3194 E3198 E3202 E3206 E3210 E3214 E3218 E3222 E3226 E3230 E3234 E3238 E3242 E3246 E3250 E3254 E3258 E3262 E3266 E3270 E3274 E3278 E3282 E3286 E3290 E3294 E3298 E3302 E3306 E3310 E3314 E3318 E3322 E3326 E3330 E3334 E3338 E3342 E3346 E3350 E3354 E3358 E3362 E3366 E3370 E3374 E3378 E3382 E3386 E3390 E3394 E3398 E3402 E3406 E3410 E3414 E3418 E3422 E3426 E3430 E3434 E3438 E3442 E3446 E3450 E3454 E3458 E3462 E3466 E3470 E3474 E3478 E3482 E3486 E3490 E3494 E3498 E3502 E3506 E3510 E3514 E3518 E3522 E3526 E3530 E3534 E3538 E3542 E3546 E3550 E3554 E3558 E3562 E3566 E3570 E3574 E3578 E3582 E3586 E3590 E3594 E3598 E3602 E3606 E3610 E3614 E3618 E3622 E3626 E3630 E3634 E3638 E3642 E3646 E3650 E3654 E3658 E3662 E3666 E3670 E3674 E3678 E3682 E3686 E3690 E3694 E3698 E3702 E3706 E3710 E3714 E3718 E3722 E3726 E3730 E3734 E3738 E3742 E3746 E3750 E3754 E3758 E3762 E3766 E3770 E3774 E3778 E3782 E3786 E3790 E3794 E3798 E3802 E3806 E3810 E3814 E3818 E3822 E3826 E3830 E3834 E3838 E3842 E3846 E3850 E3854 E3858 E3862 E3866 E3870 E3874 E3878 E3882 E3886 E3890 E3894 E3898 E3902 E3906 E3910 E3914 E3918 E3922 E3926 E3930 E3934 E3938 E3942 E3946 E3950 E3954 E3958 E3962 E3966 E3970 E3974 E3978 E3982 E3986 E3990 E3994 E3998 E4002 E4006 E4010 E4014 E4018 E4022 E4026 E4030 E4034 E4038 E4042 E4046 E4050 E4054 E4058 E4062 E4066 E4070 E4074 E4078 E4082 E4086 E4090 E4094 E4098 E4102 E4106 E4110 E4114 E4118 E4122 E4126 E4130 E4134 E4138 E4142 E4146 E4150 E4154 E4158 E4162 E4166 E4170 E4174 E4178 E4182 E4186 E4190 E4194 E4198 E4202 E4206 E4210 E4214 E4218 E4222 E4226 E4230 E4234 E4238 E4242 E4246 E4250 E4254 E4258 E4262 E4266 E4270 E4274 E4278 E4282 E4286 E4290 E4294 E4298 E4302 E4306 E4310 E4314 E4318 E4322 E4326 E4330 E4334 E4338 E4342 E4346 E4350 E4354 E4358 E4362 E4366 E4370 E4374 E4378 E4382 E4386 E4390 E4394 E4398 E4402 E4406 E4410 E4414 E4418 E4422 E4426 E4430 E4434 E4438 E4442 E4446 E4450 E4454 E4458 E4462 E4466 E4470 E4474 E4478 E4482 E4486 E4490 E4494 E4498 E4502 E4506 E4510 E4514 E4518 E4522 E4526 E4530 E4534 E4538 E4542 E4546 E4550 E4554 E4558 E4562 E4566 E4570 E4574 E4578 E4582 E4586 E4590 E4594 E4598 E4602 E4606 E4610 E4614 E4618 E4622 E4626 E4630 E4634 E4638 E4642 E4646 E4650 E4654 E4658 E4662 E4666 E4670 E4674 E4678 E4682 E4686 E4690 E4694 E4698 E4702 E4706 E4710 E4714 E4718 E4722 E4726 E4730 E4734 E4738 E4742 E4746 E4750 E4754 E4758 E4762 E4766 E4770 E4774 E4778 E4782 E4786 E4790 E4794 E4798 E4802 E4806 E4810 E4814 E4818 E4822 E4826 E4830 E4834 E4838 E4842 E4846 E4850 E4854 E4858 E4862 E4866 E4870 E4874 E4878 E4882 E4886 E4890 E4894 E4898 E4902 E4906 E4910 E4914 E4918 E4922 E4926 E4930 E4934 E4938 E4942 E4946 E4950 E4954 E4958 E4962 E4966 E4970 E4974" type="list">
      <formula1>'Parameter Restrictions'!$E$2:$E$8</formula1>
      <formula2>0</formula2>
    </dataValidation>
    <dataValidation allowBlank="true" errorStyle="stop" operator="between" prompt="Please only enter in the first letters of your first and last names." showDropDown="false" showErrorMessage="true" showInputMessage="true" sqref="A2 A6 A10 A14 A18 A22 A26 A30 A34 A38 A42 A46 A50 A54 A58 A62 A66 A70 A74 A78 A82 A86 A90 A94 A98 A102 A106 A110 A114 A118 A122 A126 A130 A134 A138 A142 A146 A150 A154 A158 A162 A166 A170 A174 A178 A182 A186 A190 A194 A198 A202 A206 A210 A214 A218 A222 A226 A230 A234 A238 A242 A246 A250 A254 A258 A262 A266 A270 A274 A278 A282 A286 A290 A294 A298 A302 A306 A310 A314 A318 A322 A326 A330 A334 A338 A342 A346 A350 A354 A358 A362 A366 A370 A374 A378 A382 A386 A390 A394 A398 A402 A406 A410 A414 A418 A422 A426 A430 A434 A438 A442 A446 A450 A454 A458 A462 A466 A470 A474 A478 A482 A486 A490 A494 A498 A502 A506 A510 A514 A518 A522 A526 A530 A534 A538 A542 A546 A550 A554 A558 A562 A566 A570 A574 A578 A582 A586 A590 A594 A598 A602 A606 A610 A614 A618 A622 A626 A630 A634 A638 A642 A646 A650 A654 A658 A662 A666 A670 A674 A678 A682 A686 A690 A694 A698 A702 A706 A710 A714 A718 A722 A726 A730 A734 A738 A742 A746 A750 A754 A758 A762 A766 A770 A774 A778 A782 A786 A790 A794 A798 A802 A806 A810 A814 A818 A822 A826 A830 A834 A838 A842 A846 A850 A854 A858 A862 A866 A870 A874 A878 A882 A886 A890 A894 A898 A902 A906 A910 A914 A918 A922 A926 A930 A934 A938 A942 A946 A950 A954 A958 A962 A966 A970 A974 A978 A982 A986 A990 A994 A998 A1002 A1006 A1010 A1014 A1018 A1022 A1026 A1030 A1034 A1038 A1042 A1046 A1050 A1054 A1058 A1062 A1066 A1070 A1074 A1078 A1082 A1086 A1090 A1094 A1098 A1102 A1106 A1110 A1114 A1118 A1122 A1126 A1130 A1134 A1138 A1142 A1146 A1150 A1154 A1158 A1162 A1166 A1170 A1174 A1178 A1182 A1186 A1190 A1194 A1198 A1202 A1206 A1210 A1214 A1218 A1222 A1226 A1230 A1234 A1238 A1242 A1246 A1250 A1254 A1258 A1262 A1266 A1270 A1274 A1278 A1282 A1286 A1290 A1294 A1298 A1302 A1306 A1310 A1314 A1318 A1322 A1326 A1330 A1334 A1338 A1342 A1346 A1350 A1354 A1358 A1362 A1366 A1370 A1374 A1378 A1382 A1386 A1390 A1394 A1398 A1402 A1406 A1410 A1414 A1418 A1422 A1426 A1430 A1434 A1438 A1442 A1446 A1450 A1454 A1458 A1462 A1466 A1470 A1474 A1478 A1482 A1486 A1490 A1494 A1498 A1502 A1506 A1510 A1514 A1518 A1522 A1526 A1530 A1534 A1538 A1542 A1546 A1550 A1554 A1558 A1562 A1566 A1570 A1574 A1578 A1582 A1586 A1590 A1594 A1598 A1602 A1606 A1610 A1614 A1618 A1622 A1626 A1630 A1634 A1638 A1642 A1646 A1650 A1654 A1658 A1662 A1666 A1670 A1674 A1678 A1682 A1686 A1690 A1694 A1698 A1702 A1706 A1710 A1714 A1718 A1722 A1726 A1730 A1734 A1738 A1742 A1746 A1750 A1754 A1758 A1762 A1766 A1770 A1774 A1778 A1782 A1786 A1790 A1794 A1798 A1802 A1806 A1810 A1814 A1818 A1822 A1826 A1830 A1834 A1838 A1842 A1846 A1850 A1854 A1858 A1862 A1866 A1870 A1874 A1878 A1882 A1886 A1890 A1894 A1898 A1902 A1906 A1910 A1914 A1918 A1922 A1926 A1930 A1934 A1938 A1942 A1946 A1950 A1954 A1958 A1962 A1966 A1970 A1974 A1978 A1982 A1986 A1990 A1994 A1998 A2002 A2006 A2010 A2014 A2018 A2022 A2026 A2030 A2034 A2038 A2042 A2046 A2050 A2054 A2058 A2062 A2066 A2070 A2074 A2078 A2082 A2086 A2090 A2094 A2098 A2102 A2106 A2110 A2114 A2118 A2122 A2126 A2130 A2134 A2138 A2142 A2146 A2150 A2154 A2158 A2162 A2166 A2170 A2174 A2178 A2182 A2186 A2190 A2194 A2198 A2202 A2206 A2210 A2214 A2218 A2222 A2226 A2230 A2234 A2238 A2242 A2246 A2250 A2254 A2258 A2262 A2266 A2270 A2274 A2278 A2282 A2286 A2290 A2294 A2298 A2302 A2306 A2310 A2314 A2318 A2322 A2326 A2330 A2334 A2338 A2342 A2346 A2350 A2354 A2358 A2362 A2366 A2370 A2374 A2378 A2382 A2386 A2390 A2394 A2398 A2402 A2406 A2410 A2414 A2418 A2422 A2426 A2430 A2434 A2438 A2442 A2446 A2450 A2454 A2458 A2462 A2466 A2470 A2474 A2478 A2482 A2486 A2490 A2494 A2498 A2502 A2506 A2510 A2514 A2518 A2522 A2526 A2530 A2534 A2538 A2542 A2546 A2550 A2554 A2558 A2562 A2566 A2570 A2574 A2578 A2582 A2586 A2590 A2594 A2598 A2602 A2606 A2610 A2614 A2618 A2622 A2626 A2630 A2634 A2638 A2642 A2646 A2650 A2654 A2658 A2662 A2666 A2670 A2674 A2678 A2682 A2686 A2690 A2694 A2698 A2702 A2706 A2710 A2714 A2718 A2722 A2726 A2730 A2734 A2738 A2742 A2746 A2750 A2754 A2758 A2762 A2766 A2770 A2774 A2778 A2782 A2786 A2790 A2794 A2798 A2802 A2806 A2810 A2814 A2818 A2822 A2826 A2830 A2834 A2838 A2842 A2846 A2850 A2854 A2858 A2862 A2866 A2870 A2874 A2878 A2882 A2886 A2890 A2894 A2898 A2902 A2906 A2910 A2914 A2918 A2922 A2926 A2930 A2934 A2938 A2942 A2946 A2950 A2954 A2958 A2962 A2966 A2970 A2974 A2978 A2982 A2986 A2990 A2994 A2998 A3002 A3006 A3010 A3014 A3018 A3022 A3026 A3030 A3034 A3038 A3042 A3046 A3050 A3054 A3058 A3062 A3066 A3070 A3074 A3078 A3082 A3086 A3090 A3094 A3098 A3102 A3106 A3110 A3114 A3118 A3122 A3126 A3130 A3134 A3138 A3142 A3146 A3150 A3154 A3158 A3162 A3166 A3170 A3174 A3178 A3182 A3186 A3190 A3194 A3198 A3202 A3206 A3210 A3214 A3218 A3222 A3226 A3230 A3234 A3238 A3242 A3246 A3250 A3254 A3258 A3262 A3266 A3270 A3274 A3278 A3282 A3286 A3290 A3294 A3298 A3302 A3306 A3310 A3314 A3318 A3322 A3326 A3330 A3334 A3338 A3342 A3346 A3350 A3354 A3358 A3362 A3366 A3370 A3374 A3378 A3382 A3386 A3390 A3394 A3398 A3402 A3406 A3410 A3414 A3418 A3422 A3426 A3430 A3434 A3438 A3442 A3446 A3450 A3454 A3458 A3462 A3466 A3470 A3474 A3478 A3482 A3486 A3490 A3494 A3498 A3502 A3506 A3510 A3514 A3518 A3522 A3526 A3530 A3534 A3538 A3542 A3546 A3550 A3554 A3558 A3562 A3566 A3570 A3574 A3578 A3582 A3586 A3590 A3594 A3598 A3602 A3606 A3610 A3614 A3618 A3622 A3626 A3630 A3634 A3638 A3642 A3646 A3650 A3654 A3658 A3662 A3666 A3670 A3674 A3678 A3682 A3686 A3690 A3694 A3698 A3702 A3706 A3710 A3714 A3718 A3722 A3726 A3730 A3734 A3738 A3742 A3746 A3750 A3754 A3758 A3762 A3766 A3770 A3774 A3778 A3782 A3786 A3790 A3794 A3798 A3802 A3806 A3810 A3814 A3818 A3822 A3826 A3830 A3834 A3838 A3842 A3846 A3850 A3854 A3858 A3862 A3866 A3870 A3874 A3878 A3882 A3886 A3890 A3894 A3898 A3902 A3906 A3910 A3914 A3918 A3922 A3926 A3930 A3934 A3938 A3942 A3946 A3950 A3954 A3958 A3962 A3966 A3970 A3974 A3978 A3982 A3986 A3990 A3994 A3998 A4002 A4006 A4010 A4014 A4018 A4022 A4026 A4030 A4034 A4038 A4042 A4046 A4050 A4054 A4058 A4062 A4066 A4070 A4074 A4078 A4082 A4086 A4090 A4094 A4098 A4102 A4106 A4110 A4114 A4118 A4122 A4126 A4130 A4134 A4138 A4142 A4146 A4150 A4154 A4158 A4162 A4166 A4170 A4174 A4178 A4182 A4186 A4190 A4194 A4198 A4202 A4206 A4210 A4214 A4218 A4222 A4226 A4230 A4234 A4238 A4242 A4246 A4250 A4254 A4258 A4262 A4266 A4270 A4274 A4278 A4282 A4286 A4290 A4294 A4298 A4302 A4306 A4310 A4314 A4318 A4322 A4326 A4330 A4334 A4338 A4342 A4346 A4350 A4354 A4358 A4362 A4366 A4370 A4374 A4378 A4382 A4386 A4390 A4394 A4398 A4402 A4406 A4410 A4414 A4418 A4422 A4426 A4430 A4434 A4438 A4442 A4446 A4450 A4454 A4458 A4462 A4466 A4470 A4474 A4478 A4482 A4486 A4490 A4494 A4498 A4502 A4506 A4510 A4514 A4518 A4522 A4526 A4530 A4534 A4538 A4542 A4546 A4550 A4554 A4558 A4562 A4566 A4570 A4574 A4578 A4582 A4586 A4590 A4594 A4598 A4602 A4606 A4610 A4614 A4618 A4622 A4626 A4630 A4634 A4638 A4642 A4646 A4650 A4654 A4658 A4662 A4666 A4670 A4674 A4678 A4682 A4686 A4690 A4694 A4698 A4702 A4706 A4710 A4714 A4718 A4722 A4726 A4730 A4734 A4738 A4742 A4746 A4750 A4754 A4758 A4762 A4766 A4770 A4774 A4778 A4782 A4786 A4790 A4794 A4798 A4802 A4806 A4810 A4814 A4818 A4822 A4826 A4830 A4834 A4838 A4842 A4846 A4850 A4854 A4858 A4862 A4866 A4870 A4874 A4878 A4882 A4886 A4890 A4894 A4898 A4902 A4906 A4910 A4914 A4918 A4922 A4926 A4930 A4934 A4938 A4942 A4946 A4950 A4954 A4958 A4962 A4966 A4970 A4974" type="list">
      <formula1>'Parameter Restrictions'!$A$2:$A$21</formula1>
      <formula2>0</formula2>
    </dataValidation>
    <dataValidation allowBlank="true" errorStyle="stop" operator="between" prompt="Only put the QR code value into this cell for ears from Hybrid plots. If the bag is missing a QR code or it is damaged, note this in the &quot;General Remarks&quot; section" showDropDown="true" showErrorMessage="true" showInputMessage="true" sqref="C2 C6 C10 C14 C18 C22 C26 C30 C34 C38 C42 C46 C50 C54 C58 C62 C66 C70 C74 C78 C82 C86 C90 C94 C98 C102 C106 C110 C114 C118 C122 C126 C130 C134 C138 C142 C146 C150 C154 C158 C162 C166 C170 C174 C178 C182 C186 C190 C194 C198 C202 C206 C210 C214 C218 C222 C226 C230 C234 C238 C242 C246 C250 C254 C258 C262 C266 C270 C274 C278 C282 C286 C290 C294 C298 C302 C306 C310 C314 C318 C322 C326 C330 C334 C338 C342 C346 C350 C354 C358 C362 C366 C370 C374 C378 C382 C386 C390 C394 C398 C402 C406 C410 C414 C418 C422 C426 C430 C434 C438 C442 C446 C450 C454 C458 C462 C466 C470 C474 C478 C482 C486 C490 C494 C498 C502 C506 C510 C514 C518 C522 C526 C530 C534 C538 C542 C546 C550 C554 C558 C562 C566 C570 C574 C578 C582 C586 C590 C594 C598 C602 C606 C610 C614 C618 C622 C626 C630 C634 C638 C642 C646 C650 C654 C658 C662 C666 C670 C674 C678 C682 C686 C690 C694 C698 C702 C706 C710 C714 C718 C722 C726 C730 C734 C738 C742 C746 C750 C754 C758 C762 C766 C770 C774 C778 C782 C786 C790 C794 C798 C802 C806 C810 C814 C818 C822 C826 C830 C834 C838 C842 C846 C850 C854 C858 C862 C866 C870 C874 C878 C882 C886 C890 C894 C898 C902 C906 C910 C914 C918 C922 C926 C930 C934 C938 C942 C946 C950 C954 C958 C962 C966 C970 C974 C978 C982 C986 C990 C994 C998 C1002 C1006 C1010 C1014 C1018 C1022 C1026 C1030 C1034 C1038 C1042 C1046 C1050 C1054 C1058 C1062 C1066 C1070 C1074 C1078 C1082 C1086 C1090 C1094 C1098 C1102 C1106 C1110 C1114 C1118 C1122 C1126 C1130 C1134 C1138 C1142 C1146 C1150 C1154 C1158 C1162 C1166 C1170 C1174 C1178 C1182 C1186 C1190 C1194 C1198 C1202 C1206 C1210 C1214 C1218 C1222 C1226 C1230 C1234 C1238 C1242 C1246 C1250 C1254 C1258 C1262 C1266 C1270 C1274 C1278 C1282 C1286 C1290 C1294 C1298 C1302 C1306 C1310 C1314 C1318 C1322 C1326 C1330 C1334 C1338 C1342 C1346 C1350 C1354 C1358 C1362 C1366 C1370 C1374 C1378 C1382 C1386 C1390 C1394 C1398 C1402 C1406 C1410 C1414 C1418 C1422 C1426 C1430 C1434 C1438 C1442 C1446 C1450 C1454 C1458 C1462 C1466 C1470 C1474 C1478 C1482 C1486 C1490 C1494 C1498 C1502 C1506 C1510 C1514 C1518 C1522 C1526 C1530 C1534 C1538 C1542 C1546 C1550 C1554 C1558 C1562 C1566 C1570 C1574 C1578 C1582 C1586 C1590 C1594 C1598 C1602 C1606 C1610 C1614 C1618 C1622 C1626 C1630 C1634 C1638 C1642 C1646 C1650 C1654 C1658 C1662 C1666 C1670 C1674 C1678 C1682 C1686 C1690 C1694 C1698 C1702 C1706 C1710 C1714 C1718 C1722 C1726 C1730 C1734 C1738 C1742 C1746 C1750 C1754 C1758 C1762 C1766 C1770 C1774 C1778 C1782 C1786 C1790 C1794 C1798 C1802 C1806 C1810 C1814 C1818 C1822 C1826 C1830 C1834 C1838 C1842 C1846 C1850 C1854 C1858 C1862 C1866 C1870 C1874 C1878 C1882 C1886 C1890 C1894 C1898 C1902 C1906 C1910 C1914 C1918 C1922 C1926 C1930 C1934 C1938 C1942 C1946 C1950 C1954 C1958 C1962 C1966 C1970 C1974 C1978 C1982 C1986 C1990 C1994 C1998 C2002 C2006 C2010 C2014 C2018 C2022 C2026 C2030 C2034 C2038 C2042 C2046 C2050 C2054 C2058 C2062 C2066 C2070 C2074 C2078 C2082 C2086 C2090 C2094 C2098 C2102 C2106 C2110 C2114 C2118 C2122 C2126 C2130 C2134 C2138 C2142 C2146 C2150 C2154 C2158 C2162 C2166 C2170 C2174 C2178 C2182 C2186 C2190 C2194 C2198 C2202 C2206 C2210 C2214 C2218 C2222 C2226 C2230 C2234 C2238 C2242 C2246 C2250 C2254 C2258 C2262 C2266 C2270 C2274 C2278 C2282 C2286 C2290 C2294 C2298 C2302 C2306 C2310 C2314 C2318 C2322 C2326 C2330 C2334 C2338 C2342 C2346 C2350 C2354 C2358 C2362 C2366 C2370 C2374 C2378 C2382 C2386 C2390 C2394 C2398 C2402 C2406 C2410 C2414 C2418 C2422 C2426 C2430 C2434 C2438 C2442 C2446 C2450 C2454 C2458 C2462 C2466 C2470 C2474 C2478 C2482 C2486 C2490 C2494 C2498 C2502 C2506 C2510 C2514 C2518 C2522 C2526 C2530 C2534 C2538 C2542 C2546 C2550 C2554 C2558 C2562 C2566 C2570 C2574 C2578 C2582 C2586 C2590 C2594 C2598 C2602 C2606 C2610 C2614 C2618 C2622 C2626 C2630 C2634 C2638 C2642 C2646 C2650 C2654 C2658 C2662 C2666 C2670 C2674 C2678 C2682 C2686 C2690 C2694 C2698 C2702 C2706 C2710 C2714 C2718 C2722 C2726 C2730 C2734 C2738 C2742 C2746 C2750 C2754 C2758 C2762 C2766 C2770 C2774 C2778 C2782 C2786 C2790 C2794 C2798 C2802 C2806 C2810 C2814 C2818 C2822 C2826 C2830 C2834 C2838 C2842 C2846 C2850 C2854 C2858 C2862 C2866 C2870 C2874 C2878 C2882 C2886 C2890 C2894 C2898 C2902 C2906 C2910 C2914 C2918 C2922 C2926 C2930 C2934 C2938 C2942 C2946 C2950 C2954 C2958 C2962 C2966 C2970 C2974 C2978 C2982 C2986 C2990 C2994 C2998 C3002 C3006 C3010 C3014 C3018 C3022 C3026 C3030 C3034 C3038 C3042 C3046 C3050 C3054 C3058 C3062 C3066 C3070 C3074 C3078 C3082 C3086 C3090 C3094 C3098 C3102 C3106 C3110 C3114 C3118 C3122 C3126 C3130 C3134 C3138 C3142 C3146 C3150 C3154 C3158 C3162 C3166 C3170 C3174 C3178 C3182 C3186 C3190 C3194 C3198 C3202 C3206 C3210 C3214 C3218 C3222 C3226 C3230 C3234 C3238 C3242 C3246 C3250 C3254 C3258 C3262 C3266 C3270 C3274 C3278 C3282 C3286 C3290 C3294 C3298 C3302 C3306 C3310 C3314 C3318 C3322 C3326 C3330 C3334 C3338 C3342 C3346 C3350 C3354 C3358 C3362 C3366 C3370 C3374 C3378 C3382 C3386 C3390 C3394 C3398 C3402 C3406 C3410 C3414 C3418 C3422 C3426 C3430 C3434 C3438 C3442 C3446 C3450 C3454 C3458 C3462 C3466 C3470 C3474 C3478 C3482 C3486 C3490 C3494 C3498 C3502 C3506 C3510 C3514 C3518 C3522 C3526 C3530 C3534 C3538 C3542 C3546 C3550 C3554 C3558 C3562 C3566 C3570 C3574 C3578 C3582 C3586 C3590 C3594 C3598 C3602 C3606 C3610 C3614 C3618 C3622 C3626 C3630 C3634 C3638 C3642 C3646 C3650 C3654 C3658 C3662 C3666 C3670 C3674 C3678 C3682 C3686 C3690 C3694 C3698 C3702 C3706 C3710 C3714 C3718 C3722 C3726 C3730 C3734 C3738 C3742 C3746 C3750 C3754 C3758 C3762 C3766 C3770 C3774 C3778 C3782 C3786 C3790 C3794 C3798 C3802 C3806 C3810 C3814 C3818 C3822 C3826 C3830 C3834 C3838 C3842 C3846 C3850 C3854 C3858 C3862 C3866 C3870 C3874 C3878 C3882 C3886 C3890 C3894 C3898 C3902 C3906 C3910 C3914 C3918 C3922 C3926 C3930 C3934 C3938 C3942 C3946 C3950 C3954 C3958 C3962 C3966 C3970 C3974 C3978 C3982 C3986 C3990 C3994 C3998 C4002 C4006 C4010 C4014 C4018 C4022 C4026 C4030 C4034 C4038 C4042 C4046 C4050 C4054 C4058 C4062 C4066 C4070 C4074 C4078 C4082 C4086 C4090 C4094 C4098 C4102 C4106 C4110 C4114 C4118 C4122 C4126 C4130 C4134 C4138 C4142 C4146 C4150 C4154 C4158 C4162 C4166 C4170 C4174 C4178 C4182 C4186 C4190 C4194 C4198 C4202 C4206 C4210 C4214 C4218 C4222 C4226 C4230 C4234 C4238 C4242 C4246 C4250 C4254 C4258 C4262 C4266 C4270 C4274 C4278 C4282 C4286 C4290 C4294 C4298 C4302 C4306 C4310 C4314 C4318 C4322 C4326 C4330 C4334 C4338 C4342 C4346 C4350 C4354 C4358 C4362 C4366 C4370 C4374 C4378 C4382 C4386 C4390 C4394 C4398 C4402 C4406 C4410 C4414 C4418 C4422 C4426 C4430 C4434 C4438 C4442 C4446 C4450 C4454 C4458 C4462 C4466 C4470 C4474 C4478 C4482 C4486 C4490 C4494 C4498 C4502 C4506 C4510 C4514 C4518 C4522 C4526 C4530 C4534 C4538 C4542 C4546 C4550 C4554 C4558 C4562 C4566 C4570 C4574 C4578 C4582 C4586 C4590 C4594 C4598 C4602 C4606 C4610 C4614 C4618 C4622 C4626 C4630 C4634 C4638 C4642 C4646 C4650 C4654 C4658 C4662 C4666 C4670 C4674 C4678 C4682 C4686 C4690 C4694 C4698 C4702 C4706 C4710 C4714 C4718 C4722 C4726 C4730 C4734 C4738 C4742 C4746 C4750 C4754 C4758 C4762 C4766 C4770 C4774 C4778 C4782 C4786 C4790 C4794 C4798 C4802 C4806 C4810 C4814 C4818 C4822 C4826 C4830 C4834 C4838 C4842 C4846 C4850 C4854 C4858 C4862 C4866 C4870 C4874 C4878 C4882 C4886 C4890 C4894 C4898 C4902 C4906 C4910 C4914 C4918 C4922 C4926 C4930 C4934 C4938 C4942 C4946 C4950 C4954 C4958 C4962 C4966 C4970 C4974" type="custom">
      <formula1>NOT(ISERROR(SEARCH(("hybrid"),(#ref!))))</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2.6328125" defaultRowHeight="15.75" zeroHeight="false" outlineLevelRow="0" outlineLevelCol="0"/>
  <sheetData>
    <row r="1" customFormat="false" ht="15.75" hidden="false" customHeight="false" outlineLevel="0" collapsed="false">
      <c r="A1" s="29" t="s">
        <v>0</v>
      </c>
      <c r="B1" s="30" t="s">
        <v>1</v>
      </c>
      <c r="C1" s="30" t="s">
        <v>2</v>
      </c>
      <c r="D1" s="30" t="s">
        <v>295</v>
      </c>
      <c r="E1" s="30" t="s">
        <v>4</v>
      </c>
      <c r="F1" s="30" t="s">
        <v>296</v>
      </c>
      <c r="G1" s="30" t="s">
        <v>6</v>
      </c>
      <c r="H1" s="30" t="s">
        <v>7</v>
      </c>
      <c r="I1" s="30" t="s">
        <v>8</v>
      </c>
      <c r="J1" s="30" t="s">
        <v>9</v>
      </c>
      <c r="K1" s="30" t="s">
        <v>10</v>
      </c>
      <c r="L1" s="30" t="s">
        <v>11</v>
      </c>
      <c r="M1" s="30" t="s">
        <v>12</v>
      </c>
      <c r="N1" s="30" t="s">
        <v>13</v>
      </c>
      <c r="O1" s="30" t="s">
        <v>14</v>
      </c>
      <c r="P1" s="31" t="s">
        <v>15</v>
      </c>
      <c r="Q1" s="31" t="s">
        <v>16</v>
      </c>
      <c r="R1" s="31" t="s">
        <v>17</v>
      </c>
      <c r="S1" s="31" t="s">
        <v>18</v>
      </c>
      <c r="T1" s="31" t="s">
        <v>19</v>
      </c>
      <c r="U1" s="31" t="s">
        <v>20</v>
      </c>
    </row>
    <row r="2" customFormat="false" ht="15.75" hidden="false" customHeight="false" outlineLevel="0" collapsed="false">
      <c r="A2" s="32" t="s">
        <v>297</v>
      </c>
      <c r="B2" s="32" t="s">
        <v>44</v>
      </c>
      <c r="C2" s="32"/>
      <c r="D2" s="32" t="s">
        <v>73</v>
      </c>
      <c r="E2" s="32" t="s">
        <v>73</v>
      </c>
      <c r="F2" s="33"/>
      <c r="G2" s="33" t="n">
        <v>0</v>
      </c>
      <c r="H2" s="33" t="n">
        <v>0</v>
      </c>
      <c r="I2" s="33"/>
      <c r="J2" s="33" t="s">
        <v>49</v>
      </c>
      <c r="K2" s="33" t="n">
        <v>30</v>
      </c>
      <c r="L2" s="33" t="n">
        <v>100</v>
      </c>
      <c r="M2" s="33" t="n">
        <v>12</v>
      </c>
      <c r="N2" s="33" t="n">
        <v>20</v>
      </c>
      <c r="O2" s="33" t="n">
        <v>75</v>
      </c>
      <c r="P2" s="33" t="n">
        <v>10</v>
      </c>
      <c r="Q2" s="33" t="n">
        <v>115</v>
      </c>
      <c r="R2" s="33" t="n">
        <v>8</v>
      </c>
      <c r="S2" s="33" t="n">
        <v>15</v>
      </c>
      <c r="T2" s="33" t="n">
        <v>250</v>
      </c>
      <c r="U2" s="33"/>
      <c r="V2" s="33"/>
      <c r="W2" s="33"/>
      <c r="X2" s="33"/>
      <c r="Y2" s="33"/>
      <c r="Z2" s="33"/>
      <c r="AA2" s="33"/>
      <c r="AB2" s="33"/>
    </row>
    <row r="3" customFormat="false" ht="15.75" hidden="false" customHeight="false" outlineLevel="0" collapsed="false">
      <c r="A3" s="33" t="s">
        <v>43</v>
      </c>
      <c r="B3" s="33" t="s">
        <v>26</v>
      </c>
      <c r="C3" s="33"/>
      <c r="D3" s="33" t="s">
        <v>28</v>
      </c>
      <c r="E3" s="33" t="s">
        <v>28</v>
      </c>
      <c r="F3" s="33"/>
      <c r="G3" s="33" t="n">
        <v>148</v>
      </c>
      <c r="H3" s="33" t="n">
        <v>40</v>
      </c>
      <c r="I3" s="33"/>
      <c r="J3" s="33" t="s">
        <v>47</v>
      </c>
      <c r="K3" s="33" t="n">
        <v>55</v>
      </c>
      <c r="L3" s="33" t="n">
        <v>220</v>
      </c>
      <c r="M3" s="33" t="n">
        <v>22</v>
      </c>
      <c r="N3" s="33" t="n">
        <v>44</v>
      </c>
      <c r="O3" s="33" t="n">
        <v>300</v>
      </c>
      <c r="P3" s="33" t="n">
        <v>40</v>
      </c>
      <c r="Q3" s="33" t="n">
        <v>220</v>
      </c>
      <c r="R3" s="33" t="n">
        <v>50</v>
      </c>
      <c r="S3" s="33" t="n">
        <v>35</v>
      </c>
      <c r="T3" s="33" t="n">
        <v>1000</v>
      </c>
      <c r="U3" s="33"/>
      <c r="V3" s="33"/>
      <c r="W3" s="33"/>
      <c r="X3" s="33"/>
      <c r="Y3" s="33"/>
      <c r="Z3" s="33"/>
      <c r="AA3" s="33"/>
      <c r="AB3" s="33"/>
    </row>
    <row r="4" customFormat="false" ht="15.75" hidden="false" customHeight="false" outlineLevel="0" collapsed="false">
      <c r="A4" s="33" t="s">
        <v>259</v>
      </c>
      <c r="B4" s="33" t="s">
        <v>176</v>
      </c>
      <c r="C4" s="33"/>
      <c r="D4" s="33" t="s">
        <v>298</v>
      </c>
      <c r="E4" s="33" t="s">
        <v>298</v>
      </c>
      <c r="F4" s="33"/>
      <c r="G4" s="33"/>
      <c r="H4" s="33"/>
      <c r="I4" s="33"/>
      <c r="J4" s="33" t="s">
        <v>36</v>
      </c>
      <c r="K4" s="33"/>
      <c r="L4" s="33"/>
      <c r="M4" s="33"/>
      <c r="N4" s="33"/>
      <c r="O4" s="33"/>
      <c r="P4" s="33"/>
      <c r="Q4" s="33"/>
      <c r="R4" s="33"/>
      <c r="S4" s="33"/>
      <c r="T4" s="33"/>
      <c r="U4" s="33"/>
      <c r="V4" s="33"/>
      <c r="W4" s="33"/>
      <c r="X4" s="33"/>
      <c r="Y4" s="33"/>
      <c r="Z4" s="33"/>
      <c r="AA4" s="33"/>
      <c r="AB4" s="33"/>
    </row>
    <row r="5" customFormat="false" ht="15.75" hidden="false" customHeight="false" outlineLevel="0" collapsed="false">
      <c r="A5" s="33" t="s">
        <v>180</v>
      </c>
      <c r="B5" s="33"/>
      <c r="C5" s="33"/>
      <c r="D5" s="33"/>
      <c r="E5" s="33"/>
      <c r="F5" s="33"/>
      <c r="G5" s="33"/>
      <c r="H5" s="33"/>
      <c r="I5" s="33"/>
      <c r="J5" s="33" t="s">
        <v>35</v>
      </c>
      <c r="K5" s="33"/>
      <c r="L5" s="33"/>
      <c r="M5" s="33"/>
      <c r="N5" s="33"/>
      <c r="O5" s="33"/>
      <c r="P5" s="33"/>
      <c r="Q5" s="33"/>
      <c r="R5" s="33"/>
      <c r="S5" s="33"/>
      <c r="T5" s="33"/>
      <c r="U5" s="33"/>
      <c r="V5" s="33"/>
      <c r="W5" s="33"/>
      <c r="X5" s="33"/>
      <c r="Y5" s="33"/>
      <c r="Z5" s="33"/>
      <c r="AA5" s="33"/>
      <c r="AB5" s="33"/>
    </row>
    <row r="6" customFormat="false" ht="15.75" hidden="false" customHeight="false" outlineLevel="0" collapsed="false">
      <c r="A6" s="33" t="s">
        <v>158</v>
      </c>
      <c r="B6" s="33"/>
      <c r="C6" s="33"/>
      <c r="D6" s="33"/>
      <c r="E6" s="33"/>
      <c r="F6" s="33"/>
      <c r="G6" s="33"/>
      <c r="H6" s="33"/>
      <c r="I6" s="33"/>
      <c r="J6" s="33" t="s">
        <v>111</v>
      </c>
      <c r="K6" s="33"/>
      <c r="L6" s="33"/>
      <c r="M6" s="33"/>
      <c r="N6" s="33"/>
      <c r="O6" s="33"/>
      <c r="P6" s="33"/>
      <c r="Q6" s="33"/>
      <c r="R6" s="33"/>
      <c r="S6" s="33"/>
      <c r="T6" s="33"/>
      <c r="U6" s="33"/>
      <c r="V6" s="33"/>
      <c r="W6" s="33"/>
      <c r="X6" s="33"/>
      <c r="Y6" s="33"/>
      <c r="Z6" s="33"/>
      <c r="AA6" s="33"/>
      <c r="AB6" s="33"/>
    </row>
    <row r="7" customFormat="false" ht="15.75" hidden="false" customHeight="false" outlineLevel="0" collapsed="false">
      <c r="A7" s="33" t="s">
        <v>194</v>
      </c>
      <c r="B7" s="33"/>
      <c r="C7" s="33"/>
      <c r="D7" s="33"/>
      <c r="E7" s="33"/>
      <c r="F7" s="33"/>
      <c r="G7" s="33"/>
      <c r="H7" s="33"/>
      <c r="J7" s="34" t="s">
        <v>46</v>
      </c>
      <c r="K7" s="33"/>
      <c r="L7" s="33"/>
      <c r="M7" s="33"/>
      <c r="N7" s="33"/>
      <c r="O7" s="33"/>
      <c r="P7" s="33"/>
      <c r="Q7" s="33"/>
      <c r="R7" s="33"/>
      <c r="S7" s="33"/>
      <c r="T7" s="33"/>
      <c r="U7" s="33"/>
      <c r="V7" s="33"/>
      <c r="W7" s="33"/>
      <c r="X7" s="33"/>
      <c r="Y7" s="33"/>
      <c r="Z7" s="33"/>
      <c r="AA7" s="33"/>
      <c r="AB7" s="33"/>
    </row>
    <row r="8" customFormat="false" ht="15.75" hidden="false" customHeight="false" outlineLevel="0" collapsed="false">
      <c r="A8" s="33" t="s">
        <v>25</v>
      </c>
      <c r="B8" s="33"/>
      <c r="C8" s="33"/>
      <c r="D8" s="33"/>
      <c r="E8" s="33"/>
      <c r="F8" s="33"/>
      <c r="G8" s="33"/>
      <c r="H8" s="33"/>
      <c r="J8" s="34" t="s">
        <v>57</v>
      </c>
      <c r="K8" s="33"/>
      <c r="L8" s="33"/>
      <c r="M8" s="33"/>
      <c r="N8" s="33"/>
      <c r="O8" s="33"/>
      <c r="P8" s="33"/>
      <c r="Q8" s="33"/>
      <c r="R8" s="33"/>
      <c r="S8" s="33"/>
      <c r="T8" s="33"/>
      <c r="U8" s="33"/>
      <c r="V8" s="33"/>
      <c r="W8" s="33"/>
      <c r="X8" s="33"/>
      <c r="Y8" s="33"/>
      <c r="Z8" s="33"/>
      <c r="AA8" s="33"/>
      <c r="AB8" s="33"/>
    </row>
    <row r="9" customFormat="false" ht="15.75" hidden="false" customHeight="false" outlineLevel="0" collapsed="false">
      <c r="A9" s="33" t="s">
        <v>239</v>
      </c>
      <c r="B9" s="33"/>
      <c r="C9" s="33"/>
      <c r="D9" s="33"/>
      <c r="E9" s="33"/>
      <c r="F9" s="33"/>
      <c r="G9" s="33"/>
      <c r="H9" s="33"/>
      <c r="I9" s="33"/>
      <c r="J9" s="34" t="s">
        <v>33</v>
      </c>
      <c r="K9" s="33"/>
      <c r="L9" s="33"/>
      <c r="M9" s="33"/>
      <c r="N9" s="33"/>
      <c r="O9" s="33"/>
      <c r="P9" s="33"/>
      <c r="Q9" s="33"/>
      <c r="R9" s="33"/>
      <c r="S9" s="33"/>
      <c r="T9" s="33"/>
      <c r="U9" s="33"/>
      <c r="V9" s="33"/>
      <c r="W9" s="33"/>
      <c r="X9" s="33"/>
      <c r="Y9" s="33"/>
      <c r="Z9" s="33"/>
      <c r="AA9" s="33"/>
      <c r="AB9" s="33"/>
    </row>
    <row r="10" customFormat="false" ht="15.75" hidden="false" customHeight="false" outlineLevel="0" collapsed="false">
      <c r="A10" s="33" t="s">
        <v>226</v>
      </c>
      <c r="B10" s="33"/>
      <c r="C10" s="33"/>
      <c r="D10" s="33"/>
      <c r="E10" s="33"/>
      <c r="F10" s="33"/>
      <c r="G10" s="33"/>
      <c r="H10" s="33"/>
      <c r="I10" s="33"/>
      <c r="J10" s="34" t="s">
        <v>103</v>
      </c>
      <c r="K10" s="33"/>
      <c r="L10" s="33"/>
      <c r="M10" s="33"/>
      <c r="N10" s="33"/>
      <c r="O10" s="33"/>
      <c r="P10" s="33"/>
      <c r="Q10" s="33"/>
      <c r="R10" s="33"/>
      <c r="S10" s="33"/>
      <c r="T10" s="33"/>
      <c r="U10" s="33"/>
      <c r="V10" s="33"/>
      <c r="W10" s="33"/>
      <c r="X10" s="33"/>
      <c r="Y10" s="33"/>
      <c r="Z10" s="33"/>
      <c r="AA10" s="33"/>
      <c r="AB10" s="33"/>
    </row>
    <row r="11" customFormat="false" ht="15.75" hidden="false" customHeight="false" outlineLevel="0" collapsed="false">
      <c r="A11" s="33"/>
      <c r="B11" s="33"/>
      <c r="C11" s="33"/>
      <c r="D11" s="33"/>
      <c r="E11" s="33"/>
      <c r="F11" s="33"/>
      <c r="G11" s="33"/>
      <c r="H11" s="33"/>
      <c r="I11" s="33"/>
      <c r="J11" s="34" t="s">
        <v>120</v>
      </c>
      <c r="K11" s="33"/>
      <c r="L11" s="33"/>
      <c r="M11" s="33"/>
      <c r="N11" s="33"/>
      <c r="O11" s="33"/>
      <c r="P11" s="33"/>
      <c r="Q11" s="33"/>
      <c r="R11" s="33"/>
      <c r="S11" s="33"/>
      <c r="T11" s="33"/>
      <c r="U11" s="33"/>
      <c r="V11" s="33"/>
      <c r="W11" s="33"/>
      <c r="X11" s="33"/>
      <c r="Y11" s="33"/>
      <c r="Z11" s="33"/>
      <c r="AA11" s="33"/>
      <c r="AB11" s="33"/>
    </row>
    <row r="12" customFormat="false" ht="15.75" hidden="false" customHeight="false" outlineLevel="0" collapsed="false">
      <c r="A12" s="33"/>
      <c r="B12" s="33"/>
      <c r="C12" s="33"/>
      <c r="D12" s="33"/>
      <c r="E12" s="33"/>
      <c r="F12" s="33"/>
      <c r="G12" s="33"/>
      <c r="H12" s="33"/>
      <c r="I12" s="33"/>
      <c r="J12" s="34" t="s">
        <v>147</v>
      </c>
      <c r="K12" s="33"/>
      <c r="L12" s="33"/>
      <c r="M12" s="33"/>
      <c r="N12" s="33"/>
      <c r="O12" s="33"/>
      <c r="P12" s="33"/>
      <c r="Q12" s="33"/>
      <c r="R12" s="33"/>
      <c r="S12" s="33"/>
      <c r="T12" s="33"/>
      <c r="U12" s="33"/>
      <c r="V12" s="33"/>
      <c r="W12" s="33"/>
      <c r="X12" s="33"/>
      <c r="Y12" s="33"/>
      <c r="Z12" s="33"/>
      <c r="AA12" s="33"/>
      <c r="AB12" s="33"/>
    </row>
    <row r="13" customFormat="false" ht="15.75" hidden="false" customHeight="false" outlineLevel="0" collapsed="false">
      <c r="A13" s="33"/>
      <c r="B13" s="33"/>
      <c r="C13" s="33"/>
      <c r="D13" s="33"/>
      <c r="E13" s="33"/>
      <c r="F13" s="33"/>
      <c r="G13" s="33"/>
      <c r="H13" s="33"/>
      <c r="I13" s="33"/>
      <c r="J13" s="34" t="s">
        <v>50</v>
      </c>
      <c r="K13" s="33"/>
      <c r="L13" s="33"/>
      <c r="M13" s="33"/>
      <c r="N13" s="33"/>
      <c r="O13" s="33"/>
      <c r="P13" s="33"/>
      <c r="Q13" s="33"/>
      <c r="R13" s="33"/>
      <c r="S13" s="33"/>
      <c r="T13" s="33"/>
      <c r="U13" s="33"/>
      <c r="V13" s="33"/>
      <c r="W13" s="33"/>
      <c r="X13" s="33"/>
      <c r="Y13" s="33"/>
      <c r="Z13" s="33"/>
      <c r="AA13" s="33"/>
      <c r="AB13" s="33"/>
    </row>
    <row r="14" customFormat="false" ht="15.75" hidden="false" customHeight="false" outlineLevel="0" collapsed="false">
      <c r="A14" s="33"/>
      <c r="B14" s="33"/>
      <c r="C14" s="33"/>
      <c r="D14" s="33"/>
      <c r="E14" s="33"/>
      <c r="F14" s="33"/>
      <c r="H14" s="33"/>
      <c r="J14" s="34" t="s">
        <v>299</v>
      </c>
      <c r="P14" s="33"/>
      <c r="Q14" s="33"/>
      <c r="R14" s="33"/>
      <c r="S14" s="33"/>
      <c r="T14" s="33"/>
      <c r="U14" s="33"/>
      <c r="V14" s="33"/>
      <c r="W14" s="33"/>
      <c r="X14" s="33"/>
      <c r="Y14" s="33"/>
      <c r="Z14" s="33"/>
      <c r="AA14" s="33"/>
      <c r="AB14" s="33"/>
    </row>
    <row r="15" customFormat="false" ht="15.75" hidden="false" customHeight="false" outlineLevel="0" collapsed="false">
      <c r="A15" s="33"/>
      <c r="B15" s="33"/>
      <c r="C15" s="33"/>
      <c r="D15" s="33"/>
      <c r="E15" s="33"/>
      <c r="F15" s="33"/>
      <c r="H15" s="33"/>
      <c r="J15" s="34" t="s">
        <v>104</v>
      </c>
      <c r="P15" s="33"/>
      <c r="Q15" s="33"/>
      <c r="R15" s="33"/>
      <c r="S15" s="33"/>
      <c r="T15" s="33"/>
      <c r="U15" s="33"/>
      <c r="V15" s="33"/>
      <c r="W15" s="33"/>
      <c r="X15" s="33"/>
      <c r="Y15" s="33"/>
      <c r="Z15" s="33"/>
      <c r="AA15" s="33"/>
      <c r="AB15" s="33"/>
    </row>
    <row r="16" customFormat="false" ht="15.75" hidden="false" customHeight="false" outlineLevel="0" collapsed="false">
      <c r="J16" s="34" t="s">
        <v>106</v>
      </c>
    </row>
    <row r="24" customFormat="false" ht="15.75" hidden="false" customHeight="false" outlineLevel="0" collapsed="false">
      <c r="J24" s="33"/>
      <c r="K24" s="33"/>
      <c r="L24" s="33"/>
      <c r="M24" s="33"/>
      <c r="N24" s="33"/>
      <c r="O24" s="33"/>
      <c r="P24" s="33"/>
    </row>
    <row r="25" customFormat="false" ht="15.75" hidden="false" customHeight="false" outlineLevel="0" collapsed="false">
      <c r="J25" s="33"/>
      <c r="K25" s="33"/>
      <c r="L25" s="33"/>
      <c r="M25" s="33"/>
      <c r="N25" s="33"/>
      <c r="O25" s="33"/>
      <c r="P25" s="33"/>
    </row>
    <row r="26" customFormat="false" ht="15.75" hidden="false" customHeight="false" outlineLevel="0" collapsed="false">
      <c r="J26" s="33"/>
    </row>
    <row r="27" customFormat="false" ht="15.75" hidden="false" customHeight="false" outlineLevel="0" collapsed="false">
      <c r="J27" s="33"/>
    </row>
    <row r="28" customFormat="false" ht="15.75" hidden="false" customHeight="false" outlineLevel="0" collapsed="false">
      <c r="J28" s="33"/>
    </row>
    <row r="29" customFormat="false" ht="15.75" hidden="false" customHeight="false" outlineLevel="0" collapsed="false">
      <c r="J29" s="33"/>
    </row>
    <row r="30" customFormat="false" ht="15.75" hidden="false" customHeight="false" outlineLevel="0" collapsed="false">
      <c r="J30" s="33"/>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E2" activeCellId="0" sqref="E2"/>
    </sheetView>
  </sheetViews>
  <sheetFormatPr defaultColWidth="12.6328125" defaultRowHeight="15.75" zeroHeight="false" outlineLevelRow="0" outlineLevelCol="0"/>
  <cols>
    <col collapsed="false" customWidth="true" hidden="false" outlineLevel="0" max="1" min="1" style="1" width="16.63"/>
  </cols>
  <sheetData>
    <row r="1" customFormat="false" ht="32.8" hidden="false" customHeight="false" outlineLevel="0" collapsed="false">
      <c r="A1" s="35" t="s">
        <v>300</v>
      </c>
      <c r="B1" s="29" t="s">
        <v>0</v>
      </c>
      <c r="C1" s="30" t="s">
        <v>1</v>
      </c>
      <c r="D1" s="30" t="s">
        <v>2</v>
      </c>
      <c r="E1" s="30" t="s">
        <v>301</v>
      </c>
      <c r="F1" s="30" t="s">
        <v>6</v>
      </c>
      <c r="G1" s="30" t="s">
        <v>7</v>
      </c>
      <c r="H1" s="30" t="s">
        <v>8</v>
      </c>
      <c r="I1" s="30" t="s">
        <v>9</v>
      </c>
      <c r="J1" s="30" t="s">
        <v>10</v>
      </c>
      <c r="K1" s="30" t="s">
        <v>11</v>
      </c>
      <c r="L1" s="30" t="s">
        <v>12</v>
      </c>
      <c r="M1" s="30" t="s">
        <v>13</v>
      </c>
      <c r="N1" s="30" t="s">
        <v>14</v>
      </c>
      <c r="O1" s="31" t="s">
        <v>15</v>
      </c>
      <c r="P1" s="31" t="s">
        <v>16</v>
      </c>
      <c r="Q1" s="31" t="s">
        <v>17</v>
      </c>
      <c r="R1" s="31" t="s">
        <v>18</v>
      </c>
      <c r="S1" s="31" t="s">
        <v>19</v>
      </c>
      <c r="T1" s="31" t="s">
        <v>20</v>
      </c>
      <c r="U1" s="36"/>
      <c r="V1" s="36"/>
      <c r="W1" s="36"/>
      <c r="X1" s="36"/>
      <c r="Y1" s="36"/>
      <c r="Z1" s="36"/>
      <c r="AA1" s="36"/>
      <c r="AB1" s="36"/>
    </row>
    <row r="2" customFormat="false" ht="141" hidden="false" customHeight="false" outlineLevel="0" collapsed="false">
      <c r="A2" s="37" t="s">
        <v>302</v>
      </c>
      <c r="B2" s="38" t="s">
        <v>303</v>
      </c>
      <c r="C2" s="38" t="s">
        <v>304</v>
      </c>
      <c r="D2" s="38" t="s">
        <v>305</v>
      </c>
      <c r="E2" s="38" t="s">
        <v>306</v>
      </c>
      <c r="F2" s="38" t="s">
        <v>307</v>
      </c>
      <c r="G2" s="38" t="s">
        <v>308</v>
      </c>
      <c r="H2" s="38" t="s">
        <v>309</v>
      </c>
      <c r="I2" s="38" t="s">
        <v>310</v>
      </c>
      <c r="J2" s="38" t="s">
        <v>311</v>
      </c>
      <c r="K2" s="38" t="s">
        <v>312</v>
      </c>
      <c r="L2" s="36" t="s">
        <v>313</v>
      </c>
      <c r="M2" s="36" t="s">
        <v>314</v>
      </c>
      <c r="N2" s="36" t="s">
        <v>315</v>
      </c>
      <c r="O2" s="38" t="s">
        <v>316</v>
      </c>
      <c r="P2" s="38" t="s">
        <v>317</v>
      </c>
      <c r="Q2" s="36" t="s">
        <v>318</v>
      </c>
      <c r="R2" s="36" t="s">
        <v>319</v>
      </c>
      <c r="S2" s="36" t="s">
        <v>320</v>
      </c>
      <c r="T2" s="36" t="s">
        <v>321</v>
      </c>
      <c r="U2" s="36"/>
      <c r="V2" s="36"/>
      <c r="W2" s="36"/>
      <c r="X2" s="36"/>
      <c r="Y2" s="36"/>
      <c r="Z2" s="36"/>
      <c r="AA2" s="36"/>
      <c r="AB2" s="36"/>
    </row>
    <row r="3" customFormat="false" ht="77.6" hidden="false" customHeight="false" outlineLevel="0" collapsed="false">
      <c r="A3" s="37" t="s">
        <v>322</v>
      </c>
      <c r="B3" s="36" t="s">
        <v>323</v>
      </c>
      <c r="C3" s="36" t="s">
        <v>324</v>
      </c>
      <c r="D3" s="36" t="s">
        <v>325</v>
      </c>
      <c r="E3" s="36" t="s">
        <v>325</v>
      </c>
      <c r="F3" s="36" t="s">
        <v>326</v>
      </c>
      <c r="G3" s="36" t="s">
        <v>327</v>
      </c>
      <c r="H3" s="36" t="s">
        <v>328</v>
      </c>
      <c r="I3" s="36" t="s">
        <v>329</v>
      </c>
      <c r="J3" s="36" t="s">
        <v>330</v>
      </c>
      <c r="K3" s="36" t="s">
        <v>331</v>
      </c>
      <c r="L3" s="36" t="s">
        <v>332</v>
      </c>
      <c r="M3" s="36" t="s">
        <v>333</v>
      </c>
      <c r="N3" s="36" t="s">
        <v>334</v>
      </c>
      <c r="O3" s="36" t="s">
        <v>335</v>
      </c>
      <c r="P3" s="36" t="s">
        <v>336</v>
      </c>
      <c r="Q3" s="36" t="s">
        <v>337</v>
      </c>
      <c r="R3" s="36" t="s">
        <v>338</v>
      </c>
      <c r="S3" s="36" t="s">
        <v>339</v>
      </c>
      <c r="T3" s="36" t="s">
        <v>340</v>
      </c>
      <c r="U3" s="36"/>
      <c r="V3" s="36"/>
      <c r="W3" s="36"/>
      <c r="X3" s="36"/>
      <c r="Y3" s="36"/>
      <c r="Z3" s="36"/>
      <c r="AA3" s="36"/>
      <c r="AB3" s="36"/>
    </row>
    <row r="4" customFormat="false" ht="26.85" hidden="false" customHeight="false" outlineLevel="0" collapsed="false">
      <c r="A4" s="37" t="s">
        <v>341</v>
      </c>
      <c r="B4" s="36" t="s">
        <v>73</v>
      </c>
      <c r="C4" s="36" t="s">
        <v>73</v>
      </c>
      <c r="D4" s="36" t="s">
        <v>28</v>
      </c>
      <c r="E4" s="36" t="s">
        <v>73</v>
      </c>
      <c r="F4" s="36" t="s">
        <v>73</v>
      </c>
      <c r="G4" s="36" t="s">
        <v>73</v>
      </c>
      <c r="H4" s="36" t="s">
        <v>73</v>
      </c>
      <c r="I4" s="36" t="s">
        <v>342</v>
      </c>
      <c r="J4" s="36" t="s">
        <v>28</v>
      </c>
      <c r="K4" s="36" t="s">
        <v>28</v>
      </c>
      <c r="L4" s="36" t="s">
        <v>342</v>
      </c>
      <c r="M4" s="36" t="s">
        <v>342</v>
      </c>
      <c r="N4" s="36" t="s">
        <v>342</v>
      </c>
      <c r="O4" s="36" t="s">
        <v>342</v>
      </c>
      <c r="P4" s="36" t="s">
        <v>342</v>
      </c>
      <c r="Q4" s="36" t="s">
        <v>342</v>
      </c>
      <c r="R4" s="36" t="s">
        <v>342</v>
      </c>
      <c r="S4" s="36" t="s">
        <v>342</v>
      </c>
      <c r="T4" s="36" t="s">
        <v>73</v>
      </c>
      <c r="U4" s="36"/>
      <c r="V4" s="36"/>
      <c r="W4" s="36"/>
      <c r="X4" s="36"/>
      <c r="Y4" s="36"/>
      <c r="Z4" s="36"/>
      <c r="AA4" s="36"/>
      <c r="AB4" s="36"/>
    </row>
    <row r="5" customFormat="false" ht="191.75" hidden="false" customHeight="false" outlineLevel="0" collapsed="false">
      <c r="A5" s="37" t="s">
        <v>343</v>
      </c>
      <c r="B5" s="36" t="s">
        <v>344</v>
      </c>
      <c r="C5" s="36" t="s">
        <v>345</v>
      </c>
      <c r="D5" s="36" t="s">
        <v>346</v>
      </c>
      <c r="E5" s="36"/>
      <c r="F5" s="36" t="s">
        <v>347</v>
      </c>
      <c r="G5" s="36" t="s">
        <v>348</v>
      </c>
      <c r="H5" s="36" t="s">
        <v>349</v>
      </c>
      <c r="I5" s="36" t="s">
        <v>350</v>
      </c>
      <c r="J5" s="36" t="s">
        <v>351</v>
      </c>
      <c r="K5" s="36" t="s">
        <v>352</v>
      </c>
      <c r="L5" s="36" t="s">
        <v>353</v>
      </c>
      <c r="M5" s="36" t="s">
        <v>354</v>
      </c>
      <c r="N5" s="36" t="s">
        <v>355</v>
      </c>
      <c r="O5" s="36" t="s">
        <v>356</v>
      </c>
      <c r="P5" s="36" t="s">
        <v>357</v>
      </c>
      <c r="Q5" s="36" t="s">
        <v>358</v>
      </c>
      <c r="R5" s="36" t="s">
        <v>359</v>
      </c>
      <c r="S5" s="36" t="s">
        <v>360</v>
      </c>
      <c r="T5" s="36" t="s">
        <v>361</v>
      </c>
      <c r="U5" s="36"/>
      <c r="V5" s="36"/>
      <c r="W5" s="36"/>
      <c r="X5" s="36"/>
      <c r="Y5" s="36"/>
      <c r="Z5" s="36"/>
      <c r="AA5" s="36"/>
      <c r="AB5" s="36"/>
    </row>
    <row r="6" customFormat="false" ht="74.6" hidden="false" customHeight="false" outlineLevel="0" collapsed="false">
      <c r="A6" s="37" t="s">
        <v>362</v>
      </c>
      <c r="B6" s="36" t="s">
        <v>363</v>
      </c>
      <c r="C6" s="36" t="s">
        <v>363</v>
      </c>
      <c r="D6" s="36" t="s">
        <v>364</v>
      </c>
      <c r="E6" s="36"/>
      <c r="F6" s="39" t="s">
        <v>365</v>
      </c>
      <c r="G6" s="39" t="s">
        <v>366</v>
      </c>
      <c r="H6" s="36" t="s">
        <v>363</v>
      </c>
      <c r="I6" s="36" t="s">
        <v>367</v>
      </c>
      <c r="J6" s="39" t="s">
        <v>368</v>
      </c>
      <c r="K6" s="39" t="s">
        <v>369</v>
      </c>
      <c r="L6" s="39" t="s">
        <v>370</v>
      </c>
      <c r="M6" s="39" t="s">
        <v>371</v>
      </c>
      <c r="N6" s="39" t="s">
        <v>372</v>
      </c>
      <c r="O6" s="39" t="s">
        <v>373</v>
      </c>
      <c r="P6" s="39" t="s">
        <v>374</v>
      </c>
      <c r="Q6" s="39" t="s">
        <v>375</v>
      </c>
      <c r="R6" s="39" t="s">
        <v>376</v>
      </c>
      <c r="S6" s="39" t="s">
        <v>377</v>
      </c>
      <c r="T6" s="36" t="s">
        <v>378</v>
      </c>
      <c r="U6" s="36"/>
      <c r="V6" s="36"/>
      <c r="W6" s="36"/>
      <c r="X6" s="36"/>
      <c r="Y6" s="36"/>
      <c r="Z6" s="36"/>
      <c r="AA6" s="36"/>
      <c r="AB6" s="36"/>
    </row>
    <row r="7" customFormat="false" ht="166.4" hidden="false" customHeight="false" outlineLevel="0" collapsed="false">
      <c r="A7" s="37" t="s">
        <v>379</v>
      </c>
      <c r="B7" s="36"/>
      <c r="C7" s="36"/>
      <c r="D7" s="36"/>
      <c r="E7" s="36"/>
      <c r="F7" s="36"/>
      <c r="G7" s="36"/>
      <c r="H7" s="36"/>
      <c r="I7" s="36" t="s">
        <v>380</v>
      </c>
      <c r="J7" s="40" t="s">
        <v>381</v>
      </c>
      <c r="K7" s="40" t="s">
        <v>382</v>
      </c>
      <c r="L7" s="36"/>
      <c r="M7" s="36"/>
      <c r="N7" s="36"/>
      <c r="O7" s="40" t="s">
        <v>381</v>
      </c>
      <c r="P7" s="40" t="s">
        <v>381</v>
      </c>
      <c r="Q7" s="36"/>
      <c r="R7" s="36"/>
      <c r="S7" s="36"/>
      <c r="T7" s="36"/>
      <c r="U7" s="36"/>
      <c r="V7" s="36"/>
      <c r="W7" s="36"/>
      <c r="X7" s="36"/>
      <c r="Y7" s="36"/>
      <c r="Z7" s="36"/>
      <c r="AA7" s="36"/>
      <c r="AB7" s="36"/>
    </row>
    <row r="8" customFormat="false" ht="15.75" hidden="false" customHeight="false" outlineLevel="0" collapsed="false">
      <c r="A8" s="36"/>
      <c r="B8" s="36"/>
      <c r="C8" s="36"/>
      <c r="D8" s="36"/>
      <c r="E8" s="36"/>
      <c r="F8" s="36"/>
      <c r="G8" s="36"/>
      <c r="H8" s="36"/>
      <c r="I8" s="36"/>
      <c r="J8" s="36"/>
      <c r="K8" s="36"/>
      <c r="L8" s="36"/>
      <c r="M8" s="36"/>
      <c r="N8" s="36"/>
      <c r="O8" s="36"/>
      <c r="P8" s="36"/>
      <c r="Q8" s="36"/>
      <c r="R8" s="36"/>
      <c r="S8" s="36"/>
      <c r="T8" s="36"/>
      <c r="U8" s="36"/>
      <c r="V8" s="36"/>
      <c r="W8" s="36"/>
      <c r="X8" s="36"/>
      <c r="Y8" s="36"/>
      <c r="Z8" s="36"/>
      <c r="AA8" s="36"/>
      <c r="AB8" s="36"/>
    </row>
    <row r="9" customFormat="false" ht="15.75" hidden="false" customHeight="false" outlineLevel="0" collapsed="false">
      <c r="I9" s="38"/>
      <c r="J9" s="36"/>
      <c r="K9" s="36"/>
      <c r="L9" s="36"/>
      <c r="M9" s="36"/>
      <c r="N9" s="34"/>
    </row>
    <row r="10" customFormat="false" ht="15.75" hidden="false" customHeight="false" outlineLevel="0" collapsed="false">
      <c r="I10" s="38"/>
      <c r="J10" s="36"/>
      <c r="K10" s="36"/>
      <c r="L10" s="34"/>
      <c r="M10" s="36"/>
      <c r="N10" s="34"/>
    </row>
    <row r="11" customFormat="false" ht="15.75" hidden="false" customHeight="false" outlineLevel="0" collapsed="false">
      <c r="I11" s="38"/>
      <c r="J11" s="36"/>
      <c r="K11" s="34"/>
      <c r="L11" s="34"/>
      <c r="M11" s="36"/>
      <c r="N11" s="41"/>
    </row>
    <row r="12" customFormat="false" ht="15.75" hidden="false" customHeight="false" outlineLevel="0" collapsed="false">
      <c r="I12" s="38"/>
      <c r="J12" s="36"/>
      <c r="K12" s="36"/>
      <c r="L12" s="36"/>
      <c r="M12" s="36"/>
      <c r="N12" s="34"/>
    </row>
    <row r="13" customFormat="false" ht="15.75" hidden="false" customHeight="false" outlineLevel="0" collapsed="false">
      <c r="I13" s="38"/>
      <c r="J13" s="36"/>
      <c r="K13" s="36"/>
      <c r="L13" s="36"/>
      <c r="M13" s="36"/>
      <c r="N13" s="34"/>
    </row>
    <row r="14" customFormat="false" ht="15.75" hidden="false" customHeight="false" outlineLevel="0" collapsed="false">
      <c r="B14" s="38"/>
      <c r="C14" s="36"/>
      <c r="D14" s="36"/>
      <c r="E14" s="36"/>
      <c r="F14" s="36"/>
      <c r="I14" s="38"/>
      <c r="J14" s="36"/>
      <c r="K14" s="36"/>
      <c r="L14" s="34"/>
      <c r="M14" s="34"/>
      <c r="N14" s="34"/>
    </row>
    <row r="15" customFormat="false" ht="15.75" hidden="false" customHeight="false" outlineLevel="0" collapsed="false">
      <c r="B15" s="38"/>
      <c r="C15" s="36"/>
      <c r="D15" s="36"/>
      <c r="E15" s="36"/>
      <c r="F15" s="3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893"/>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860" activePane="bottomLeft" state="frozen"/>
      <selection pane="topLeft" activeCell="B1" activeCellId="0" sqref="B1"/>
      <selection pane="bottomLeft" activeCell="P895" activeCellId="0" sqref="P895"/>
    </sheetView>
  </sheetViews>
  <sheetFormatPr defaultColWidth="12.6328125" defaultRowHeight="12.8" zeroHeight="false" outlineLevelRow="0" outlineLevelCol="0"/>
  <cols>
    <col collapsed="false" customWidth="true" hidden="false" outlineLevel="0" max="3" min="3" style="1" width="19.75"/>
    <col collapsed="false" customWidth="true" hidden="false" outlineLevel="0" max="25" min="24" style="1" width="15.38"/>
  </cols>
  <sheetData>
    <row r="1" customFormat="false" ht="53.7" hidden="false" customHeight="false" outlineLevel="0" collapsed="false">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4" t="s">
        <v>15</v>
      </c>
      <c r="Q1" s="4" t="s">
        <v>16</v>
      </c>
      <c r="R1" s="4" t="s">
        <v>17</v>
      </c>
      <c r="S1" s="4" t="s">
        <v>18</v>
      </c>
      <c r="T1" s="4" t="s">
        <v>19</v>
      </c>
      <c r="U1" s="5" t="s">
        <v>20</v>
      </c>
      <c r="V1" s="6" t="s">
        <v>21</v>
      </c>
      <c r="W1" s="7" t="s">
        <v>22</v>
      </c>
      <c r="X1" s="8" t="s">
        <v>23</v>
      </c>
      <c r="Y1" s="8" t="s">
        <v>24</v>
      </c>
    </row>
    <row r="2" customFormat="false" ht="15.75" hidden="false" customHeight="true" outlineLevel="0" collapsed="false">
      <c r="A2" s="9" t="s">
        <v>25</v>
      </c>
      <c r="B2" s="10" t="s">
        <v>26</v>
      </c>
      <c r="C2" s="11" t="s">
        <v>27</v>
      </c>
      <c r="D2" s="10" t="s">
        <v>28</v>
      </c>
      <c r="E2" s="10" t="s">
        <v>28</v>
      </c>
      <c r="F2" s="10"/>
      <c r="G2" s="10" t="n">
        <v>28</v>
      </c>
      <c r="H2" s="10" t="n">
        <v>3.8</v>
      </c>
      <c r="I2" s="12" t="n">
        <v>1</v>
      </c>
      <c r="J2" s="12"/>
      <c r="K2" s="13" t="n">
        <f aca="false">39.35</f>
        <v>39.35</v>
      </c>
      <c r="L2" s="13" t="n">
        <f aca="false">135.77</f>
        <v>135.77</v>
      </c>
      <c r="M2" s="12" t="n">
        <v>14</v>
      </c>
      <c r="N2" s="12" t="n">
        <v>36</v>
      </c>
      <c r="O2" s="12" t="n">
        <v>104.05</v>
      </c>
      <c r="P2" s="13" t="n">
        <f aca="false">23.46</f>
        <v>23.46</v>
      </c>
      <c r="Q2" s="13" t="n">
        <f aca="false">148.52</f>
        <v>148.52</v>
      </c>
      <c r="R2" s="12" t="n">
        <v>18.8</v>
      </c>
      <c r="S2" s="12" t="n">
        <v>19.2</v>
      </c>
      <c r="T2" s="12" t="n">
        <v>465</v>
      </c>
      <c r="U2" s="14" t="s">
        <v>29</v>
      </c>
      <c r="V2" s="15"/>
      <c r="W2" s="16" t="str">
        <f aca="false">A2</f>
        <v>KL</v>
      </c>
      <c r="X2" s="17" t="e">
        <f aca="false">ifs(C2="","",X2="",NOW(),TRUE(),X2)</f>
        <v>#VALUE!</v>
      </c>
      <c r="Y2" s="17" t="e">
        <f aca="false">ifs(COUNTA(K2:U5)&lt;44,"",Y2="",NOW(),TRUE(),Y2)</f>
        <v>#VALUE!</v>
      </c>
    </row>
    <row r="3" customFormat="false" ht="14.15" hidden="false" customHeight="false" outlineLevel="0" collapsed="false">
      <c r="A3" s="9"/>
      <c r="B3" s="10"/>
      <c r="C3" s="10"/>
      <c r="D3" s="10"/>
      <c r="E3" s="10"/>
      <c r="F3" s="10"/>
      <c r="G3" s="10"/>
      <c r="H3" s="10"/>
      <c r="I3" s="18" t="n">
        <v>2</v>
      </c>
      <c r="J3" s="18"/>
      <c r="K3" s="19" t="n">
        <f aca="false">37.51</f>
        <v>37.51</v>
      </c>
      <c r="L3" s="19" t="n">
        <f aca="false">133.81</f>
        <v>133.81</v>
      </c>
      <c r="M3" s="18" t="n">
        <v>12</v>
      </c>
      <c r="N3" s="18" t="n">
        <v>34</v>
      </c>
      <c r="O3" s="18" t="n">
        <v>104.15</v>
      </c>
      <c r="P3" s="19" t="n">
        <f aca="false">22.6</f>
        <v>22.6</v>
      </c>
      <c r="Q3" s="19" t="n">
        <f aca="false">152.87</f>
        <v>152.87</v>
      </c>
      <c r="R3" s="18" t="n">
        <v>15.45</v>
      </c>
      <c r="S3" s="18" t="n">
        <v>21.45</v>
      </c>
      <c r="T3" s="18" t="n">
        <v>427</v>
      </c>
      <c r="U3" s="20" t="s">
        <v>29</v>
      </c>
      <c r="V3" s="21"/>
      <c r="W3" s="16"/>
      <c r="X3" s="16"/>
      <c r="Y3" s="16"/>
    </row>
    <row r="4" customFormat="false" ht="14.15" hidden="false" customHeight="false" outlineLevel="0" collapsed="false">
      <c r="A4" s="9"/>
      <c r="B4" s="10"/>
      <c r="C4" s="10"/>
      <c r="D4" s="10"/>
      <c r="E4" s="10"/>
      <c r="F4" s="10"/>
      <c r="G4" s="10"/>
      <c r="H4" s="10"/>
      <c r="I4" s="22" t="n">
        <v>3</v>
      </c>
      <c r="J4" s="22"/>
      <c r="K4" s="23" t="n">
        <f aca="false">40.09</f>
        <v>40.09</v>
      </c>
      <c r="L4" s="23" t="n">
        <f aca="false">135.05</f>
        <v>135.05</v>
      </c>
      <c r="M4" s="22" t="n">
        <v>14</v>
      </c>
      <c r="N4" s="22" t="n">
        <v>34</v>
      </c>
      <c r="O4" s="22" t="n">
        <v>111.5</v>
      </c>
      <c r="P4" s="23" t="n">
        <f aca="false">25.29</f>
        <v>25.29</v>
      </c>
      <c r="Q4" s="23" t="n">
        <f aca="false">153.19</f>
        <v>153.19</v>
      </c>
      <c r="R4" s="22" t="n">
        <v>17.85</v>
      </c>
      <c r="S4" s="22" t="n">
        <v>22.9</v>
      </c>
      <c r="T4" s="22" t="n">
        <v>422</v>
      </c>
      <c r="U4" s="24" t="s">
        <v>29</v>
      </c>
      <c r="V4" s="15"/>
      <c r="W4" s="16"/>
      <c r="X4" s="16"/>
      <c r="Y4" s="16"/>
    </row>
    <row r="5" customFormat="false" ht="14.15" hidden="false" customHeight="false" outlineLevel="0" collapsed="false">
      <c r="A5" s="9"/>
      <c r="B5" s="10"/>
      <c r="C5" s="10"/>
      <c r="D5" s="10"/>
      <c r="E5" s="10"/>
      <c r="F5" s="10"/>
      <c r="G5" s="10"/>
      <c r="H5" s="10"/>
      <c r="I5" s="25" t="n">
        <v>4</v>
      </c>
      <c r="J5" s="25"/>
      <c r="K5" s="26" t="n">
        <f aca="false">37.29</f>
        <v>37.29</v>
      </c>
      <c r="L5" s="26" t="n">
        <f aca="false">113.85</f>
        <v>113.85</v>
      </c>
      <c r="M5" s="25" t="n">
        <v>14</v>
      </c>
      <c r="N5" s="25" t="n">
        <v>32</v>
      </c>
      <c r="O5" s="25" t="n">
        <v>64.4</v>
      </c>
      <c r="P5" s="26" t="n">
        <f aca="false">21.68</f>
        <v>21.68</v>
      </c>
      <c r="Q5" s="26" t="n">
        <f aca="false">124.91</f>
        <v>124.91</v>
      </c>
      <c r="R5" s="25" t="n">
        <v>10.75</v>
      </c>
      <c r="S5" s="25" t="n">
        <v>15.5</v>
      </c>
      <c r="T5" s="25" t="n">
        <v>345</v>
      </c>
      <c r="U5" s="27" t="s">
        <v>29</v>
      </c>
      <c r="V5" s="21"/>
      <c r="W5" s="16"/>
      <c r="X5" s="16"/>
      <c r="Y5" s="16"/>
    </row>
    <row r="6" customFormat="false" ht="15.75" hidden="false" customHeight="true" outlineLevel="0" collapsed="false">
      <c r="A6" s="9" t="s">
        <v>25</v>
      </c>
      <c r="B6" s="10" t="s">
        <v>26</v>
      </c>
      <c r="C6" s="11" t="s">
        <v>30</v>
      </c>
      <c r="D6" s="10" t="s">
        <v>28</v>
      </c>
      <c r="E6" s="10" t="s">
        <v>28</v>
      </c>
      <c r="F6" s="10"/>
      <c r="G6" s="10" t="n">
        <v>2</v>
      </c>
      <c r="H6" s="10" t="n">
        <v>0.45</v>
      </c>
      <c r="I6" s="12" t="n">
        <v>1</v>
      </c>
      <c r="J6" s="12"/>
      <c r="K6" s="13" t="n">
        <f aca="false">42.08</f>
        <v>42.08</v>
      </c>
      <c r="L6" s="13" t="n">
        <f aca="false">158.97</f>
        <v>158.97</v>
      </c>
      <c r="M6" s="12" t="n">
        <v>14</v>
      </c>
      <c r="N6" s="12" t="n">
        <v>34</v>
      </c>
      <c r="O6" s="12" t="n">
        <v>139.7</v>
      </c>
      <c r="P6" s="13" t="n">
        <f aca="false">25.79</f>
        <v>25.79</v>
      </c>
      <c r="Q6" s="13" t="n">
        <f aca="false">177.81</f>
        <v>177.81</v>
      </c>
      <c r="R6" s="12" t="n">
        <v>21.15</v>
      </c>
      <c r="S6" s="12" t="n">
        <v>23.9</v>
      </c>
      <c r="T6" s="12" t="n">
        <v>492</v>
      </c>
      <c r="U6" s="14" t="s">
        <v>29</v>
      </c>
      <c r="V6" s="15"/>
      <c r="W6" s="16" t="str">
        <f aca="false">A6</f>
        <v>KL</v>
      </c>
      <c r="X6" s="17" t="e">
        <f aca="false">ifs(C6="","",X6="",NOW(),TRUE(),X6)</f>
        <v>#VALUE!</v>
      </c>
      <c r="Y6" s="17" t="e">
        <f aca="false">ifs(COUNTA(K6:U9)&lt;44,"",Y6="",NOW(),TRUE(),Y6)</f>
        <v>#VALUE!</v>
      </c>
    </row>
    <row r="7" customFormat="false" ht="14.15" hidden="false" customHeight="false" outlineLevel="0" collapsed="false">
      <c r="A7" s="9"/>
      <c r="B7" s="10"/>
      <c r="C7" s="10"/>
      <c r="D7" s="10"/>
      <c r="E7" s="10"/>
      <c r="F7" s="10"/>
      <c r="G7" s="10"/>
      <c r="H7" s="10"/>
      <c r="I7" s="18" t="n">
        <v>2</v>
      </c>
      <c r="J7" s="18"/>
      <c r="K7" s="19" t="n">
        <f aca="false">41.22</f>
        <v>41.22</v>
      </c>
      <c r="L7" s="19" t="n">
        <f aca="false">146.13</f>
        <v>146.13</v>
      </c>
      <c r="M7" s="18" t="n">
        <v>14</v>
      </c>
      <c r="N7" s="18" t="n">
        <v>36</v>
      </c>
      <c r="O7" s="18" t="n">
        <v>119.35</v>
      </c>
      <c r="P7" s="19" t="n">
        <f aca="false">25.54</f>
        <v>25.54</v>
      </c>
      <c r="Q7" s="19" t="n">
        <f aca="false">174.59</f>
        <v>174.59</v>
      </c>
      <c r="R7" s="18" t="n">
        <v>18.9</v>
      </c>
      <c r="S7" s="18" t="n">
        <v>18.65</v>
      </c>
      <c r="T7" s="18" t="n">
        <v>516</v>
      </c>
      <c r="U7" s="20" t="s">
        <v>29</v>
      </c>
      <c r="V7" s="21"/>
      <c r="W7" s="16"/>
      <c r="X7" s="16"/>
      <c r="Y7" s="16"/>
    </row>
    <row r="8" customFormat="false" ht="14.15" hidden="false" customHeight="false" outlineLevel="0" collapsed="false">
      <c r="A8" s="9"/>
      <c r="B8" s="10"/>
      <c r="C8" s="10"/>
      <c r="D8" s="10"/>
      <c r="E8" s="10"/>
      <c r="F8" s="10"/>
      <c r="G8" s="10"/>
      <c r="H8" s="10"/>
      <c r="I8" s="22" t="n">
        <v>3</v>
      </c>
      <c r="J8" s="22"/>
      <c r="K8" s="23" t="n">
        <f aca="false">41.34</f>
        <v>41.34</v>
      </c>
      <c r="L8" s="23" t="n">
        <f aca="false">139.33</f>
        <v>139.33</v>
      </c>
      <c r="M8" s="22" t="n">
        <v>12</v>
      </c>
      <c r="N8" s="22" t="n">
        <v>36</v>
      </c>
      <c r="O8" s="22" t="n">
        <v>122.4</v>
      </c>
      <c r="P8" s="23" t="n">
        <f aca="false">24.48</f>
        <v>24.48</v>
      </c>
      <c r="Q8" s="23" t="n">
        <f aca="false">165.85</f>
        <v>165.85</v>
      </c>
      <c r="R8" s="22" t="n">
        <v>17</v>
      </c>
      <c r="S8" s="22" t="n">
        <v>24.75</v>
      </c>
      <c r="T8" s="22" t="n">
        <v>434</v>
      </c>
      <c r="U8" s="24" t="s">
        <v>29</v>
      </c>
      <c r="V8" s="15"/>
      <c r="W8" s="16"/>
      <c r="X8" s="16"/>
      <c r="Y8" s="16"/>
    </row>
    <row r="9" customFormat="false" ht="14.15" hidden="false" customHeight="false" outlineLevel="0" collapsed="false">
      <c r="A9" s="9"/>
      <c r="B9" s="10"/>
      <c r="C9" s="10"/>
      <c r="D9" s="10"/>
      <c r="E9" s="10"/>
      <c r="F9" s="10"/>
      <c r="G9" s="10"/>
      <c r="H9" s="10"/>
      <c r="I9" s="25" t="n">
        <v>4</v>
      </c>
      <c r="J9" s="25"/>
      <c r="K9" s="26" t="n">
        <f aca="false">41.69</f>
        <v>41.69</v>
      </c>
      <c r="L9" s="26" t="n">
        <f aca="false">132.4</f>
        <v>132.4</v>
      </c>
      <c r="M9" s="25" t="n">
        <v>14</v>
      </c>
      <c r="N9" s="25" t="n">
        <v>36</v>
      </c>
      <c r="O9" s="25" t="n">
        <v>135.95</v>
      </c>
      <c r="P9" s="26" t="n">
        <f aca="false">24.11</f>
        <v>24.11</v>
      </c>
      <c r="Q9" s="26" t="n">
        <f aca="false">162.39</f>
        <v>162.39</v>
      </c>
      <c r="R9" s="25" t="n">
        <v>18.05</v>
      </c>
      <c r="S9" s="25" t="n">
        <v>24.45</v>
      </c>
      <c r="T9" s="25" t="n">
        <v>495</v>
      </c>
      <c r="U9" s="27" t="s">
        <v>29</v>
      </c>
      <c r="V9" s="21"/>
      <c r="W9" s="16"/>
      <c r="X9" s="16"/>
      <c r="Y9" s="16"/>
    </row>
    <row r="10" customFormat="false" ht="15.75" hidden="false" customHeight="true" outlineLevel="0" collapsed="false">
      <c r="A10" s="9" t="s">
        <v>25</v>
      </c>
      <c r="B10" s="10" t="s">
        <v>26</v>
      </c>
      <c r="C10" s="11" t="s">
        <v>31</v>
      </c>
      <c r="D10" s="10" t="s">
        <v>28</v>
      </c>
      <c r="E10" s="10" t="s">
        <v>28</v>
      </c>
      <c r="F10" s="10"/>
      <c r="G10" s="10" t="n">
        <v>63</v>
      </c>
      <c r="H10" s="10" t="n">
        <v>13.35</v>
      </c>
      <c r="I10" s="12" t="n">
        <v>1</v>
      </c>
      <c r="J10" s="12"/>
      <c r="K10" s="13" t="n">
        <f aca="false">43.1</f>
        <v>43.1</v>
      </c>
      <c r="L10" s="13" t="n">
        <f aca="false">139.64</f>
        <v>139.64</v>
      </c>
      <c r="M10" s="12" t="n">
        <v>14</v>
      </c>
      <c r="N10" s="12" t="n">
        <v>32</v>
      </c>
      <c r="O10" s="12" t="n">
        <v>121.2</v>
      </c>
      <c r="P10" s="13" t="n">
        <f aca="false">27.84</f>
        <v>27.84</v>
      </c>
      <c r="Q10" s="13" t="n">
        <f aca="false">159.26</f>
        <v>159.26</v>
      </c>
      <c r="R10" s="12" t="n">
        <v>17.25</v>
      </c>
      <c r="S10" s="12" t="n">
        <v>23.8</v>
      </c>
      <c r="T10" s="12" t="n">
        <v>440</v>
      </c>
      <c r="U10" s="14" t="s">
        <v>32</v>
      </c>
      <c r="V10" s="15"/>
      <c r="W10" s="16" t="str">
        <f aca="false">A10</f>
        <v>KL</v>
      </c>
      <c r="X10" s="17" t="e">
        <f aca="false">ifs(C10="","",X10="",NOW(),TRUE(),X10)</f>
        <v>#VALUE!</v>
      </c>
      <c r="Y10" s="17" t="e">
        <f aca="false">ifs(COUNTA(K10:U13)&lt;44,"",Y10="",NOW(),TRUE(),Y10)</f>
        <v>#VALUE!</v>
      </c>
    </row>
    <row r="11" customFormat="false" ht="14.15" hidden="false" customHeight="false" outlineLevel="0" collapsed="false">
      <c r="A11" s="9"/>
      <c r="B11" s="10"/>
      <c r="C11" s="10"/>
      <c r="D11" s="10"/>
      <c r="E11" s="10"/>
      <c r="F11" s="10"/>
      <c r="G11" s="10"/>
      <c r="H11" s="10"/>
      <c r="I11" s="18" t="n">
        <v>2</v>
      </c>
      <c r="J11" s="18"/>
      <c r="K11" s="19" t="n">
        <f aca="false">42.84</f>
        <v>42.84</v>
      </c>
      <c r="L11" s="19" t="n">
        <f aca="false">144.03</f>
        <v>144.03</v>
      </c>
      <c r="M11" s="18" t="n">
        <v>16</v>
      </c>
      <c r="N11" s="18" t="n">
        <v>32</v>
      </c>
      <c r="O11" s="18" t="n">
        <v>123.75</v>
      </c>
      <c r="P11" s="19" t="n">
        <f aca="false">27.96</f>
        <v>27.96</v>
      </c>
      <c r="Q11" s="19" t="n">
        <f aca="false">158.87</f>
        <v>158.87</v>
      </c>
      <c r="R11" s="18" t="n">
        <v>15.9</v>
      </c>
      <c r="S11" s="18" t="n">
        <v>24.25</v>
      </c>
      <c r="T11" s="18" t="n">
        <v>450</v>
      </c>
      <c r="U11" s="20" t="s">
        <v>32</v>
      </c>
      <c r="V11" s="21"/>
      <c r="W11" s="16"/>
      <c r="X11" s="16"/>
      <c r="Y11" s="16"/>
    </row>
    <row r="12" customFormat="false" ht="14.15" hidden="false" customHeight="false" outlineLevel="0" collapsed="false">
      <c r="A12" s="9"/>
      <c r="B12" s="10"/>
      <c r="C12" s="10"/>
      <c r="D12" s="10"/>
      <c r="E12" s="10"/>
      <c r="F12" s="10"/>
      <c r="G12" s="10"/>
      <c r="H12" s="10"/>
      <c r="I12" s="22" t="n">
        <v>3</v>
      </c>
      <c r="J12" s="22"/>
      <c r="K12" s="23" t="n">
        <f aca="false">43.74</f>
        <v>43.74</v>
      </c>
      <c r="L12" s="23" t="n">
        <f aca="false">142.05</f>
        <v>142.05</v>
      </c>
      <c r="M12" s="22" t="n">
        <v>16</v>
      </c>
      <c r="N12" s="22" t="n">
        <v>32</v>
      </c>
      <c r="O12" s="22" t="n">
        <v>129.2</v>
      </c>
      <c r="P12" s="23" t="n">
        <f aca="false">29</f>
        <v>29</v>
      </c>
      <c r="Q12" s="23" t="n">
        <f aca="false">172.29</f>
        <v>172.29</v>
      </c>
      <c r="R12" s="22" t="n">
        <v>17.5</v>
      </c>
      <c r="S12" s="22" t="n">
        <v>23.7</v>
      </c>
      <c r="T12" s="22" t="n">
        <v>491</v>
      </c>
      <c r="U12" s="24" t="s">
        <v>32</v>
      </c>
      <c r="V12" s="15"/>
      <c r="W12" s="16"/>
      <c r="X12" s="16"/>
      <c r="Y12" s="16"/>
    </row>
    <row r="13" customFormat="false" ht="14.15" hidden="false" customHeight="false" outlineLevel="0" collapsed="false">
      <c r="A13" s="9"/>
      <c r="B13" s="10"/>
      <c r="C13" s="10"/>
      <c r="D13" s="10"/>
      <c r="E13" s="10"/>
      <c r="F13" s="10"/>
      <c r="G13" s="10"/>
      <c r="H13" s="10"/>
      <c r="I13" s="25" t="n">
        <v>4</v>
      </c>
      <c r="J13" s="25" t="s">
        <v>33</v>
      </c>
      <c r="K13" s="26" t="n">
        <f aca="false">43.21</f>
        <v>43.21</v>
      </c>
      <c r="L13" s="26" t="n">
        <f aca="false">121.84</f>
        <v>121.84</v>
      </c>
      <c r="M13" s="25" t="n">
        <v>18</v>
      </c>
      <c r="N13" s="25" t="n">
        <v>26</v>
      </c>
      <c r="O13" s="25" t="n">
        <v>96.2</v>
      </c>
      <c r="P13" s="26" t="n">
        <f aca="false">27.96</f>
        <v>27.96</v>
      </c>
      <c r="Q13" s="26" t="n">
        <f aca="false">139.86</f>
        <v>139.86</v>
      </c>
      <c r="R13" s="25" t="n">
        <v>11.1</v>
      </c>
      <c r="S13" s="25" t="n">
        <v>20.5</v>
      </c>
      <c r="T13" s="25" t="n">
        <v>412</v>
      </c>
      <c r="U13" s="27" t="s">
        <v>32</v>
      </c>
      <c r="V13" s="21"/>
      <c r="W13" s="16"/>
      <c r="X13" s="16"/>
      <c r="Y13" s="16"/>
    </row>
    <row r="14" customFormat="false" ht="15.75" hidden="false" customHeight="true" outlineLevel="0" collapsed="false">
      <c r="A14" s="9" t="s">
        <v>25</v>
      </c>
      <c r="B14" s="10" t="s">
        <v>26</v>
      </c>
      <c r="C14" s="11" t="s">
        <v>34</v>
      </c>
      <c r="D14" s="10" t="s">
        <v>28</v>
      </c>
      <c r="E14" s="10" t="s">
        <v>28</v>
      </c>
      <c r="F14" s="10"/>
      <c r="G14" s="10" t="n">
        <v>11</v>
      </c>
      <c r="H14" s="10" t="n">
        <v>2.4</v>
      </c>
      <c r="I14" s="12" t="n">
        <v>1</v>
      </c>
      <c r="J14" s="12"/>
      <c r="K14" s="13" t="n">
        <f aca="false">41.77</f>
        <v>41.77</v>
      </c>
      <c r="L14" s="13" t="n">
        <f aca="false">149.96</f>
        <v>149.96</v>
      </c>
      <c r="M14" s="12" t="n">
        <v>14</v>
      </c>
      <c r="N14" s="12" t="n">
        <v>28</v>
      </c>
      <c r="O14" s="12" t="n">
        <v>154.05</v>
      </c>
      <c r="P14" s="13" t="n">
        <f aca="false">24.25</f>
        <v>24.25</v>
      </c>
      <c r="Q14" s="13" t="n">
        <f aca="false">154.07</f>
        <v>154.07</v>
      </c>
      <c r="R14" s="12" t="n">
        <v>17.35</v>
      </c>
      <c r="S14" s="12" t="n">
        <v>26.1</v>
      </c>
      <c r="T14" s="12" t="n">
        <v>536</v>
      </c>
      <c r="U14" s="14" t="s">
        <v>29</v>
      </c>
      <c r="V14" s="15"/>
      <c r="W14" s="16" t="str">
        <f aca="false">A14</f>
        <v>KL</v>
      </c>
      <c r="X14" s="17" t="e">
        <f aca="false">ifs(C14="","",X14="",NOW(),TRUE(),X14)</f>
        <v>#VALUE!</v>
      </c>
      <c r="Y14" s="17" t="e">
        <f aca="false">ifs(COUNTA(K14:U17)&lt;44,"",Y14="",NOW(),TRUE(),Y14)</f>
        <v>#VALUE!</v>
      </c>
    </row>
    <row r="15" customFormat="false" ht="14.15" hidden="false" customHeight="false" outlineLevel="0" collapsed="false">
      <c r="A15" s="9"/>
      <c r="B15" s="10"/>
      <c r="C15" s="10"/>
      <c r="D15" s="10"/>
      <c r="E15" s="10"/>
      <c r="F15" s="10"/>
      <c r="G15" s="10"/>
      <c r="H15" s="10"/>
      <c r="I15" s="18" t="n">
        <v>2</v>
      </c>
      <c r="J15" s="18"/>
      <c r="K15" s="19" t="n">
        <f aca="false">43.18</f>
        <v>43.18</v>
      </c>
      <c r="L15" s="19" t="n">
        <f aca="false">123.15</f>
        <v>123.15</v>
      </c>
      <c r="M15" s="18" t="n">
        <v>16</v>
      </c>
      <c r="N15" s="18" t="n">
        <v>30</v>
      </c>
      <c r="O15" s="18" t="n">
        <v>126.75</v>
      </c>
      <c r="P15" s="19" t="n">
        <f aca="false">23.39</f>
        <v>23.39</v>
      </c>
      <c r="Q15" s="19" t="n">
        <f aca="false">119.87</f>
        <v>119.87</v>
      </c>
      <c r="R15" s="18" t="n">
        <v>13.95</v>
      </c>
      <c r="S15" s="18" t="n">
        <v>25.8</v>
      </c>
      <c r="T15" s="18" t="n">
        <v>460</v>
      </c>
      <c r="U15" s="20" t="s">
        <v>29</v>
      </c>
      <c r="V15" s="21"/>
      <c r="W15" s="16"/>
      <c r="X15" s="16"/>
      <c r="Y15" s="16"/>
    </row>
    <row r="16" customFormat="false" ht="14.15" hidden="false" customHeight="false" outlineLevel="0" collapsed="false">
      <c r="A16" s="9"/>
      <c r="B16" s="10"/>
      <c r="C16" s="10"/>
      <c r="D16" s="10"/>
      <c r="E16" s="10"/>
      <c r="F16" s="10"/>
      <c r="G16" s="10"/>
      <c r="H16" s="10"/>
      <c r="I16" s="22" t="n">
        <v>3</v>
      </c>
      <c r="J16" s="22" t="s">
        <v>35</v>
      </c>
      <c r="K16" s="23" t="n">
        <f aca="false">38.58</f>
        <v>38.58</v>
      </c>
      <c r="L16" s="23" t="n">
        <f aca="false">115.89</f>
        <v>115.89</v>
      </c>
      <c r="M16" s="22" t="n">
        <v>14</v>
      </c>
      <c r="N16" s="22" t="n">
        <v>30</v>
      </c>
      <c r="O16" s="22" t="n">
        <v>97.45</v>
      </c>
      <c r="P16" s="23" t="n">
        <f aca="false">21.18</f>
        <v>21.18</v>
      </c>
      <c r="Q16" s="23" t="n">
        <f aca="false">123.47</f>
        <v>123.47</v>
      </c>
      <c r="R16" s="22" t="n">
        <v>10.6</v>
      </c>
      <c r="S16" s="22" t="n">
        <v>21.8</v>
      </c>
      <c r="T16" s="22" t="n">
        <v>421</v>
      </c>
      <c r="U16" s="24" t="s">
        <v>29</v>
      </c>
      <c r="V16" s="15"/>
      <c r="W16" s="16"/>
      <c r="X16" s="16"/>
      <c r="Y16" s="16"/>
    </row>
    <row r="17" customFormat="false" ht="14.15" hidden="false" customHeight="false" outlineLevel="0" collapsed="false">
      <c r="A17" s="9"/>
      <c r="B17" s="10"/>
      <c r="C17" s="10"/>
      <c r="D17" s="10"/>
      <c r="E17" s="10"/>
      <c r="F17" s="10"/>
      <c r="G17" s="10"/>
      <c r="H17" s="10"/>
      <c r="I17" s="25" t="n">
        <v>4</v>
      </c>
      <c r="J17" s="25" t="s">
        <v>36</v>
      </c>
      <c r="K17" s="26" t="n">
        <f aca="false">40.2</f>
        <v>40.2</v>
      </c>
      <c r="L17" s="26" t="n">
        <f aca="false">108.53</f>
        <v>108.53</v>
      </c>
      <c r="M17" s="25" t="n">
        <v>16</v>
      </c>
      <c r="N17" s="25" t="n">
        <v>28</v>
      </c>
      <c r="O17" s="25" t="n">
        <v>94.15</v>
      </c>
      <c r="P17" s="26" t="n">
        <f aca="false">22.23</f>
        <v>22.23</v>
      </c>
      <c r="Q17" s="26" t="n">
        <f aca="false">114.03</f>
        <v>114.03</v>
      </c>
      <c r="R17" s="25" t="n">
        <v>10.85</v>
      </c>
      <c r="S17" s="25" t="n">
        <v>21.05</v>
      </c>
      <c r="T17" s="25" t="n">
        <v>416</v>
      </c>
      <c r="U17" s="27" t="s">
        <v>29</v>
      </c>
      <c r="V17" s="21"/>
      <c r="W17" s="16"/>
      <c r="X17" s="16"/>
      <c r="Y17" s="16"/>
    </row>
    <row r="18" customFormat="false" ht="15.75" hidden="false" customHeight="true" outlineLevel="0" collapsed="false">
      <c r="A18" s="9" t="s">
        <v>25</v>
      </c>
      <c r="B18" s="10" t="s">
        <v>26</v>
      </c>
      <c r="C18" s="11" t="s">
        <v>37</v>
      </c>
      <c r="D18" s="10" t="s">
        <v>28</v>
      </c>
      <c r="E18" s="10" t="s">
        <v>28</v>
      </c>
      <c r="F18" s="10"/>
      <c r="G18" s="10" t="n">
        <v>45</v>
      </c>
      <c r="H18" s="10" t="n">
        <v>6.85</v>
      </c>
      <c r="I18" s="12" t="n">
        <v>1</v>
      </c>
      <c r="J18" s="12"/>
      <c r="K18" s="13" t="n">
        <f aca="false">41.23</f>
        <v>41.23</v>
      </c>
      <c r="L18" s="13" t="n">
        <f aca="false">157.72</f>
        <v>157.72</v>
      </c>
      <c r="M18" s="12" t="n">
        <v>16</v>
      </c>
      <c r="N18" s="12" t="n">
        <v>38</v>
      </c>
      <c r="O18" s="12" t="n">
        <v>132.75</v>
      </c>
      <c r="P18" s="13" t="n">
        <f aca="false">27.21</f>
        <v>27.21</v>
      </c>
      <c r="Q18" s="13" t="n">
        <f aca="false">177.93</f>
        <v>177.93</v>
      </c>
      <c r="R18" s="12" t="n">
        <v>19.6</v>
      </c>
      <c r="S18" s="12" t="n">
        <v>17.1</v>
      </c>
      <c r="T18" s="12" t="n">
        <v>642</v>
      </c>
      <c r="U18" s="14" t="s">
        <v>32</v>
      </c>
      <c r="V18" s="15"/>
      <c r="W18" s="16" t="str">
        <f aca="false">A18</f>
        <v>KL</v>
      </c>
      <c r="X18" s="17" t="e">
        <f aca="false">ifs(C18="","",X18="",NOW(),TRUE(),X18)</f>
        <v>#VALUE!</v>
      </c>
      <c r="Y18" s="17" t="e">
        <f aca="false">ifs(COUNTA(K18:U21)&lt;44,"",Y18="",NOW(),TRUE(),Y18)</f>
        <v>#VALUE!</v>
      </c>
    </row>
    <row r="19" customFormat="false" ht="14.15" hidden="false" customHeight="false" outlineLevel="0" collapsed="false">
      <c r="A19" s="9"/>
      <c r="B19" s="10"/>
      <c r="C19" s="10"/>
      <c r="D19" s="10"/>
      <c r="E19" s="10"/>
      <c r="F19" s="10"/>
      <c r="G19" s="10"/>
      <c r="H19" s="10"/>
      <c r="I19" s="18" t="n">
        <v>2</v>
      </c>
      <c r="J19" s="18"/>
      <c r="K19" s="19" t="n">
        <f aca="false">41.06</f>
        <v>41.06</v>
      </c>
      <c r="L19" s="19" t="n">
        <f aca="false">152.35</f>
        <v>152.35</v>
      </c>
      <c r="M19" s="18" t="n">
        <v>18</v>
      </c>
      <c r="N19" s="18" t="n">
        <v>34</v>
      </c>
      <c r="O19" s="18" t="n">
        <v>106.1</v>
      </c>
      <c r="P19" s="19" t="n">
        <f aca="false">27.26</f>
        <v>27.26</v>
      </c>
      <c r="Q19" s="19" t="n">
        <f aca="false">163.45</f>
        <v>163.45</v>
      </c>
      <c r="R19" s="18" t="n">
        <v>14.45</v>
      </c>
      <c r="S19" s="18" t="n">
        <v>15.1</v>
      </c>
      <c r="T19" s="18" t="n">
        <v>600</v>
      </c>
      <c r="U19" s="20" t="s">
        <v>32</v>
      </c>
      <c r="V19" s="21"/>
      <c r="W19" s="16"/>
      <c r="X19" s="16"/>
      <c r="Y19" s="16"/>
    </row>
    <row r="20" customFormat="false" ht="14.15" hidden="false" customHeight="false" outlineLevel="0" collapsed="false">
      <c r="A20" s="9"/>
      <c r="B20" s="10"/>
      <c r="C20" s="10"/>
      <c r="D20" s="10"/>
      <c r="E20" s="10"/>
      <c r="F20" s="10"/>
      <c r="G20" s="10"/>
      <c r="H20" s="10"/>
      <c r="I20" s="22" t="n">
        <v>3</v>
      </c>
      <c r="J20" s="22"/>
      <c r="K20" s="23" t="n">
        <f aca="false">41.1</f>
        <v>41.1</v>
      </c>
      <c r="L20" s="23" t="n">
        <f aca="false">133.32</f>
        <v>133.32</v>
      </c>
      <c r="M20" s="22" t="n">
        <v>18</v>
      </c>
      <c r="N20" s="22" t="n">
        <v>32</v>
      </c>
      <c r="O20" s="22" t="n">
        <v>98.45</v>
      </c>
      <c r="P20" s="23" t="n">
        <f aca="false">27.45</f>
        <v>27.45</v>
      </c>
      <c r="Q20" s="23" t="n">
        <f aca="false">151.56</f>
        <v>151.56</v>
      </c>
      <c r="R20" s="22" t="n">
        <v>14.4</v>
      </c>
      <c r="S20" s="22" t="n">
        <v>14.7</v>
      </c>
      <c r="T20" s="22" t="n">
        <v>570</v>
      </c>
      <c r="U20" s="24" t="s">
        <v>32</v>
      </c>
      <c r="V20" s="15"/>
      <c r="W20" s="16"/>
      <c r="X20" s="16"/>
      <c r="Y20" s="16"/>
    </row>
    <row r="21" customFormat="false" ht="14.15" hidden="false" customHeight="false" outlineLevel="0" collapsed="false">
      <c r="A21" s="9"/>
      <c r="B21" s="10"/>
      <c r="C21" s="10"/>
      <c r="D21" s="10"/>
      <c r="E21" s="10"/>
      <c r="F21" s="10"/>
      <c r="G21" s="10"/>
      <c r="H21" s="10"/>
      <c r="I21" s="25" t="n">
        <v>4</v>
      </c>
      <c r="J21" s="25"/>
      <c r="K21" s="26" t="n">
        <f aca="false">40.59</f>
        <v>40.59</v>
      </c>
      <c r="L21" s="26" t="n">
        <f aca="false">132.97</f>
        <v>132.97</v>
      </c>
      <c r="M21" s="25" t="n">
        <v>16</v>
      </c>
      <c r="N21" s="25" t="n">
        <v>32</v>
      </c>
      <c r="O21" s="25" t="n">
        <v>99.25</v>
      </c>
      <c r="P21" s="26" t="n">
        <f aca="false">24.29</f>
        <v>24.29</v>
      </c>
      <c r="Q21" s="26" t="n">
        <f aca="false">146.67</f>
        <v>146.67</v>
      </c>
      <c r="R21" s="25" t="n">
        <v>14.05</v>
      </c>
      <c r="S21" s="25" t="n">
        <v>17.5</v>
      </c>
      <c r="T21" s="25" t="n">
        <v>413</v>
      </c>
      <c r="U21" s="27" t="s">
        <v>32</v>
      </c>
      <c r="V21" s="21"/>
      <c r="W21" s="16"/>
      <c r="X21" s="16"/>
      <c r="Y21" s="16"/>
    </row>
    <row r="22" customFormat="false" ht="15.75" hidden="false" customHeight="true" outlineLevel="0" collapsed="false">
      <c r="A22" s="9" t="s">
        <v>25</v>
      </c>
      <c r="B22" s="10" t="s">
        <v>26</v>
      </c>
      <c r="C22" s="11" t="s">
        <v>38</v>
      </c>
      <c r="D22" s="10" t="s">
        <v>28</v>
      </c>
      <c r="E22" s="10" t="s">
        <v>28</v>
      </c>
      <c r="F22" s="10"/>
      <c r="G22" s="10" t="n">
        <v>21</v>
      </c>
      <c r="H22" s="10" t="n">
        <v>4.55</v>
      </c>
      <c r="I22" s="12" t="n">
        <v>1</v>
      </c>
      <c r="J22" s="12"/>
      <c r="K22" s="13" t="n">
        <f aca="false">46.12</f>
        <v>46.12</v>
      </c>
      <c r="L22" s="13" t="n">
        <f aca="false">152.19</f>
        <v>152.19</v>
      </c>
      <c r="M22" s="12" t="n">
        <v>16</v>
      </c>
      <c r="N22" s="12" t="n">
        <v>38</v>
      </c>
      <c r="O22" s="12" t="n">
        <v>153.45</v>
      </c>
      <c r="P22" s="13" t="n">
        <f aca="false">30.05</f>
        <v>30.05</v>
      </c>
      <c r="Q22" s="13" t="n">
        <f aca="false">175.77</f>
        <v>175.77</v>
      </c>
      <c r="R22" s="12" t="n">
        <v>25.75</v>
      </c>
      <c r="S22" s="12" t="n">
        <v>22.05</v>
      </c>
      <c r="T22" s="12" t="n">
        <v>477</v>
      </c>
      <c r="U22" s="14" t="s">
        <v>29</v>
      </c>
      <c r="V22" s="15"/>
      <c r="W22" s="16" t="str">
        <f aca="false">A22</f>
        <v>KL</v>
      </c>
      <c r="X22" s="17" t="e">
        <f aca="false">ifs(C22="","",X22="",NOW(),TRUE(),X22)</f>
        <v>#VALUE!</v>
      </c>
      <c r="Y22" s="17" t="e">
        <f aca="false">ifs(COUNTA(K22:U25)&lt;44,"",Y22="",NOW(),TRUE(),Y22)</f>
        <v>#VALUE!</v>
      </c>
    </row>
    <row r="23" customFormat="false" ht="14.15" hidden="false" customHeight="false" outlineLevel="0" collapsed="false">
      <c r="A23" s="9"/>
      <c r="B23" s="10"/>
      <c r="C23" s="10"/>
      <c r="D23" s="10"/>
      <c r="E23" s="10"/>
      <c r="F23" s="10"/>
      <c r="G23" s="10"/>
      <c r="H23" s="10"/>
      <c r="I23" s="18" t="n">
        <v>2</v>
      </c>
      <c r="J23" s="18"/>
      <c r="K23" s="19" t="n">
        <f aca="false">45.62</f>
        <v>45.62</v>
      </c>
      <c r="L23" s="19" t="n">
        <f aca="false">147.15</f>
        <v>147.15</v>
      </c>
      <c r="M23" s="18" t="n">
        <v>18</v>
      </c>
      <c r="N23" s="18" t="n">
        <v>36</v>
      </c>
      <c r="O23" s="18" t="n">
        <v>135.9</v>
      </c>
      <c r="P23" s="19" t="n">
        <f aca="false">29.55</f>
        <v>29.55</v>
      </c>
      <c r="Q23" s="19" t="n">
        <f aca="false">169.92</f>
        <v>169.92</v>
      </c>
      <c r="R23" s="18" t="n">
        <v>22.6</v>
      </c>
      <c r="S23" s="18" t="n">
        <v>18.85</v>
      </c>
      <c r="T23" s="18" t="n">
        <v>467</v>
      </c>
      <c r="U23" s="20" t="s">
        <v>29</v>
      </c>
      <c r="V23" s="21"/>
      <c r="W23" s="16"/>
      <c r="X23" s="16"/>
      <c r="Y23" s="16"/>
    </row>
    <row r="24" customFormat="false" ht="14.15" hidden="false" customHeight="false" outlineLevel="0" collapsed="false">
      <c r="A24" s="9"/>
      <c r="B24" s="10"/>
      <c r="C24" s="10"/>
      <c r="D24" s="10"/>
      <c r="E24" s="10"/>
      <c r="F24" s="10"/>
      <c r="G24" s="10"/>
      <c r="H24" s="10"/>
      <c r="I24" s="22" t="n">
        <v>3</v>
      </c>
      <c r="J24" s="22"/>
      <c r="K24" s="23" t="n">
        <f aca="false">43.39</f>
        <v>43.39</v>
      </c>
      <c r="L24" s="23" t="n">
        <f aca="false">138.7</f>
        <v>138.7</v>
      </c>
      <c r="M24" s="22" t="n">
        <v>14</v>
      </c>
      <c r="N24" s="22" t="n">
        <v>36</v>
      </c>
      <c r="O24" s="22" t="n">
        <v>125.7</v>
      </c>
      <c r="P24" s="23" t="n">
        <f aca="false">28.94</f>
        <v>28.94</v>
      </c>
      <c r="Q24" s="23" t="n">
        <f aca="false">167.87</f>
        <v>167.87</v>
      </c>
      <c r="R24" s="22" t="n">
        <v>21.35</v>
      </c>
      <c r="S24" s="22" t="n">
        <v>21.6</v>
      </c>
      <c r="T24" s="22" t="n">
        <v>486</v>
      </c>
      <c r="U24" s="24" t="s">
        <v>29</v>
      </c>
      <c r="V24" s="15"/>
      <c r="W24" s="16"/>
      <c r="X24" s="16"/>
      <c r="Y24" s="16"/>
    </row>
    <row r="25" customFormat="false" ht="14.15" hidden="false" customHeight="false" outlineLevel="0" collapsed="false">
      <c r="A25" s="9"/>
      <c r="B25" s="10"/>
      <c r="C25" s="10"/>
      <c r="D25" s="10"/>
      <c r="E25" s="10"/>
      <c r="F25" s="10"/>
      <c r="G25" s="10"/>
      <c r="H25" s="10"/>
      <c r="I25" s="25" t="n">
        <v>4</v>
      </c>
      <c r="J25" s="25"/>
      <c r="K25" s="26" t="n">
        <f aca="false">44.07</f>
        <v>44.07</v>
      </c>
      <c r="L25" s="26" t="n">
        <f aca="false">141.13</f>
        <v>141.13</v>
      </c>
      <c r="M25" s="25" t="n">
        <v>16</v>
      </c>
      <c r="N25" s="25" t="n">
        <v>34</v>
      </c>
      <c r="O25" s="25" t="n">
        <v>121.2</v>
      </c>
      <c r="P25" s="26" t="n">
        <f aca="false">29.56</f>
        <v>29.56</v>
      </c>
      <c r="Q25" s="26" t="n">
        <f aca="false">172.94</f>
        <v>172.94</v>
      </c>
      <c r="R25" s="25" t="n">
        <v>22.85</v>
      </c>
      <c r="S25" s="25" t="n">
        <v>18.45</v>
      </c>
      <c r="T25" s="25" t="n">
        <v>530</v>
      </c>
      <c r="U25" s="27" t="s">
        <v>29</v>
      </c>
      <c r="V25" s="21"/>
      <c r="W25" s="16"/>
      <c r="X25" s="16"/>
      <c r="Y25" s="16"/>
    </row>
    <row r="26" customFormat="false" ht="15.75" hidden="false" customHeight="true" outlineLevel="0" collapsed="false">
      <c r="A26" s="9" t="s">
        <v>25</v>
      </c>
      <c r="B26" s="10" t="s">
        <v>26</v>
      </c>
      <c r="C26" s="11" t="s">
        <v>39</v>
      </c>
      <c r="D26" s="10" t="s">
        <v>28</v>
      </c>
      <c r="E26" s="10" t="s">
        <v>28</v>
      </c>
      <c r="F26" s="10"/>
      <c r="G26" s="10" t="n">
        <v>0</v>
      </c>
      <c r="H26" s="10"/>
      <c r="I26" s="12" t="n">
        <v>1</v>
      </c>
      <c r="J26" s="12" t="s">
        <v>36</v>
      </c>
      <c r="K26" s="13" t="n">
        <f aca="false">40.77</f>
        <v>40.77</v>
      </c>
      <c r="L26" s="13" t="n">
        <f aca="false">139.44</f>
        <v>139.44</v>
      </c>
      <c r="M26" s="12" t="n">
        <v>18</v>
      </c>
      <c r="N26" s="12" t="n">
        <v>34</v>
      </c>
      <c r="O26" s="12" t="n">
        <v>126.45</v>
      </c>
      <c r="P26" s="13" t="n">
        <f aca="false">26.3</f>
        <v>26.3</v>
      </c>
      <c r="Q26" s="13" t="n">
        <f aca="false">157.94</f>
        <v>157.94</v>
      </c>
      <c r="R26" s="12" t="n">
        <v>16.05</v>
      </c>
      <c r="S26" s="12" t="n">
        <v>20.2</v>
      </c>
      <c r="T26" s="12" t="n">
        <v>559</v>
      </c>
      <c r="U26" s="14" t="s">
        <v>29</v>
      </c>
      <c r="V26" s="15"/>
      <c r="W26" s="16" t="str">
        <f aca="false">A26</f>
        <v>KL</v>
      </c>
      <c r="X26" s="17" t="e">
        <f aca="false">ifs(C26="","",X26="",NOW(),TRUE(),X26)</f>
        <v>#VALUE!</v>
      </c>
      <c r="Y26" s="17" t="e">
        <f aca="false">ifs(COUNTA(K26:U29)&lt;44,"",Y26="",NOW(),TRUE(),Y26)</f>
        <v>#VALUE!</v>
      </c>
    </row>
    <row r="27" customFormat="false" ht="14.15" hidden="false" customHeight="false" outlineLevel="0" collapsed="false">
      <c r="A27" s="9"/>
      <c r="B27" s="10"/>
      <c r="C27" s="10"/>
      <c r="D27" s="10"/>
      <c r="E27" s="10"/>
      <c r="F27" s="10"/>
      <c r="G27" s="10"/>
      <c r="H27" s="10"/>
      <c r="I27" s="18" t="n">
        <v>2</v>
      </c>
      <c r="J27" s="18"/>
      <c r="K27" s="19" t="n">
        <f aca="false">38.08</f>
        <v>38.08</v>
      </c>
      <c r="L27" s="19" t="n">
        <f aca="false">131.28</f>
        <v>131.28</v>
      </c>
      <c r="M27" s="18" t="n">
        <v>14</v>
      </c>
      <c r="N27" s="18" t="n">
        <v>32</v>
      </c>
      <c r="O27" s="18" t="n">
        <v>108.7</v>
      </c>
      <c r="P27" s="19" t="n">
        <f aca="false">24</f>
        <v>24</v>
      </c>
      <c r="Q27" s="19" t="n">
        <f aca="false">163.86</f>
        <v>163.86</v>
      </c>
      <c r="R27" s="18" t="n">
        <v>16.85</v>
      </c>
      <c r="S27" s="18" t="n">
        <v>21.45</v>
      </c>
      <c r="T27" s="18" t="n">
        <v>429</v>
      </c>
      <c r="U27" s="20" t="s">
        <v>29</v>
      </c>
      <c r="V27" s="21"/>
      <c r="W27" s="16"/>
      <c r="X27" s="16"/>
      <c r="Y27" s="16"/>
    </row>
    <row r="28" customFormat="false" ht="14.15" hidden="false" customHeight="false" outlineLevel="0" collapsed="false">
      <c r="A28" s="9"/>
      <c r="B28" s="10"/>
      <c r="C28" s="10"/>
      <c r="D28" s="10"/>
      <c r="E28" s="10"/>
      <c r="F28" s="10"/>
      <c r="G28" s="10"/>
      <c r="H28" s="10"/>
      <c r="I28" s="22" t="n">
        <v>3</v>
      </c>
      <c r="J28" s="22"/>
      <c r="K28" s="23" t="n">
        <f aca="false">37.53</f>
        <v>37.53</v>
      </c>
      <c r="L28" s="23" t="n">
        <f aca="false">134.61</f>
        <v>134.61</v>
      </c>
      <c r="M28" s="22" t="n">
        <v>14</v>
      </c>
      <c r="N28" s="22" t="n">
        <v>32</v>
      </c>
      <c r="O28" s="22" t="n">
        <v>106.4</v>
      </c>
      <c r="P28" s="23" t="n">
        <f aca="false">23.86</f>
        <v>23.86</v>
      </c>
      <c r="Q28" s="23" t="n">
        <f aca="false">151.34</f>
        <v>151.34</v>
      </c>
      <c r="R28" s="22" t="n">
        <v>14.75</v>
      </c>
      <c r="S28" s="22" t="n">
        <v>22.55</v>
      </c>
      <c r="T28" s="22" t="n">
        <v>416</v>
      </c>
      <c r="U28" s="24" t="s">
        <v>29</v>
      </c>
      <c r="V28" s="15"/>
      <c r="W28" s="16"/>
      <c r="X28" s="16"/>
      <c r="Y28" s="16"/>
    </row>
    <row r="29" customFormat="false" ht="14.15" hidden="false" customHeight="false" outlineLevel="0" collapsed="false">
      <c r="A29" s="9"/>
      <c r="B29" s="10"/>
      <c r="C29" s="10"/>
      <c r="D29" s="10"/>
      <c r="E29" s="10"/>
      <c r="F29" s="10"/>
      <c r="G29" s="10"/>
      <c r="H29" s="10"/>
      <c r="I29" s="25" t="n">
        <v>4</v>
      </c>
      <c r="J29" s="25"/>
      <c r="K29" s="26" t="n">
        <f aca="false">40.95</f>
        <v>40.95</v>
      </c>
      <c r="L29" s="26" t="n">
        <f aca="false">123.74</f>
        <v>123.74</v>
      </c>
      <c r="M29" s="25" t="n">
        <v>16</v>
      </c>
      <c r="N29" s="25" t="n">
        <v>28</v>
      </c>
      <c r="O29" s="25" t="n">
        <v>94.5</v>
      </c>
      <c r="P29" s="26" t="n">
        <f aca="false">26.65</f>
        <v>26.65</v>
      </c>
      <c r="Q29" s="26" t="n">
        <f aca="false">143.47</f>
        <v>143.47</v>
      </c>
      <c r="R29" s="25" t="n">
        <v>14.45</v>
      </c>
      <c r="S29" s="25" t="n">
        <v>17.75</v>
      </c>
      <c r="T29" s="25" t="n">
        <v>449</v>
      </c>
      <c r="U29" s="27" t="s">
        <v>29</v>
      </c>
      <c r="V29" s="21"/>
      <c r="W29" s="16"/>
      <c r="X29" s="16"/>
      <c r="Y29" s="16"/>
    </row>
    <row r="30" customFormat="false" ht="15.75" hidden="false" customHeight="true" outlineLevel="0" collapsed="false">
      <c r="A30" s="9" t="s">
        <v>25</v>
      </c>
      <c r="B30" s="10" t="s">
        <v>26</v>
      </c>
      <c r="C30" s="11" t="s">
        <v>40</v>
      </c>
      <c r="D30" s="10" t="s">
        <v>28</v>
      </c>
      <c r="E30" s="10" t="s">
        <v>28</v>
      </c>
      <c r="F30" s="10"/>
      <c r="G30" s="10" t="n">
        <v>14</v>
      </c>
      <c r="H30" s="10" t="n">
        <v>3.1</v>
      </c>
      <c r="I30" s="12" t="n">
        <v>1</v>
      </c>
      <c r="J30" s="12"/>
      <c r="K30" s="13" t="n">
        <f aca="false">45.66</f>
        <v>45.66</v>
      </c>
      <c r="L30" s="13" t="n">
        <f aca="false">151.3</f>
        <v>151.3</v>
      </c>
      <c r="M30" s="12" t="n">
        <v>16</v>
      </c>
      <c r="N30" s="12" t="n">
        <v>38</v>
      </c>
      <c r="O30" s="12" t="n">
        <v>152.45</v>
      </c>
      <c r="P30" s="13" t="n">
        <f aca="false">27.72</f>
        <v>27.72</v>
      </c>
      <c r="Q30" s="13" t="n">
        <f aca="false">176.51</f>
        <v>176.51</v>
      </c>
      <c r="R30" s="12" t="n">
        <v>22</v>
      </c>
      <c r="S30" s="12" t="n">
        <v>22.4</v>
      </c>
      <c r="T30" s="12" t="n">
        <v>621</v>
      </c>
      <c r="U30" s="14" t="s">
        <v>41</v>
      </c>
      <c r="V30" s="15"/>
      <c r="W30" s="16" t="str">
        <f aca="false">A30</f>
        <v>KL</v>
      </c>
      <c r="X30" s="17" t="e">
        <f aca="false">ifs(C30="","",X30="",NOW(),TRUE(),X30)</f>
        <v>#VALUE!</v>
      </c>
      <c r="Y30" s="17" t="e">
        <f aca="false">ifs(COUNTA(K30:U33)&lt;44,"",Y30="",NOW(),TRUE(),Y30)</f>
        <v>#VALUE!</v>
      </c>
    </row>
    <row r="31" customFormat="false" ht="14.15" hidden="false" customHeight="false" outlineLevel="0" collapsed="false">
      <c r="A31" s="9"/>
      <c r="B31" s="10"/>
      <c r="C31" s="10"/>
      <c r="D31" s="10"/>
      <c r="E31" s="10"/>
      <c r="F31" s="10"/>
      <c r="G31" s="10"/>
      <c r="H31" s="10"/>
      <c r="I31" s="18" t="n">
        <v>2</v>
      </c>
      <c r="J31" s="18"/>
      <c r="K31" s="19" t="n">
        <f aca="false">43.08</f>
        <v>43.08</v>
      </c>
      <c r="L31" s="19" t="n">
        <f aca="false">145.09</f>
        <v>145.09</v>
      </c>
      <c r="M31" s="18" t="n">
        <v>14</v>
      </c>
      <c r="N31" s="18" t="n">
        <v>38</v>
      </c>
      <c r="O31" s="18" t="n">
        <v>123.05</v>
      </c>
      <c r="P31" s="19" t="n">
        <f aca="false">25.3</f>
        <v>25.3</v>
      </c>
      <c r="Q31" s="19" t="n">
        <f aca="false">157.98</f>
        <v>157.98</v>
      </c>
      <c r="R31" s="18" t="n">
        <v>18.7</v>
      </c>
      <c r="S31" s="18" t="n">
        <v>19.55</v>
      </c>
      <c r="T31" s="18" t="n">
        <v>537</v>
      </c>
      <c r="U31" s="20" t="s">
        <v>41</v>
      </c>
      <c r="V31" s="21"/>
      <c r="W31" s="16"/>
      <c r="X31" s="16"/>
      <c r="Y31" s="16"/>
    </row>
    <row r="32" customFormat="false" ht="14.15" hidden="false" customHeight="false" outlineLevel="0" collapsed="false">
      <c r="A32" s="9"/>
      <c r="B32" s="10"/>
      <c r="C32" s="10"/>
      <c r="D32" s="10"/>
      <c r="E32" s="10"/>
      <c r="F32" s="10"/>
      <c r="G32" s="10"/>
      <c r="H32" s="10"/>
      <c r="I32" s="22" t="n">
        <v>3</v>
      </c>
      <c r="J32" s="22"/>
      <c r="K32" s="23" t="n">
        <f aca="false">43.58</f>
        <v>43.58</v>
      </c>
      <c r="L32" s="23" t="n">
        <f aca="false">135.9</f>
        <v>135.9</v>
      </c>
      <c r="M32" s="22" t="n">
        <v>16</v>
      </c>
      <c r="N32" s="22" t="n">
        <v>36</v>
      </c>
      <c r="O32" s="22" t="n">
        <v>127.35</v>
      </c>
      <c r="P32" s="23" t="n">
        <f aca="false">25.92</f>
        <v>25.92</v>
      </c>
      <c r="Q32" s="23" t="n">
        <f aca="false">153.05</f>
        <v>153.05</v>
      </c>
      <c r="R32" s="22" t="n">
        <v>17.25</v>
      </c>
      <c r="S32" s="22" t="n">
        <v>20.4</v>
      </c>
      <c r="T32" s="22" t="n">
        <v>537</v>
      </c>
      <c r="U32" s="24" t="s">
        <v>41</v>
      </c>
      <c r="V32" s="15"/>
      <c r="W32" s="16"/>
      <c r="X32" s="16"/>
      <c r="Y32" s="16"/>
    </row>
    <row r="33" customFormat="false" ht="14.15" hidden="false" customHeight="false" outlineLevel="0" collapsed="false">
      <c r="A33" s="9"/>
      <c r="B33" s="10"/>
      <c r="C33" s="10"/>
      <c r="D33" s="10"/>
      <c r="E33" s="10"/>
      <c r="F33" s="10"/>
      <c r="G33" s="10"/>
      <c r="H33" s="10"/>
      <c r="I33" s="25" t="n">
        <v>4</v>
      </c>
      <c r="J33" s="25"/>
      <c r="K33" s="26" t="n">
        <f aca="false">42.26</f>
        <v>42.26</v>
      </c>
      <c r="L33" s="26" t="n">
        <f aca="false">143.33</f>
        <v>143.33</v>
      </c>
      <c r="M33" s="25" t="n">
        <v>14</v>
      </c>
      <c r="N33" s="25" t="n">
        <v>40</v>
      </c>
      <c r="O33" s="25" t="n">
        <v>127.95</v>
      </c>
      <c r="P33" s="26" t="n">
        <f aca="false">24.47</f>
        <v>24.47</v>
      </c>
      <c r="Q33" s="26" t="n">
        <f aca="false">149.2</f>
        <v>149.2</v>
      </c>
      <c r="R33" s="25" t="n">
        <v>16.9</v>
      </c>
      <c r="S33" s="25" t="n">
        <v>21.8</v>
      </c>
      <c r="T33" s="25" t="n">
        <v>540</v>
      </c>
      <c r="U33" s="27" t="s">
        <v>41</v>
      </c>
      <c r="V33" s="21"/>
      <c r="W33" s="16"/>
      <c r="X33" s="16"/>
      <c r="Y33" s="16"/>
    </row>
    <row r="34" customFormat="false" ht="15.75" hidden="false" customHeight="true" outlineLevel="0" collapsed="false">
      <c r="A34" s="9" t="s">
        <v>25</v>
      </c>
      <c r="B34" s="10" t="s">
        <v>26</v>
      </c>
      <c r="C34" s="11" t="s">
        <v>42</v>
      </c>
      <c r="D34" s="10" t="s">
        <v>28</v>
      </c>
      <c r="E34" s="10" t="s">
        <v>28</v>
      </c>
      <c r="F34" s="10"/>
      <c r="G34" s="10" t="n">
        <v>19</v>
      </c>
      <c r="H34" s="10" t="n">
        <v>5.4</v>
      </c>
      <c r="I34" s="12" t="n">
        <v>1</v>
      </c>
      <c r="J34" s="12"/>
      <c r="K34" s="13" t="n">
        <f aca="false">44.57</f>
        <v>44.57</v>
      </c>
      <c r="L34" s="13" t="n">
        <f aca="false">165.17</f>
        <v>165.17</v>
      </c>
      <c r="M34" s="12" t="n">
        <v>16</v>
      </c>
      <c r="N34" s="12" t="n">
        <v>38</v>
      </c>
      <c r="O34" s="12" t="n">
        <v>156.1</v>
      </c>
      <c r="P34" s="13" t="n">
        <f aca="false">25.83</f>
        <v>25.83</v>
      </c>
      <c r="Q34" s="13" t="n">
        <f aca="false">170.5</f>
        <v>170.5</v>
      </c>
      <c r="R34" s="12" t="n">
        <v>20.9</v>
      </c>
      <c r="S34" s="12" t="n">
        <v>24</v>
      </c>
      <c r="T34" s="12" t="n">
        <v>574</v>
      </c>
      <c r="U34" s="14" t="s">
        <v>29</v>
      </c>
      <c r="V34" s="15"/>
      <c r="W34" s="16" t="str">
        <f aca="false">A34</f>
        <v>KL</v>
      </c>
      <c r="X34" s="17" t="e">
        <f aca="false">ifs(C34="","",X34="",NOW(),TRUE(),X34)</f>
        <v>#VALUE!</v>
      </c>
      <c r="Y34" s="17" t="e">
        <f aca="false">ifs(COUNTA(K34:U37)&lt;44,"",Y34="",NOW(),TRUE(),Y34)</f>
        <v>#VALUE!</v>
      </c>
    </row>
    <row r="35" customFormat="false" ht="14.15" hidden="false" customHeight="false" outlineLevel="0" collapsed="false">
      <c r="A35" s="9"/>
      <c r="B35" s="10"/>
      <c r="C35" s="10"/>
      <c r="D35" s="10"/>
      <c r="E35" s="10"/>
      <c r="F35" s="10"/>
      <c r="G35" s="10"/>
      <c r="H35" s="10"/>
      <c r="I35" s="18" t="n">
        <v>2</v>
      </c>
      <c r="J35" s="18"/>
      <c r="K35" s="19" t="n">
        <f aca="false">47.38</f>
        <v>47.38</v>
      </c>
      <c r="L35" s="19" t="n">
        <f aca="false">139.2</f>
        <v>139.2</v>
      </c>
      <c r="M35" s="18" t="n">
        <v>18</v>
      </c>
      <c r="N35" s="18" t="n">
        <v>30</v>
      </c>
      <c r="O35" s="18" t="n">
        <v>169.05</v>
      </c>
      <c r="P35" s="19" t="n">
        <f aca="false">26.98</f>
        <v>26.98</v>
      </c>
      <c r="Q35" s="19" t="n">
        <f aca="false">148.93</f>
        <v>148.93</v>
      </c>
      <c r="R35" s="18" t="n">
        <v>21.2</v>
      </c>
      <c r="S35" s="18" t="n">
        <v>28.3</v>
      </c>
      <c r="T35" s="18" t="n">
        <v>535</v>
      </c>
      <c r="U35" s="20" t="s">
        <v>29</v>
      </c>
      <c r="V35" s="21"/>
      <c r="W35" s="16"/>
      <c r="X35" s="16"/>
      <c r="Y35" s="16"/>
    </row>
    <row r="36" customFormat="false" ht="14.15" hidden="false" customHeight="false" outlineLevel="0" collapsed="false">
      <c r="A36" s="9"/>
      <c r="B36" s="10"/>
      <c r="C36" s="10"/>
      <c r="D36" s="10"/>
      <c r="E36" s="10"/>
      <c r="F36" s="10"/>
      <c r="G36" s="10"/>
      <c r="H36" s="10"/>
      <c r="I36" s="22" t="n">
        <v>3</v>
      </c>
      <c r="J36" s="22"/>
      <c r="K36" s="23" t="n">
        <f aca="false">43.2</f>
        <v>43.2</v>
      </c>
      <c r="L36" s="23" t="n">
        <f aca="false">150.04</f>
        <v>150.04</v>
      </c>
      <c r="M36" s="22" t="n">
        <v>14</v>
      </c>
      <c r="N36" s="22" t="n">
        <v>36</v>
      </c>
      <c r="O36" s="22" t="n">
        <v>155.6</v>
      </c>
      <c r="P36" s="23" t="n">
        <f aca="false">24.16</f>
        <v>24.16</v>
      </c>
      <c r="Q36" s="23" t="n">
        <f aca="false">156.63</f>
        <v>156.63</v>
      </c>
      <c r="R36" s="22" t="n">
        <v>20.25</v>
      </c>
      <c r="S36" s="22" t="n">
        <v>29.8</v>
      </c>
      <c r="T36" s="22" t="n">
        <v>473</v>
      </c>
      <c r="U36" s="24" t="s">
        <v>29</v>
      </c>
      <c r="V36" s="15"/>
      <c r="W36" s="16"/>
      <c r="X36" s="16"/>
      <c r="Y36" s="16"/>
    </row>
    <row r="37" customFormat="false" ht="14.15" hidden="false" customHeight="false" outlineLevel="0" collapsed="false">
      <c r="A37" s="9"/>
      <c r="B37" s="10"/>
      <c r="C37" s="10"/>
      <c r="D37" s="10"/>
      <c r="E37" s="10"/>
      <c r="F37" s="10"/>
      <c r="G37" s="10"/>
      <c r="H37" s="10"/>
      <c r="I37" s="25" t="n">
        <v>4</v>
      </c>
      <c r="J37" s="25"/>
      <c r="K37" s="26" t="n">
        <f aca="false">41.75</f>
        <v>41.75</v>
      </c>
      <c r="L37" s="26" t="n">
        <f aca="false">154.5</f>
        <v>154.5</v>
      </c>
      <c r="M37" s="25" t="n">
        <v>16</v>
      </c>
      <c r="N37" s="25" t="n">
        <v>34</v>
      </c>
      <c r="O37" s="25" t="n">
        <v>153.6</v>
      </c>
      <c r="P37" s="26" t="n">
        <f aca="false">24.35</f>
        <v>24.35</v>
      </c>
      <c r="Q37" s="26" t="n">
        <f aca="false">162.37</f>
        <v>162.37</v>
      </c>
      <c r="R37" s="25" t="n">
        <v>18.2</v>
      </c>
      <c r="S37" s="25" t="n">
        <v>26.95</v>
      </c>
      <c r="T37" s="25" t="n">
        <v>515</v>
      </c>
      <c r="U37" s="27" t="s">
        <v>29</v>
      </c>
      <c r="V37" s="21"/>
      <c r="W37" s="16"/>
      <c r="X37" s="16"/>
      <c r="Y37" s="16"/>
    </row>
    <row r="38" customFormat="false" ht="15.75" hidden="false" customHeight="true" outlineLevel="0" collapsed="false">
      <c r="A38" s="9" t="s">
        <v>43</v>
      </c>
      <c r="B38" s="10" t="s">
        <v>44</v>
      </c>
      <c r="C38" s="11" t="s">
        <v>45</v>
      </c>
      <c r="D38" s="10" t="s">
        <v>28</v>
      </c>
      <c r="E38" s="10" t="s">
        <v>28</v>
      </c>
      <c r="F38" s="10"/>
      <c r="G38" s="10" t="n">
        <v>111</v>
      </c>
      <c r="H38" s="10" t="n">
        <v>25.7</v>
      </c>
      <c r="I38" s="12" t="n">
        <v>1</v>
      </c>
      <c r="J38" s="12" t="s">
        <v>46</v>
      </c>
      <c r="K38" s="13" t="n">
        <f aca="false">43.82</f>
        <v>43.82</v>
      </c>
      <c r="L38" s="13" t="n">
        <f aca="false">124.92</f>
        <v>124.92</v>
      </c>
      <c r="M38" s="12" t="n">
        <v>16</v>
      </c>
      <c r="N38" s="12" t="n">
        <v>28</v>
      </c>
      <c r="O38" s="12" t="n">
        <v>111.4</v>
      </c>
      <c r="P38" s="13" t="n">
        <f aca="false">28.93</f>
        <v>28.93</v>
      </c>
      <c r="Q38" s="13" t="n">
        <f aca="false">143.44</f>
        <v>143.44</v>
      </c>
      <c r="R38" s="12" t="n">
        <v>14.4</v>
      </c>
      <c r="S38" s="12" t="n">
        <v>20.6</v>
      </c>
      <c r="T38" s="12" t="n">
        <v>466</v>
      </c>
      <c r="U38" s="14" t="s">
        <v>32</v>
      </c>
      <c r="V38" s="15"/>
      <c r="W38" s="16" t="str">
        <f aca="false">A38</f>
        <v>JB</v>
      </c>
      <c r="X38" s="17" t="e">
        <f aca="false">ifs(C38="","",X38="",NOW(),TRUE(),X38)</f>
        <v>#VALUE!</v>
      </c>
      <c r="Y38" s="17" t="e">
        <f aca="false">ifs(COUNTA(K38:U41)&lt;44,"",Y38="",NOW(),TRUE(),Y38)</f>
        <v>#VALUE!</v>
      </c>
    </row>
    <row r="39" customFormat="false" ht="14.15" hidden="false" customHeight="false" outlineLevel="0" collapsed="false">
      <c r="A39" s="9"/>
      <c r="B39" s="10"/>
      <c r="C39" s="10"/>
      <c r="D39" s="10"/>
      <c r="E39" s="10"/>
      <c r="F39" s="10"/>
      <c r="G39" s="10"/>
      <c r="H39" s="10"/>
      <c r="I39" s="18" t="n">
        <v>2</v>
      </c>
      <c r="J39" s="18" t="s">
        <v>47</v>
      </c>
      <c r="K39" s="19" t="n">
        <f aca="false">45.29</f>
        <v>45.29</v>
      </c>
      <c r="L39" s="19" t="n">
        <f aca="false">131.85</f>
        <v>131.85</v>
      </c>
      <c r="M39" s="18" t="n">
        <v>18</v>
      </c>
      <c r="N39" s="18" t="n">
        <v>32</v>
      </c>
      <c r="O39" s="18" t="n">
        <v>130.1</v>
      </c>
      <c r="P39" s="19" t="n">
        <f aca="false">31.25</f>
        <v>31.25</v>
      </c>
      <c r="Q39" s="19" t="n">
        <f aca="false">146.24</f>
        <v>146.24</v>
      </c>
      <c r="R39" s="18" t="n">
        <v>16.6</v>
      </c>
      <c r="S39" s="18" t="n">
        <v>21.6</v>
      </c>
      <c r="T39" s="18" t="n">
        <v>504</v>
      </c>
      <c r="U39" s="20" t="s">
        <v>32</v>
      </c>
      <c r="V39" s="21"/>
      <c r="W39" s="16"/>
      <c r="X39" s="16"/>
      <c r="Y39" s="16"/>
    </row>
    <row r="40" customFormat="false" ht="14.15" hidden="false" customHeight="false" outlineLevel="0" collapsed="false">
      <c r="A40" s="9"/>
      <c r="B40" s="10"/>
      <c r="C40" s="10"/>
      <c r="D40" s="10"/>
      <c r="E40" s="10"/>
      <c r="F40" s="10"/>
      <c r="G40" s="10"/>
      <c r="H40" s="10"/>
      <c r="I40" s="22" t="n">
        <v>3</v>
      </c>
      <c r="J40" s="22" t="s">
        <v>46</v>
      </c>
      <c r="K40" s="23" t="n">
        <f aca="false">42.8</f>
        <v>42.8</v>
      </c>
      <c r="L40" s="23" t="n">
        <f aca="false">152.28</f>
        <v>152.28</v>
      </c>
      <c r="M40" s="22" t="n">
        <v>14</v>
      </c>
      <c r="N40" s="22" t="n">
        <v>34</v>
      </c>
      <c r="O40" s="22" t="n">
        <v>115.7</v>
      </c>
      <c r="P40" s="23" t="n">
        <f aca="false">28.14</f>
        <v>28.14</v>
      </c>
      <c r="Q40" s="23" t="n">
        <f aca="false">164.59</f>
        <v>164.59</v>
      </c>
      <c r="R40" s="22" t="n">
        <v>16.2</v>
      </c>
      <c r="S40" s="22" t="n">
        <v>24</v>
      </c>
      <c r="T40" s="22" t="n">
        <v>426</v>
      </c>
      <c r="U40" s="24" t="s">
        <v>32</v>
      </c>
      <c r="V40" s="15"/>
      <c r="W40" s="16"/>
      <c r="X40" s="16"/>
      <c r="Y40" s="16"/>
    </row>
    <row r="41" customFormat="false" ht="14.15" hidden="false" customHeight="false" outlineLevel="0" collapsed="false">
      <c r="A41" s="9"/>
      <c r="B41" s="10"/>
      <c r="C41" s="10"/>
      <c r="D41" s="10"/>
      <c r="E41" s="10"/>
      <c r="F41" s="10"/>
      <c r="G41" s="10"/>
      <c r="H41" s="10"/>
      <c r="I41" s="25" t="n">
        <v>4</v>
      </c>
      <c r="J41" s="25" t="s">
        <v>46</v>
      </c>
      <c r="K41" s="26" t="n">
        <f aca="false">41.88</f>
        <v>41.88</v>
      </c>
      <c r="L41" s="26" t="n">
        <f aca="false">131.72</f>
        <v>131.72</v>
      </c>
      <c r="M41" s="25" t="n">
        <v>14</v>
      </c>
      <c r="N41" s="25" t="n">
        <v>30</v>
      </c>
      <c r="O41" s="25" t="n">
        <v>89.6</v>
      </c>
      <c r="P41" s="26" t="n">
        <f aca="false">28.74</f>
        <v>28.74</v>
      </c>
      <c r="Q41" s="26" t="n">
        <f aca="false">140.56</f>
        <v>140.56</v>
      </c>
      <c r="R41" s="25" t="n">
        <v>15.5</v>
      </c>
      <c r="S41" s="25" t="n">
        <v>23.6</v>
      </c>
      <c r="T41" s="25" t="n">
        <v>313</v>
      </c>
      <c r="U41" s="27" t="s">
        <v>32</v>
      </c>
      <c r="V41" s="21"/>
      <c r="W41" s="16"/>
      <c r="X41" s="16"/>
      <c r="Y41" s="16"/>
    </row>
    <row r="42" customFormat="false" ht="15.75" hidden="false" customHeight="true" outlineLevel="0" collapsed="false">
      <c r="A42" s="9" t="s">
        <v>43</v>
      </c>
      <c r="B42" s="10" t="s">
        <v>44</v>
      </c>
      <c r="C42" s="11" t="s">
        <v>48</v>
      </c>
      <c r="D42" s="10" t="s">
        <v>28</v>
      </c>
      <c r="E42" s="10" t="s">
        <v>28</v>
      </c>
      <c r="F42" s="10"/>
      <c r="G42" s="10" t="n">
        <v>40</v>
      </c>
      <c r="H42" s="10" t="n">
        <v>9.8</v>
      </c>
      <c r="I42" s="12" t="n">
        <v>1</v>
      </c>
      <c r="J42" s="12" t="s">
        <v>49</v>
      </c>
      <c r="K42" s="13" t="n">
        <f aca="false">45.05</f>
        <v>45.05</v>
      </c>
      <c r="L42" s="13" t="n">
        <f aca="false">148.61</f>
        <v>148.61</v>
      </c>
      <c r="M42" s="12" t="n">
        <v>16</v>
      </c>
      <c r="N42" s="12" t="n">
        <v>34</v>
      </c>
      <c r="O42" s="12" t="n">
        <v>167.7</v>
      </c>
      <c r="P42" s="13" t="n">
        <f aca="false">27.26</f>
        <v>27.26</v>
      </c>
      <c r="Q42" s="13" t="n">
        <f aca="false">160.46</f>
        <v>160.46</v>
      </c>
      <c r="R42" s="12" t="n">
        <v>24.6</v>
      </c>
      <c r="S42" s="12" t="n">
        <v>21.4</v>
      </c>
      <c r="T42" s="12" t="n">
        <v>604</v>
      </c>
      <c r="U42" s="14" t="s">
        <v>29</v>
      </c>
      <c r="V42" s="15"/>
      <c r="W42" s="16" t="str">
        <f aca="false">A42</f>
        <v>JB</v>
      </c>
      <c r="X42" s="17" t="e">
        <f aca="false">ifs(C42="","",X42="",NOW(),TRUE(),X42)</f>
        <v>#VALUE!</v>
      </c>
      <c r="Y42" s="17" t="e">
        <f aca="false">ifs(COUNTA(K42:U45)&lt;44,"",Y42="",NOW(),TRUE(),Y42)</f>
        <v>#VALUE!</v>
      </c>
    </row>
    <row r="43" customFormat="false" ht="14.15" hidden="false" customHeight="false" outlineLevel="0" collapsed="false">
      <c r="A43" s="9"/>
      <c r="B43" s="10"/>
      <c r="C43" s="10"/>
      <c r="D43" s="10"/>
      <c r="E43" s="10"/>
      <c r="F43" s="10"/>
      <c r="G43" s="10"/>
      <c r="H43" s="10"/>
      <c r="I43" s="18" t="n">
        <v>2</v>
      </c>
      <c r="J43" s="18" t="s">
        <v>46</v>
      </c>
      <c r="K43" s="19" t="n">
        <f aca="false">43.45</f>
        <v>43.45</v>
      </c>
      <c r="L43" s="19" t="n">
        <f aca="false">138.09</f>
        <v>138.09</v>
      </c>
      <c r="M43" s="18" t="n">
        <v>16</v>
      </c>
      <c r="N43" s="18" t="n">
        <v>34</v>
      </c>
      <c r="O43" s="18" t="n">
        <v>139.9</v>
      </c>
      <c r="P43" s="19" t="n">
        <f aca="false">28.24</f>
        <v>28.24</v>
      </c>
      <c r="Q43" s="19" t="n">
        <f aca="false">153.19</f>
        <v>153.19</v>
      </c>
      <c r="R43" s="18" t="n">
        <v>20.2</v>
      </c>
      <c r="S43" s="18" t="n">
        <v>22</v>
      </c>
      <c r="T43" s="18" t="n">
        <v>541</v>
      </c>
      <c r="U43" s="20" t="s">
        <v>29</v>
      </c>
      <c r="V43" s="21"/>
      <c r="W43" s="16"/>
      <c r="X43" s="16"/>
      <c r="Y43" s="16"/>
    </row>
    <row r="44" customFormat="false" ht="14.15" hidden="false" customHeight="false" outlineLevel="0" collapsed="false">
      <c r="A44" s="9"/>
      <c r="B44" s="10"/>
      <c r="C44" s="10"/>
      <c r="D44" s="10"/>
      <c r="E44" s="10"/>
      <c r="F44" s="10"/>
      <c r="G44" s="10"/>
      <c r="H44" s="10"/>
      <c r="I44" s="22" t="n">
        <v>3</v>
      </c>
      <c r="J44" s="22" t="s">
        <v>50</v>
      </c>
      <c r="K44" s="23" t="n">
        <f aca="false">41.8</f>
        <v>41.8</v>
      </c>
      <c r="L44" s="23" t="n">
        <f aca="false">123.42</f>
        <v>123.42</v>
      </c>
      <c r="M44" s="22" t="n">
        <v>16</v>
      </c>
      <c r="N44" s="22" t="n">
        <v>24</v>
      </c>
      <c r="O44" s="22" t="n">
        <v>118.7</v>
      </c>
      <c r="P44" s="23" t="n">
        <f aca="false">27.42</f>
        <v>27.42</v>
      </c>
      <c r="Q44" s="23" t="n">
        <f aca="false">146.87</f>
        <v>146.87</v>
      </c>
      <c r="R44" s="22" t="n">
        <v>21.2</v>
      </c>
      <c r="S44" s="22" t="n">
        <v>23.8</v>
      </c>
      <c r="T44" s="22" t="n">
        <v>361</v>
      </c>
      <c r="U44" s="24" t="s">
        <v>29</v>
      </c>
      <c r="V44" s="15"/>
      <c r="W44" s="16"/>
      <c r="X44" s="16"/>
      <c r="Y44" s="16"/>
    </row>
    <row r="45" customFormat="false" ht="14.15" hidden="false" customHeight="false" outlineLevel="0" collapsed="false">
      <c r="A45" s="9"/>
      <c r="B45" s="10"/>
      <c r="C45" s="10"/>
      <c r="D45" s="10"/>
      <c r="E45" s="10"/>
      <c r="F45" s="10"/>
      <c r="G45" s="10"/>
      <c r="H45" s="10"/>
      <c r="I45" s="25" t="n">
        <v>4</v>
      </c>
      <c r="J45" s="25" t="s">
        <v>33</v>
      </c>
      <c r="K45" s="26" t="n">
        <f aca="false">42.87</f>
        <v>42.87</v>
      </c>
      <c r="L45" s="26" t="n">
        <f aca="false">148.57</f>
        <v>148.57</v>
      </c>
      <c r="M45" s="25" t="n">
        <v>16</v>
      </c>
      <c r="N45" s="25" t="n">
        <v>38</v>
      </c>
      <c r="O45" s="25" t="n">
        <v>138.9</v>
      </c>
      <c r="P45" s="26" t="n">
        <f aca="false">27.57</f>
        <v>27.57</v>
      </c>
      <c r="Q45" s="26" t="n">
        <f aca="false">154.2</f>
        <v>154.2</v>
      </c>
      <c r="R45" s="25" t="n">
        <v>22.2</v>
      </c>
      <c r="S45" s="25" t="n">
        <v>24</v>
      </c>
      <c r="T45" s="25" t="n">
        <v>428</v>
      </c>
      <c r="U45" s="27" t="s">
        <v>29</v>
      </c>
      <c r="V45" s="21"/>
      <c r="W45" s="16"/>
      <c r="X45" s="16"/>
      <c r="Y45" s="16"/>
    </row>
    <row r="46" customFormat="false" ht="15.75" hidden="false" customHeight="true" outlineLevel="0" collapsed="false">
      <c r="A46" s="9" t="s">
        <v>43</v>
      </c>
      <c r="B46" s="10" t="s">
        <v>44</v>
      </c>
      <c r="C46" s="11" t="s">
        <v>51</v>
      </c>
      <c r="D46" s="10" t="s">
        <v>28</v>
      </c>
      <c r="E46" s="10" t="s">
        <v>28</v>
      </c>
      <c r="F46" s="10"/>
      <c r="G46" s="10" t="n">
        <v>12</v>
      </c>
      <c r="H46" s="10" t="n">
        <v>2</v>
      </c>
      <c r="I46" s="12" t="n">
        <v>1</v>
      </c>
      <c r="J46" s="12" t="s">
        <v>47</v>
      </c>
      <c r="K46" s="13" t="n">
        <f aca="false">36.68</f>
        <v>36.68</v>
      </c>
      <c r="L46" s="13" t="n">
        <f aca="false">121.27</f>
        <v>121.27</v>
      </c>
      <c r="M46" s="12" t="n">
        <v>18</v>
      </c>
      <c r="N46" s="12" t="n">
        <v>28</v>
      </c>
      <c r="O46" s="12" t="n">
        <v>89.1</v>
      </c>
      <c r="P46" s="13" t="n">
        <f aca="false">24.42</f>
        <v>24.42</v>
      </c>
      <c r="Q46" s="13" t="n">
        <f aca="false">122.3</f>
        <v>122.3</v>
      </c>
      <c r="R46" s="12" t="n">
        <v>12.7</v>
      </c>
      <c r="S46" s="12" t="n">
        <v>13.7</v>
      </c>
      <c r="T46" s="12" t="n">
        <v>503</v>
      </c>
      <c r="U46" s="14" t="s">
        <v>29</v>
      </c>
      <c r="V46" s="15"/>
      <c r="W46" s="16" t="str">
        <f aca="false">A46</f>
        <v>JB</v>
      </c>
      <c r="X46" s="17" t="e">
        <f aca="false">ifs(C46="","",X46="",NOW(),TRUE(),X46)</f>
        <v>#VALUE!</v>
      </c>
      <c r="Y46" s="17" t="e">
        <f aca="false">ifs(COUNTA(K46:U49)&lt;44,"",Y46="",NOW(),TRUE(),Y46)</f>
        <v>#VALUE!</v>
      </c>
    </row>
    <row r="47" customFormat="false" ht="14.15" hidden="false" customHeight="false" outlineLevel="0" collapsed="false">
      <c r="A47" s="9"/>
      <c r="B47" s="10"/>
      <c r="C47" s="10"/>
      <c r="D47" s="10"/>
      <c r="E47" s="10"/>
      <c r="F47" s="10"/>
      <c r="G47" s="10"/>
      <c r="H47" s="10"/>
      <c r="I47" s="18" t="n">
        <v>2</v>
      </c>
      <c r="J47" s="18" t="s">
        <v>35</v>
      </c>
      <c r="K47" s="19" t="n">
        <f aca="false">41.12</f>
        <v>41.12</v>
      </c>
      <c r="L47" s="19" t="n">
        <f aca="false">130.95</f>
        <v>130.95</v>
      </c>
      <c r="M47" s="18" t="n">
        <v>20</v>
      </c>
      <c r="N47" s="18" t="n">
        <v>36</v>
      </c>
      <c r="O47" s="18" t="n">
        <v>107.9</v>
      </c>
      <c r="P47" s="19" t="n">
        <f aca="false">25.55</f>
        <v>25.55</v>
      </c>
      <c r="Q47" s="19" t="n">
        <f aca="false">138.63</f>
        <v>138.63</v>
      </c>
      <c r="R47" s="18" t="n">
        <v>17.9</v>
      </c>
      <c r="S47" s="18" t="n">
        <v>13.8</v>
      </c>
      <c r="T47" s="18" t="n">
        <v>610</v>
      </c>
      <c r="U47" s="20" t="s">
        <v>29</v>
      </c>
      <c r="V47" s="21"/>
      <c r="W47" s="16"/>
      <c r="X47" s="16"/>
      <c r="Y47" s="16"/>
    </row>
    <row r="48" customFormat="false" ht="14.15" hidden="false" customHeight="false" outlineLevel="0" collapsed="false">
      <c r="A48" s="9"/>
      <c r="B48" s="10"/>
      <c r="C48" s="10"/>
      <c r="D48" s="10"/>
      <c r="E48" s="10"/>
      <c r="F48" s="10"/>
      <c r="G48" s="10"/>
      <c r="H48" s="10"/>
      <c r="I48" s="22" t="n">
        <v>3</v>
      </c>
      <c r="J48" s="22" t="s">
        <v>50</v>
      </c>
      <c r="K48" s="23" t="n">
        <f aca="false">37.5</f>
        <v>37.5</v>
      </c>
      <c r="L48" s="23" t="n">
        <f aca="false">130.03</f>
        <v>130.03</v>
      </c>
      <c r="M48" s="22" t="n">
        <v>16</v>
      </c>
      <c r="N48" s="22" t="n">
        <v>34</v>
      </c>
      <c r="O48" s="22" t="n">
        <v>92.5</v>
      </c>
      <c r="P48" s="23" t="n">
        <f aca="false">23.48</f>
        <v>23.48</v>
      </c>
      <c r="Q48" s="23" t="n">
        <f aca="false">137.83</f>
        <v>137.83</v>
      </c>
      <c r="R48" s="22" t="n">
        <v>15.5</v>
      </c>
      <c r="S48" s="22" t="n">
        <v>16.3</v>
      </c>
      <c r="T48" s="22" t="n">
        <v>472</v>
      </c>
      <c r="U48" s="24" t="s">
        <v>29</v>
      </c>
      <c r="V48" s="15"/>
      <c r="W48" s="16"/>
      <c r="X48" s="16"/>
      <c r="Y48" s="16"/>
    </row>
    <row r="49" customFormat="false" ht="14.15" hidden="false" customHeight="false" outlineLevel="0" collapsed="false">
      <c r="A49" s="9"/>
      <c r="B49" s="10"/>
      <c r="C49" s="10"/>
      <c r="D49" s="10"/>
      <c r="E49" s="10"/>
      <c r="F49" s="10"/>
      <c r="G49" s="10"/>
      <c r="H49" s="10"/>
      <c r="I49" s="25" t="n">
        <v>4</v>
      </c>
      <c r="J49" s="25" t="s">
        <v>35</v>
      </c>
      <c r="K49" s="26" t="n">
        <f aca="false">37.91</f>
        <v>37.91</v>
      </c>
      <c r="L49" s="26" t="n">
        <f aca="false">135.62</f>
        <v>135.62</v>
      </c>
      <c r="M49" s="25" t="n">
        <v>16</v>
      </c>
      <c r="N49" s="25" t="n">
        <v>34</v>
      </c>
      <c r="O49" s="25" t="n">
        <v>99.7</v>
      </c>
      <c r="P49" s="26" t="n">
        <f aca="false">25.26</f>
        <v>25.26</v>
      </c>
      <c r="Q49" s="26" t="n">
        <f aca="false">133.42</f>
        <v>133.42</v>
      </c>
      <c r="R49" s="25" t="n">
        <v>16.6</v>
      </c>
      <c r="S49" s="25" t="n">
        <v>14.1</v>
      </c>
      <c r="T49" s="25" t="n">
        <v>572</v>
      </c>
      <c r="U49" s="27" t="s">
        <v>29</v>
      </c>
      <c r="V49" s="21"/>
      <c r="W49" s="16"/>
      <c r="X49" s="16"/>
      <c r="Y49" s="16"/>
    </row>
    <row r="50" customFormat="false" ht="15.75" hidden="false" customHeight="true" outlineLevel="0" collapsed="false">
      <c r="A50" s="9" t="s">
        <v>43</v>
      </c>
      <c r="B50" s="10" t="s">
        <v>44</v>
      </c>
      <c r="C50" s="11" t="s">
        <v>52</v>
      </c>
      <c r="D50" s="10" t="s">
        <v>28</v>
      </c>
      <c r="E50" s="10" t="s">
        <v>28</v>
      </c>
      <c r="F50" s="10"/>
      <c r="G50" s="10" t="n">
        <v>2</v>
      </c>
      <c r="H50" s="10" t="n">
        <v>0.2</v>
      </c>
      <c r="I50" s="12" t="n">
        <v>1</v>
      </c>
      <c r="J50" s="12" t="s">
        <v>49</v>
      </c>
      <c r="K50" s="13" t="n">
        <f aca="false">41.18</f>
        <v>41.18</v>
      </c>
      <c r="L50" s="13" t="n">
        <f aca="false">142.44</f>
        <v>142.44</v>
      </c>
      <c r="M50" s="12" t="n">
        <v>16</v>
      </c>
      <c r="N50" s="12" t="n">
        <v>36</v>
      </c>
      <c r="O50" s="12" t="n">
        <v>122.8</v>
      </c>
      <c r="P50" s="13" t="n">
        <f aca="false">27.35</f>
        <v>27.35</v>
      </c>
      <c r="Q50" s="13" t="n">
        <f aca="false">162.15</f>
        <v>162.15</v>
      </c>
      <c r="R50" s="12" t="n">
        <v>18</v>
      </c>
      <c r="S50" s="12" t="n">
        <v>18.8</v>
      </c>
      <c r="T50" s="12" t="n">
        <v>568</v>
      </c>
      <c r="U50" s="14" t="s">
        <v>29</v>
      </c>
      <c r="V50" s="15"/>
      <c r="W50" s="16" t="str">
        <f aca="false">A50</f>
        <v>JB</v>
      </c>
      <c r="X50" s="17" t="e">
        <f aca="false">ifs(C50="","",X50="",NOW(),TRUE(),X50)</f>
        <v>#VALUE!</v>
      </c>
      <c r="Y50" s="17" t="e">
        <f aca="false">ifs(COUNTA(K50:U53)&lt;44,"",Y50="",NOW(),TRUE(),Y50)</f>
        <v>#VALUE!</v>
      </c>
    </row>
    <row r="51" customFormat="false" ht="14.15" hidden="false" customHeight="false" outlineLevel="0" collapsed="false">
      <c r="A51" s="9"/>
      <c r="B51" s="10"/>
      <c r="C51" s="10"/>
      <c r="D51" s="10"/>
      <c r="E51" s="10"/>
      <c r="F51" s="10"/>
      <c r="G51" s="10"/>
      <c r="H51" s="10"/>
      <c r="I51" s="18" t="n">
        <v>2</v>
      </c>
      <c r="J51" s="18" t="s">
        <v>49</v>
      </c>
      <c r="K51" s="19" t="n">
        <f aca="false">41.7</f>
        <v>41.7</v>
      </c>
      <c r="L51" s="19" t="n">
        <f aca="false">130.05</f>
        <v>130.05</v>
      </c>
      <c r="M51" s="18" t="n">
        <v>16</v>
      </c>
      <c r="N51" s="18" t="n">
        <v>34</v>
      </c>
      <c r="O51" s="18" t="n">
        <v>116.9</v>
      </c>
      <c r="P51" s="19" t="n">
        <f aca="false">25.99</f>
        <v>25.99</v>
      </c>
      <c r="Q51" s="19" t="n">
        <f aca="false">152.19</f>
        <v>152.19</v>
      </c>
      <c r="R51" s="18" t="n">
        <v>18.3</v>
      </c>
      <c r="S51" s="18" t="n">
        <v>17.1</v>
      </c>
      <c r="T51" s="18" t="n">
        <v>551</v>
      </c>
      <c r="U51" s="20" t="s">
        <v>29</v>
      </c>
      <c r="V51" s="21"/>
      <c r="W51" s="16"/>
      <c r="X51" s="16"/>
      <c r="Y51" s="16"/>
    </row>
    <row r="52" customFormat="false" ht="14.15" hidden="false" customHeight="false" outlineLevel="0" collapsed="false">
      <c r="A52" s="9"/>
      <c r="B52" s="10"/>
      <c r="C52" s="10"/>
      <c r="D52" s="10"/>
      <c r="E52" s="10"/>
      <c r="F52" s="10"/>
      <c r="G52" s="10"/>
      <c r="H52" s="10"/>
      <c r="I52" s="22" t="n">
        <v>3</v>
      </c>
      <c r="J52" s="22" t="s">
        <v>49</v>
      </c>
      <c r="K52" s="23" t="n">
        <f aca="false">43.56</f>
        <v>43.56</v>
      </c>
      <c r="L52" s="23" t="n">
        <f aca="false">152.25</f>
        <v>152.25</v>
      </c>
      <c r="M52" s="22" t="n">
        <v>16</v>
      </c>
      <c r="N52" s="22" t="n">
        <v>38</v>
      </c>
      <c r="O52" s="22" t="n">
        <v>152.3</v>
      </c>
      <c r="P52" s="23" t="n">
        <f aca="false">27.95</f>
        <v>27.95</v>
      </c>
      <c r="Q52" s="23" t="n">
        <f aca="false">164.55</f>
        <v>164.55</v>
      </c>
      <c r="R52" s="22" t="n">
        <v>22</v>
      </c>
      <c r="S52" s="22" t="n">
        <v>21.8</v>
      </c>
      <c r="T52" s="22" t="n">
        <v>588</v>
      </c>
      <c r="U52" s="24" t="s">
        <v>29</v>
      </c>
      <c r="V52" s="15"/>
      <c r="W52" s="16"/>
      <c r="X52" s="16"/>
      <c r="Y52" s="16"/>
    </row>
    <row r="53" customFormat="false" ht="14.15" hidden="false" customHeight="false" outlineLevel="0" collapsed="false">
      <c r="A53" s="9"/>
      <c r="B53" s="10"/>
      <c r="C53" s="10"/>
      <c r="D53" s="10"/>
      <c r="E53" s="10"/>
      <c r="F53" s="10"/>
      <c r="G53" s="10"/>
      <c r="H53" s="10"/>
      <c r="I53" s="25" t="n">
        <v>4</v>
      </c>
      <c r="J53" s="25" t="s">
        <v>49</v>
      </c>
      <c r="K53" s="26" t="n">
        <f aca="false">41.62</f>
        <v>41.62</v>
      </c>
      <c r="L53" s="26" t="n">
        <f aca="false">156.28</f>
        <v>156.28</v>
      </c>
      <c r="M53" s="25" t="n">
        <v>14</v>
      </c>
      <c r="N53" s="25" t="n">
        <v>42</v>
      </c>
      <c r="O53" s="25" t="n">
        <v>151.9</v>
      </c>
      <c r="P53" s="26" t="n">
        <f aca="false">24.88</f>
        <v>24.88</v>
      </c>
      <c r="Q53" s="26" t="n">
        <f aca="false">170.15</f>
        <v>170.15</v>
      </c>
      <c r="R53" s="25" t="n">
        <v>20.7</v>
      </c>
      <c r="S53" s="25" t="n">
        <v>21.8</v>
      </c>
      <c r="T53" s="25" t="n">
        <v>613</v>
      </c>
      <c r="U53" s="27" t="s">
        <v>29</v>
      </c>
      <c r="V53" s="21"/>
      <c r="W53" s="16"/>
      <c r="X53" s="16"/>
      <c r="Y53" s="16"/>
    </row>
    <row r="54" customFormat="false" ht="15.75" hidden="false" customHeight="true" outlineLevel="0" collapsed="false">
      <c r="A54" s="9" t="s">
        <v>43</v>
      </c>
      <c r="B54" s="10" t="s">
        <v>44</v>
      </c>
      <c r="C54" s="11" t="s">
        <v>53</v>
      </c>
      <c r="D54" s="10" t="s">
        <v>28</v>
      </c>
      <c r="E54" s="10" t="s">
        <v>28</v>
      </c>
      <c r="F54" s="10" t="s">
        <v>54</v>
      </c>
      <c r="G54" s="10" t="n">
        <v>23</v>
      </c>
      <c r="H54" s="10" t="n">
        <v>4.6</v>
      </c>
      <c r="I54" s="12" t="n">
        <v>1</v>
      </c>
      <c r="J54" s="12" t="s">
        <v>46</v>
      </c>
      <c r="K54" s="13" t="n">
        <f aca="false">43.19</f>
        <v>43.19</v>
      </c>
      <c r="L54" s="13" t="n">
        <f aca="false">115.88</f>
        <v>115.88</v>
      </c>
      <c r="M54" s="12" t="n">
        <v>16</v>
      </c>
      <c r="N54" s="12" t="n">
        <v>32</v>
      </c>
      <c r="O54" s="12" t="n">
        <v>86.9</v>
      </c>
      <c r="P54" s="13" t="n">
        <f aca="false">32.26</f>
        <v>32.26</v>
      </c>
      <c r="Q54" s="13" t="n">
        <f aca="false">135.11</f>
        <v>135.11</v>
      </c>
      <c r="R54" s="12" t="n">
        <v>17.9</v>
      </c>
      <c r="S54" s="12" t="n">
        <v>12.8</v>
      </c>
      <c r="T54" s="12" t="n">
        <v>495</v>
      </c>
      <c r="U54" s="14" t="s">
        <v>55</v>
      </c>
      <c r="V54" s="15"/>
      <c r="W54" s="16" t="str">
        <f aca="false">A54</f>
        <v>JB</v>
      </c>
      <c r="X54" s="17" t="e">
        <f aca="false">ifs(C54="","",X54="",NOW(),TRUE(),X54)</f>
        <v>#VALUE!</v>
      </c>
      <c r="Y54" s="17" t="e">
        <f aca="false">ifs(COUNTA(K54:U57)&lt;44,"",Y54="",NOW(),TRUE(),Y54)</f>
        <v>#VALUE!</v>
      </c>
    </row>
    <row r="55" customFormat="false" ht="14.15" hidden="false" customHeight="false" outlineLevel="0" collapsed="false">
      <c r="A55" s="9"/>
      <c r="B55" s="10"/>
      <c r="C55" s="10"/>
      <c r="D55" s="10"/>
      <c r="E55" s="10"/>
      <c r="F55" s="10"/>
      <c r="G55" s="10"/>
      <c r="H55" s="10"/>
      <c r="I55" s="18" t="n">
        <v>2</v>
      </c>
      <c r="J55" s="18" t="s">
        <v>50</v>
      </c>
      <c r="K55" s="19" t="n">
        <f aca="false">39.05</f>
        <v>39.05</v>
      </c>
      <c r="L55" s="19" t="n">
        <f aca="false">120.12</f>
        <v>120.12</v>
      </c>
      <c r="M55" s="18" t="n">
        <v>14</v>
      </c>
      <c r="N55" s="18" t="n">
        <v>32</v>
      </c>
      <c r="O55" s="18" t="n">
        <v>88.9</v>
      </c>
      <c r="P55" s="19" t="n">
        <f aca="false">28.61</f>
        <v>28.61</v>
      </c>
      <c r="Q55" s="19" t="n">
        <f aca="false">133.84</f>
        <v>133.84</v>
      </c>
      <c r="R55" s="18" t="n">
        <v>17.6</v>
      </c>
      <c r="S55" s="18" t="n">
        <v>15.8</v>
      </c>
      <c r="T55" s="18" t="n">
        <v>443</v>
      </c>
      <c r="U55" s="20" t="s">
        <v>55</v>
      </c>
      <c r="V55" s="21"/>
      <c r="W55" s="16"/>
      <c r="X55" s="16"/>
      <c r="Y55" s="16"/>
    </row>
    <row r="56" customFormat="false" ht="14.15" hidden="false" customHeight="false" outlineLevel="0" collapsed="false">
      <c r="A56" s="9"/>
      <c r="B56" s="10"/>
      <c r="C56" s="10"/>
      <c r="D56" s="10"/>
      <c r="E56" s="10"/>
      <c r="F56" s="10"/>
      <c r="G56" s="10"/>
      <c r="H56" s="10"/>
      <c r="I56" s="22" t="n">
        <v>3</v>
      </c>
      <c r="J56" s="22" t="s">
        <v>46</v>
      </c>
      <c r="K56" s="23" t="n">
        <f aca="false">44.63</f>
        <v>44.63</v>
      </c>
      <c r="L56" s="23" t="n">
        <f aca="false">146.42</f>
        <v>146.42</v>
      </c>
      <c r="M56" s="22" t="n">
        <v>16</v>
      </c>
      <c r="N56" s="22" t="n">
        <v>42</v>
      </c>
      <c r="O56" s="22" t="n">
        <v>158.8</v>
      </c>
      <c r="P56" s="23" t="n">
        <f aca="false">30.35</f>
        <v>30.35</v>
      </c>
      <c r="Q56" s="23" t="n">
        <f aca="false">167.5</f>
        <v>167.5</v>
      </c>
      <c r="R56" s="22" t="n">
        <v>24.8</v>
      </c>
      <c r="S56" s="22" t="n">
        <v>22.2</v>
      </c>
      <c r="T56" s="22" t="n">
        <v>638</v>
      </c>
      <c r="U56" s="24" t="s">
        <v>55</v>
      </c>
      <c r="V56" s="15"/>
      <c r="W56" s="16"/>
      <c r="X56" s="16"/>
      <c r="Y56" s="16"/>
    </row>
    <row r="57" customFormat="false" ht="14.15" hidden="false" customHeight="false" outlineLevel="0" collapsed="false">
      <c r="A57" s="9"/>
      <c r="B57" s="10"/>
      <c r="C57" s="10"/>
      <c r="D57" s="10"/>
      <c r="E57" s="10"/>
      <c r="F57" s="10"/>
      <c r="G57" s="10"/>
      <c r="H57" s="10"/>
      <c r="I57" s="25" t="n">
        <v>4</v>
      </c>
      <c r="J57" s="25" t="s">
        <v>35</v>
      </c>
      <c r="K57" s="26" t="n">
        <f aca="false">47.85</f>
        <v>47.85</v>
      </c>
      <c r="L57" s="26" t="n">
        <f aca="false">152.87</f>
        <v>152.87</v>
      </c>
      <c r="M57" s="25" t="n">
        <v>12</v>
      </c>
      <c r="N57" s="25" t="n">
        <v>40</v>
      </c>
      <c r="O57" s="25" t="n">
        <v>169.9</v>
      </c>
      <c r="P57" s="26" t="n">
        <f aca="false">28.59</f>
        <v>28.59</v>
      </c>
      <c r="Q57" s="26" t="n">
        <f aca="false">172.79</f>
        <v>172.79</v>
      </c>
      <c r="R57" s="25" t="n">
        <v>24.4</v>
      </c>
      <c r="S57" s="25" t="n">
        <v>26.9</v>
      </c>
      <c r="T57" s="25" t="n">
        <v>531</v>
      </c>
      <c r="U57" s="27" t="s">
        <v>55</v>
      </c>
      <c r="V57" s="21"/>
      <c r="W57" s="16"/>
      <c r="X57" s="16"/>
      <c r="Y57" s="16"/>
    </row>
    <row r="58" customFormat="false" ht="15.75" hidden="false" customHeight="true" outlineLevel="0" collapsed="false">
      <c r="A58" s="9" t="s">
        <v>43</v>
      </c>
      <c r="B58" s="10" t="s">
        <v>44</v>
      </c>
      <c r="C58" s="11" t="s">
        <v>56</v>
      </c>
      <c r="D58" s="10" t="s">
        <v>28</v>
      </c>
      <c r="E58" s="10" t="s">
        <v>28</v>
      </c>
      <c r="F58" s="10"/>
      <c r="G58" s="10" t="n">
        <v>25</v>
      </c>
      <c r="H58" s="10" t="n">
        <v>4.7</v>
      </c>
      <c r="I58" s="12" t="n">
        <v>1</v>
      </c>
      <c r="J58" s="12" t="s">
        <v>57</v>
      </c>
      <c r="K58" s="13" t="n">
        <f aca="false">41.01</f>
        <v>41.01</v>
      </c>
      <c r="L58" s="13" t="n">
        <f aca="false">129.43</f>
        <v>129.43</v>
      </c>
      <c r="M58" s="12" t="n">
        <v>14</v>
      </c>
      <c r="N58" s="12" t="n">
        <v>32</v>
      </c>
      <c r="O58" s="12" t="n">
        <v>86.6</v>
      </c>
      <c r="P58" s="13" t="n">
        <f aca="false">26.13</f>
        <v>26.13</v>
      </c>
      <c r="Q58" s="13" t="n">
        <f aca="false">140.16</f>
        <v>140.16</v>
      </c>
      <c r="R58" s="12" t="n">
        <v>10.4</v>
      </c>
      <c r="S58" s="12" t="n">
        <v>14.9</v>
      </c>
      <c r="T58" s="12" t="n">
        <v>418</v>
      </c>
      <c r="U58" s="14" t="s">
        <v>58</v>
      </c>
      <c r="V58" s="15"/>
      <c r="W58" s="16" t="str">
        <f aca="false">A58</f>
        <v>JB</v>
      </c>
      <c r="X58" s="17" t="e">
        <f aca="false">ifs(C58="","",X58="",NOW(),TRUE(),X58)</f>
        <v>#VALUE!</v>
      </c>
      <c r="Y58" s="17" t="e">
        <f aca="false">ifs(COUNTA(K58:U61)&lt;44,"",Y58="",NOW(),TRUE(),Y58)</f>
        <v>#VALUE!</v>
      </c>
    </row>
    <row r="59" customFormat="false" ht="14.15" hidden="false" customHeight="false" outlineLevel="0" collapsed="false">
      <c r="A59" s="9"/>
      <c r="B59" s="10"/>
      <c r="C59" s="10"/>
      <c r="D59" s="10"/>
      <c r="E59" s="10"/>
      <c r="F59" s="10"/>
      <c r="G59" s="10"/>
      <c r="H59" s="10"/>
      <c r="I59" s="18" t="n">
        <v>2</v>
      </c>
      <c r="J59" s="18" t="s">
        <v>35</v>
      </c>
      <c r="K59" s="19" t="n">
        <f aca="false">41.82</f>
        <v>41.82</v>
      </c>
      <c r="L59" s="19" t="n">
        <f aca="false">147.04</f>
        <v>147.04</v>
      </c>
      <c r="M59" s="18" t="n">
        <v>12</v>
      </c>
      <c r="N59" s="18" t="n">
        <v>36</v>
      </c>
      <c r="O59" s="18" t="n">
        <v>138.4</v>
      </c>
      <c r="P59" s="19" t="n">
        <f aca="false">24.48</f>
        <v>24.48</v>
      </c>
      <c r="Q59" s="19" t="n">
        <f aca="false">155.5</f>
        <v>155.5</v>
      </c>
      <c r="R59" s="18" t="n">
        <v>15.3</v>
      </c>
      <c r="S59" s="18" t="n">
        <v>23.7</v>
      </c>
      <c r="T59" s="18" t="n">
        <v>493</v>
      </c>
      <c r="U59" s="20" t="s">
        <v>58</v>
      </c>
      <c r="V59" s="21"/>
      <c r="W59" s="16"/>
      <c r="X59" s="16"/>
      <c r="Y59" s="16"/>
    </row>
    <row r="60" customFormat="false" ht="14.15" hidden="false" customHeight="false" outlineLevel="0" collapsed="false">
      <c r="A60" s="9"/>
      <c r="B60" s="10"/>
      <c r="C60" s="10"/>
      <c r="D60" s="10"/>
      <c r="E60" s="10"/>
      <c r="F60" s="10"/>
      <c r="G60" s="10"/>
      <c r="H60" s="10"/>
      <c r="I60" s="22" t="n">
        <v>3</v>
      </c>
      <c r="J60" s="22" t="s">
        <v>35</v>
      </c>
      <c r="K60" s="23" t="n">
        <f aca="false">40.93</f>
        <v>40.93</v>
      </c>
      <c r="L60" s="23" t="n">
        <f aca="false">157.99</f>
        <v>157.99</v>
      </c>
      <c r="M60" s="22" t="n">
        <v>12</v>
      </c>
      <c r="N60" s="22" t="n">
        <v>36</v>
      </c>
      <c r="O60" s="22" t="n">
        <v>136</v>
      </c>
      <c r="P60" s="23" t="n">
        <f aca="false">24.02</f>
        <v>24.02</v>
      </c>
      <c r="Q60" s="23" t="n">
        <f aca="false">159.03</f>
        <v>159.03</v>
      </c>
      <c r="R60" s="22" t="n">
        <v>16</v>
      </c>
      <c r="S60" s="22" t="n">
        <v>22.6</v>
      </c>
      <c r="T60" s="22" t="n">
        <v>512</v>
      </c>
      <c r="U60" s="24" t="s">
        <v>58</v>
      </c>
      <c r="V60" s="15"/>
      <c r="W60" s="16"/>
      <c r="X60" s="16"/>
      <c r="Y60" s="16"/>
    </row>
    <row r="61" customFormat="false" ht="14.15" hidden="false" customHeight="false" outlineLevel="0" collapsed="false">
      <c r="A61" s="9"/>
      <c r="B61" s="10"/>
      <c r="C61" s="10"/>
      <c r="D61" s="10"/>
      <c r="E61" s="10"/>
      <c r="F61" s="10"/>
      <c r="G61" s="10"/>
      <c r="H61" s="10"/>
      <c r="I61" s="25" t="n">
        <v>4</v>
      </c>
      <c r="J61" s="25" t="s">
        <v>49</v>
      </c>
      <c r="K61" s="26" t="n">
        <f aca="false">44.35</f>
        <v>44.35</v>
      </c>
      <c r="L61" s="26" t="n">
        <f aca="false">131.24</f>
        <v>131.24</v>
      </c>
      <c r="M61" s="25" t="n">
        <v>16</v>
      </c>
      <c r="N61" s="25" t="n">
        <v>34</v>
      </c>
      <c r="O61" s="25" t="n">
        <v>125.7</v>
      </c>
      <c r="P61" s="26" t="n">
        <f aca="false">24.54</f>
        <v>24.54</v>
      </c>
      <c r="Q61" s="26" t="n">
        <f aca="false">145.9</f>
        <v>145.9</v>
      </c>
      <c r="R61" s="25" t="n">
        <v>14</v>
      </c>
      <c r="S61" s="25" t="n">
        <v>19.8</v>
      </c>
      <c r="T61" s="25" t="n">
        <v>560</v>
      </c>
      <c r="U61" s="27" t="s">
        <v>58</v>
      </c>
      <c r="V61" s="21"/>
      <c r="W61" s="16"/>
      <c r="X61" s="16"/>
      <c r="Y61" s="16"/>
    </row>
    <row r="62" customFormat="false" ht="15.75" hidden="false" customHeight="true" outlineLevel="0" collapsed="false">
      <c r="A62" s="9" t="s">
        <v>43</v>
      </c>
      <c r="B62" s="10" t="s">
        <v>44</v>
      </c>
      <c r="C62" s="11" t="s">
        <v>59</v>
      </c>
      <c r="D62" s="10" t="s">
        <v>28</v>
      </c>
      <c r="E62" s="10" t="s">
        <v>28</v>
      </c>
      <c r="F62" s="10"/>
      <c r="G62" s="10" t="n">
        <v>22</v>
      </c>
      <c r="H62" s="10" t="n">
        <v>4.5</v>
      </c>
      <c r="I62" s="12" t="n">
        <v>1</v>
      </c>
      <c r="J62" s="12" t="s">
        <v>49</v>
      </c>
      <c r="K62" s="13" t="n">
        <f aca="false">39.49</f>
        <v>39.49</v>
      </c>
      <c r="L62" s="13" t="n">
        <f aca="false">131.34</f>
        <v>131.34</v>
      </c>
      <c r="M62" s="12" t="n">
        <v>14</v>
      </c>
      <c r="N62" s="12" t="n">
        <v>28</v>
      </c>
      <c r="O62" s="12" t="n">
        <v>109.7</v>
      </c>
      <c r="P62" s="13" t="n">
        <f aca="false">24.8</f>
        <v>24.8</v>
      </c>
      <c r="Q62" s="13" t="n">
        <f aca="false">149.53</f>
        <v>149.53</v>
      </c>
      <c r="R62" s="12" t="n">
        <v>14.5</v>
      </c>
      <c r="S62" s="12" t="n">
        <v>21.9</v>
      </c>
      <c r="T62" s="12" t="n">
        <v>580</v>
      </c>
      <c r="U62" s="14" t="s">
        <v>29</v>
      </c>
      <c r="V62" s="15"/>
      <c r="W62" s="16" t="str">
        <f aca="false">A62</f>
        <v>JB</v>
      </c>
      <c r="X62" s="17" t="e">
        <f aca="false">ifs(C62="","",X62="",NOW(),TRUE(),X62)</f>
        <v>#VALUE!</v>
      </c>
      <c r="Y62" s="17" t="e">
        <f aca="false">ifs(COUNTA(K62:U65)&lt;44,"",Y62="",NOW(),TRUE(),Y62)</f>
        <v>#VALUE!</v>
      </c>
    </row>
    <row r="63" customFormat="false" ht="14.15" hidden="false" customHeight="false" outlineLevel="0" collapsed="false">
      <c r="A63" s="9"/>
      <c r="B63" s="10"/>
      <c r="C63" s="10"/>
      <c r="D63" s="10"/>
      <c r="E63" s="10"/>
      <c r="F63" s="10"/>
      <c r="G63" s="10"/>
      <c r="H63" s="10"/>
      <c r="I63" s="18" t="n">
        <v>2</v>
      </c>
      <c r="J63" s="18" t="s">
        <v>46</v>
      </c>
      <c r="K63" s="19" t="n">
        <f aca="false">38.4</f>
        <v>38.4</v>
      </c>
      <c r="L63" s="19" t="n">
        <f aca="false">123.5</f>
        <v>123.5</v>
      </c>
      <c r="M63" s="18" t="n">
        <v>14</v>
      </c>
      <c r="N63" s="18" t="n">
        <v>30</v>
      </c>
      <c r="O63" s="18" t="n">
        <v>100.3</v>
      </c>
      <c r="P63" s="19" t="n">
        <f aca="false">22.21</f>
        <v>22.21</v>
      </c>
      <c r="Q63" s="19" t="n">
        <f aca="false">134.91</f>
        <v>134.91</v>
      </c>
      <c r="R63" s="18" t="n">
        <v>11.2</v>
      </c>
      <c r="S63" s="18" t="n">
        <v>21</v>
      </c>
      <c r="T63" s="18" t="n">
        <v>424</v>
      </c>
      <c r="U63" s="20" t="s">
        <v>29</v>
      </c>
      <c r="V63" s="21"/>
      <c r="W63" s="16"/>
      <c r="X63" s="16"/>
      <c r="Y63" s="16"/>
    </row>
    <row r="64" customFormat="false" ht="14.15" hidden="false" customHeight="false" outlineLevel="0" collapsed="false">
      <c r="A64" s="9"/>
      <c r="B64" s="10"/>
      <c r="C64" s="10"/>
      <c r="D64" s="10"/>
      <c r="E64" s="10"/>
      <c r="F64" s="10"/>
      <c r="G64" s="10"/>
      <c r="H64" s="10"/>
      <c r="I64" s="22" t="n">
        <v>3</v>
      </c>
      <c r="J64" s="22" t="s">
        <v>49</v>
      </c>
      <c r="K64" s="23" t="n">
        <f aca="false">37.19</f>
        <v>37.19</v>
      </c>
      <c r="L64" s="23" t="n">
        <f aca="false">136.16</f>
        <v>136.16</v>
      </c>
      <c r="M64" s="22" t="n">
        <v>12</v>
      </c>
      <c r="N64" s="22" t="n">
        <v>32</v>
      </c>
      <c r="O64" s="22" t="n">
        <v>96.6</v>
      </c>
      <c r="P64" s="23" t="n">
        <f aca="false">24.4</f>
        <v>24.4</v>
      </c>
      <c r="Q64" s="23" t="n">
        <f aca="false">136.29</f>
        <v>136.29</v>
      </c>
      <c r="R64" s="22" t="n">
        <v>11.8</v>
      </c>
      <c r="S64" s="22" t="n">
        <v>21.9</v>
      </c>
      <c r="T64" s="22" t="n">
        <v>369</v>
      </c>
      <c r="U64" s="24" t="s">
        <v>29</v>
      </c>
      <c r="V64" s="15"/>
      <c r="W64" s="16"/>
      <c r="X64" s="16"/>
      <c r="Y64" s="16"/>
    </row>
    <row r="65" customFormat="false" ht="14.15" hidden="false" customHeight="false" outlineLevel="0" collapsed="false">
      <c r="A65" s="9"/>
      <c r="B65" s="10"/>
      <c r="C65" s="10"/>
      <c r="D65" s="10"/>
      <c r="E65" s="10"/>
      <c r="F65" s="10"/>
      <c r="G65" s="10"/>
      <c r="H65" s="10"/>
      <c r="I65" s="25" t="n">
        <v>4</v>
      </c>
      <c r="J65" s="25" t="s">
        <v>49</v>
      </c>
      <c r="K65" s="26" t="n">
        <f aca="false">38.85</f>
        <v>38.85</v>
      </c>
      <c r="L65" s="26" t="n">
        <f aca="false">126.84</f>
        <v>126.84</v>
      </c>
      <c r="M65" s="25" t="n">
        <v>16</v>
      </c>
      <c r="N65" s="25" t="n">
        <v>26</v>
      </c>
      <c r="O65" s="25" t="n">
        <v>97</v>
      </c>
      <c r="P65" s="26" t="n">
        <f aca="false">26.54</f>
        <v>26.54</v>
      </c>
      <c r="Q65" s="26" t="n">
        <f aca="false">151.24</f>
        <v>151.24</v>
      </c>
      <c r="R65" s="25" t="n">
        <v>12.6</v>
      </c>
      <c r="S65" s="25" t="n">
        <v>19.9</v>
      </c>
      <c r="T65" s="25" t="n">
        <v>414</v>
      </c>
      <c r="U65" s="27" t="s">
        <v>29</v>
      </c>
      <c r="V65" s="21"/>
      <c r="W65" s="16"/>
      <c r="X65" s="16"/>
      <c r="Y65" s="16"/>
    </row>
    <row r="66" customFormat="false" ht="15.75" hidden="false" customHeight="true" outlineLevel="0" collapsed="false">
      <c r="A66" s="9" t="s">
        <v>43</v>
      </c>
      <c r="B66" s="10" t="s">
        <v>44</v>
      </c>
      <c r="C66" s="11" t="s">
        <v>60</v>
      </c>
      <c r="D66" s="10" t="s">
        <v>28</v>
      </c>
      <c r="E66" s="10" t="s">
        <v>28</v>
      </c>
      <c r="F66" s="10" t="s">
        <v>61</v>
      </c>
      <c r="G66" s="10" t="n">
        <v>7</v>
      </c>
      <c r="H66" s="10" t="n">
        <v>1.4</v>
      </c>
      <c r="I66" s="12" t="n">
        <v>1</v>
      </c>
      <c r="J66" s="12" t="s">
        <v>46</v>
      </c>
      <c r="K66" s="13" t="n">
        <f aca="false">36.58</f>
        <v>36.58</v>
      </c>
      <c r="L66" s="13" t="n">
        <f aca="false">126.78</f>
        <v>126.78</v>
      </c>
      <c r="M66" s="12" t="n">
        <v>14</v>
      </c>
      <c r="N66" s="12" t="n">
        <v>32</v>
      </c>
      <c r="O66" s="12" t="n">
        <v>87.2</v>
      </c>
      <c r="P66" s="13" t="n">
        <f aca="false">27.15</f>
        <v>27.15</v>
      </c>
      <c r="Q66" s="13" t="n">
        <f aca="false">128.07</f>
        <v>128.07</v>
      </c>
      <c r="R66" s="12" t="n">
        <v>15.9</v>
      </c>
      <c r="S66" s="12" t="n">
        <v>17.6</v>
      </c>
      <c r="T66" s="12" t="n">
        <v>408</v>
      </c>
      <c r="U66" s="14" t="s">
        <v>58</v>
      </c>
      <c r="V66" s="15"/>
      <c r="W66" s="16" t="str">
        <f aca="false">A66</f>
        <v>JB</v>
      </c>
      <c r="X66" s="17" t="e">
        <f aca="false">ifs(C66="","",X66="",NOW(),TRUE(),X66)</f>
        <v>#VALUE!</v>
      </c>
      <c r="Y66" s="17" t="e">
        <f aca="false">ifs(COUNTA(K66:U69)&lt;44,"",Y66="",NOW(),TRUE(),Y66)</f>
        <v>#VALUE!</v>
      </c>
    </row>
    <row r="67" customFormat="false" ht="14.15" hidden="false" customHeight="false" outlineLevel="0" collapsed="false">
      <c r="A67" s="9"/>
      <c r="B67" s="10"/>
      <c r="C67" s="10"/>
      <c r="D67" s="10"/>
      <c r="E67" s="10"/>
      <c r="F67" s="10"/>
      <c r="G67" s="10"/>
      <c r="H67" s="10"/>
      <c r="I67" s="18" t="n">
        <v>2</v>
      </c>
      <c r="J67" s="18" t="s">
        <v>49</v>
      </c>
      <c r="K67" s="19" t="n">
        <f aca="false">38.82</f>
        <v>38.82</v>
      </c>
      <c r="L67" s="19" t="n">
        <f aca="false">138.95</f>
        <v>138.95</v>
      </c>
      <c r="M67" s="18" t="n">
        <v>14</v>
      </c>
      <c r="N67" s="18" t="n">
        <v>36</v>
      </c>
      <c r="O67" s="18" t="n">
        <v>111.4</v>
      </c>
      <c r="P67" s="19" t="n">
        <f aca="false">25.45</f>
        <v>25.45</v>
      </c>
      <c r="Q67" s="19" t="n">
        <f aca="false">147.63</f>
        <v>147.63</v>
      </c>
      <c r="R67" s="18" t="n">
        <v>18.3</v>
      </c>
      <c r="S67" s="18" t="n">
        <v>18.9</v>
      </c>
      <c r="T67" s="18" t="n">
        <v>499</v>
      </c>
      <c r="U67" s="20" t="s">
        <v>58</v>
      </c>
      <c r="V67" s="21"/>
      <c r="W67" s="16"/>
      <c r="X67" s="16"/>
      <c r="Y67" s="16"/>
    </row>
    <row r="68" customFormat="false" ht="14.15" hidden="false" customHeight="false" outlineLevel="0" collapsed="false">
      <c r="A68" s="9"/>
      <c r="B68" s="10"/>
      <c r="C68" s="10"/>
      <c r="D68" s="10"/>
      <c r="E68" s="10"/>
      <c r="F68" s="10"/>
      <c r="G68" s="10"/>
      <c r="H68" s="10"/>
      <c r="I68" s="22" t="n">
        <v>3</v>
      </c>
      <c r="J68" s="22" t="s">
        <v>47</v>
      </c>
      <c r="K68" s="23" t="n">
        <f aca="false">40.23</f>
        <v>40.23</v>
      </c>
      <c r="L68" s="23" t="n">
        <f aca="false">145.77</f>
        <v>145.77</v>
      </c>
      <c r="M68" s="22" t="n">
        <v>14</v>
      </c>
      <c r="N68" s="22" t="n">
        <v>36</v>
      </c>
      <c r="O68" s="22" t="n">
        <v>131.8</v>
      </c>
      <c r="P68" s="23" t="n">
        <f aca="false">26.98</f>
        <v>26.98</v>
      </c>
      <c r="Q68" s="23" t="n">
        <f aca="false">153.92</f>
        <v>153.92</v>
      </c>
      <c r="R68" s="22" t="n">
        <v>21.6</v>
      </c>
      <c r="S68" s="22" t="n">
        <v>21.6</v>
      </c>
      <c r="T68" s="22" t="n">
        <v>526</v>
      </c>
      <c r="U68" s="24" t="s">
        <v>58</v>
      </c>
      <c r="V68" s="15"/>
      <c r="W68" s="16"/>
      <c r="X68" s="16"/>
      <c r="Y68" s="16"/>
    </row>
    <row r="69" customFormat="false" ht="14.15" hidden="false" customHeight="false" outlineLevel="0" collapsed="false">
      <c r="A69" s="9"/>
      <c r="B69" s="10"/>
      <c r="C69" s="10"/>
      <c r="D69" s="10"/>
      <c r="E69" s="10"/>
      <c r="F69" s="10"/>
      <c r="G69" s="10"/>
      <c r="H69" s="10"/>
      <c r="I69" s="25" t="n">
        <v>4</v>
      </c>
      <c r="J69" s="25" t="s">
        <v>35</v>
      </c>
      <c r="K69" s="26" t="n">
        <f aca="false">40.43</f>
        <v>40.43</v>
      </c>
      <c r="L69" s="26" t="n">
        <f aca="false">157.6</f>
        <v>157.6</v>
      </c>
      <c r="M69" s="25" t="n">
        <v>14</v>
      </c>
      <c r="N69" s="25" t="n">
        <v>36</v>
      </c>
      <c r="O69" s="25" t="n">
        <v>131.2</v>
      </c>
      <c r="P69" s="26" t="n">
        <f aca="false">26.78</f>
        <v>26.78</v>
      </c>
      <c r="Q69" s="26" t="n">
        <f aca="false">156.77</f>
        <v>156.77</v>
      </c>
      <c r="R69" s="25" t="n">
        <v>22.8</v>
      </c>
      <c r="S69" s="25" t="n">
        <v>20.5</v>
      </c>
      <c r="T69" s="25" t="n">
        <v>531</v>
      </c>
      <c r="U69" s="27" t="s">
        <v>58</v>
      </c>
      <c r="V69" s="21"/>
      <c r="W69" s="16"/>
      <c r="X69" s="16"/>
      <c r="Y69" s="16"/>
    </row>
    <row r="70" customFormat="false" ht="15.75" hidden="false" customHeight="true" outlineLevel="0" collapsed="false">
      <c r="A70" s="9" t="s">
        <v>43</v>
      </c>
      <c r="B70" s="10" t="s">
        <v>44</v>
      </c>
      <c r="C70" s="11" t="s">
        <v>62</v>
      </c>
      <c r="D70" s="10" t="s">
        <v>28</v>
      </c>
      <c r="E70" s="10" t="s">
        <v>28</v>
      </c>
      <c r="F70" s="10"/>
      <c r="G70" s="10" t="n">
        <v>21</v>
      </c>
      <c r="H70" s="10" t="n">
        <v>4</v>
      </c>
      <c r="I70" s="12" t="n">
        <v>1</v>
      </c>
      <c r="J70" s="12" t="s">
        <v>35</v>
      </c>
      <c r="K70" s="13" t="n">
        <f aca="false">41.92</f>
        <v>41.92</v>
      </c>
      <c r="L70" s="13" t="n">
        <f aca="false">145.11</f>
        <v>145.11</v>
      </c>
      <c r="M70" s="12" t="n">
        <v>14</v>
      </c>
      <c r="N70" s="12" t="n">
        <v>38</v>
      </c>
      <c r="O70" s="12" t="n">
        <v>122.8</v>
      </c>
      <c r="P70" s="13" t="n">
        <f aca="false">25.93</f>
        <v>25.93</v>
      </c>
      <c r="Q70" s="13" t="n">
        <f aca="false">143.69</f>
        <v>143.69</v>
      </c>
      <c r="R70" s="12" t="n">
        <v>17.6</v>
      </c>
      <c r="S70" s="12" t="n">
        <v>22.6</v>
      </c>
      <c r="T70" s="12" t="n">
        <v>451</v>
      </c>
      <c r="U70" s="14" t="s">
        <v>29</v>
      </c>
      <c r="V70" s="15"/>
      <c r="W70" s="16" t="str">
        <f aca="false">A70</f>
        <v>JB</v>
      </c>
      <c r="X70" s="17" t="e">
        <f aca="false">ifs(C70="","",X70="",NOW(),TRUE(),X70)</f>
        <v>#VALUE!</v>
      </c>
      <c r="Y70" s="17" t="e">
        <f aca="false">ifs(COUNTA(K70:U73)&lt;44,"",Y70="",NOW(),TRUE(),Y70)</f>
        <v>#VALUE!</v>
      </c>
    </row>
    <row r="71" customFormat="false" ht="14.15" hidden="false" customHeight="false" outlineLevel="0" collapsed="false">
      <c r="A71" s="9"/>
      <c r="B71" s="10"/>
      <c r="C71" s="10"/>
      <c r="D71" s="10"/>
      <c r="E71" s="10"/>
      <c r="F71" s="10"/>
      <c r="G71" s="10"/>
      <c r="H71" s="10"/>
      <c r="I71" s="18" t="n">
        <v>2</v>
      </c>
      <c r="J71" s="18" t="s">
        <v>47</v>
      </c>
      <c r="K71" s="19" t="n">
        <f aca="false">41.46</f>
        <v>41.46</v>
      </c>
      <c r="L71" s="19" t="n">
        <f aca="false">150.13</f>
        <v>150.13</v>
      </c>
      <c r="M71" s="18" t="n">
        <v>16</v>
      </c>
      <c r="N71" s="18" t="n">
        <v>38</v>
      </c>
      <c r="O71" s="18" t="n">
        <v>128.9</v>
      </c>
      <c r="P71" s="19" t="n">
        <f aca="false">26.76</f>
        <v>26.76</v>
      </c>
      <c r="Q71" s="19" t="n">
        <f aca="false">160.03</f>
        <v>160.03</v>
      </c>
      <c r="R71" s="18" t="n">
        <v>19</v>
      </c>
      <c r="S71" s="18" t="n">
        <v>16.6</v>
      </c>
      <c r="T71" s="18" t="n">
        <v>641</v>
      </c>
      <c r="U71" s="20" t="s">
        <v>29</v>
      </c>
      <c r="V71" s="21"/>
      <c r="W71" s="16"/>
      <c r="X71" s="16"/>
      <c r="Y71" s="16"/>
    </row>
    <row r="72" customFormat="false" ht="14.15" hidden="false" customHeight="false" outlineLevel="0" collapsed="false">
      <c r="A72" s="9"/>
      <c r="B72" s="10"/>
      <c r="C72" s="10"/>
      <c r="D72" s="10"/>
      <c r="E72" s="10"/>
      <c r="F72" s="10"/>
      <c r="G72" s="10"/>
      <c r="H72" s="10"/>
      <c r="I72" s="22" t="n">
        <v>3</v>
      </c>
      <c r="J72" s="22" t="s">
        <v>33</v>
      </c>
      <c r="K72" s="23" t="n">
        <f aca="false">42.43</f>
        <v>42.43</v>
      </c>
      <c r="L72" s="23" t="n">
        <f aca="false">161.21</f>
        <v>161.21</v>
      </c>
      <c r="M72" s="22" t="n">
        <v>14</v>
      </c>
      <c r="N72" s="22" t="n">
        <v>40</v>
      </c>
      <c r="O72" s="22" t="n">
        <v>151.7</v>
      </c>
      <c r="P72" s="23" t="n">
        <f aca="false">26.19</f>
        <v>26.19</v>
      </c>
      <c r="Q72" s="23" t="n">
        <f aca="false">165.89</f>
        <v>165.89</v>
      </c>
      <c r="R72" s="22" t="n">
        <v>20.7</v>
      </c>
      <c r="S72" s="22" t="n">
        <v>20.6</v>
      </c>
      <c r="T72" s="22" t="n">
        <v>574</v>
      </c>
      <c r="U72" s="24" t="s">
        <v>29</v>
      </c>
      <c r="V72" s="15"/>
      <c r="W72" s="16"/>
      <c r="X72" s="16"/>
      <c r="Y72" s="16"/>
    </row>
    <row r="73" customFormat="false" ht="14.15" hidden="false" customHeight="false" outlineLevel="0" collapsed="false">
      <c r="A73" s="9"/>
      <c r="B73" s="10"/>
      <c r="C73" s="10"/>
      <c r="D73" s="10"/>
      <c r="E73" s="10"/>
      <c r="F73" s="10"/>
      <c r="G73" s="10"/>
      <c r="H73" s="10"/>
      <c r="I73" s="25" t="n">
        <v>4</v>
      </c>
      <c r="J73" s="25" t="s">
        <v>47</v>
      </c>
      <c r="K73" s="26" t="n">
        <f aca="false">40.89</f>
        <v>40.89</v>
      </c>
      <c r="L73" s="26" t="n">
        <f aca="false">168.18</f>
        <v>168.18</v>
      </c>
      <c r="M73" s="25" t="n">
        <v>14</v>
      </c>
      <c r="N73" s="25" t="n">
        <v>42</v>
      </c>
      <c r="O73" s="25" t="n">
        <v>136.6</v>
      </c>
      <c r="P73" s="26" t="n">
        <f aca="false">26.66</f>
        <v>26.66</v>
      </c>
      <c r="Q73" s="26" t="n">
        <f aca="false">181.3</f>
        <v>181.3</v>
      </c>
      <c r="R73" s="25" t="n">
        <v>24</v>
      </c>
      <c r="S73" s="25" t="n">
        <v>20.3</v>
      </c>
      <c r="T73" s="25" t="n">
        <v>541</v>
      </c>
      <c r="U73" s="27" t="s">
        <v>29</v>
      </c>
      <c r="V73" s="21"/>
      <c r="W73" s="16"/>
      <c r="X73" s="16"/>
      <c r="Y73" s="16"/>
    </row>
    <row r="74" customFormat="false" ht="15.75" hidden="false" customHeight="true" outlineLevel="0" collapsed="false">
      <c r="A74" s="9" t="s">
        <v>43</v>
      </c>
      <c r="B74" s="10" t="s">
        <v>44</v>
      </c>
      <c r="C74" s="11" t="s">
        <v>63</v>
      </c>
      <c r="D74" s="10" t="s">
        <v>28</v>
      </c>
      <c r="E74" s="10" t="s">
        <v>28</v>
      </c>
      <c r="F74" s="10"/>
      <c r="G74" s="10" t="n">
        <v>70</v>
      </c>
      <c r="H74" s="10" t="n">
        <v>13.3</v>
      </c>
      <c r="I74" s="12" t="n">
        <v>1</v>
      </c>
      <c r="J74" s="12" t="s">
        <v>49</v>
      </c>
      <c r="K74" s="13" t="n">
        <f aca="false">47.67</f>
        <v>47.67</v>
      </c>
      <c r="L74" s="13" t="n">
        <f aca="false">117.93</f>
        <v>117.93</v>
      </c>
      <c r="M74" s="12" t="n">
        <v>18</v>
      </c>
      <c r="N74" s="12" t="n">
        <v>28</v>
      </c>
      <c r="O74" s="12" t="n">
        <v>134.9</v>
      </c>
      <c r="P74" s="13" t="n">
        <f aca="false">28.15</f>
        <v>28.15</v>
      </c>
      <c r="Q74" s="13" t="n">
        <f aca="false">119.17</f>
        <v>119.17</v>
      </c>
      <c r="R74" s="12" t="n">
        <v>16.2</v>
      </c>
      <c r="S74" s="12" t="n">
        <v>23.5</v>
      </c>
      <c r="T74" s="12" t="n">
        <v>490</v>
      </c>
      <c r="U74" s="14" t="s">
        <v>29</v>
      </c>
      <c r="V74" s="15"/>
      <c r="W74" s="16" t="str">
        <f aca="false">A74</f>
        <v>JB</v>
      </c>
      <c r="X74" s="17" t="e">
        <f aca="false">ifs(C74="","",X74="",NOW(),TRUE(),X74)</f>
        <v>#VALUE!</v>
      </c>
      <c r="Y74" s="17" t="e">
        <f aca="false">ifs(COUNTA(K74:U77)&lt;44,"",Y74="",NOW(),TRUE(),Y74)</f>
        <v>#VALUE!</v>
      </c>
    </row>
    <row r="75" customFormat="false" ht="14.15" hidden="false" customHeight="false" outlineLevel="0" collapsed="false">
      <c r="A75" s="9"/>
      <c r="B75" s="10"/>
      <c r="C75" s="10"/>
      <c r="D75" s="10"/>
      <c r="E75" s="10"/>
      <c r="F75" s="10"/>
      <c r="G75" s="10"/>
      <c r="H75" s="10"/>
      <c r="I75" s="18" t="n">
        <v>2</v>
      </c>
      <c r="J75" s="18" t="s">
        <v>47</v>
      </c>
      <c r="K75" s="19" t="n">
        <f aca="false">45.08</f>
        <v>45.08</v>
      </c>
      <c r="L75" s="19" t="n">
        <f aca="false">141.43</f>
        <v>141.43</v>
      </c>
      <c r="M75" s="18" t="n">
        <v>16</v>
      </c>
      <c r="N75" s="18" t="n">
        <v>32</v>
      </c>
      <c r="O75" s="18" t="n">
        <v>141.5</v>
      </c>
      <c r="P75" s="19" t="n">
        <f aca="false">28.18</f>
        <v>28.18</v>
      </c>
      <c r="Q75" s="19" t="n">
        <f aca="false">151.66</f>
        <v>151.66</v>
      </c>
      <c r="R75" s="18" t="n">
        <v>16.2</v>
      </c>
      <c r="S75" s="18" t="n">
        <v>24.6</v>
      </c>
      <c r="T75" s="18" t="n">
        <v>498</v>
      </c>
      <c r="U75" s="20" t="s">
        <v>29</v>
      </c>
      <c r="V75" s="21"/>
      <c r="W75" s="16"/>
      <c r="X75" s="16"/>
      <c r="Y75" s="16"/>
    </row>
    <row r="76" customFormat="false" ht="14.15" hidden="false" customHeight="false" outlineLevel="0" collapsed="false">
      <c r="A76" s="9"/>
      <c r="B76" s="10"/>
      <c r="C76" s="10"/>
      <c r="D76" s="10"/>
      <c r="E76" s="10"/>
      <c r="F76" s="10"/>
      <c r="G76" s="10"/>
      <c r="H76" s="10"/>
      <c r="I76" s="22" t="n">
        <v>3</v>
      </c>
      <c r="J76" s="22" t="s">
        <v>47</v>
      </c>
      <c r="K76" s="23" t="n">
        <f aca="false">44.19</f>
        <v>44.19</v>
      </c>
      <c r="L76" s="23" t="n">
        <f aca="false">137.56</f>
        <v>137.56</v>
      </c>
      <c r="M76" s="22" t="n">
        <v>16</v>
      </c>
      <c r="N76" s="22" t="n">
        <v>32</v>
      </c>
      <c r="O76" s="22" t="n">
        <v>138</v>
      </c>
      <c r="P76" s="23" t="n">
        <f aca="false">31.19</f>
        <v>31.19</v>
      </c>
      <c r="Q76" s="23" t="n">
        <f aca="false">152.34</f>
        <v>152.34</v>
      </c>
      <c r="R76" s="22" t="n">
        <v>16.3</v>
      </c>
      <c r="S76" s="22" t="n">
        <v>23.3</v>
      </c>
      <c r="T76" s="22" t="n">
        <v>505</v>
      </c>
      <c r="U76" s="24" t="s">
        <v>29</v>
      </c>
      <c r="V76" s="15"/>
      <c r="W76" s="16"/>
      <c r="X76" s="16"/>
      <c r="Y76" s="16"/>
    </row>
    <row r="77" customFormat="false" ht="14.15" hidden="false" customHeight="false" outlineLevel="0" collapsed="false">
      <c r="A77" s="9"/>
      <c r="B77" s="10"/>
      <c r="C77" s="10"/>
      <c r="D77" s="10"/>
      <c r="E77" s="10"/>
      <c r="F77" s="10"/>
      <c r="G77" s="10"/>
      <c r="H77" s="10"/>
      <c r="I77" s="25" t="n">
        <v>4</v>
      </c>
      <c r="J77" s="25" t="s">
        <v>49</v>
      </c>
      <c r="K77" s="26" t="n">
        <f aca="false">47.18</f>
        <v>47.18</v>
      </c>
      <c r="L77" s="26" t="n">
        <f aca="false">134.77</f>
        <v>134.77</v>
      </c>
      <c r="M77" s="25" t="n">
        <v>18</v>
      </c>
      <c r="N77" s="25" t="n">
        <v>32</v>
      </c>
      <c r="O77" s="25" t="n">
        <v>147.3</v>
      </c>
      <c r="P77" s="26" t="n">
        <f aca="false">28.86</f>
        <v>28.86</v>
      </c>
      <c r="Q77" s="26" t="n">
        <f aca="false">139.19</f>
        <v>139.19</v>
      </c>
      <c r="R77" s="25" t="n">
        <v>17.6</v>
      </c>
      <c r="S77" s="25" t="n">
        <v>27.1</v>
      </c>
      <c r="T77" s="25" t="n">
        <v>677</v>
      </c>
      <c r="U77" s="27" t="s">
        <v>29</v>
      </c>
      <c r="V77" s="21"/>
      <c r="W77" s="16"/>
      <c r="X77" s="16"/>
      <c r="Y77" s="16"/>
    </row>
    <row r="78" customFormat="false" ht="15.75" hidden="false" customHeight="true" outlineLevel="0" collapsed="false">
      <c r="A78" s="9" t="s">
        <v>43</v>
      </c>
      <c r="B78" s="10" t="s">
        <v>44</v>
      </c>
      <c r="C78" s="11" t="s">
        <v>64</v>
      </c>
      <c r="D78" s="10" t="s">
        <v>28</v>
      </c>
      <c r="E78" s="10" t="s">
        <v>28</v>
      </c>
      <c r="F78" s="10"/>
      <c r="G78" s="10" t="n">
        <v>12</v>
      </c>
      <c r="H78" s="10" t="n">
        <v>3</v>
      </c>
      <c r="I78" s="12" t="n">
        <v>1</v>
      </c>
      <c r="J78" s="12" t="s">
        <v>49</v>
      </c>
      <c r="K78" s="13" t="n">
        <f aca="false">40.58</f>
        <v>40.58</v>
      </c>
      <c r="L78" s="13" t="n">
        <f aca="false">124.6</f>
        <v>124.6</v>
      </c>
      <c r="M78" s="12" t="n">
        <v>12</v>
      </c>
      <c r="N78" s="12" t="n">
        <v>32</v>
      </c>
      <c r="O78" s="12" t="n">
        <v>111.4</v>
      </c>
      <c r="P78" s="13" t="n">
        <f aca="false">24.67</f>
        <v>24.67</v>
      </c>
      <c r="Q78" s="13" t="n">
        <f aca="false">130.29</f>
        <v>130.29</v>
      </c>
      <c r="R78" s="12" t="n">
        <v>12.9</v>
      </c>
      <c r="S78" s="12" t="n">
        <v>23.9</v>
      </c>
      <c r="T78" s="12" t="n">
        <v>396</v>
      </c>
      <c r="U78" s="14" t="s">
        <v>29</v>
      </c>
      <c r="V78" s="15"/>
      <c r="W78" s="16" t="str">
        <f aca="false">A78</f>
        <v>JB</v>
      </c>
      <c r="X78" s="17" t="e">
        <f aca="false">ifs(C78="","",X78="",NOW(),TRUE(),X78)</f>
        <v>#VALUE!</v>
      </c>
      <c r="Y78" s="17" t="e">
        <f aca="false">ifs(COUNTA(K78:U81)&lt;44,"",Y78="",NOW(),TRUE(),Y78)</f>
        <v>#VALUE!</v>
      </c>
    </row>
    <row r="79" customFormat="false" ht="14.15" hidden="false" customHeight="false" outlineLevel="0" collapsed="false">
      <c r="A79" s="9"/>
      <c r="B79" s="10"/>
      <c r="C79" s="10"/>
      <c r="D79" s="10"/>
      <c r="E79" s="10"/>
      <c r="F79" s="10"/>
      <c r="G79" s="10"/>
      <c r="H79" s="10"/>
      <c r="I79" s="18" t="n">
        <v>2</v>
      </c>
      <c r="J79" s="18" t="s">
        <v>49</v>
      </c>
      <c r="K79" s="19" t="n">
        <f aca="false">42.06</f>
        <v>42.06</v>
      </c>
      <c r="L79" s="19" t="n">
        <f aca="false">157.36</f>
        <v>157.36</v>
      </c>
      <c r="M79" s="18" t="n">
        <v>12</v>
      </c>
      <c r="N79" s="18" t="n">
        <v>40</v>
      </c>
      <c r="O79" s="18" t="n">
        <v>138.9</v>
      </c>
      <c r="P79" s="19" t="n">
        <f aca="false">24.81</f>
        <v>24.81</v>
      </c>
      <c r="Q79" s="19" t="n">
        <f aca="false">170.15</f>
        <v>170.15</v>
      </c>
      <c r="R79" s="18" t="n">
        <v>17.1</v>
      </c>
      <c r="S79" s="18" t="n">
        <v>21.4</v>
      </c>
      <c r="T79" s="18" t="n">
        <v>764</v>
      </c>
      <c r="U79" s="20" t="s">
        <v>29</v>
      </c>
      <c r="V79" s="21"/>
      <c r="W79" s="16"/>
      <c r="X79" s="16"/>
      <c r="Y79" s="16"/>
    </row>
    <row r="80" customFormat="false" ht="14.15" hidden="false" customHeight="false" outlineLevel="0" collapsed="false">
      <c r="A80" s="9"/>
      <c r="B80" s="10"/>
      <c r="C80" s="10"/>
      <c r="D80" s="10"/>
      <c r="E80" s="10"/>
      <c r="F80" s="10"/>
      <c r="G80" s="10"/>
      <c r="H80" s="10"/>
      <c r="I80" s="22" t="n">
        <v>3</v>
      </c>
      <c r="J80" s="22" t="s">
        <v>49</v>
      </c>
      <c r="K80" s="23" t="n">
        <f aca="false">42.39</f>
        <v>42.39</v>
      </c>
      <c r="L80" s="23" t="n">
        <f aca="false">146.78</f>
        <v>146.78</v>
      </c>
      <c r="M80" s="22" t="n">
        <v>12</v>
      </c>
      <c r="N80" s="22" t="n">
        <v>40</v>
      </c>
      <c r="O80" s="22" t="n">
        <v>146.7</v>
      </c>
      <c r="P80" s="23" t="n">
        <f aca="false">24.28</f>
        <v>24.28</v>
      </c>
      <c r="Q80" s="23" t="n">
        <f aca="false">170.69</f>
        <v>170.69</v>
      </c>
      <c r="R80" s="22" t="n">
        <v>18.6</v>
      </c>
      <c r="S80" s="22" t="n">
        <v>21.6</v>
      </c>
      <c r="T80" s="22" t="n">
        <v>640</v>
      </c>
      <c r="U80" s="24" t="s">
        <v>29</v>
      </c>
      <c r="V80" s="15"/>
      <c r="W80" s="16"/>
      <c r="X80" s="16"/>
      <c r="Y80" s="16"/>
    </row>
    <row r="81" customFormat="false" ht="14.15" hidden="false" customHeight="false" outlineLevel="0" collapsed="false">
      <c r="A81" s="9"/>
      <c r="B81" s="10"/>
      <c r="C81" s="10"/>
      <c r="D81" s="10"/>
      <c r="E81" s="10"/>
      <c r="F81" s="10"/>
      <c r="G81" s="10"/>
      <c r="H81" s="10"/>
      <c r="I81" s="25" t="n">
        <v>4</v>
      </c>
      <c r="J81" s="25" t="s">
        <v>33</v>
      </c>
      <c r="K81" s="26" t="n">
        <f aca="false">43.24</f>
        <v>43.24</v>
      </c>
      <c r="L81" s="26" t="n">
        <f aca="false">157.79</f>
        <v>157.79</v>
      </c>
      <c r="M81" s="25" t="n">
        <v>14</v>
      </c>
      <c r="N81" s="25" t="n">
        <v>42</v>
      </c>
      <c r="O81" s="25" t="n">
        <v>154.3</v>
      </c>
      <c r="P81" s="26" t="n">
        <f aca="false">24.8</f>
        <v>24.8</v>
      </c>
      <c r="Q81" s="26" t="n">
        <f aca="false">173.97</f>
        <v>173.97</v>
      </c>
      <c r="R81" s="25" t="n">
        <v>19.8</v>
      </c>
      <c r="S81" s="25" t="n">
        <v>14.7</v>
      </c>
      <c r="T81" s="25" t="n">
        <v>813</v>
      </c>
      <c r="U81" s="27" t="s">
        <v>29</v>
      </c>
      <c r="V81" s="21"/>
      <c r="W81" s="16"/>
      <c r="X81" s="16"/>
      <c r="Y81" s="16"/>
    </row>
    <row r="82" customFormat="false" ht="15.75" hidden="false" customHeight="true" outlineLevel="0" collapsed="false">
      <c r="A82" s="9" t="s">
        <v>43</v>
      </c>
      <c r="B82" s="10" t="s">
        <v>44</v>
      </c>
      <c r="C82" s="11" t="s">
        <v>65</v>
      </c>
      <c r="D82" s="10" t="s">
        <v>28</v>
      </c>
      <c r="E82" s="10" t="s">
        <v>28</v>
      </c>
      <c r="F82" s="10"/>
      <c r="G82" s="10" t="n">
        <v>41</v>
      </c>
      <c r="H82" s="10" t="n">
        <v>10</v>
      </c>
      <c r="I82" s="12" t="n">
        <v>1</v>
      </c>
      <c r="J82" s="12" t="s">
        <v>35</v>
      </c>
      <c r="K82" s="13" t="n">
        <f aca="false">37.96</f>
        <v>37.96</v>
      </c>
      <c r="L82" s="13" t="n">
        <f aca="false">110.78</f>
        <v>110.78</v>
      </c>
      <c r="M82" s="12" t="n">
        <v>12</v>
      </c>
      <c r="N82" s="12" t="n">
        <v>30</v>
      </c>
      <c r="O82" s="12" t="n">
        <v>90.8</v>
      </c>
      <c r="P82" s="13" t="n">
        <f aca="false">24.25</f>
        <v>24.25</v>
      </c>
      <c r="Q82" s="13" t="n">
        <f aca="false">118.5</f>
        <v>118.5</v>
      </c>
      <c r="R82" s="12" t="n">
        <v>12.7</v>
      </c>
      <c r="S82" s="12" t="n">
        <v>23.2</v>
      </c>
      <c r="T82" s="12" t="n">
        <v>336</v>
      </c>
      <c r="U82" s="14" t="s">
        <v>58</v>
      </c>
      <c r="V82" s="15"/>
      <c r="W82" s="16" t="str">
        <f aca="false">A82</f>
        <v>JB</v>
      </c>
      <c r="X82" s="17" t="e">
        <f aca="false">ifs(C82="","",X82="",NOW(),TRUE(),X82)</f>
        <v>#VALUE!</v>
      </c>
      <c r="Y82" s="17" t="e">
        <f aca="false">ifs(COUNTA(K82:U85)&lt;44,"",Y82="",NOW(),TRUE(),Y82)</f>
        <v>#VALUE!</v>
      </c>
    </row>
    <row r="83" customFormat="false" ht="14.15" hidden="false" customHeight="false" outlineLevel="0" collapsed="false">
      <c r="A83" s="9"/>
      <c r="B83" s="10"/>
      <c r="C83" s="10"/>
      <c r="D83" s="10"/>
      <c r="E83" s="10"/>
      <c r="F83" s="10"/>
      <c r="G83" s="10"/>
      <c r="H83" s="10"/>
      <c r="I83" s="18" t="n">
        <v>2</v>
      </c>
      <c r="J83" s="18" t="s">
        <v>49</v>
      </c>
      <c r="K83" s="19" t="n">
        <f aca="false">39.93</f>
        <v>39.93</v>
      </c>
      <c r="L83" s="19" t="n">
        <f aca="false">113.1</f>
        <v>113.1</v>
      </c>
      <c r="M83" s="18" t="n">
        <v>14</v>
      </c>
      <c r="N83" s="18" t="n">
        <v>30</v>
      </c>
      <c r="O83" s="18" t="n">
        <v>99.6</v>
      </c>
      <c r="P83" s="19" t="n">
        <f aca="false">24.85</f>
        <v>24.85</v>
      </c>
      <c r="Q83" s="19" t="n">
        <f aca="false">125.6</f>
        <v>125.6</v>
      </c>
      <c r="R83" s="18" t="n">
        <v>13.6</v>
      </c>
      <c r="S83" s="18" t="n">
        <v>21.2</v>
      </c>
      <c r="T83" s="18" t="n">
        <v>405</v>
      </c>
      <c r="U83" s="20" t="s">
        <v>58</v>
      </c>
      <c r="V83" s="21"/>
      <c r="W83" s="16"/>
      <c r="X83" s="16"/>
      <c r="Y83" s="16"/>
    </row>
    <row r="84" customFormat="false" ht="14.15" hidden="false" customHeight="false" outlineLevel="0" collapsed="false">
      <c r="A84" s="9"/>
      <c r="B84" s="10"/>
      <c r="C84" s="10"/>
      <c r="D84" s="10"/>
      <c r="E84" s="10"/>
      <c r="F84" s="10"/>
      <c r="G84" s="10"/>
      <c r="H84" s="10"/>
      <c r="I84" s="22" t="n">
        <v>3</v>
      </c>
      <c r="J84" s="22" t="s">
        <v>49</v>
      </c>
      <c r="K84" s="23" t="n">
        <f aca="false">40.49</f>
        <v>40.49</v>
      </c>
      <c r="L84" s="23" t="n">
        <f aca="false">106.74</f>
        <v>106.74</v>
      </c>
      <c r="M84" s="22" t="n">
        <v>14</v>
      </c>
      <c r="N84" s="22" t="n">
        <v>29</v>
      </c>
      <c r="O84" s="22" t="n">
        <v>91.1</v>
      </c>
      <c r="P84" s="23" t="n">
        <f aca="false">25</f>
        <v>25</v>
      </c>
      <c r="Q84" s="23" t="n">
        <f aca="false">118.58</f>
        <v>118.58</v>
      </c>
      <c r="R84" s="22" t="n">
        <v>13.3</v>
      </c>
      <c r="S84" s="22" t="n">
        <v>20.4</v>
      </c>
      <c r="T84" s="22" t="n">
        <v>384</v>
      </c>
      <c r="U84" s="24" t="s">
        <v>58</v>
      </c>
      <c r="V84" s="15"/>
      <c r="W84" s="16"/>
      <c r="X84" s="16"/>
      <c r="Y84" s="16"/>
    </row>
    <row r="85" customFormat="false" ht="14.15" hidden="false" customHeight="false" outlineLevel="0" collapsed="false">
      <c r="A85" s="9"/>
      <c r="B85" s="10"/>
      <c r="C85" s="10"/>
      <c r="D85" s="10"/>
      <c r="E85" s="10"/>
      <c r="F85" s="10"/>
      <c r="G85" s="10"/>
      <c r="H85" s="10"/>
      <c r="I85" s="25" t="n">
        <v>4</v>
      </c>
      <c r="J85" s="25" t="s">
        <v>49</v>
      </c>
      <c r="K85" s="26" t="n">
        <f aca="false">41.92</f>
        <v>41.92</v>
      </c>
      <c r="L85" s="26" t="n">
        <f aca="false">123.82</f>
        <v>123.82</v>
      </c>
      <c r="M85" s="25" t="n">
        <v>14</v>
      </c>
      <c r="N85" s="25" t="n">
        <v>32</v>
      </c>
      <c r="O85" s="25" t="n">
        <v>114.7</v>
      </c>
      <c r="P85" s="26" t="n">
        <f aca="false">25.56</f>
        <v>25.56</v>
      </c>
      <c r="Q85" s="26" t="n">
        <f aca="false">129.75</f>
        <v>129.75</v>
      </c>
      <c r="R85" s="25" t="n">
        <v>17</v>
      </c>
      <c r="S85" s="25" t="n">
        <v>22.2</v>
      </c>
      <c r="T85" s="25" t="n">
        <v>437</v>
      </c>
      <c r="U85" s="27" t="s">
        <v>58</v>
      </c>
      <c r="V85" s="21"/>
      <c r="W85" s="16"/>
      <c r="X85" s="16"/>
      <c r="Y85" s="16"/>
    </row>
    <row r="86" customFormat="false" ht="15.75" hidden="false" customHeight="true" outlineLevel="0" collapsed="false">
      <c r="A86" s="9" t="s">
        <v>43</v>
      </c>
      <c r="B86" s="10" t="s">
        <v>44</v>
      </c>
      <c r="C86" s="11" t="s">
        <v>66</v>
      </c>
      <c r="D86" s="10" t="s">
        <v>28</v>
      </c>
      <c r="E86" s="10" t="s">
        <v>28</v>
      </c>
      <c r="F86" s="10"/>
      <c r="G86" s="10" t="n">
        <v>30</v>
      </c>
      <c r="H86" s="10" t="n">
        <v>6.1</v>
      </c>
      <c r="I86" s="12" t="n">
        <v>1</v>
      </c>
      <c r="J86" s="12" t="s">
        <v>49</v>
      </c>
      <c r="K86" s="13" t="n">
        <f aca="false">41.02</f>
        <v>41.02</v>
      </c>
      <c r="L86" s="13" t="n">
        <f aca="false">137.42</f>
        <v>137.42</v>
      </c>
      <c r="M86" s="12" t="n">
        <v>16</v>
      </c>
      <c r="N86" s="12" t="n">
        <v>36</v>
      </c>
      <c r="O86" s="12" t="n">
        <v>110.7</v>
      </c>
      <c r="P86" s="13" t="n">
        <f aca="false">25.29</f>
        <v>25.29</v>
      </c>
      <c r="Q86" s="13" t="n">
        <f aca="false">141.84</f>
        <v>141.84</v>
      </c>
      <c r="R86" s="12" t="n">
        <v>17.6</v>
      </c>
      <c r="S86" s="12" t="n">
        <v>17.4</v>
      </c>
      <c r="T86" s="12" t="n">
        <v>539</v>
      </c>
      <c r="U86" s="14" t="s">
        <v>29</v>
      </c>
      <c r="V86" s="15"/>
      <c r="W86" s="16" t="str">
        <f aca="false">A86</f>
        <v>JB</v>
      </c>
      <c r="X86" s="17" t="e">
        <f aca="false">ifs(C86="","",X86="",NOW(),TRUE(),X86)</f>
        <v>#VALUE!</v>
      </c>
      <c r="Y86" s="17" t="e">
        <f aca="false">ifs(COUNTA(K86:U89)&lt;44,"",Y86="",NOW(),TRUE(),Y86)</f>
        <v>#VALUE!</v>
      </c>
    </row>
    <row r="87" customFormat="false" ht="14.15" hidden="false" customHeight="false" outlineLevel="0" collapsed="false">
      <c r="A87" s="9"/>
      <c r="B87" s="10"/>
      <c r="C87" s="10"/>
      <c r="D87" s="10"/>
      <c r="E87" s="10"/>
      <c r="F87" s="10"/>
      <c r="G87" s="10"/>
      <c r="H87" s="10"/>
      <c r="I87" s="18" t="n">
        <v>2</v>
      </c>
      <c r="J87" s="18" t="s">
        <v>46</v>
      </c>
      <c r="K87" s="19" t="n">
        <f aca="false">37.22</f>
        <v>37.22</v>
      </c>
      <c r="L87" s="19" t="n">
        <f aca="false">140.41</f>
        <v>140.41</v>
      </c>
      <c r="M87" s="18" t="n">
        <v>12</v>
      </c>
      <c r="N87" s="18" t="n">
        <v>38</v>
      </c>
      <c r="O87" s="18" t="n">
        <v>101.9</v>
      </c>
      <c r="P87" s="19" t="n">
        <f aca="false">24.53</f>
        <v>24.53</v>
      </c>
      <c r="Q87" s="19" t="n">
        <f aca="false">151.78</f>
        <v>151.78</v>
      </c>
      <c r="R87" s="18" t="n">
        <v>17.5</v>
      </c>
      <c r="S87" s="18" t="n">
        <v>19.4</v>
      </c>
      <c r="T87" s="18" t="n">
        <v>439</v>
      </c>
      <c r="U87" s="20" t="s">
        <v>29</v>
      </c>
      <c r="V87" s="21"/>
      <c r="W87" s="16"/>
      <c r="X87" s="16"/>
      <c r="Y87" s="16"/>
    </row>
    <row r="88" customFormat="false" ht="14.15" hidden="false" customHeight="false" outlineLevel="0" collapsed="false">
      <c r="A88" s="9"/>
      <c r="B88" s="10"/>
      <c r="C88" s="10"/>
      <c r="D88" s="10"/>
      <c r="E88" s="10"/>
      <c r="F88" s="10"/>
      <c r="G88" s="10"/>
      <c r="H88" s="10"/>
      <c r="I88" s="22" t="n">
        <v>3</v>
      </c>
      <c r="J88" s="22" t="s">
        <v>35</v>
      </c>
      <c r="K88" s="23" t="n">
        <f aca="false">41.48</f>
        <v>41.48</v>
      </c>
      <c r="L88" s="23" t="n">
        <f aca="false">172.29</f>
        <v>172.29</v>
      </c>
      <c r="M88" s="22" t="n">
        <v>14</v>
      </c>
      <c r="N88" s="22" t="n">
        <v>44</v>
      </c>
      <c r="O88" s="22" t="n">
        <v>157.9</v>
      </c>
      <c r="P88" s="23" t="n">
        <f aca="false">23.55</f>
        <v>23.55</v>
      </c>
      <c r="Q88" s="23" t="n">
        <f aca="false">176.64</f>
        <v>176.64</v>
      </c>
      <c r="R88" s="22" t="n">
        <v>22.5</v>
      </c>
      <c r="S88" s="22" t="n">
        <v>21.3</v>
      </c>
      <c r="T88" s="22" t="n">
        <v>624</v>
      </c>
      <c r="U88" s="24" t="s">
        <v>29</v>
      </c>
      <c r="V88" s="15"/>
      <c r="W88" s="16"/>
      <c r="X88" s="16"/>
      <c r="Y88" s="16"/>
    </row>
    <row r="89" customFormat="false" ht="14.15" hidden="false" customHeight="false" outlineLevel="0" collapsed="false">
      <c r="A89" s="9"/>
      <c r="B89" s="10"/>
      <c r="C89" s="10"/>
      <c r="D89" s="10"/>
      <c r="E89" s="10"/>
      <c r="F89" s="10"/>
      <c r="G89" s="10"/>
      <c r="H89" s="10"/>
      <c r="I89" s="25" t="n">
        <v>4</v>
      </c>
      <c r="J89" s="25" t="s">
        <v>35</v>
      </c>
      <c r="K89" s="26" t="n">
        <f aca="false">41.05</f>
        <v>41.05</v>
      </c>
      <c r="L89" s="26" t="n">
        <f aca="false">171.08</f>
        <v>171.08</v>
      </c>
      <c r="M89" s="25" t="n">
        <v>16</v>
      </c>
      <c r="N89" s="25" t="n">
        <v>44</v>
      </c>
      <c r="O89" s="25" t="n">
        <v>153.6</v>
      </c>
      <c r="P89" s="26" t="n">
        <f aca="false">24.74</f>
        <v>24.74</v>
      </c>
      <c r="Q89" s="26" t="n">
        <f aca="false">174.66</f>
        <v>174.66</v>
      </c>
      <c r="R89" s="25" t="n">
        <v>23.6</v>
      </c>
      <c r="S89" s="25" t="n">
        <v>19.2</v>
      </c>
      <c r="T89" s="25" t="n">
        <v>665</v>
      </c>
      <c r="U89" s="27" t="s">
        <v>29</v>
      </c>
      <c r="V89" s="21"/>
      <c r="W89" s="16"/>
      <c r="X89" s="16"/>
      <c r="Y89" s="16"/>
    </row>
    <row r="90" customFormat="false" ht="15.75" hidden="false" customHeight="true" outlineLevel="0" collapsed="false">
      <c r="A90" s="9" t="s">
        <v>43</v>
      </c>
      <c r="B90" s="10" t="s">
        <v>44</v>
      </c>
      <c r="C90" s="11" t="s">
        <v>67</v>
      </c>
      <c r="D90" s="10" t="s">
        <v>28</v>
      </c>
      <c r="E90" s="10" t="s">
        <v>28</v>
      </c>
      <c r="F90" s="10"/>
      <c r="G90" s="10" t="n">
        <v>15</v>
      </c>
      <c r="H90" s="10" t="n">
        <v>2.5</v>
      </c>
      <c r="I90" s="12" t="n">
        <v>1</v>
      </c>
      <c r="J90" s="12" t="s">
        <v>49</v>
      </c>
      <c r="K90" s="13" t="n">
        <f aca="false">42.83</f>
        <v>42.83</v>
      </c>
      <c r="L90" s="13" t="n">
        <f aca="false">117.47</f>
        <v>117.47</v>
      </c>
      <c r="M90" s="12" t="n">
        <v>20</v>
      </c>
      <c r="N90" s="12" t="n">
        <v>28</v>
      </c>
      <c r="O90" s="12" t="n">
        <v>100.6</v>
      </c>
      <c r="P90" s="13" t="n">
        <f aca="false">26.61</f>
        <v>26.61</v>
      </c>
      <c r="Q90" s="13" t="n">
        <f aca="false">129.63</f>
        <v>129.63</v>
      </c>
      <c r="R90" s="12" t="n">
        <v>11</v>
      </c>
      <c r="S90" s="12" t="n">
        <v>15.5</v>
      </c>
      <c r="T90" s="12" t="n">
        <v>576</v>
      </c>
      <c r="U90" s="14" t="s">
        <v>29</v>
      </c>
      <c r="V90" s="15"/>
      <c r="W90" s="16" t="str">
        <f aca="false">A90</f>
        <v>JB</v>
      </c>
      <c r="X90" s="17" t="e">
        <f aca="false">ifs(C90="","",X90="",NOW(),TRUE(),X90)</f>
        <v>#VALUE!</v>
      </c>
      <c r="Y90" s="17" t="e">
        <f aca="false">ifs(COUNTA(K90:U93)&lt;44,"",Y90="",NOW(),TRUE(),Y90)</f>
        <v>#VALUE!</v>
      </c>
    </row>
    <row r="91" customFormat="false" ht="14.15" hidden="false" customHeight="false" outlineLevel="0" collapsed="false">
      <c r="A91" s="9"/>
      <c r="B91" s="10"/>
      <c r="C91" s="10"/>
      <c r="D91" s="10"/>
      <c r="E91" s="10"/>
      <c r="F91" s="10"/>
      <c r="G91" s="10"/>
      <c r="H91" s="10"/>
      <c r="I91" s="18" t="n">
        <v>2</v>
      </c>
      <c r="J91" s="18" t="s">
        <v>49</v>
      </c>
      <c r="K91" s="19" t="n">
        <f aca="false">43.78</f>
        <v>43.78</v>
      </c>
      <c r="L91" s="19" t="n">
        <f aca="false">109.47</f>
        <v>109.47</v>
      </c>
      <c r="M91" s="18" t="n">
        <v>20</v>
      </c>
      <c r="N91" s="18" t="n">
        <v>28</v>
      </c>
      <c r="O91" s="18" t="n">
        <v>111.1</v>
      </c>
      <c r="P91" s="19" t="n">
        <f aca="false">27.15</f>
        <v>27.15</v>
      </c>
      <c r="Q91" s="19" t="n">
        <f aca="false">139.77</f>
        <v>139.77</v>
      </c>
      <c r="R91" s="18" t="n">
        <v>12.6</v>
      </c>
      <c r="S91" s="18" t="n">
        <v>15.8</v>
      </c>
      <c r="T91" s="18" t="n">
        <v>817</v>
      </c>
      <c r="U91" s="20" t="s">
        <v>29</v>
      </c>
      <c r="V91" s="21"/>
      <c r="W91" s="16"/>
      <c r="X91" s="16"/>
      <c r="Y91" s="16"/>
    </row>
    <row r="92" customFormat="false" ht="14.15" hidden="false" customHeight="false" outlineLevel="0" collapsed="false">
      <c r="A92" s="9"/>
      <c r="B92" s="10"/>
      <c r="C92" s="10"/>
      <c r="D92" s="10"/>
      <c r="E92" s="10"/>
      <c r="F92" s="10"/>
      <c r="G92" s="10"/>
      <c r="H92" s="10"/>
      <c r="I92" s="22" t="n">
        <v>3</v>
      </c>
      <c r="J92" s="22" t="s">
        <v>49</v>
      </c>
      <c r="K92" s="23" t="n">
        <f aca="false">44.68</f>
        <v>44.68</v>
      </c>
      <c r="L92" s="23" t="n">
        <f aca="false">161.72</f>
        <v>161.72</v>
      </c>
      <c r="M92" s="22" t="n">
        <v>18</v>
      </c>
      <c r="N92" s="22" t="n">
        <v>40</v>
      </c>
      <c r="O92" s="22" t="n">
        <v>154.3</v>
      </c>
      <c r="P92" s="23" t="n">
        <f aca="false">28.1</f>
        <v>28.1</v>
      </c>
      <c r="Q92" s="23" t="n">
        <f aca="false">166.29</f>
        <v>166.29</v>
      </c>
      <c r="R92" s="22" t="n">
        <v>16.6</v>
      </c>
      <c r="S92" s="22" t="n">
        <v>21.1</v>
      </c>
      <c r="T92" s="22" t="n">
        <v>665</v>
      </c>
      <c r="U92" s="24" t="s">
        <v>29</v>
      </c>
      <c r="V92" s="15"/>
      <c r="W92" s="16"/>
      <c r="X92" s="16"/>
      <c r="Y92" s="16"/>
    </row>
    <row r="93" customFormat="false" ht="14.15" hidden="false" customHeight="false" outlineLevel="0" collapsed="false">
      <c r="A93" s="9"/>
      <c r="B93" s="10"/>
      <c r="C93" s="10"/>
      <c r="D93" s="10"/>
      <c r="E93" s="10"/>
      <c r="F93" s="10"/>
      <c r="G93" s="10"/>
      <c r="H93" s="10"/>
      <c r="I93" s="25" t="n">
        <v>4</v>
      </c>
      <c r="J93" s="25" t="s">
        <v>46</v>
      </c>
      <c r="K93" s="26" t="n">
        <f aca="false">41.56</f>
        <v>41.56</v>
      </c>
      <c r="L93" s="26" t="n">
        <f aca="false">120.23</f>
        <v>120.23</v>
      </c>
      <c r="M93" s="25" t="n">
        <v>16</v>
      </c>
      <c r="N93" s="25" t="n">
        <v>30</v>
      </c>
      <c r="O93" s="25" t="n">
        <v>111.3</v>
      </c>
      <c r="P93" s="26" t="n">
        <f aca="false">27.31</f>
        <v>27.31</v>
      </c>
      <c r="Q93" s="26" t="n">
        <f aca="false">138.79</f>
        <v>138.79</v>
      </c>
      <c r="R93" s="25" t="n">
        <v>13</v>
      </c>
      <c r="S93" s="25" t="n">
        <v>19.6</v>
      </c>
      <c r="T93" s="25" t="n">
        <v>493</v>
      </c>
      <c r="U93" s="27" t="s">
        <v>29</v>
      </c>
      <c r="V93" s="21"/>
      <c r="W93" s="16"/>
      <c r="X93" s="16"/>
      <c r="Y93" s="16"/>
    </row>
    <row r="94" customFormat="false" ht="15.75" hidden="false" customHeight="true" outlineLevel="0" collapsed="false">
      <c r="A94" s="9" t="s">
        <v>43</v>
      </c>
      <c r="B94" s="10" t="s">
        <v>44</v>
      </c>
      <c r="C94" s="11" t="s">
        <v>68</v>
      </c>
      <c r="D94" s="10" t="s">
        <v>28</v>
      </c>
      <c r="E94" s="10" t="s">
        <v>28</v>
      </c>
      <c r="F94" s="10"/>
      <c r="G94" s="10" t="n">
        <v>19</v>
      </c>
      <c r="H94" s="10" t="n">
        <v>3.9</v>
      </c>
      <c r="I94" s="12" t="n">
        <v>1</v>
      </c>
      <c r="J94" s="12" t="s">
        <v>49</v>
      </c>
      <c r="K94" s="13" t="n">
        <f aca="false">44.44</f>
        <v>44.44</v>
      </c>
      <c r="L94" s="13" t="n">
        <f aca="false">129.61</f>
        <v>129.61</v>
      </c>
      <c r="M94" s="12" t="n">
        <v>18</v>
      </c>
      <c r="N94" s="12" t="n">
        <v>32</v>
      </c>
      <c r="O94" s="12" t="n">
        <v>121.1</v>
      </c>
      <c r="P94" s="13" t="n">
        <f aca="false">28.28</f>
        <v>28.28</v>
      </c>
      <c r="Q94" s="13" t="n">
        <f aca="false">144.43</f>
        <v>144.43</v>
      </c>
      <c r="R94" s="12" t="n">
        <v>15.7</v>
      </c>
      <c r="S94" s="12" t="n">
        <v>21.3</v>
      </c>
      <c r="T94" s="12" t="n">
        <v>501</v>
      </c>
      <c r="U94" s="14" t="s">
        <v>29</v>
      </c>
      <c r="V94" s="15"/>
      <c r="W94" s="16" t="str">
        <f aca="false">A94</f>
        <v>JB</v>
      </c>
      <c r="X94" s="17" t="e">
        <f aca="false">ifs(C94="","",X94="",NOW(),TRUE(),X94)</f>
        <v>#VALUE!</v>
      </c>
      <c r="Y94" s="17" t="e">
        <f aca="false">ifs(COUNTA(K94:U97)&lt;44,"",Y94="",NOW(),TRUE(),Y94)</f>
        <v>#VALUE!</v>
      </c>
    </row>
    <row r="95" customFormat="false" ht="14.15" hidden="false" customHeight="false" outlineLevel="0" collapsed="false">
      <c r="A95" s="9"/>
      <c r="B95" s="10"/>
      <c r="C95" s="10"/>
      <c r="D95" s="10"/>
      <c r="E95" s="10"/>
      <c r="F95" s="10"/>
      <c r="G95" s="10"/>
      <c r="H95" s="10"/>
      <c r="I95" s="18" t="n">
        <v>2</v>
      </c>
      <c r="J95" s="18" t="s">
        <v>49</v>
      </c>
      <c r="K95" s="19" t="n">
        <f aca="false">41.52</f>
        <v>41.52</v>
      </c>
      <c r="L95" s="19" t="n">
        <f aca="false">134.03</f>
        <v>134.03</v>
      </c>
      <c r="M95" s="18" t="n">
        <v>16</v>
      </c>
      <c r="N95" s="18" t="n">
        <v>30</v>
      </c>
      <c r="O95" s="18" t="n">
        <v>119.5</v>
      </c>
      <c r="P95" s="19" t="n">
        <f aca="false">26.63</f>
        <v>26.63</v>
      </c>
      <c r="Q95" s="19" t="n">
        <f aca="false">157.96</f>
        <v>157.96</v>
      </c>
      <c r="R95" s="18" t="n">
        <v>14.4</v>
      </c>
      <c r="S95" s="18" t="n">
        <v>21.7</v>
      </c>
      <c r="T95" s="18" t="n">
        <v>476</v>
      </c>
      <c r="U95" s="20" t="s">
        <v>29</v>
      </c>
      <c r="V95" s="21"/>
      <c r="W95" s="16"/>
      <c r="X95" s="16"/>
      <c r="Y95" s="16"/>
    </row>
    <row r="96" customFormat="false" ht="14.15" hidden="false" customHeight="false" outlineLevel="0" collapsed="false">
      <c r="A96" s="9"/>
      <c r="B96" s="10"/>
      <c r="C96" s="10"/>
      <c r="D96" s="10"/>
      <c r="E96" s="10"/>
      <c r="F96" s="10"/>
      <c r="G96" s="10"/>
      <c r="H96" s="10"/>
      <c r="I96" s="22" t="n">
        <v>3</v>
      </c>
      <c r="J96" s="22" t="s">
        <v>49</v>
      </c>
      <c r="K96" s="23" t="n">
        <f aca="false">43.32</f>
        <v>43.32</v>
      </c>
      <c r="L96" s="23" t="n">
        <f aca="false">152.45</f>
        <v>152.45</v>
      </c>
      <c r="M96" s="22" t="n">
        <v>14</v>
      </c>
      <c r="N96" s="22" t="n">
        <v>30</v>
      </c>
      <c r="O96" s="22" t="n">
        <v>136.8</v>
      </c>
      <c r="P96" s="23" t="n">
        <f aca="false">26.13</f>
        <v>26.13</v>
      </c>
      <c r="Q96" s="23" t="n">
        <f aca="false">163.38</f>
        <v>163.38</v>
      </c>
      <c r="R96" s="22" t="n">
        <v>16.5</v>
      </c>
      <c r="S96" s="22" t="n">
        <v>24.9</v>
      </c>
      <c r="T96" s="22" t="n">
        <v>486</v>
      </c>
      <c r="U96" s="24" t="s">
        <v>29</v>
      </c>
      <c r="V96" s="15"/>
      <c r="W96" s="16"/>
      <c r="X96" s="16"/>
      <c r="Y96" s="16"/>
    </row>
    <row r="97" customFormat="false" ht="14.15" hidden="false" customHeight="false" outlineLevel="0" collapsed="false">
      <c r="A97" s="9"/>
      <c r="B97" s="10"/>
      <c r="C97" s="10"/>
      <c r="D97" s="10"/>
      <c r="E97" s="10"/>
      <c r="F97" s="10"/>
      <c r="G97" s="10"/>
      <c r="H97" s="10"/>
      <c r="I97" s="25" t="n">
        <v>4</v>
      </c>
      <c r="J97" s="25" t="s">
        <v>49</v>
      </c>
      <c r="K97" s="26" t="n">
        <f aca="false">45.45</f>
        <v>45.45</v>
      </c>
      <c r="L97" s="26" t="n">
        <f aca="false">144.24</f>
        <v>144.24</v>
      </c>
      <c r="M97" s="25" t="n">
        <v>16</v>
      </c>
      <c r="N97" s="25" t="n">
        <v>34</v>
      </c>
      <c r="O97" s="25" t="n">
        <v>137.8</v>
      </c>
      <c r="P97" s="26" t="n">
        <f aca="false">28.36</f>
        <v>28.36</v>
      </c>
      <c r="Q97" s="26" t="n">
        <f aca="false">145.04</f>
        <v>145.04</v>
      </c>
      <c r="R97" s="25" t="n">
        <v>15.7</v>
      </c>
      <c r="S97" s="25" t="n">
        <v>24.6</v>
      </c>
      <c r="T97" s="25" t="n">
        <v>507</v>
      </c>
      <c r="U97" s="27" t="s">
        <v>29</v>
      </c>
      <c r="V97" s="21"/>
      <c r="W97" s="16"/>
      <c r="X97" s="16"/>
      <c r="Y97" s="16"/>
    </row>
    <row r="98" customFormat="false" ht="15.75" hidden="false" customHeight="true" outlineLevel="0" collapsed="false">
      <c r="A98" s="9" t="s">
        <v>43</v>
      </c>
      <c r="B98" s="10" t="s">
        <v>44</v>
      </c>
      <c r="C98" s="11" t="s">
        <v>69</v>
      </c>
      <c r="D98" s="10" t="s">
        <v>28</v>
      </c>
      <c r="E98" s="10" t="s">
        <v>28</v>
      </c>
      <c r="F98" s="10"/>
      <c r="G98" s="10" t="n">
        <v>32</v>
      </c>
      <c r="H98" s="10" t="n">
        <v>5.3</v>
      </c>
      <c r="I98" s="12" t="n">
        <v>1</v>
      </c>
      <c r="J98" s="12" t="s">
        <v>49</v>
      </c>
      <c r="K98" s="13" t="n">
        <f aca="false">36.04</f>
        <v>36.04</v>
      </c>
      <c r="L98" s="13" t="n">
        <f aca="false">119.61</f>
        <v>119.61</v>
      </c>
      <c r="M98" s="12" t="n">
        <v>14</v>
      </c>
      <c r="N98" s="12" t="n">
        <v>28</v>
      </c>
      <c r="O98" s="12" t="n">
        <v>68.6</v>
      </c>
      <c r="P98" s="13" t="n">
        <f aca="false">25.34</f>
        <v>25.34</v>
      </c>
      <c r="Q98" s="13" t="n">
        <f aca="false">125.55</f>
        <v>125.55</v>
      </c>
      <c r="R98" s="12" t="n">
        <v>9.2</v>
      </c>
      <c r="S98" s="12" t="n">
        <v>17.8</v>
      </c>
      <c r="T98" s="12" t="n">
        <v>347</v>
      </c>
      <c r="U98" s="14" t="s">
        <v>32</v>
      </c>
      <c r="V98" s="15"/>
      <c r="W98" s="16" t="str">
        <f aca="false">A98</f>
        <v>JB</v>
      </c>
      <c r="X98" s="17" t="e">
        <f aca="false">ifs(C98="","",X98="",NOW(),TRUE(),X98)</f>
        <v>#VALUE!</v>
      </c>
      <c r="Y98" s="17" t="e">
        <f aca="false">ifs(COUNTA(K98:U101)&lt;44,"",Y98="",NOW(),TRUE(),Y98)</f>
        <v>#VALUE!</v>
      </c>
    </row>
    <row r="99" customFormat="false" ht="14.15" hidden="false" customHeight="false" outlineLevel="0" collapsed="false">
      <c r="A99" s="9"/>
      <c r="B99" s="10"/>
      <c r="C99" s="10"/>
      <c r="D99" s="10"/>
      <c r="E99" s="10"/>
      <c r="F99" s="10"/>
      <c r="G99" s="10"/>
      <c r="H99" s="10"/>
      <c r="I99" s="18" t="n">
        <v>2</v>
      </c>
      <c r="J99" s="18" t="s">
        <v>49</v>
      </c>
      <c r="K99" s="19" t="n">
        <f aca="false">38.07</f>
        <v>38.07</v>
      </c>
      <c r="L99" s="19" t="n">
        <f aca="false">119.71</f>
        <v>119.71</v>
      </c>
      <c r="M99" s="18" t="n">
        <v>14</v>
      </c>
      <c r="N99" s="18" t="n">
        <v>30</v>
      </c>
      <c r="O99" s="18" t="n">
        <v>86.3</v>
      </c>
      <c r="P99" s="19" t="n">
        <f aca="false">27.08</f>
        <v>27.08</v>
      </c>
      <c r="Q99" s="19" t="n">
        <f aca="false">135.47</f>
        <v>135.47</v>
      </c>
      <c r="R99" s="18" t="n">
        <v>12.2</v>
      </c>
      <c r="S99" s="18" t="n">
        <v>18</v>
      </c>
      <c r="T99" s="18" t="n">
        <v>404</v>
      </c>
      <c r="U99" s="20" t="s">
        <v>32</v>
      </c>
      <c r="V99" s="21"/>
      <c r="W99" s="16"/>
      <c r="X99" s="16"/>
      <c r="Y99" s="16"/>
    </row>
    <row r="100" customFormat="false" ht="14.15" hidden="false" customHeight="false" outlineLevel="0" collapsed="false">
      <c r="A100" s="9"/>
      <c r="B100" s="10"/>
      <c r="C100" s="10"/>
      <c r="D100" s="10"/>
      <c r="E100" s="10"/>
      <c r="F100" s="10"/>
      <c r="G100" s="10"/>
      <c r="H100" s="10"/>
      <c r="I100" s="22" t="n">
        <v>3</v>
      </c>
      <c r="J100" s="22" t="s">
        <v>47</v>
      </c>
      <c r="K100" s="23" t="n">
        <f aca="false">38.97</f>
        <v>38.97</v>
      </c>
      <c r="L100" s="23" t="n">
        <f aca="false">109.24</f>
        <v>109.24</v>
      </c>
      <c r="M100" s="22" t="n">
        <v>14</v>
      </c>
      <c r="N100" s="22" t="n">
        <v>26</v>
      </c>
      <c r="O100" s="22" t="n">
        <v>85.9</v>
      </c>
      <c r="P100" s="23" t="n">
        <f aca="false">26.9</f>
        <v>26.9</v>
      </c>
      <c r="Q100" s="23" t="n">
        <f aca="false">109.64</f>
        <v>109.64</v>
      </c>
      <c r="R100" s="22" t="n">
        <v>12.3</v>
      </c>
      <c r="S100" s="22" t="n">
        <v>22.1</v>
      </c>
      <c r="T100" s="22" t="n">
        <v>336</v>
      </c>
      <c r="U100" s="24" t="s">
        <v>32</v>
      </c>
      <c r="V100" s="15"/>
      <c r="W100" s="16"/>
      <c r="X100" s="16"/>
      <c r="Y100" s="16"/>
    </row>
    <row r="101" customFormat="false" ht="14.15" hidden="false" customHeight="false" outlineLevel="0" collapsed="false">
      <c r="A101" s="9"/>
      <c r="B101" s="10"/>
      <c r="C101" s="10"/>
      <c r="D101" s="10"/>
      <c r="E101" s="10"/>
      <c r="F101" s="10"/>
      <c r="G101" s="10"/>
      <c r="H101" s="10"/>
      <c r="I101" s="25" t="n">
        <v>4</v>
      </c>
      <c r="J101" s="25" t="s">
        <v>35</v>
      </c>
      <c r="K101" s="26" t="n">
        <f aca="false">35.93</f>
        <v>35.93</v>
      </c>
      <c r="L101" s="26" t="n">
        <f aca="false">139.9</f>
        <v>139.9</v>
      </c>
      <c r="M101" s="25" t="n">
        <v>16</v>
      </c>
      <c r="N101" s="25" t="n">
        <v>30</v>
      </c>
      <c r="O101" s="25" t="n">
        <v>86.7</v>
      </c>
      <c r="P101" s="26" t="n">
        <f aca="false">25.31</f>
        <v>25.31</v>
      </c>
      <c r="Q101" s="26" t="n">
        <f aca="false">147.79</f>
        <v>147.79</v>
      </c>
      <c r="R101" s="25" t="n">
        <v>13.5</v>
      </c>
      <c r="S101" s="25" t="n">
        <v>16.9</v>
      </c>
      <c r="T101" s="25" t="n">
        <v>436</v>
      </c>
      <c r="U101" s="27" t="s">
        <v>32</v>
      </c>
      <c r="V101" s="21"/>
      <c r="W101" s="16"/>
      <c r="X101" s="16"/>
      <c r="Y101" s="16"/>
    </row>
    <row r="102" customFormat="false" ht="15.75" hidden="false" customHeight="true" outlineLevel="0" collapsed="false">
      <c r="A102" s="9" t="s">
        <v>43</v>
      </c>
      <c r="B102" s="10" t="s">
        <v>44</v>
      </c>
      <c r="C102" s="11" t="s">
        <v>70</v>
      </c>
      <c r="D102" s="10" t="s">
        <v>28</v>
      </c>
      <c r="E102" s="10" t="s">
        <v>28</v>
      </c>
      <c r="F102" s="10"/>
      <c r="G102" s="10" t="n">
        <v>4</v>
      </c>
      <c r="H102" s="10" t="n">
        <v>0.6</v>
      </c>
      <c r="I102" s="12" t="n">
        <v>1</v>
      </c>
      <c r="J102" s="12" t="s">
        <v>33</v>
      </c>
      <c r="K102" s="13" t="n">
        <f aca="false">40.36</f>
        <v>40.36</v>
      </c>
      <c r="L102" s="13" t="n">
        <f aca="false">128.93</f>
        <v>128.93</v>
      </c>
      <c r="M102" s="12" t="n">
        <v>14</v>
      </c>
      <c r="N102" s="12" t="n">
        <v>36</v>
      </c>
      <c r="O102" s="12" t="n">
        <v>110.1</v>
      </c>
      <c r="P102" s="13" t="n">
        <f aca="false">26.2</f>
        <v>26.2</v>
      </c>
      <c r="Q102" s="13" t="n">
        <f aca="false">141.91</f>
        <v>141.91</v>
      </c>
      <c r="R102" s="12" t="n">
        <v>20.9</v>
      </c>
      <c r="S102" s="12" t="n">
        <v>19</v>
      </c>
      <c r="T102" s="12" t="n">
        <v>486</v>
      </c>
      <c r="U102" s="14" t="s">
        <v>29</v>
      </c>
      <c r="V102" s="15"/>
      <c r="W102" s="16" t="str">
        <f aca="false">A102</f>
        <v>JB</v>
      </c>
      <c r="X102" s="17" t="e">
        <f aca="false">ifs(C102="","",X102="",NOW(),TRUE(),X102)</f>
        <v>#VALUE!</v>
      </c>
      <c r="Y102" s="17" t="e">
        <f aca="false">ifs(COUNTA(K102:U105)&lt;44,"",Y102="",NOW(),TRUE(),Y102)</f>
        <v>#VALUE!</v>
      </c>
    </row>
    <row r="103" customFormat="false" ht="14.15" hidden="false" customHeight="false" outlineLevel="0" collapsed="false">
      <c r="A103" s="9"/>
      <c r="B103" s="10"/>
      <c r="C103" s="10"/>
      <c r="D103" s="10"/>
      <c r="E103" s="10"/>
      <c r="F103" s="10"/>
      <c r="G103" s="10"/>
      <c r="H103" s="10"/>
      <c r="I103" s="18" t="n">
        <v>2</v>
      </c>
      <c r="J103" s="18" t="s">
        <v>46</v>
      </c>
      <c r="K103" s="19" t="n">
        <f aca="false">38.73</f>
        <v>38.73</v>
      </c>
      <c r="L103" s="19" t="n">
        <f aca="false">122.85</f>
        <v>122.85</v>
      </c>
      <c r="M103" s="18" t="n">
        <v>12</v>
      </c>
      <c r="N103" s="18" t="n">
        <v>36</v>
      </c>
      <c r="O103" s="18" t="n">
        <v>98.3</v>
      </c>
      <c r="P103" s="19" t="n">
        <f aca="false">26.03</f>
        <v>26.03</v>
      </c>
      <c r="Q103" s="19" t="n">
        <f aca="false">149.63</f>
        <v>149.63</v>
      </c>
      <c r="R103" s="18" t="n">
        <v>19.4</v>
      </c>
      <c r="S103" s="18" t="n">
        <v>19.1</v>
      </c>
      <c r="T103" s="18" t="n">
        <v>413</v>
      </c>
      <c r="U103" s="20" t="s">
        <v>29</v>
      </c>
      <c r="V103" s="21"/>
      <c r="W103" s="16"/>
      <c r="X103" s="16"/>
      <c r="Y103" s="16"/>
    </row>
    <row r="104" customFormat="false" ht="14.15" hidden="false" customHeight="false" outlineLevel="0" collapsed="false">
      <c r="A104" s="9"/>
      <c r="B104" s="10"/>
      <c r="C104" s="10"/>
      <c r="D104" s="10"/>
      <c r="E104" s="10"/>
      <c r="F104" s="10"/>
      <c r="G104" s="10"/>
      <c r="H104" s="10"/>
      <c r="I104" s="22" t="n">
        <v>3</v>
      </c>
      <c r="J104" s="22" t="s">
        <v>46</v>
      </c>
      <c r="K104" s="23" t="n">
        <f aca="false">39.41</f>
        <v>39.41</v>
      </c>
      <c r="L104" s="23" t="n">
        <f aca="false">122.81</f>
        <v>122.81</v>
      </c>
      <c r="M104" s="22" t="n">
        <v>14</v>
      </c>
      <c r="N104" s="22" t="n">
        <v>34</v>
      </c>
      <c r="O104" s="22" t="n">
        <v>84.3</v>
      </c>
      <c r="P104" s="23" t="n">
        <f aca="false">24.65</f>
        <v>24.65</v>
      </c>
      <c r="Q104" s="23" t="n">
        <f aca="false">133.66</f>
        <v>133.66</v>
      </c>
      <c r="R104" s="22" t="n">
        <v>16</v>
      </c>
      <c r="S104" s="22" t="n">
        <v>17.9</v>
      </c>
      <c r="T104" s="22" t="n">
        <v>376</v>
      </c>
      <c r="U104" s="24" t="s">
        <v>29</v>
      </c>
      <c r="V104" s="15"/>
      <c r="W104" s="16"/>
      <c r="X104" s="16"/>
      <c r="Y104" s="16"/>
    </row>
    <row r="105" customFormat="false" ht="14.15" hidden="false" customHeight="false" outlineLevel="0" collapsed="false">
      <c r="A105" s="9"/>
      <c r="B105" s="10"/>
      <c r="C105" s="10"/>
      <c r="D105" s="10"/>
      <c r="E105" s="10"/>
      <c r="F105" s="10"/>
      <c r="G105" s="10"/>
      <c r="H105" s="10"/>
      <c r="I105" s="25" t="n">
        <v>4</v>
      </c>
      <c r="J105" s="25" t="s">
        <v>49</v>
      </c>
      <c r="K105" s="26" t="n">
        <f aca="false">37.72</f>
        <v>37.72</v>
      </c>
      <c r="L105" s="26" t="n">
        <f aca="false">102.61</f>
        <v>102.61</v>
      </c>
      <c r="M105" s="25" t="n">
        <v>14</v>
      </c>
      <c r="N105" s="25" t="n">
        <v>32</v>
      </c>
      <c r="O105" s="25" t="n">
        <v>71.8</v>
      </c>
      <c r="P105" s="26" t="n">
        <f aca="false">28.8</f>
        <v>28.8</v>
      </c>
      <c r="Q105" s="26" t="n">
        <f aca="false">117.28</f>
        <v>117.28</v>
      </c>
      <c r="R105" s="25" t="n">
        <v>17.2</v>
      </c>
      <c r="S105" s="25" t="n">
        <v>15.7</v>
      </c>
      <c r="T105" s="25" t="n">
        <v>347</v>
      </c>
      <c r="U105" s="27" t="s">
        <v>29</v>
      </c>
      <c r="V105" s="21"/>
      <c r="W105" s="16"/>
      <c r="X105" s="16"/>
      <c r="Y105" s="16"/>
    </row>
    <row r="106" customFormat="false" ht="15.75" hidden="false" customHeight="true" outlineLevel="0" collapsed="false">
      <c r="A106" s="9" t="s">
        <v>43</v>
      </c>
      <c r="B106" s="10" t="s">
        <v>44</v>
      </c>
      <c r="C106" s="11" t="s">
        <v>71</v>
      </c>
      <c r="D106" s="10" t="s">
        <v>28</v>
      </c>
      <c r="E106" s="10" t="s">
        <v>28</v>
      </c>
      <c r="F106" s="10"/>
      <c r="G106" s="10" t="n">
        <v>20</v>
      </c>
      <c r="H106" s="10" t="n">
        <v>3</v>
      </c>
      <c r="I106" s="12" t="n">
        <v>1</v>
      </c>
      <c r="J106" s="12" t="s">
        <v>35</v>
      </c>
      <c r="K106" s="13" t="n">
        <f aca="false">44.86</f>
        <v>44.86</v>
      </c>
      <c r="L106" s="13" t="n">
        <f aca="false">137.87</f>
        <v>137.87</v>
      </c>
      <c r="M106" s="12" t="n">
        <v>18</v>
      </c>
      <c r="N106" s="12" t="n">
        <v>34</v>
      </c>
      <c r="O106" s="12" t="n">
        <v>125.3</v>
      </c>
      <c r="P106" s="13" t="n">
        <f aca="false">28.34</f>
        <v>28.34</v>
      </c>
      <c r="Q106" s="13" t="n">
        <f aca="false">134.94</f>
        <v>134.94</v>
      </c>
      <c r="R106" s="12" t="n">
        <v>14.1</v>
      </c>
      <c r="S106" s="12" t="n">
        <v>20.8</v>
      </c>
      <c r="T106" s="12" t="n">
        <v>544</v>
      </c>
      <c r="U106" s="14" t="s">
        <v>29</v>
      </c>
      <c r="V106" s="15"/>
      <c r="W106" s="16" t="str">
        <f aca="false">A106</f>
        <v>JB</v>
      </c>
      <c r="X106" s="17" t="e">
        <f aca="false">ifs(C106="","",X106="",NOW(),TRUE(),X106)</f>
        <v>#VALUE!</v>
      </c>
      <c r="Y106" s="17" t="e">
        <f aca="false">ifs(COUNTA(K106:U109)&lt;44,"",Y106="",NOW(),TRUE(),Y106)</f>
        <v>#VALUE!</v>
      </c>
    </row>
    <row r="107" customFormat="false" ht="14.15" hidden="false" customHeight="false" outlineLevel="0" collapsed="false">
      <c r="A107" s="9"/>
      <c r="B107" s="10"/>
      <c r="C107" s="10"/>
      <c r="D107" s="10"/>
      <c r="E107" s="10"/>
      <c r="F107" s="10"/>
      <c r="G107" s="10"/>
      <c r="H107" s="10"/>
      <c r="I107" s="18" t="n">
        <v>2</v>
      </c>
      <c r="J107" s="18" t="s">
        <v>49</v>
      </c>
      <c r="K107" s="19" t="n">
        <f aca="false">45.7</f>
        <v>45.7</v>
      </c>
      <c r="L107" s="19" t="n">
        <f aca="false">137.79</f>
        <v>137.79</v>
      </c>
      <c r="M107" s="18" t="n">
        <v>16</v>
      </c>
      <c r="N107" s="18" t="n">
        <v>36</v>
      </c>
      <c r="O107" s="18" t="n">
        <v>131</v>
      </c>
      <c r="P107" s="19" t="n">
        <f aca="false">28.11</f>
        <v>28.11</v>
      </c>
      <c r="Q107" s="19" t="n">
        <f aca="false">140.12</f>
        <v>140.12</v>
      </c>
      <c r="R107" s="18" t="n">
        <v>16.1</v>
      </c>
      <c r="S107" s="18" t="n">
        <v>21.3</v>
      </c>
      <c r="T107" s="18" t="n">
        <v>546</v>
      </c>
      <c r="U107" s="20" t="s">
        <v>29</v>
      </c>
      <c r="V107" s="21"/>
      <c r="W107" s="16"/>
      <c r="X107" s="16"/>
      <c r="Y107" s="16"/>
    </row>
    <row r="108" customFormat="false" ht="14.15" hidden="false" customHeight="false" outlineLevel="0" collapsed="false">
      <c r="A108" s="9"/>
      <c r="B108" s="10"/>
      <c r="C108" s="10"/>
      <c r="D108" s="10"/>
      <c r="E108" s="10"/>
      <c r="F108" s="10"/>
      <c r="G108" s="10"/>
      <c r="H108" s="10"/>
      <c r="I108" s="22" t="n">
        <v>3</v>
      </c>
      <c r="J108" s="22" t="s">
        <v>49</v>
      </c>
      <c r="K108" s="23" t="n">
        <f aca="false">46.6</f>
        <v>46.6</v>
      </c>
      <c r="L108" s="23" t="n">
        <f aca="false">123.75</f>
        <v>123.75</v>
      </c>
      <c r="M108" s="22" t="n">
        <v>22</v>
      </c>
      <c r="N108" s="22" t="n">
        <v>32</v>
      </c>
      <c r="O108" s="22" t="n">
        <v>124</v>
      </c>
      <c r="P108" s="23" t="n">
        <f aca="false">29.14</f>
        <v>29.14</v>
      </c>
      <c r="Q108" s="23" t="n">
        <f aca="false">124.72</f>
        <v>124.72</v>
      </c>
      <c r="R108" s="22" t="n">
        <v>14.5</v>
      </c>
      <c r="S108" s="22" t="n">
        <v>17.7</v>
      </c>
      <c r="T108" s="22" t="n">
        <v>634</v>
      </c>
      <c r="U108" s="24" t="s">
        <v>29</v>
      </c>
      <c r="V108" s="15"/>
      <c r="W108" s="16"/>
      <c r="X108" s="16"/>
      <c r="Y108" s="16"/>
    </row>
    <row r="109" customFormat="false" ht="14.15" hidden="false" customHeight="false" outlineLevel="0" collapsed="false">
      <c r="A109" s="9"/>
      <c r="B109" s="10"/>
      <c r="C109" s="10"/>
      <c r="D109" s="10"/>
      <c r="E109" s="10"/>
      <c r="F109" s="10"/>
      <c r="G109" s="10"/>
      <c r="H109" s="10"/>
      <c r="I109" s="25" t="n">
        <v>4</v>
      </c>
      <c r="J109" s="25" t="s">
        <v>33</v>
      </c>
      <c r="K109" s="26" t="n">
        <f aca="false">45.38</f>
        <v>45.38</v>
      </c>
      <c r="L109" s="26" t="n">
        <f aca="false">147.34</f>
        <v>147.34</v>
      </c>
      <c r="M109" s="25" t="n">
        <v>14</v>
      </c>
      <c r="N109" s="25" t="n">
        <v>36</v>
      </c>
      <c r="O109" s="25" t="n">
        <v>137.2</v>
      </c>
      <c r="P109" s="26" t="n">
        <f aca="false">27.78</f>
        <v>27.78</v>
      </c>
      <c r="Q109" s="26" t="n">
        <f aca="false">149.08</f>
        <v>149.08</v>
      </c>
      <c r="R109" s="25" t="n">
        <v>17.9</v>
      </c>
      <c r="S109" s="25" t="n">
        <v>23.3</v>
      </c>
      <c r="T109" s="25" t="n">
        <v>518</v>
      </c>
      <c r="U109" s="27" t="s">
        <v>29</v>
      </c>
      <c r="V109" s="21"/>
      <c r="W109" s="16"/>
      <c r="X109" s="16"/>
      <c r="Y109" s="16"/>
    </row>
    <row r="110" customFormat="false" ht="15.75" hidden="false" customHeight="true" outlineLevel="0" collapsed="false">
      <c r="A110" s="9" t="s">
        <v>43</v>
      </c>
      <c r="B110" s="10" t="s">
        <v>44</v>
      </c>
      <c r="C110" s="11" t="s">
        <v>72</v>
      </c>
      <c r="D110" s="10" t="s">
        <v>28</v>
      </c>
      <c r="E110" s="10" t="s">
        <v>73</v>
      </c>
      <c r="F110" s="10" t="s">
        <v>74</v>
      </c>
      <c r="G110" s="10" t="n">
        <v>7</v>
      </c>
      <c r="H110" s="10" t="n">
        <v>1.5</v>
      </c>
      <c r="I110" s="12" t="n">
        <v>1</v>
      </c>
      <c r="J110" s="12" t="s">
        <v>49</v>
      </c>
      <c r="K110" s="13" t="n">
        <f aca="false">45.3</f>
        <v>45.3</v>
      </c>
      <c r="L110" s="13" t="n">
        <f aca="false">175.36</f>
        <v>175.36</v>
      </c>
      <c r="M110" s="12" t="n">
        <v>16</v>
      </c>
      <c r="N110" s="12" t="n">
        <v>42</v>
      </c>
      <c r="O110" s="12" t="n">
        <v>182.8</v>
      </c>
      <c r="P110" s="13" t="n">
        <f aca="false">29.13</f>
        <v>29.13</v>
      </c>
      <c r="Q110" s="13" t="n">
        <f aca="false">187.03</f>
        <v>187.03</v>
      </c>
      <c r="R110" s="12" t="n">
        <v>27.1</v>
      </c>
      <c r="S110" s="12" t="n">
        <v>24.3</v>
      </c>
      <c r="T110" s="12" t="n">
        <v>632</v>
      </c>
      <c r="U110" s="14" t="s">
        <v>32</v>
      </c>
      <c r="V110" s="15"/>
      <c r="W110" s="16" t="str">
        <f aca="false">A110</f>
        <v>JB</v>
      </c>
      <c r="X110" s="17" t="e">
        <f aca="false">ifs(C110="","",X110="",NOW(),TRUE(),X110)</f>
        <v>#VALUE!</v>
      </c>
      <c r="Y110" s="17" t="e">
        <f aca="false">ifs(COUNTA(K110:U113)&lt;44,"",Y110="",NOW(),TRUE(),Y110)</f>
        <v>#VALUE!</v>
      </c>
    </row>
    <row r="111" customFormat="false" ht="14.15" hidden="false" customHeight="false" outlineLevel="0" collapsed="false">
      <c r="A111" s="9"/>
      <c r="B111" s="10"/>
      <c r="C111" s="10"/>
      <c r="D111" s="10"/>
      <c r="E111" s="10"/>
      <c r="F111" s="10"/>
      <c r="G111" s="10"/>
      <c r="H111" s="10"/>
      <c r="I111" s="18" t="n">
        <v>2</v>
      </c>
      <c r="J111" s="18" t="s">
        <v>35</v>
      </c>
      <c r="K111" s="19" t="n">
        <f aca="false">46.45</f>
        <v>46.45</v>
      </c>
      <c r="L111" s="19" t="n">
        <f aca="false">162.59</f>
        <v>162.59</v>
      </c>
      <c r="M111" s="18" t="n">
        <v>18</v>
      </c>
      <c r="N111" s="18" t="n">
        <v>38</v>
      </c>
      <c r="O111" s="18" t="n">
        <v>127.6</v>
      </c>
      <c r="P111" s="19" t="n">
        <f aca="false">31.7</f>
        <v>31.7</v>
      </c>
      <c r="Q111" s="19" t="n">
        <f aca="false">172.37</f>
        <v>172.37</v>
      </c>
      <c r="R111" s="18" t="n">
        <v>29.8</v>
      </c>
      <c r="S111" s="18" t="n">
        <v>18.1</v>
      </c>
      <c r="T111" s="18" t="n">
        <v>554</v>
      </c>
      <c r="U111" s="20" t="s">
        <v>32</v>
      </c>
      <c r="V111" s="21"/>
      <c r="W111" s="16"/>
      <c r="X111" s="16"/>
      <c r="Y111" s="16"/>
    </row>
    <row r="112" customFormat="false" ht="13.8" hidden="false" customHeight="false" outlineLevel="0" collapsed="false">
      <c r="A112" s="9"/>
      <c r="B112" s="10"/>
      <c r="C112" s="10"/>
      <c r="D112" s="10"/>
      <c r="E112" s="10"/>
      <c r="F112" s="10"/>
      <c r="G112" s="10"/>
      <c r="H112" s="10"/>
      <c r="I112" s="22" t="n">
        <v>3</v>
      </c>
      <c r="J112" s="22"/>
      <c r="K112" s="23"/>
      <c r="L112" s="23"/>
      <c r="M112" s="22"/>
      <c r="N112" s="22"/>
      <c r="O112" s="22"/>
      <c r="P112" s="23"/>
      <c r="Q112" s="23"/>
      <c r="R112" s="22"/>
      <c r="S112" s="22"/>
      <c r="T112" s="22"/>
      <c r="U112" s="24"/>
      <c r="V112" s="15"/>
      <c r="W112" s="16"/>
      <c r="X112" s="16"/>
      <c r="Y112" s="16"/>
    </row>
    <row r="113" customFormat="false" ht="13.8" hidden="false" customHeight="false" outlineLevel="0" collapsed="false">
      <c r="A113" s="9"/>
      <c r="B113" s="10"/>
      <c r="C113" s="10"/>
      <c r="D113" s="10"/>
      <c r="E113" s="10"/>
      <c r="F113" s="10"/>
      <c r="G113" s="10"/>
      <c r="H113" s="10"/>
      <c r="I113" s="25" t="n">
        <v>4</v>
      </c>
      <c r="J113" s="25"/>
      <c r="K113" s="26"/>
      <c r="L113" s="26"/>
      <c r="M113" s="25"/>
      <c r="N113" s="25"/>
      <c r="O113" s="25"/>
      <c r="P113" s="26"/>
      <c r="Q113" s="26"/>
      <c r="R113" s="25"/>
      <c r="S113" s="25"/>
      <c r="T113" s="25"/>
      <c r="U113" s="27"/>
      <c r="V113" s="21"/>
      <c r="W113" s="16"/>
      <c r="X113" s="16"/>
      <c r="Y113" s="16"/>
    </row>
    <row r="114" customFormat="false" ht="15.75" hidden="false" customHeight="true" outlineLevel="0" collapsed="false">
      <c r="A114" s="9" t="s">
        <v>43</v>
      </c>
      <c r="B114" s="10" t="s">
        <v>44</v>
      </c>
      <c r="C114" s="11" t="s">
        <v>75</v>
      </c>
      <c r="D114" s="10" t="s">
        <v>28</v>
      </c>
      <c r="E114" s="10" t="s">
        <v>28</v>
      </c>
      <c r="F114" s="10"/>
      <c r="G114" s="10" t="n">
        <v>44</v>
      </c>
      <c r="H114" s="10" t="n">
        <v>9.3</v>
      </c>
      <c r="I114" s="12" t="n">
        <v>1</v>
      </c>
      <c r="J114" s="12" t="s">
        <v>49</v>
      </c>
      <c r="K114" s="13" t="n">
        <f aca="false">44.42</f>
        <v>44.42</v>
      </c>
      <c r="L114" s="13" t="n">
        <f aca="false">138.81</f>
        <v>138.81</v>
      </c>
      <c r="M114" s="12" t="n">
        <v>18</v>
      </c>
      <c r="N114" s="12" t="n">
        <v>36</v>
      </c>
      <c r="O114" s="12" t="n">
        <v>142.1</v>
      </c>
      <c r="P114" s="13" t="n">
        <f aca="false">27.45</f>
        <v>27.45</v>
      </c>
      <c r="Q114" s="13" t="n">
        <f aca="false">145.3</f>
        <v>145.3</v>
      </c>
      <c r="R114" s="12" t="n">
        <v>20.9</v>
      </c>
      <c r="S114" s="12" t="n">
        <v>20.5</v>
      </c>
      <c r="T114" s="12" t="n">
        <v>599</v>
      </c>
      <c r="U114" s="14" t="s">
        <v>29</v>
      </c>
      <c r="V114" s="15"/>
      <c r="W114" s="16" t="str">
        <f aca="false">A114</f>
        <v>JB</v>
      </c>
      <c r="X114" s="17" t="e">
        <f aca="false">ifs(C114="","",X114="",NOW(),TRUE(),X114)</f>
        <v>#VALUE!</v>
      </c>
      <c r="Y114" s="17" t="e">
        <f aca="false">ifs(COUNTA(K114:U117)&lt;44,"",Y114="",NOW(),TRUE(),Y114)</f>
        <v>#VALUE!</v>
      </c>
    </row>
    <row r="115" customFormat="false" ht="14.15" hidden="false" customHeight="false" outlineLevel="0" collapsed="false">
      <c r="A115" s="9"/>
      <c r="B115" s="10"/>
      <c r="C115" s="10"/>
      <c r="D115" s="10"/>
      <c r="E115" s="10"/>
      <c r="F115" s="10"/>
      <c r="G115" s="10"/>
      <c r="H115" s="10"/>
      <c r="I115" s="18" t="n">
        <v>2</v>
      </c>
      <c r="J115" s="18" t="s">
        <v>33</v>
      </c>
      <c r="K115" s="19" t="n">
        <f aca="false">43.15</f>
        <v>43.15</v>
      </c>
      <c r="L115" s="19" t="n">
        <f aca="false">133.21</f>
        <v>133.21</v>
      </c>
      <c r="M115" s="18" t="n">
        <v>16</v>
      </c>
      <c r="N115" s="18" t="n">
        <v>36</v>
      </c>
      <c r="O115" s="18" t="n">
        <v>123.9</v>
      </c>
      <c r="P115" s="19" t="n">
        <f aca="false">28.92</f>
        <v>28.92</v>
      </c>
      <c r="Q115" s="19" t="n">
        <f aca="false">144.34</f>
        <v>144.34</v>
      </c>
      <c r="R115" s="18" t="n">
        <v>20.2</v>
      </c>
      <c r="S115" s="18" t="n">
        <v>19.9</v>
      </c>
      <c r="T115" s="18" t="n">
        <v>510</v>
      </c>
      <c r="U115" s="20" t="s">
        <v>29</v>
      </c>
      <c r="V115" s="21"/>
      <c r="W115" s="16"/>
      <c r="X115" s="16"/>
      <c r="Y115" s="16"/>
    </row>
    <row r="116" customFormat="false" ht="14.15" hidden="false" customHeight="false" outlineLevel="0" collapsed="false">
      <c r="A116" s="9"/>
      <c r="B116" s="10"/>
      <c r="C116" s="10"/>
      <c r="D116" s="10"/>
      <c r="E116" s="10"/>
      <c r="F116" s="10"/>
      <c r="G116" s="10"/>
      <c r="H116" s="10"/>
      <c r="I116" s="22" t="n">
        <v>3</v>
      </c>
      <c r="J116" s="22" t="s">
        <v>49</v>
      </c>
      <c r="K116" s="23" t="n">
        <f aca="false">44.42</f>
        <v>44.42</v>
      </c>
      <c r="L116" s="23" t="n">
        <f aca="false">142.92</f>
        <v>142.92</v>
      </c>
      <c r="M116" s="22" t="n">
        <v>18</v>
      </c>
      <c r="N116" s="22" t="n">
        <v>34</v>
      </c>
      <c r="O116" s="22" t="n">
        <v>140.8</v>
      </c>
      <c r="P116" s="23" t="n">
        <f aca="false">26.19</f>
        <v>26.19</v>
      </c>
      <c r="Q116" s="23" t="n">
        <f aca="false">144.41</f>
        <v>144.41</v>
      </c>
      <c r="R116" s="22" t="n">
        <v>22</v>
      </c>
      <c r="S116" s="22" t="n">
        <v>19.4</v>
      </c>
      <c r="T116" s="22" t="n">
        <v>617</v>
      </c>
      <c r="U116" s="24" t="s">
        <v>29</v>
      </c>
      <c r="V116" s="15"/>
      <c r="W116" s="16"/>
      <c r="X116" s="16"/>
      <c r="Y116" s="16"/>
    </row>
    <row r="117" customFormat="false" ht="14.15" hidden="false" customHeight="false" outlineLevel="0" collapsed="false">
      <c r="A117" s="9"/>
      <c r="B117" s="10"/>
      <c r="C117" s="10"/>
      <c r="D117" s="10"/>
      <c r="E117" s="10"/>
      <c r="F117" s="10"/>
      <c r="G117" s="10"/>
      <c r="H117" s="10"/>
      <c r="I117" s="25" t="n">
        <v>4</v>
      </c>
      <c r="J117" s="25" t="s">
        <v>49</v>
      </c>
      <c r="K117" s="26" t="n">
        <f aca="false">43.74</f>
        <v>43.74</v>
      </c>
      <c r="L117" s="26" t="n">
        <f aca="false">147.69</f>
        <v>147.69</v>
      </c>
      <c r="M117" s="25" t="n">
        <v>16</v>
      </c>
      <c r="N117" s="25" t="n">
        <v>38</v>
      </c>
      <c r="O117" s="25" t="n">
        <v>158.3</v>
      </c>
      <c r="P117" s="26" t="n">
        <f aca="false">25.74</f>
        <v>25.74</v>
      </c>
      <c r="Q117" s="26" t="n">
        <f aca="false">150.95</f>
        <v>150.95</v>
      </c>
      <c r="R117" s="25" t="n">
        <v>22</v>
      </c>
      <c r="S117" s="25" t="n">
        <v>21.9</v>
      </c>
      <c r="T117" s="25" t="n">
        <v>614</v>
      </c>
      <c r="U117" s="27" t="s">
        <v>29</v>
      </c>
      <c r="V117" s="21"/>
      <c r="W117" s="16"/>
      <c r="X117" s="16"/>
      <c r="Y117" s="16"/>
    </row>
    <row r="118" customFormat="false" ht="15.75" hidden="false" customHeight="true" outlineLevel="0" collapsed="false">
      <c r="A118" s="9" t="s">
        <v>25</v>
      </c>
      <c r="B118" s="10" t="s">
        <v>26</v>
      </c>
      <c r="C118" s="11" t="s">
        <v>76</v>
      </c>
      <c r="D118" s="10" t="s">
        <v>28</v>
      </c>
      <c r="E118" s="10" t="s">
        <v>28</v>
      </c>
      <c r="F118" s="10"/>
      <c r="G118" s="10" t="n">
        <v>7</v>
      </c>
      <c r="H118" s="10" t="n">
        <v>2</v>
      </c>
      <c r="I118" s="12" t="n">
        <v>1</v>
      </c>
      <c r="J118" s="12"/>
      <c r="K118" s="13" t="n">
        <f aca="false">40.43</f>
        <v>40.43</v>
      </c>
      <c r="L118" s="13" t="n">
        <f aca="false">143.54</f>
        <v>143.54</v>
      </c>
      <c r="M118" s="12" t="n">
        <v>14</v>
      </c>
      <c r="N118" s="12" t="n">
        <v>36</v>
      </c>
      <c r="O118" s="12" t="n">
        <v>139.55</v>
      </c>
      <c r="P118" s="13" t="n">
        <f aca="false">25.18</f>
        <v>25.18</v>
      </c>
      <c r="Q118" s="13" t="n">
        <f aca="false">163.24</f>
        <v>163.24</v>
      </c>
      <c r="R118" s="12" t="n">
        <v>21.45</v>
      </c>
      <c r="S118" s="12" t="n">
        <v>23.4</v>
      </c>
      <c r="T118" s="12" t="n">
        <v>496</v>
      </c>
      <c r="U118" s="14" t="s">
        <v>29</v>
      </c>
      <c r="V118" s="15"/>
      <c r="W118" s="16" t="str">
        <f aca="false">A118</f>
        <v>KL</v>
      </c>
      <c r="X118" s="17" t="e">
        <f aca="false">ifs(C118="","",X118="",NOW(),TRUE(),X118)</f>
        <v>#VALUE!</v>
      </c>
      <c r="Y118" s="17" t="e">
        <f aca="false">ifs(COUNTA(K118:U121)&lt;44,"",Y118="",NOW(),TRUE(),Y118)</f>
        <v>#VALUE!</v>
      </c>
    </row>
    <row r="119" customFormat="false" ht="14.15" hidden="false" customHeight="false" outlineLevel="0" collapsed="false">
      <c r="A119" s="9"/>
      <c r="B119" s="10"/>
      <c r="C119" s="10"/>
      <c r="D119" s="10"/>
      <c r="E119" s="10"/>
      <c r="F119" s="10"/>
      <c r="G119" s="10"/>
      <c r="H119" s="10"/>
      <c r="I119" s="18" t="n">
        <v>2</v>
      </c>
      <c r="J119" s="18"/>
      <c r="K119" s="19" t="n">
        <f aca="false">39.69</f>
        <v>39.69</v>
      </c>
      <c r="L119" s="19" t="n">
        <f aca="false">152.87</f>
        <v>152.87</v>
      </c>
      <c r="M119" s="18" t="n">
        <v>14</v>
      </c>
      <c r="N119" s="18" t="n">
        <v>36</v>
      </c>
      <c r="O119" s="18" t="n">
        <v>142.45</v>
      </c>
      <c r="P119" s="19" t="n">
        <f aca="false">24.86</f>
        <v>24.86</v>
      </c>
      <c r="Q119" s="19" t="n">
        <f aca="false">169.65</f>
        <v>169.65</v>
      </c>
      <c r="R119" s="18" t="n">
        <v>22.45</v>
      </c>
      <c r="S119" s="18" t="n">
        <v>25</v>
      </c>
      <c r="T119" s="18" t="n">
        <v>499</v>
      </c>
      <c r="U119" s="20" t="s">
        <v>29</v>
      </c>
      <c r="V119" s="21"/>
      <c r="W119" s="16"/>
      <c r="X119" s="16"/>
      <c r="Y119" s="16"/>
    </row>
    <row r="120" customFormat="false" ht="14.15" hidden="false" customHeight="false" outlineLevel="0" collapsed="false">
      <c r="A120" s="9"/>
      <c r="B120" s="10"/>
      <c r="C120" s="10"/>
      <c r="D120" s="10"/>
      <c r="E120" s="10"/>
      <c r="F120" s="10"/>
      <c r="G120" s="10"/>
      <c r="H120" s="10"/>
      <c r="I120" s="22" t="n">
        <v>3</v>
      </c>
      <c r="J120" s="22"/>
      <c r="K120" s="23" t="n">
        <f aca="false">40.22</f>
        <v>40.22</v>
      </c>
      <c r="L120" s="23" t="n">
        <f aca="false">142.14</f>
        <v>142.14</v>
      </c>
      <c r="M120" s="22" t="n">
        <v>14</v>
      </c>
      <c r="N120" s="22" t="n">
        <v>36</v>
      </c>
      <c r="O120" s="22" t="n">
        <v>132.75</v>
      </c>
      <c r="P120" s="23" t="n">
        <f aca="false">24.53</f>
        <v>24.53</v>
      </c>
      <c r="Q120" s="23" t="n">
        <f aca="false">172.25</f>
        <v>172.25</v>
      </c>
      <c r="R120" s="22" t="n">
        <v>21.15</v>
      </c>
      <c r="S120" s="22" t="n">
        <v>22.95</v>
      </c>
      <c r="T120" s="22" t="n">
        <v>478</v>
      </c>
      <c r="U120" s="24" t="s">
        <v>29</v>
      </c>
      <c r="V120" s="15"/>
      <c r="W120" s="16"/>
      <c r="X120" s="16"/>
      <c r="Y120" s="16"/>
    </row>
    <row r="121" customFormat="false" ht="14.15" hidden="false" customHeight="false" outlineLevel="0" collapsed="false">
      <c r="A121" s="9"/>
      <c r="B121" s="10"/>
      <c r="C121" s="10"/>
      <c r="D121" s="10"/>
      <c r="E121" s="10"/>
      <c r="F121" s="10"/>
      <c r="G121" s="10"/>
      <c r="H121" s="10"/>
      <c r="I121" s="25" t="n">
        <v>4</v>
      </c>
      <c r="J121" s="25"/>
      <c r="K121" s="26" t="n">
        <f aca="false">36.19</f>
        <v>36.19</v>
      </c>
      <c r="L121" s="26" t="n">
        <f aca="false">127.59</f>
        <v>127.59</v>
      </c>
      <c r="M121" s="25" t="n">
        <v>16</v>
      </c>
      <c r="N121" s="25" t="n">
        <v>28</v>
      </c>
      <c r="O121" s="25" t="n">
        <v>89.25</v>
      </c>
      <c r="P121" s="26" t="n">
        <f aca="false">24.13</f>
        <v>24.13</v>
      </c>
      <c r="Q121" s="26" t="n">
        <f aca="false">149.76</f>
        <v>149.76</v>
      </c>
      <c r="R121" s="25" t="n">
        <v>16.55</v>
      </c>
      <c r="S121" s="25" t="n">
        <v>17.95</v>
      </c>
      <c r="T121" s="25" t="n">
        <v>414</v>
      </c>
      <c r="U121" s="27" t="s">
        <v>29</v>
      </c>
      <c r="V121" s="21"/>
      <c r="W121" s="16"/>
      <c r="X121" s="16"/>
      <c r="Y121" s="16"/>
    </row>
    <row r="122" customFormat="false" ht="15.75" hidden="false" customHeight="true" outlineLevel="0" collapsed="false">
      <c r="A122" s="9" t="s">
        <v>25</v>
      </c>
      <c r="B122" s="10" t="s">
        <v>26</v>
      </c>
      <c r="C122" s="11" t="s">
        <v>77</v>
      </c>
      <c r="D122" s="10" t="s">
        <v>28</v>
      </c>
      <c r="E122" s="10" t="s">
        <v>28</v>
      </c>
      <c r="F122" s="10"/>
      <c r="G122" s="10" t="n">
        <v>5</v>
      </c>
      <c r="H122" s="10" t="n">
        <v>1.15</v>
      </c>
      <c r="I122" s="12" t="n">
        <v>1</v>
      </c>
      <c r="J122" s="12"/>
      <c r="K122" s="13" t="n">
        <f aca="false">42.71</f>
        <v>42.71</v>
      </c>
      <c r="L122" s="13" t="n">
        <f aca="false">162.99</f>
        <v>162.99</v>
      </c>
      <c r="M122" s="12" t="n">
        <v>16</v>
      </c>
      <c r="N122" s="12" t="n">
        <v>38</v>
      </c>
      <c r="O122" s="12" t="n">
        <v>158.05</v>
      </c>
      <c r="P122" s="13" t="n">
        <f aca="false">27.24</f>
        <v>27.24</v>
      </c>
      <c r="Q122" s="13" t="n">
        <f aca="false">185.14</f>
        <v>185.14</v>
      </c>
      <c r="R122" s="12" t="n">
        <v>20.65</v>
      </c>
      <c r="S122" s="12" t="n">
        <v>24.5</v>
      </c>
      <c r="T122" s="12" t="n">
        <v>577</v>
      </c>
      <c r="U122" s="14" t="s">
        <v>29</v>
      </c>
      <c r="V122" s="15"/>
      <c r="W122" s="16" t="str">
        <f aca="false">A122</f>
        <v>KL</v>
      </c>
      <c r="X122" s="17" t="e">
        <f aca="false">ifs(C122="","",X122="",NOW(),TRUE(),X122)</f>
        <v>#VALUE!</v>
      </c>
      <c r="Y122" s="17" t="e">
        <f aca="false">ifs(COUNTA(K122:U125)&lt;44,"",Y122="",NOW(),TRUE(),Y122)</f>
        <v>#VALUE!</v>
      </c>
    </row>
    <row r="123" customFormat="false" ht="14.15" hidden="false" customHeight="false" outlineLevel="0" collapsed="false">
      <c r="A123" s="9"/>
      <c r="B123" s="10"/>
      <c r="C123" s="10"/>
      <c r="D123" s="10"/>
      <c r="E123" s="10"/>
      <c r="F123" s="10"/>
      <c r="G123" s="10"/>
      <c r="H123" s="10"/>
      <c r="I123" s="18" t="n">
        <v>2</v>
      </c>
      <c r="J123" s="18" t="s">
        <v>47</v>
      </c>
      <c r="K123" s="19" t="n">
        <f aca="false">39.99</f>
        <v>39.99</v>
      </c>
      <c r="L123" s="19" t="n">
        <f aca="false">161.61</f>
        <v>161.61</v>
      </c>
      <c r="M123" s="18" t="n">
        <v>14</v>
      </c>
      <c r="N123" s="18" t="n">
        <v>36</v>
      </c>
      <c r="O123" s="18" t="n">
        <v>145.75</v>
      </c>
      <c r="P123" s="19" t="n">
        <f aca="false">26.9</f>
        <v>26.9</v>
      </c>
      <c r="Q123" s="19" t="n">
        <f aca="false">179.06</f>
        <v>179.06</v>
      </c>
      <c r="R123" s="18" t="n">
        <v>19.85</v>
      </c>
      <c r="S123" s="18" t="n">
        <v>25.4</v>
      </c>
      <c r="T123" s="18" t="n">
        <v>509</v>
      </c>
      <c r="U123" s="20" t="s">
        <v>29</v>
      </c>
      <c r="V123" s="21"/>
      <c r="W123" s="16"/>
      <c r="X123" s="16"/>
      <c r="Y123" s="16"/>
    </row>
    <row r="124" customFormat="false" ht="14.15" hidden="false" customHeight="false" outlineLevel="0" collapsed="false">
      <c r="A124" s="9"/>
      <c r="B124" s="10"/>
      <c r="C124" s="10"/>
      <c r="D124" s="10"/>
      <c r="E124" s="10"/>
      <c r="F124" s="10"/>
      <c r="G124" s="10"/>
      <c r="H124" s="10"/>
      <c r="I124" s="22" t="n">
        <v>3</v>
      </c>
      <c r="J124" s="22"/>
      <c r="K124" s="23" t="n">
        <f aca="false">39.67</f>
        <v>39.67</v>
      </c>
      <c r="L124" s="23" t="n">
        <f aca="false">166.93</f>
        <v>166.93</v>
      </c>
      <c r="M124" s="22" t="n">
        <v>14</v>
      </c>
      <c r="N124" s="22" t="n">
        <v>38</v>
      </c>
      <c r="O124" s="22" t="n">
        <v>137.15</v>
      </c>
      <c r="P124" s="23" t="n">
        <f aca="false">26.7</f>
        <v>26.7</v>
      </c>
      <c r="Q124" s="23" t="n">
        <f aca="false">177.94</f>
        <v>177.94</v>
      </c>
      <c r="R124" s="22" t="n">
        <v>19.9</v>
      </c>
      <c r="S124" s="22" t="n">
        <v>22.3</v>
      </c>
      <c r="T124" s="22" t="n">
        <v>525</v>
      </c>
      <c r="U124" s="24" t="s">
        <v>29</v>
      </c>
      <c r="V124" s="15"/>
      <c r="W124" s="16"/>
      <c r="X124" s="16"/>
      <c r="Y124" s="16"/>
    </row>
    <row r="125" customFormat="false" ht="14.15" hidden="false" customHeight="false" outlineLevel="0" collapsed="false">
      <c r="A125" s="9"/>
      <c r="B125" s="10"/>
      <c r="C125" s="10"/>
      <c r="D125" s="10"/>
      <c r="E125" s="10"/>
      <c r="F125" s="10"/>
      <c r="G125" s="10"/>
      <c r="H125" s="10"/>
      <c r="I125" s="25" t="n">
        <v>4</v>
      </c>
      <c r="J125" s="25"/>
      <c r="K125" s="26" t="n">
        <f aca="false">40.08</f>
        <v>40.08</v>
      </c>
      <c r="L125" s="26" t="n">
        <f aca="false">153.15</f>
        <v>153.15</v>
      </c>
      <c r="M125" s="25" t="n">
        <v>14</v>
      </c>
      <c r="N125" s="25" t="n">
        <v>36</v>
      </c>
      <c r="O125" s="25" t="n">
        <v>132</v>
      </c>
      <c r="P125" s="26" t="n">
        <f aca="false">24.79</f>
        <v>24.79</v>
      </c>
      <c r="Q125" s="26" t="n">
        <f aca="false">169.28</f>
        <v>169.28</v>
      </c>
      <c r="R125" s="25" t="n">
        <v>17.4</v>
      </c>
      <c r="S125" s="25" t="n">
        <v>23.4</v>
      </c>
      <c r="T125" s="25" t="n">
        <v>501</v>
      </c>
      <c r="U125" s="27" t="s">
        <v>29</v>
      </c>
      <c r="V125" s="21"/>
      <c r="W125" s="16"/>
      <c r="X125" s="16"/>
      <c r="Y125" s="16"/>
    </row>
    <row r="126" customFormat="false" ht="15.75" hidden="false" customHeight="true" outlineLevel="0" collapsed="false">
      <c r="A126" s="9" t="s">
        <v>25</v>
      </c>
      <c r="B126" s="10" t="s">
        <v>26</v>
      </c>
      <c r="C126" s="11" t="s">
        <v>78</v>
      </c>
      <c r="D126" s="10" t="s">
        <v>28</v>
      </c>
      <c r="E126" s="10" t="s">
        <v>28</v>
      </c>
      <c r="F126" s="10"/>
      <c r="G126" s="10" t="n">
        <v>43</v>
      </c>
      <c r="H126" s="10" t="n">
        <v>6.55</v>
      </c>
      <c r="I126" s="12" t="n">
        <v>1</v>
      </c>
      <c r="J126" s="12"/>
      <c r="K126" s="13" t="n">
        <f aca="false">42.36</f>
        <v>42.36</v>
      </c>
      <c r="L126" s="13" t="n">
        <f aca="false">145.81</f>
        <v>145.81</v>
      </c>
      <c r="M126" s="12" t="n">
        <v>18</v>
      </c>
      <c r="N126" s="12" t="n">
        <v>36</v>
      </c>
      <c r="O126" s="12" t="n">
        <v>118.85</v>
      </c>
      <c r="P126" s="13" t="n">
        <f aca="false">28.62</f>
        <v>28.62</v>
      </c>
      <c r="Q126" s="13" t="n">
        <f aca="false">154.59</f>
        <v>154.59</v>
      </c>
      <c r="R126" s="12" t="n">
        <v>19.3</v>
      </c>
      <c r="S126" s="12" t="n">
        <v>16.7</v>
      </c>
      <c r="T126" s="12" t="n">
        <v>623</v>
      </c>
      <c r="U126" s="14" t="s">
        <v>32</v>
      </c>
      <c r="V126" s="15"/>
      <c r="W126" s="16" t="str">
        <f aca="false">A126</f>
        <v>KL</v>
      </c>
      <c r="X126" s="17" t="e">
        <f aca="false">ifs(C126="","",X126="",NOW(),TRUE(),X126)</f>
        <v>#VALUE!</v>
      </c>
      <c r="Y126" s="17" t="e">
        <f aca="false">ifs(COUNTA(K126:U129)&lt;44,"",Y126="",NOW(),TRUE(),Y126)</f>
        <v>#VALUE!</v>
      </c>
    </row>
    <row r="127" customFormat="false" ht="14.15" hidden="false" customHeight="false" outlineLevel="0" collapsed="false">
      <c r="A127" s="9"/>
      <c r="B127" s="10"/>
      <c r="C127" s="10"/>
      <c r="D127" s="10"/>
      <c r="E127" s="10"/>
      <c r="F127" s="10"/>
      <c r="G127" s="10"/>
      <c r="H127" s="10"/>
      <c r="I127" s="18" t="n">
        <v>2</v>
      </c>
      <c r="J127" s="18" t="s">
        <v>47</v>
      </c>
      <c r="K127" s="19" t="n">
        <f aca="false">41.21</f>
        <v>41.21</v>
      </c>
      <c r="L127" s="19" t="n">
        <f aca="false">142.05</f>
        <v>142.05</v>
      </c>
      <c r="M127" s="18" t="n">
        <v>16</v>
      </c>
      <c r="N127" s="18" t="n">
        <v>36</v>
      </c>
      <c r="O127" s="18" t="n">
        <v>106.45</v>
      </c>
      <c r="P127" s="19" t="n">
        <f aca="false">27.9</f>
        <v>27.9</v>
      </c>
      <c r="Q127" s="19" t="n">
        <f aca="false">160.43</f>
        <v>160.43</v>
      </c>
      <c r="R127" s="18" t="n">
        <v>17.15</v>
      </c>
      <c r="S127" s="18" t="n">
        <v>16.6</v>
      </c>
      <c r="T127" s="18" t="n">
        <v>562</v>
      </c>
      <c r="U127" s="20" t="s">
        <v>32</v>
      </c>
      <c r="V127" s="21"/>
      <c r="W127" s="16"/>
      <c r="X127" s="16"/>
      <c r="Y127" s="16"/>
    </row>
    <row r="128" customFormat="false" ht="14.15" hidden="false" customHeight="false" outlineLevel="0" collapsed="false">
      <c r="A128" s="9"/>
      <c r="B128" s="10"/>
      <c r="C128" s="10"/>
      <c r="D128" s="10"/>
      <c r="E128" s="10"/>
      <c r="F128" s="10"/>
      <c r="G128" s="10"/>
      <c r="H128" s="10"/>
      <c r="I128" s="22" t="n">
        <v>3</v>
      </c>
      <c r="J128" s="22"/>
      <c r="K128" s="23" t="n">
        <f aca="false">39.45</f>
        <v>39.45</v>
      </c>
      <c r="L128" s="23" t="n">
        <f aca="false">130.1</f>
        <v>130.1</v>
      </c>
      <c r="M128" s="22" t="n">
        <v>18</v>
      </c>
      <c r="N128" s="22" t="n">
        <v>30</v>
      </c>
      <c r="O128" s="22" t="n">
        <v>87.6</v>
      </c>
      <c r="P128" s="23" t="n">
        <f aca="false">25.88</f>
        <v>25.88</v>
      </c>
      <c r="Q128" s="23" t="n">
        <f aca="false">154.19</f>
        <v>154.19</v>
      </c>
      <c r="R128" s="22" t="n">
        <v>13.4</v>
      </c>
      <c r="S128" s="22" t="n">
        <v>13.85</v>
      </c>
      <c r="T128" s="22" t="n">
        <v>530</v>
      </c>
      <c r="U128" s="24" t="s">
        <v>32</v>
      </c>
      <c r="V128" s="15"/>
      <c r="W128" s="16"/>
      <c r="X128" s="16"/>
      <c r="Y128" s="16"/>
    </row>
    <row r="129" customFormat="false" ht="14.15" hidden="false" customHeight="false" outlineLevel="0" collapsed="false">
      <c r="A129" s="9"/>
      <c r="B129" s="10"/>
      <c r="C129" s="10"/>
      <c r="D129" s="10"/>
      <c r="E129" s="10"/>
      <c r="F129" s="10"/>
      <c r="G129" s="10"/>
      <c r="H129" s="10"/>
      <c r="I129" s="25" t="n">
        <v>4</v>
      </c>
      <c r="J129" s="25" t="s">
        <v>50</v>
      </c>
      <c r="K129" s="26" t="n">
        <f aca="false">41.87</f>
        <v>41.87</v>
      </c>
      <c r="L129" s="26" t="n">
        <f aca="false">118.96</f>
        <v>118.96</v>
      </c>
      <c r="M129" s="25" t="n">
        <v>18</v>
      </c>
      <c r="N129" s="25" t="n">
        <v>32</v>
      </c>
      <c r="O129" s="25" t="n">
        <v>81.2</v>
      </c>
      <c r="P129" s="26" t="n">
        <f aca="false">26.49</f>
        <v>26.49</v>
      </c>
      <c r="Q129" s="26" t="n">
        <f aca="false">137.28</f>
        <v>137.28</v>
      </c>
      <c r="R129" s="25" t="n">
        <v>15.35</v>
      </c>
      <c r="S129" s="25" t="n">
        <v>19.15</v>
      </c>
      <c r="T129" s="25" t="n">
        <v>360</v>
      </c>
      <c r="U129" s="27" t="s">
        <v>32</v>
      </c>
      <c r="V129" s="21"/>
      <c r="W129" s="16"/>
      <c r="X129" s="16"/>
      <c r="Y129" s="16"/>
    </row>
    <row r="130" customFormat="false" ht="15.75" hidden="false" customHeight="true" outlineLevel="0" collapsed="false">
      <c r="A130" s="9" t="s">
        <v>25</v>
      </c>
      <c r="B130" s="10" t="s">
        <v>26</v>
      </c>
      <c r="C130" s="11" t="s">
        <v>79</v>
      </c>
      <c r="D130" s="10" t="s">
        <v>28</v>
      </c>
      <c r="E130" s="10" t="s">
        <v>28</v>
      </c>
      <c r="F130" s="10"/>
      <c r="G130" s="10" t="n">
        <v>7</v>
      </c>
      <c r="H130" s="10" t="n">
        <v>1.1</v>
      </c>
      <c r="I130" s="12" t="n">
        <v>1</v>
      </c>
      <c r="J130" s="12" t="s">
        <v>35</v>
      </c>
      <c r="K130" s="13" t="n">
        <f aca="false">46.62</f>
        <v>46.62</v>
      </c>
      <c r="L130" s="13" t="n">
        <f aca="false">164.88</f>
        <v>164.88</v>
      </c>
      <c r="M130" s="12" t="n">
        <v>14</v>
      </c>
      <c r="N130" s="12" t="n">
        <v>38</v>
      </c>
      <c r="O130" s="12" t="n">
        <v>184.5</v>
      </c>
      <c r="P130" s="13" t="n">
        <f aca="false">26.29</f>
        <v>26.29</v>
      </c>
      <c r="Q130" s="13" t="n">
        <f aca="false">163.98</f>
        <v>163.98</v>
      </c>
      <c r="R130" s="12" t="n">
        <v>24.25</v>
      </c>
      <c r="S130" s="12" t="n">
        <v>31</v>
      </c>
      <c r="T130" s="12" t="n">
        <v>533</v>
      </c>
      <c r="U130" s="14" t="s">
        <v>29</v>
      </c>
      <c r="V130" s="15"/>
      <c r="W130" s="16" t="str">
        <f aca="false">A130</f>
        <v>KL</v>
      </c>
      <c r="X130" s="17" t="e">
        <f aca="false">ifs(C130="","",X130="",NOW(),TRUE(),X130)</f>
        <v>#VALUE!</v>
      </c>
      <c r="Y130" s="17" t="e">
        <f aca="false">ifs(COUNTA(K130:U133)&lt;44,"",Y130="",NOW(),TRUE(),Y130)</f>
        <v>#VALUE!</v>
      </c>
    </row>
    <row r="131" customFormat="false" ht="14.15" hidden="false" customHeight="false" outlineLevel="0" collapsed="false">
      <c r="A131" s="9"/>
      <c r="B131" s="10"/>
      <c r="C131" s="10"/>
      <c r="D131" s="10"/>
      <c r="E131" s="10"/>
      <c r="F131" s="10"/>
      <c r="G131" s="10"/>
      <c r="H131" s="10"/>
      <c r="I131" s="18" t="n">
        <v>2</v>
      </c>
      <c r="J131" s="18"/>
      <c r="K131" s="19" t="n">
        <f aca="false">43.72</f>
        <v>43.72</v>
      </c>
      <c r="L131" s="19" t="n">
        <f aca="false">167.1</f>
        <v>167.1</v>
      </c>
      <c r="M131" s="18" t="n">
        <v>14</v>
      </c>
      <c r="N131" s="18" t="n">
        <v>40</v>
      </c>
      <c r="O131" s="18" t="n">
        <v>164.75</v>
      </c>
      <c r="P131" s="19" t="n">
        <f aca="false">25.19</f>
        <v>25.19</v>
      </c>
      <c r="Q131" s="19" t="n">
        <f aca="false">167.67</f>
        <v>167.67</v>
      </c>
      <c r="R131" s="18" t="n">
        <v>23.65</v>
      </c>
      <c r="S131" s="18" t="n">
        <v>24.3</v>
      </c>
      <c r="T131" s="18" t="n">
        <v>579</v>
      </c>
      <c r="U131" s="20" t="s">
        <v>29</v>
      </c>
      <c r="V131" s="21"/>
      <c r="W131" s="16"/>
      <c r="X131" s="16"/>
      <c r="Y131" s="16"/>
    </row>
    <row r="132" customFormat="false" ht="14.15" hidden="false" customHeight="false" outlineLevel="0" collapsed="false">
      <c r="A132" s="9"/>
      <c r="B132" s="10"/>
      <c r="C132" s="10"/>
      <c r="D132" s="10"/>
      <c r="E132" s="10"/>
      <c r="F132" s="10"/>
      <c r="G132" s="10"/>
      <c r="H132" s="10"/>
      <c r="I132" s="22" t="n">
        <v>3</v>
      </c>
      <c r="J132" s="22"/>
      <c r="K132" s="23" t="n">
        <f aca="false">41.92</f>
        <v>41.92</v>
      </c>
      <c r="L132" s="23" t="n">
        <f aca="false">151.97</f>
        <v>151.97</v>
      </c>
      <c r="M132" s="22" t="n">
        <v>14</v>
      </c>
      <c r="N132" s="22" t="n">
        <v>38</v>
      </c>
      <c r="O132" s="22" t="n">
        <v>137.9</v>
      </c>
      <c r="P132" s="23" t="n">
        <f aca="false">23.59</f>
        <v>23.59</v>
      </c>
      <c r="Q132" s="23" t="n">
        <f aca="false">153.03</f>
        <v>153.03</v>
      </c>
      <c r="R132" s="22" t="n">
        <v>18.45</v>
      </c>
      <c r="S132" s="22" t="n">
        <v>23.55</v>
      </c>
      <c r="T132" s="22" t="n">
        <v>536</v>
      </c>
      <c r="U132" s="24" t="s">
        <v>29</v>
      </c>
      <c r="V132" s="15"/>
      <c r="W132" s="16"/>
      <c r="X132" s="16"/>
      <c r="Y132" s="16"/>
    </row>
    <row r="133" customFormat="false" ht="14.15" hidden="false" customHeight="false" outlineLevel="0" collapsed="false">
      <c r="A133" s="9"/>
      <c r="B133" s="10"/>
      <c r="C133" s="10"/>
      <c r="D133" s="10"/>
      <c r="E133" s="10"/>
      <c r="F133" s="10"/>
      <c r="G133" s="10"/>
      <c r="H133" s="10"/>
      <c r="I133" s="25" t="n">
        <v>4</v>
      </c>
      <c r="J133" s="25"/>
      <c r="K133" s="26" t="n">
        <f aca="false">41.1</f>
        <v>41.1</v>
      </c>
      <c r="L133" s="26" t="n">
        <f aca="false">131.11</f>
        <v>131.11</v>
      </c>
      <c r="M133" s="25" t="n">
        <v>14</v>
      </c>
      <c r="N133" s="25" t="n">
        <v>34</v>
      </c>
      <c r="O133" s="25" t="n">
        <v>109.9</v>
      </c>
      <c r="P133" s="26" t="n">
        <f aca="false">23.78</f>
        <v>23.78</v>
      </c>
      <c r="Q133" s="26" t="n">
        <f aca="false">138.62</f>
        <v>138.62</v>
      </c>
      <c r="R133" s="25" t="n">
        <v>15.45</v>
      </c>
      <c r="S133" s="25" t="n">
        <v>19.35</v>
      </c>
      <c r="T133" s="25" t="n">
        <v>500</v>
      </c>
      <c r="U133" s="27" t="s">
        <v>29</v>
      </c>
      <c r="V133" s="21"/>
      <c r="W133" s="16"/>
      <c r="X133" s="16"/>
      <c r="Y133" s="16"/>
    </row>
    <row r="134" customFormat="false" ht="15.75" hidden="false" customHeight="true" outlineLevel="0" collapsed="false">
      <c r="A134" s="9" t="s">
        <v>25</v>
      </c>
      <c r="B134" s="10" t="s">
        <v>26</v>
      </c>
      <c r="C134" s="11" t="s">
        <v>80</v>
      </c>
      <c r="D134" s="10" t="s">
        <v>28</v>
      </c>
      <c r="E134" s="10" t="s">
        <v>28</v>
      </c>
      <c r="F134" s="10" t="s">
        <v>81</v>
      </c>
      <c r="G134" s="10" t="n">
        <v>9</v>
      </c>
      <c r="H134" s="10" t="n">
        <v>2.95</v>
      </c>
      <c r="I134" s="12" t="n">
        <v>1</v>
      </c>
      <c r="J134" s="12"/>
      <c r="K134" s="13" t="n">
        <f aca="false">51.63</f>
        <v>51.63</v>
      </c>
      <c r="L134" s="13" t="n">
        <f aca="false">186.83</f>
        <v>186.83</v>
      </c>
      <c r="M134" s="12" t="n">
        <v>18</v>
      </c>
      <c r="N134" s="12" t="n">
        <v>42</v>
      </c>
      <c r="O134" s="12" t="n">
        <v>255.8</v>
      </c>
      <c r="P134" s="13" t="n">
        <f aca="false">31.57</f>
        <v>31.57</v>
      </c>
      <c r="Q134" s="13" t="n">
        <f aca="false">197.8</f>
        <v>197.8</v>
      </c>
      <c r="R134" s="12" t="n">
        <v>34.75</v>
      </c>
      <c r="S134" s="12" t="n">
        <v>31.5</v>
      </c>
      <c r="T134" s="12" t="n">
        <v>677</v>
      </c>
      <c r="U134" s="14" t="s">
        <v>29</v>
      </c>
      <c r="V134" s="15"/>
      <c r="W134" s="16" t="str">
        <f aca="false">A134</f>
        <v>KL</v>
      </c>
      <c r="X134" s="17" t="e">
        <f aca="false">ifs(C134="","",X134="",NOW(),TRUE(),X134)</f>
        <v>#VALUE!</v>
      </c>
      <c r="Y134" s="17" t="e">
        <f aca="false">ifs(COUNTA(K134:U137)&lt;44,"",Y134="",NOW(),TRUE(),Y134)</f>
        <v>#VALUE!</v>
      </c>
    </row>
    <row r="135" customFormat="false" ht="14.15" hidden="false" customHeight="false" outlineLevel="0" collapsed="false">
      <c r="A135" s="9"/>
      <c r="B135" s="10"/>
      <c r="C135" s="10"/>
      <c r="D135" s="10"/>
      <c r="E135" s="10"/>
      <c r="F135" s="10"/>
      <c r="G135" s="10"/>
      <c r="H135" s="10"/>
      <c r="I135" s="18" t="n">
        <v>2</v>
      </c>
      <c r="J135" s="18"/>
      <c r="K135" s="19" t="n">
        <f aca="false">50.33</f>
        <v>50.33</v>
      </c>
      <c r="L135" s="19" t="n">
        <f aca="false">189.21</f>
        <v>189.21</v>
      </c>
      <c r="M135" s="18" t="n">
        <v>16</v>
      </c>
      <c r="N135" s="18" t="n">
        <v>44</v>
      </c>
      <c r="O135" s="18" t="n">
        <v>251.85</v>
      </c>
      <c r="P135" s="19" t="n">
        <f aca="false">31.21</f>
        <v>31.21</v>
      </c>
      <c r="Q135" s="19" t="n">
        <f aca="false">193.07</f>
        <v>193.07</v>
      </c>
      <c r="R135" s="18" t="n">
        <v>38</v>
      </c>
      <c r="S135" s="18" t="n">
        <v>34.1</v>
      </c>
      <c r="T135" s="18" t="n">
        <v>653</v>
      </c>
      <c r="U135" s="20" t="s">
        <v>29</v>
      </c>
      <c r="V135" s="21"/>
      <c r="W135" s="16"/>
      <c r="X135" s="16"/>
      <c r="Y135" s="16"/>
    </row>
    <row r="136" customFormat="false" ht="14.15" hidden="false" customHeight="false" outlineLevel="0" collapsed="false">
      <c r="A136" s="9"/>
      <c r="B136" s="10"/>
      <c r="C136" s="10"/>
      <c r="D136" s="10"/>
      <c r="E136" s="10"/>
      <c r="F136" s="10"/>
      <c r="G136" s="10"/>
      <c r="H136" s="10"/>
      <c r="I136" s="22" t="n">
        <v>3</v>
      </c>
      <c r="J136" s="22"/>
      <c r="K136" s="23" t="n">
        <f aca="false">51.79</f>
        <v>51.79</v>
      </c>
      <c r="L136" s="23" t="n">
        <f aca="false">174.96</f>
        <v>174.96</v>
      </c>
      <c r="M136" s="22" t="n">
        <v>16</v>
      </c>
      <c r="N136" s="22" t="n">
        <v>40</v>
      </c>
      <c r="O136" s="22" t="n">
        <v>261.35</v>
      </c>
      <c r="P136" s="23" t="n">
        <f aca="false">28.19</f>
        <v>28.19</v>
      </c>
      <c r="Q136" s="23" t="n">
        <f aca="false">187.79</f>
        <v>187.79</v>
      </c>
      <c r="R136" s="22" t="n">
        <v>31.65</v>
      </c>
      <c r="S136" s="22" t="n">
        <v>36.65</v>
      </c>
      <c r="T136" s="22" t="n">
        <v>675</v>
      </c>
      <c r="U136" s="24" t="s">
        <v>29</v>
      </c>
      <c r="V136" s="15"/>
      <c r="W136" s="16"/>
      <c r="X136" s="16"/>
      <c r="Y136" s="16"/>
    </row>
    <row r="137" customFormat="false" ht="14.15" hidden="false" customHeight="false" outlineLevel="0" collapsed="false">
      <c r="A137" s="9"/>
      <c r="B137" s="10"/>
      <c r="C137" s="10"/>
      <c r="D137" s="10"/>
      <c r="E137" s="10"/>
      <c r="F137" s="10"/>
      <c r="G137" s="10"/>
      <c r="H137" s="10"/>
      <c r="I137" s="25" t="n">
        <v>4</v>
      </c>
      <c r="J137" s="25"/>
      <c r="K137" s="26" t="n">
        <f aca="false">47.86</f>
        <v>47.86</v>
      </c>
      <c r="L137" s="26" t="n">
        <f aca="false">164.12</f>
        <v>164.12</v>
      </c>
      <c r="M137" s="25" t="n">
        <v>14</v>
      </c>
      <c r="N137" s="25" t="n">
        <v>40</v>
      </c>
      <c r="O137" s="25" t="n">
        <v>211.95</v>
      </c>
      <c r="P137" s="26" t="n">
        <f aca="false">28.72</f>
        <v>28.72</v>
      </c>
      <c r="Q137" s="26" t="n">
        <f aca="false">182.93</f>
        <v>182.93</v>
      </c>
      <c r="R137" s="25" t="n">
        <v>26.1</v>
      </c>
      <c r="S137" s="25" t="n">
        <v>34.25</v>
      </c>
      <c r="T137" s="25" t="n">
        <v>572</v>
      </c>
      <c r="U137" s="27" t="s">
        <v>29</v>
      </c>
      <c r="V137" s="21"/>
      <c r="W137" s="16"/>
      <c r="X137" s="16"/>
      <c r="Y137" s="16"/>
    </row>
    <row r="138" customFormat="false" ht="15.75" hidden="false" customHeight="true" outlineLevel="0" collapsed="false">
      <c r="A138" s="9" t="s">
        <v>25</v>
      </c>
      <c r="B138" s="10" t="s">
        <v>26</v>
      </c>
      <c r="C138" s="11" t="s">
        <v>82</v>
      </c>
      <c r="D138" s="10" t="s">
        <v>28</v>
      </c>
      <c r="E138" s="10" t="s">
        <v>28</v>
      </c>
      <c r="F138" s="10"/>
      <c r="G138" s="10" t="n">
        <v>6</v>
      </c>
      <c r="H138" s="10" t="n">
        <v>0.45</v>
      </c>
      <c r="I138" s="12" t="n">
        <v>1</v>
      </c>
      <c r="J138" s="12"/>
      <c r="K138" s="13" t="n">
        <f aca="false">41.09</f>
        <v>41.09</v>
      </c>
      <c r="L138" s="13" t="n">
        <f aca="false">145.19</f>
        <v>145.19</v>
      </c>
      <c r="M138" s="12" t="n">
        <v>16</v>
      </c>
      <c r="N138" s="12" t="n">
        <v>36</v>
      </c>
      <c r="O138" s="12" t="n">
        <v>124.25</v>
      </c>
      <c r="P138" s="13" t="n">
        <f aca="false">26.98</f>
        <v>26.98</v>
      </c>
      <c r="Q138" s="13" t="n">
        <f aca="false">161.25</f>
        <v>161.25</v>
      </c>
      <c r="R138" s="12" t="n">
        <v>19.3</v>
      </c>
      <c r="S138" s="12" t="n">
        <v>18.1</v>
      </c>
      <c r="T138" s="12" t="n">
        <v>567</v>
      </c>
      <c r="U138" s="14" t="s">
        <v>29</v>
      </c>
      <c r="V138" s="15"/>
      <c r="W138" s="16" t="str">
        <f aca="false">A138</f>
        <v>KL</v>
      </c>
      <c r="X138" s="17" t="e">
        <f aca="false">ifs(C138="","",X138="",NOW(),TRUE(),X138)</f>
        <v>#VALUE!</v>
      </c>
      <c r="Y138" s="17" t="e">
        <f aca="false">ifs(COUNTA(K138:U141)&lt;44,"",Y138="",NOW(),TRUE(),Y138)</f>
        <v>#VALUE!</v>
      </c>
    </row>
    <row r="139" customFormat="false" ht="14.15" hidden="false" customHeight="false" outlineLevel="0" collapsed="false">
      <c r="A139" s="9"/>
      <c r="B139" s="10"/>
      <c r="C139" s="10"/>
      <c r="D139" s="10"/>
      <c r="E139" s="10"/>
      <c r="F139" s="10"/>
      <c r="G139" s="10"/>
      <c r="H139" s="10"/>
      <c r="I139" s="18" t="n">
        <v>2</v>
      </c>
      <c r="J139" s="18" t="s">
        <v>47</v>
      </c>
      <c r="K139" s="19" t="n">
        <f aca="false">40.17</f>
        <v>40.17</v>
      </c>
      <c r="L139" s="19" t="n">
        <f aca="false">142.06</f>
        <v>142.06</v>
      </c>
      <c r="M139" s="18" t="n">
        <v>16</v>
      </c>
      <c r="N139" s="18" t="n">
        <v>32</v>
      </c>
      <c r="O139" s="18" t="n">
        <v>126.35</v>
      </c>
      <c r="P139" s="19" t="n">
        <f aca="false">26.38</f>
        <v>26.38</v>
      </c>
      <c r="Q139" s="19" t="n">
        <f aca="false">158.17</f>
        <v>158.17</v>
      </c>
      <c r="R139" s="18" t="n">
        <v>18.15</v>
      </c>
      <c r="S139" s="18" t="n">
        <v>21.9</v>
      </c>
      <c r="T139" s="18" t="n">
        <v>506</v>
      </c>
      <c r="U139" s="20" t="s">
        <v>29</v>
      </c>
      <c r="V139" s="21"/>
      <c r="W139" s="16"/>
      <c r="X139" s="16"/>
      <c r="Y139" s="16"/>
    </row>
    <row r="140" customFormat="false" ht="14.15" hidden="false" customHeight="false" outlineLevel="0" collapsed="false">
      <c r="A140" s="9"/>
      <c r="B140" s="10"/>
      <c r="C140" s="10"/>
      <c r="D140" s="10"/>
      <c r="E140" s="10"/>
      <c r="F140" s="10"/>
      <c r="G140" s="10"/>
      <c r="H140" s="10"/>
      <c r="I140" s="22" t="n">
        <v>3</v>
      </c>
      <c r="J140" s="22" t="s">
        <v>36</v>
      </c>
      <c r="K140" s="23" t="n">
        <f aca="false">40.97</f>
        <v>40.97</v>
      </c>
      <c r="L140" s="23" t="n">
        <f aca="false">133.52</f>
        <v>133.52</v>
      </c>
      <c r="M140" s="22" t="n">
        <v>16</v>
      </c>
      <c r="N140" s="22" t="n">
        <v>32</v>
      </c>
      <c r="O140" s="22" t="n">
        <v>115.6</v>
      </c>
      <c r="P140" s="23" t="n">
        <f aca="false">26.74</f>
        <v>26.74</v>
      </c>
      <c r="Q140" s="23" t="n">
        <f aca="false">149.61</f>
        <v>149.61</v>
      </c>
      <c r="R140" s="22" t="n">
        <v>16.45</v>
      </c>
      <c r="S140" s="22" t="n">
        <v>19.2</v>
      </c>
      <c r="T140" s="22" t="n">
        <v>527</v>
      </c>
      <c r="U140" s="24" t="s">
        <v>29</v>
      </c>
      <c r="V140" s="15"/>
      <c r="W140" s="16"/>
      <c r="X140" s="16"/>
      <c r="Y140" s="16"/>
    </row>
    <row r="141" customFormat="false" ht="14.15" hidden="false" customHeight="false" outlineLevel="0" collapsed="false">
      <c r="A141" s="9"/>
      <c r="B141" s="10"/>
      <c r="C141" s="10"/>
      <c r="D141" s="10"/>
      <c r="E141" s="10"/>
      <c r="F141" s="10"/>
      <c r="G141" s="10"/>
      <c r="H141" s="10"/>
      <c r="I141" s="25" t="n">
        <v>4</v>
      </c>
      <c r="J141" s="25" t="s">
        <v>46</v>
      </c>
      <c r="K141" s="26" t="n">
        <f aca="false">41.79</f>
        <v>41.79</v>
      </c>
      <c r="L141" s="26" t="n">
        <f aca="false">110.01</f>
        <v>110.01</v>
      </c>
      <c r="M141" s="25" t="n">
        <v>14</v>
      </c>
      <c r="N141" s="25" t="n">
        <v>28</v>
      </c>
      <c r="O141" s="25" t="n">
        <v>114.2</v>
      </c>
      <c r="P141" s="26" t="n">
        <f aca="false">26.42</f>
        <v>26.42</v>
      </c>
      <c r="Q141" s="26" t="n">
        <f aca="false">145.41</f>
        <v>145.41</v>
      </c>
      <c r="R141" s="25" t="n">
        <v>16.25</v>
      </c>
      <c r="S141" s="25" t="n">
        <v>23.75</v>
      </c>
      <c r="T141" s="25" t="n">
        <v>433</v>
      </c>
      <c r="U141" s="27" t="s">
        <v>29</v>
      </c>
      <c r="V141" s="21"/>
      <c r="W141" s="16"/>
      <c r="X141" s="16"/>
      <c r="Y141" s="16"/>
    </row>
    <row r="142" customFormat="false" ht="15.75" hidden="false" customHeight="true" outlineLevel="0" collapsed="false">
      <c r="A142" s="9" t="s">
        <v>25</v>
      </c>
      <c r="B142" s="10" t="s">
        <v>26</v>
      </c>
      <c r="C142" s="11" t="s">
        <v>83</v>
      </c>
      <c r="D142" s="10" t="s">
        <v>28</v>
      </c>
      <c r="E142" s="10" t="s">
        <v>28</v>
      </c>
      <c r="F142" s="10"/>
      <c r="G142" s="10" t="n">
        <v>1</v>
      </c>
      <c r="H142" s="10" t="n">
        <v>0.2</v>
      </c>
      <c r="I142" s="12" t="n">
        <v>1</v>
      </c>
      <c r="J142" s="12"/>
      <c r="K142" s="13" t="n">
        <f aca="false">40.2</f>
        <v>40.2</v>
      </c>
      <c r="L142" s="13" t="n">
        <f aca="false">132.65</f>
        <v>132.65</v>
      </c>
      <c r="M142" s="12" t="n">
        <v>14</v>
      </c>
      <c r="N142" s="12" t="n">
        <v>36</v>
      </c>
      <c r="O142" s="12" t="n">
        <v>114.5</v>
      </c>
      <c r="P142" s="13" t="n">
        <f aca="false">23.51</f>
        <v>23.51</v>
      </c>
      <c r="Q142" s="13" t="n">
        <f aca="false">153.23</f>
        <v>153.23</v>
      </c>
      <c r="R142" s="12" t="n">
        <v>20.2</v>
      </c>
      <c r="S142" s="12" t="n">
        <v>17.55</v>
      </c>
      <c r="T142" s="12" t="n">
        <v>501</v>
      </c>
      <c r="U142" s="14" t="s">
        <v>29</v>
      </c>
      <c r="V142" s="15"/>
      <c r="W142" s="16" t="str">
        <f aca="false">A142</f>
        <v>KL</v>
      </c>
      <c r="X142" s="17" t="e">
        <f aca="false">ifs(C142="","",X142="",NOW(),TRUE(),X142)</f>
        <v>#VALUE!</v>
      </c>
      <c r="Y142" s="17" t="e">
        <f aca="false">ifs(COUNTA(K142:U145)&lt;44,"",Y142="",NOW(),TRUE(),Y142)</f>
        <v>#VALUE!</v>
      </c>
    </row>
    <row r="143" customFormat="false" ht="14.15" hidden="false" customHeight="false" outlineLevel="0" collapsed="false">
      <c r="A143" s="9"/>
      <c r="B143" s="10"/>
      <c r="C143" s="10"/>
      <c r="D143" s="10"/>
      <c r="E143" s="10"/>
      <c r="F143" s="10"/>
      <c r="G143" s="10"/>
      <c r="H143" s="10"/>
      <c r="I143" s="18" t="n">
        <v>2</v>
      </c>
      <c r="J143" s="18"/>
      <c r="K143" s="19" t="n">
        <f aca="false">38.92</f>
        <v>38.92</v>
      </c>
      <c r="L143" s="19" t="n">
        <f aca="false">132.89</f>
        <v>132.89</v>
      </c>
      <c r="M143" s="18" t="n">
        <v>14</v>
      </c>
      <c r="N143" s="18" t="n">
        <v>36</v>
      </c>
      <c r="O143" s="18" t="n">
        <v>114.55</v>
      </c>
      <c r="P143" s="19" t="n">
        <f aca="false">24.33</f>
        <v>24.33</v>
      </c>
      <c r="Q143" s="19" t="n">
        <f aca="false">155.43</f>
        <v>155.43</v>
      </c>
      <c r="R143" s="18" t="n">
        <v>20.65</v>
      </c>
      <c r="S143" s="18" t="n">
        <v>17.6</v>
      </c>
      <c r="T143" s="18" t="n">
        <v>533</v>
      </c>
      <c r="U143" s="20" t="s">
        <v>29</v>
      </c>
      <c r="V143" s="21"/>
      <c r="W143" s="16"/>
      <c r="X143" s="16"/>
      <c r="Y143" s="16"/>
    </row>
    <row r="144" customFormat="false" ht="14.15" hidden="false" customHeight="false" outlineLevel="0" collapsed="false">
      <c r="A144" s="9"/>
      <c r="B144" s="10"/>
      <c r="C144" s="10"/>
      <c r="D144" s="10"/>
      <c r="E144" s="10"/>
      <c r="F144" s="10"/>
      <c r="G144" s="10"/>
      <c r="H144" s="10"/>
      <c r="I144" s="22" t="n">
        <v>3</v>
      </c>
      <c r="J144" s="22"/>
      <c r="K144" s="23" t="n">
        <f aca="false">37.19</f>
        <v>37.19</v>
      </c>
      <c r="L144" s="23" t="n">
        <f aca="false">130.42</f>
        <v>130.42</v>
      </c>
      <c r="M144" s="22" t="n">
        <v>14</v>
      </c>
      <c r="N144" s="22" t="n">
        <v>30</v>
      </c>
      <c r="O144" s="22" t="n">
        <v>95.2</v>
      </c>
      <c r="P144" s="23" t="n">
        <f aca="false">23.33</f>
        <v>23.33</v>
      </c>
      <c r="Q144" s="23" t="n">
        <f aca="false">149.79</f>
        <v>149.79</v>
      </c>
      <c r="R144" s="22" t="n">
        <v>16.8</v>
      </c>
      <c r="S144" s="22" t="n">
        <v>17.8</v>
      </c>
      <c r="T144" s="22" t="n">
        <v>441</v>
      </c>
      <c r="U144" s="24" t="s">
        <v>29</v>
      </c>
      <c r="V144" s="15"/>
      <c r="W144" s="16"/>
      <c r="X144" s="16"/>
      <c r="Y144" s="16"/>
    </row>
    <row r="145" customFormat="false" ht="14.15" hidden="false" customHeight="false" outlineLevel="0" collapsed="false">
      <c r="A145" s="9"/>
      <c r="B145" s="10"/>
      <c r="C145" s="10"/>
      <c r="D145" s="10"/>
      <c r="E145" s="10"/>
      <c r="F145" s="10"/>
      <c r="G145" s="10"/>
      <c r="H145" s="10"/>
      <c r="I145" s="25" t="n">
        <v>4</v>
      </c>
      <c r="J145" s="25"/>
      <c r="K145" s="26" t="n">
        <f aca="false">36.73</f>
        <v>36.73</v>
      </c>
      <c r="L145" s="26" t="n">
        <f aca="false">136.14</f>
        <v>136.14</v>
      </c>
      <c r="M145" s="25" t="n">
        <v>12</v>
      </c>
      <c r="N145" s="25" t="n">
        <v>36</v>
      </c>
      <c r="O145" s="25" t="n">
        <v>103.05</v>
      </c>
      <c r="P145" s="26" t="n">
        <f aca="false">21.61</f>
        <v>21.61</v>
      </c>
      <c r="Q145" s="26" t="n">
        <f aca="false">158.59</f>
        <v>158.59</v>
      </c>
      <c r="R145" s="25" t="n">
        <v>18.35</v>
      </c>
      <c r="S145" s="25" t="n">
        <v>18.05</v>
      </c>
      <c r="T145" s="25" t="n">
        <v>466</v>
      </c>
      <c r="U145" s="27" t="s">
        <v>29</v>
      </c>
      <c r="V145" s="21"/>
      <c r="W145" s="16"/>
      <c r="X145" s="16"/>
      <c r="Y145" s="16"/>
    </row>
    <row r="146" customFormat="false" ht="15.75" hidden="false" customHeight="true" outlineLevel="0" collapsed="false">
      <c r="A146" s="9" t="s">
        <v>25</v>
      </c>
      <c r="B146" s="10" t="s">
        <v>26</v>
      </c>
      <c r="C146" s="11" t="s">
        <v>84</v>
      </c>
      <c r="D146" s="10" t="s">
        <v>28</v>
      </c>
      <c r="E146" s="10" t="s">
        <v>28</v>
      </c>
      <c r="F146" s="10"/>
      <c r="G146" s="10" t="n">
        <v>92</v>
      </c>
      <c r="H146" s="10" t="n">
        <v>19.3</v>
      </c>
      <c r="I146" s="12" t="n">
        <v>1</v>
      </c>
      <c r="J146" s="12"/>
      <c r="K146" s="13" t="n">
        <f aca="false">40.07</f>
        <v>40.07</v>
      </c>
      <c r="L146" s="13" t="n">
        <f aca="false">135.89</f>
        <v>135.89</v>
      </c>
      <c r="M146" s="12" t="n">
        <v>16</v>
      </c>
      <c r="N146" s="12" t="n">
        <v>32</v>
      </c>
      <c r="O146" s="12" t="n">
        <v>100.95</v>
      </c>
      <c r="P146" s="13" t="n">
        <f aca="false">25.02</f>
        <v>25.02</v>
      </c>
      <c r="Q146" s="13" t="n">
        <f aca="false">147.81</f>
        <v>147.81</v>
      </c>
      <c r="R146" s="12" t="n">
        <v>13.8</v>
      </c>
      <c r="S146" s="12" t="n">
        <v>18.65</v>
      </c>
      <c r="T146" s="12" t="n">
        <v>477</v>
      </c>
      <c r="U146" s="14" t="s">
        <v>29</v>
      </c>
      <c r="V146" s="15"/>
      <c r="W146" s="16" t="str">
        <f aca="false">A146</f>
        <v>KL</v>
      </c>
      <c r="X146" s="17" t="e">
        <f aca="false">ifs(C146="","",X146="",NOW(),TRUE(),X146)</f>
        <v>#VALUE!</v>
      </c>
      <c r="Y146" s="17" t="e">
        <f aca="false">ifs(COUNTA(K146:U149)&lt;44,"",Y146="",NOW(),TRUE(),Y146)</f>
        <v>#VALUE!</v>
      </c>
    </row>
    <row r="147" customFormat="false" ht="14.15" hidden="false" customHeight="false" outlineLevel="0" collapsed="false">
      <c r="A147" s="9"/>
      <c r="B147" s="10"/>
      <c r="C147" s="10"/>
      <c r="D147" s="10"/>
      <c r="E147" s="10"/>
      <c r="F147" s="10"/>
      <c r="G147" s="10"/>
      <c r="H147" s="10"/>
      <c r="I147" s="18" t="n">
        <v>2</v>
      </c>
      <c r="J147" s="18"/>
      <c r="K147" s="19" t="n">
        <f aca="false">39.46</f>
        <v>39.46</v>
      </c>
      <c r="L147" s="19" t="n">
        <f aca="false">119.79</f>
        <v>119.79</v>
      </c>
      <c r="M147" s="18" t="n">
        <v>16</v>
      </c>
      <c r="N147" s="18" t="n">
        <v>30</v>
      </c>
      <c r="O147" s="18" t="n">
        <v>91.95</v>
      </c>
      <c r="P147" s="19" t="n">
        <f aca="false">24.11</f>
        <v>24.11</v>
      </c>
      <c r="Q147" s="19" t="n">
        <f aca="false">146.93</f>
        <v>146.93</v>
      </c>
      <c r="R147" s="18" t="n">
        <v>12.15</v>
      </c>
      <c r="S147" s="18" t="n">
        <v>18.7</v>
      </c>
      <c r="T147" s="18" t="n">
        <v>435</v>
      </c>
      <c r="U147" s="20" t="s">
        <v>29</v>
      </c>
      <c r="V147" s="21"/>
      <c r="W147" s="16"/>
      <c r="X147" s="16"/>
      <c r="Y147" s="16"/>
    </row>
    <row r="148" customFormat="false" ht="14.15" hidden="false" customHeight="false" outlineLevel="0" collapsed="false">
      <c r="A148" s="9"/>
      <c r="B148" s="10"/>
      <c r="C148" s="10"/>
      <c r="D148" s="10"/>
      <c r="E148" s="10"/>
      <c r="F148" s="10"/>
      <c r="G148" s="10"/>
      <c r="H148" s="10"/>
      <c r="I148" s="22" t="n">
        <v>3</v>
      </c>
      <c r="J148" s="22" t="s">
        <v>46</v>
      </c>
      <c r="K148" s="23" t="n">
        <f aca="false">40.41</f>
        <v>40.41</v>
      </c>
      <c r="L148" s="23" t="n">
        <f aca="false">125.1</f>
        <v>125.1</v>
      </c>
      <c r="M148" s="22" t="n">
        <v>16</v>
      </c>
      <c r="N148" s="22" t="n">
        <v>28</v>
      </c>
      <c r="O148" s="22" t="n">
        <v>96.4</v>
      </c>
      <c r="P148" s="23" t="n">
        <f aca="false">24.71</f>
        <v>24.71</v>
      </c>
      <c r="Q148" s="23" t="n">
        <f aca="false">151.27</f>
        <v>151.27</v>
      </c>
      <c r="R148" s="22" t="n">
        <v>13.25</v>
      </c>
      <c r="S148" s="22" t="n">
        <v>18.45</v>
      </c>
      <c r="T148" s="22" t="n">
        <v>462</v>
      </c>
      <c r="U148" s="24" t="s">
        <v>29</v>
      </c>
      <c r="V148" s="15"/>
      <c r="W148" s="16"/>
      <c r="X148" s="16"/>
      <c r="Y148" s="16"/>
    </row>
    <row r="149" customFormat="false" ht="14.15" hidden="false" customHeight="false" outlineLevel="0" collapsed="false">
      <c r="A149" s="9"/>
      <c r="B149" s="10"/>
      <c r="C149" s="10"/>
      <c r="D149" s="10"/>
      <c r="E149" s="10"/>
      <c r="F149" s="10"/>
      <c r="G149" s="10"/>
      <c r="H149" s="10"/>
      <c r="I149" s="25" t="n">
        <v>4</v>
      </c>
      <c r="J149" s="25" t="s">
        <v>46</v>
      </c>
      <c r="K149" s="26" t="n">
        <f aca="false">38.91</f>
        <v>38.91</v>
      </c>
      <c r="L149" s="26" t="n">
        <f aca="false">139.16</f>
        <v>139.16</v>
      </c>
      <c r="M149" s="25" t="n">
        <v>14</v>
      </c>
      <c r="N149" s="25" t="n">
        <v>32</v>
      </c>
      <c r="O149" s="25" t="n">
        <v>74.25</v>
      </c>
      <c r="P149" s="26" t="n">
        <f aca="false">22.96</f>
        <v>22.96</v>
      </c>
      <c r="Q149" s="26" t="n">
        <f aca="false">155.07</f>
        <v>155.07</v>
      </c>
      <c r="R149" s="25" t="n">
        <v>12.75</v>
      </c>
      <c r="S149" s="25" t="n">
        <v>21.85</v>
      </c>
      <c r="T149" s="25" t="n">
        <v>292</v>
      </c>
      <c r="U149" s="27" t="s">
        <v>29</v>
      </c>
      <c r="V149" s="21"/>
      <c r="W149" s="16"/>
      <c r="X149" s="16"/>
      <c r="Y149" s="16"/>
    </row>
    <row r="150" customFormat="false" ht="15.75" hidden="false" customHeight="true" outlineLevel="0" collapsed="false">
      <c r="A150" s="9" t="s">
        <v>25</v>
      </c>
      <c r="B150" s="10" t="s">
        <v>26</v>
      </c>
      <c r="C150" s="11" t="s">
        <v>85</v>
      </c>
      <c r="D150" s="10" t="s">
        <v>28</v>
      </c>
      <c r="E150" s="10" t="s">
        <v>28</v>
      </c>
      <c r="F150" s="10"/>
      <c r="G150" s="10" t="n">
        <v>36</v>
      </c>
      <c r="H150" s="10" t="n">
        <v>7.15</v>
      </c>
      <c r="I150" s="12" t="n">
        <v>1</v>
      </c>
      <c r="J150" s="12"/>
      <c r="K150" s="13" t="n">
        <f aca="false">40.32</f>
        <v>40.32</v>
      </c>
      <c r="L150" s="13" t="n">
        <f aca="false">123.82</f>
        <v>123.82</v>
      </c>
      <c r="M150" s="12" t="n">
        <v>18</v>
      </c>
      <c r="N150" s="12" t="n">
        <v>30</v>
      </c>
      <c r="O150" s="12" t="n">
        <v>113.15</v>
      </c>
      <c r="P150" s="13" t="n">
        <f aca="false">22.87</f>
        <v>22.87</v>
      </c>
      <c r="Q150" s="13" t="n">
        <f aca="false">137.92</f>
        <v>137.92</v>
      </c>
      <c r="R150" s="12" t="n">
        <v>12.3</v>
      </c>
      <c r="S150" s="12" t="n">
        <v>21.4</v>
      </c>
      <c r="T150" s="12" t="n">
        <v>483</v>
      </c>
      <c r="U150" s="14" t="s">
        <v>29</v>
      </c>
      <c r="V150" s="15"/>
      <c r="W150" s="16" t="str">
        <f aca="false">A150</f>
        <v>KL</v>
      </c>
      <c r="X150" s="17" t="e">
        <f aca="false">ifs(C150="","",X150="",NOW(),TRUE(),X150)</f>
        <v>#VALUE!</v>
      </c>
      <c r="Y150" s="17" t="e">
        <f aca="false">ifs(COUNTA(K150:U153)&lt;44,"",Y150="",NOW(),TRUE(),Y150)</f>
        <v>#VALUE!</v>
      </c>
    </row>
    <row r="151" customFormat="false" ht="14.15" hidden="false" customHeight="false" outlineLevel="0" collapsed="false">
      <c r="A151" s="9"/>
      <c r="B151" s="10"/>
      <c r="C151" s="10"/>
      <c r="D151" s="10"/>
      <c r="E151" s="10"/>
      <c r="F151" s="10"/>
      <c r="G151" s="10"/>
      <c r="H151" s="10"/>
      <c r="I151" s="18" t="n">
        <v>2</v>
      </c>
      <c r="J151" s="18"/>
      <c r="K151" s="19" t="n">
        <f aca="false">38.16</f>
        <v>38.16</v>
      </c>
      <c r="L151" s="19" t="n">
        <f aca="false">117.89</f>
        <v>117.89</v>
      </c>
      <c r="M151" s="18" t="n">
        <v>16</v>
      </c>
      <c r="N151" s="18" t="n">
        <v>28</v>
      </c>
      <c r="O151" s="18" t="n">
        <v>97.85</v>
      </c>
      <c r="P151" s="19" t="n">
        <f aca="false">22.33</f>
        <v>22.33</v>
      </c>
      <c r="Q151" s="19" t="n">
        <f aca="false">137.18</f>
        <v>137.18</v>
      </c>
      <c r="R151" s="18" t="n">
        <v>10.6</v>
      </c>
      <c r="S151" s="18" t="n">
        <v>20.4</v>
      </c>
      <c r="T151" s="18" t="n">
        <v>429</v>
      </c>
      <c r="U151" s="20" t="s">
        <v>29</v>
      </c>
      <c r="V151" s="21"/>
      <c r="W151" s="16"/>
      <c r="X151" s="16"/>
      <c r="Y151" s="16"/>
    </row>
    <row r="152" customFormat="false" ht="14.15" hidden="false" customHeight="false" outlineLevel="0" collapsed="false">
      <c r="A152" s="9"/>
      <c r="B152" s="10"/>
      <c r="C152" s="10"/>
      <c r="D152" s="10"/>
      <c r="E152" s="10"/>
      <c r="F152" s="10"/>
      <c r="G152" s="10"/>
      <c r="H152" s="10"/>
      <c r="I152" s="22" t="n">
        <v>3</v>
      </c>
      <c r="J152" s="22"/>
      <c r="K152" s="23" t="n">
        <f aca="false">38.93</f>
        <v>38.93</v>
      </c>
      <c r="L152" s="23" t="n">
        <f aca="false">117.53</f>
        <v>117.53</v>
      </c>
      <c r="M152" s="22" t="n">
        <v>16</v>
      </c>
      <c r="N152" s="22" t="n">
        <v>28</v>
      </c>
      <c r="O152" s="22" t="n">
        <v>103.2</v>
      </c>
      <c r="P152" s="23" t="n">
        <f aca="false">22.43</f>
        <v>22.43</v>
      </c>
      <c r="Q152" s="23" t="n">
        <f aca="false">128.51</f>
        <v>128.51</v>
      </c>
      <c r="R152" s="22" t="n">
        <v>13.35</v>
      </c>
      <c r="S152" s="22" t="n">
        <v>22.05</v>
      </c>
      <c r="T152" s="22" t="n">
        <v>426</v>
      </c>
      <c r="U152" s="24" t="s">
        <v>29</v>
      </c>
      <c r="V152" s="15"/>
      <c r="W152" s="16"/>
      <c r="X152" s="16"/>
      <c r="Y152" s="16"/>
    </row>
    <row r="153" customFormat="false" ht="14.15" hidden="false" customHeight="false" outlineLevel="0" collapsed="false">
      <c r="A153" s="9"/>
      <c r="B153" s="10"/>
      <c r="C153" s="10"/>
      <c r="D153" s="10"/>
      <c r="E153" s="10"/>
      <c r="F153" s="10"/>
      <c r="G153" s="10"/>
      <c r="H153" s="10"/>
      <c r="I153" s="25" t="n">
        <v>4</v>
      </c>
      <c r="J153" s="25"/>
      <c r="K153" s="26" t="n">
        <f aca="false">38.68</f>
        <v>38.68</v>
      </c>
      <c r="L153" s="26" t="n">
        <f aca="false">119.93</f>
        <v>119.93</v>
      </c>
      <c r="M153" s="25" t="n">
        <v>14</v>
      </c>
      <c r="N153" s="25" t="n">
        <v>28</v>
      </c>
      <c r="O153" s="25" t="n">
        <v>103.75</v>
      </c>
      <c r="P153" s="26" t="n">
        <f aca="false">23.78</f>
        <v>23.78</v>
      </c>
      <c r="Q153" s="26" t="n">
        <f aca="false">155.96</f>
        <v>155.96</v>
      </c>
      <c r="R153" s="25" t="n">
        <v>14.1</v>
      </c>
      <c r="S153" s="25" t="n">
        <v>23.85</v>
      </c>
      <c r="T153" s="25" t="n">
        <v>374</v>
      </c>
      <c r="U153" s="27" t="s">
        <v>29</v>
      </c>
      <c r="V153" s="21"/>
      <c r="W153" s="16"/>
      <c r="X153" s="16"/>
      <c r="Y153" s="16"/>
    </row>
    <row r="154" customFormat="false" ht="15.75" hidden="false" customHeight="true" outlineLevel="0" collapsed="false">
      <c r="A154" s="9" t="s">
        <v>25</v>
      </c>
      <c r="B154" s="10" t="s">
        <v>26</v>
      </c>
      <c r="C154" s="11" t="s">
        <v>86</v>
      </c>
      <c r="D154" s="10" t="s">
        <v>28</v>
      </c>
      <c r="E154" s="10" t="s">
        <v>28</v>
      </c>
      <c r="F154" s="10"/>
      <c r="G154" s="10" t="n">
        <v>39</v>
      </c>
      <c r="H154" s="10" t="n">
        <v>9.1</v>
      </c>
      <c r="I154" s="12" t="n">
        <v>1</v>
      </c>
      <c r="J154" s="12"/>
      <c r="K154" s="13" t="n">
        <f aca="false">44.24</f>
        <v>44.24</v>
      </c>
      <c r="L154" s="13" t="n">
        <f aca="false">160.86</f>
        <v>160.86</v>
      </c>
      <c r="M154" s="12" t="n">
        <v>16</v>
      </c>
      <c r="N154" s="12" t="n">
        <v>38</v>
      </c>
      <c r="O154" s="12" t="n">
        <v>170</v>
      </c>
      <c r="P154" s="13" t="n">
        <f aca="false">25.38</f>
        <v>25.38</v>
      </c>
      <c r="Q154" s="13" t="n">
        <f aca="false">164.17</f>
        <v>164.17</v>
      </c>
      <c r="R154" s="12" t="n">
        <v>21.25</v>
      </c>
      <c r="S154" s="12" t="n">
        <v>26.45</v>
      </c>
      <c r="T154" s="12" t="n">
        <v>568</v>
      </c>
      <c r="U154" s="14" t="s">
        <v>41</v>
      </c>
      <c r="V154" s="15"/>
      <c r="W154" s="16" t="str">
        <f aca="false">A154</f>
        <v>KL</v>
      </c>
      <c r="X154" s="17" t="e">
        <f aca="false">ifs(C154="","",X154="",NOW(),TRUE(),X154)</f>
        <v>#VALUE!</v>
      </c>
      <c r="Y154" s="17" t="e">
        <f aca="false">ifs(COUNTA(K154:U157)&lt;44,"",Y154="",NOW(),TRUE(),Y154)</f>
        <v>#VALUE!</v>
      </c>
    </row>
    <row r="155" customFormat="false" ht="14.15" hidden="false" customHeight="false" outlineLevel="0" collapsed="false">
      <c r="A155" s="9"/>
      <c r="B155" s="10"/>
      <c r="C155" s="10"/>
      <c r="D155" s="10"/>
      <c r="E155" s="10"/>
      <c r="F155" s="10"/>
      <c r="G155" s="10"/>
      <c r="H155" s="10"/>
      <c r="I155" s="18" t="n">
        <v>2</v>
      </c>
      <c r="J155" s="18"/>
      <c r="K155" s="19" t="n">
        <f aca="false">44.94</f>
        <v>44.94</v>
      </c>
      <c r="L155" s="19" t="n">
        <f aca="false">140.26</f>
        <v>140.26</v>
      </c>
      <c r="M155" s="18" t="n">
        <v>16</v>
      </c>
      <c r="N155" s="18" t="n">
        <v>34</v>
      </c>
      <c r="O155" s="18" t="n">
        <v>157.8</v>
      </c>
      <c r="P155" s="19" t="n">
        <f aca="false">25.02</f>
        <v>25.02</v>
      </c>
      <c r="Q155" s="19" t="n">
        <f aca="false">152.88</f>
        <v>152.88</v>
      </c>
      <c r="R155" s="18" t="n">
        <v>21.1</v>
      </c>
      <c r="S155" s="18" t="n">
        <v>26.25</v>
      </c>
      <c r="T155" s="18" t="n">
        <v>537</v>
      </c>
      <c r="U155" s="20" t="s">
        <v>41</v>
      </c>
      <c r="V155" s="21"/>
      <c r="W155" s="16"/>
      <c r="X155" s="16"/>
      <c r="Y155" s="16"/>
    </row>
    <row r="156" customFormat="false" ht="14.15" hidden="false" customHeight="false" outlineLevel="0" collapsed="false">
      <c r="A156" s="9"/>
      <c r="B156" s="10"/>
      <c r="C156" s="10"/>
      <c r="D156" s="10"/>
      <c r="E156" s="10"/>
      <c r="F156" s="10"/>
      <c r="G156" s="10"/>
      <c r="H156" s="10"/>
      <c r="I156" s="22" t="n">
        <v>3</v>
      </c>
      <c r="J156" s="22"/>
      <c r="K156" s="23" t="n">
        <f aca="false">42.5</f>
        <v>42.5</v>
      </c>
      <c r="L156" s="23" t="n">
        <f aca="false">138.66</f>
        <v>138.66</v>
      </c>
      <c r="M156" s="22" t="n">
        <v>16</v>
      </c>
      <c r="N156" s="22" t="n">
        <v>34</v>
      </c>
      <c r="O156" s="22" t="n">
        <v>130.8</v>
      </c>
      <c r="P156" s="23" t="n">
        <f aca="false">24.59</f>
        <v>24.59</v>
      </c>
      <c r="Q156" s="23" t="n">
        <f aca="false">147</f>
        <v>147</v>
      </c>
      <c r="R156" s="22" t="n">
        <v>15.5</v>
      </c>
      <c r="S156" s="22" t="n">
        <v>21.1</v>
      </c>
      <c r="T156" s="22" t="n">
        <v>567</v>
      </c>
      <c r="U156" s="24" t="s">
        <v>41</v>
      </c>
      <c r="V156" s="15"/>
      <c r="W156" s="16"/>
      <c r="X156" s="16"/>
      <c r="Y156" s="16"/>
    </row>
    <row r="157" customFormat="false" ht="14.15" hidden="false" customHeight="false" outlineLevel="0" collapsed="false">
      <c r="A157" s="9"/>
      <c r="B157" s="10"/>
      <c r="C157" s="10"/>
      <c r="D157" s="10"/>
      <c r="E157" s="10"/>
      <c r="F157" s="10"/>
      <c r="G157" s="10"/>
      <c r="H157" s="10"/>
      <c r="I157" s="25" t="n">
        <v>4</v>
      </c>
      <c r="J157" s="25"/>
      <c r="K157" s="26" t="n">
        <f aca="false">45.33</f>
        <v>45.33</v>
      </c>
      <c r="L157" s="26" t="n">
        <f aca="false">138.12</f>
        <v>138.12</v>
      </c>
      <c r="M157" s="25" t="n">
        <v>16</v>
      </c>
      <c r="N157" s="25" t="n">
        <v>34</v>
      </c>
      <c r="O157" s="25" t="n">
        <v>161.55</v>
      </c>
      <c r="P157" s="26" t="n">
        <f aca="false">24.53</f>
        <v>24.53</v>
      </c>
      <c r="Q157" s="26" t="n">
        <f aca="false">138.54</f>
        <v>138.54</v>
      </c>
      <c r="R157" s="25" t="n">
        <v>17.7</v>
      </c>
      <c r="S157" s="25" t="n">
        <v>27.45</v>
      </c>
      <c r="T157" s="25" t="n">
        <v>534</v>
      </c>
      <c r="U157" s="27" t="s">
        <v>41</v>
      </c>
      <c r="V157" s="21"/>
      <c r="W157" s="16"/>
      <c r="X157" s="16"/>
      <c r="Y157" s="16"/>
    </row>
    <row r="158" customFormat="false" ht="15.75" hidden="false" customHeight="true" outlineLevel="0" collapsed="false">
      <c r="A158" s="9" t="s">
        <v>25</v>
      </c>
      <c r="B158" s="10" t="s">
        <v>26</v>
      </c>
      <c r="C158" s="11" t="s">
        <v>87</v>
      </c>
      <c r="D158" s="10" t="s">
        <v>28</v>
      </c>
      <c r="E158" s="10" t="s">
        <v>28</v>
      </c>
      <c r="F158" s="10"/>
      <c r="G158" s="10" t="n">
        <v>38</v>
      </c>
      <c r="H158" s="10" t="n">
        <v>9.45</v>
      </c>
      <c r="I158" s="12" t="n">
        <v>1</v>
      </c>
      <c r="J158" s="12" t="s">
        <v>35</v>
      </c>
      <c r="K158" s="13" t="n">
        <f aca="false">43.28</f>
        <v>43.28</v>
      </c>
      <c r="L158" s="13" t="n">
        <f aca="false">103.31</f>
        <v>103.31</v>
      </c>
      <c r="M158" s="12" t="n">
        <v>16</v>
      </c>
      <c r="N158" s="12" t="n">
        <v>26</v>
      </c>
      <c r="O158" s="12" t="n">
        <v>93.6</v>
      </c>
      <c r="P158" s="13" t="n">
        <f aca="false">24.42</f>
        <v>24.42</v>
      </c>
      <c r="Q158" s="13" t="n">
        <f aca="false">106.13</f>
        <v>106.13</v>
      </c>
      <c r="R158" s="12" t="n">
        <v>13.1</v>
      </c>
      <c r="S158" s="12" t="n">
        <v>28.75</v>
      </c>
      <c r="T158" s="12" t="n">
        <v>286</v>
      </c>
      <c r="U158" s="14" t="s">
        <v>29</v>
      </c>
      <c r="V158" s="15"/>
      <c r="W158" s="16" t="str">
        <f aca="false">A158</f>
        <v>KL</v>
      </c>
      <c r="X158" s="17" t="e">
        <f aca="false">ifs(C158="","",X158="",NOW(),TRUE(),X158)</f>
        <v>#VALUE!</v>
      </c>
      <c r="Y158" s="17" t="e">
        <f aca="false">ifs(COUNTA(K158:U161)&lt;44,"",Y158="",NOW(),TRUE(),Y158)</f>
        <v>#VALUE!</v>
      </c>
    </row>
    <row r="159" customFormat="false" ht="14.15" hidden="false" customHeight="false" outlineLevel="0" collapsed="false">
      <c r="A159" s="9"/>
      <c r="B159" s="10"/>
      <c r="C159" s="10"/>
      <c r="D159" s="10"/>
      <c r="E159" s="10"/>
      <c r="F159" s="10"/>
      <c r="G159" s="10"/>
      <c r="H159" s="10"/>
      <c r="I159" s="18" t="n">
        <v>2</v>
      </c>
      <c r="J159" s="18" t="s">
        <v>35</v>
      </c>
      <c r="K159" s="19" t="n">
        <f aca="false">39.54</f>
        <v>39.54</v>
      </c>
      <c r="L159" s="19" t="n">
        <f aca="false">107.01</f>
        <v>107.01</v>
      </c>
      <c r="M159" s="18" t="n">
        <v>14</v>
      </c>
      <c r="N159" s="18" t="n">
        <v>24</v>
      </c>
      <c r="O159" s="18" t="n">
        <v>85.7</v>
      </c>
      <c r="P159" s="19" t="n">
        <f aca="false">21.28</f>
        <v>21.28</v>
      </c>
      <c r="Q159" s="19" t="n">
        <f aca="false">111.19</f>
        <v>111.19</v>
      </c>
      <c r="R159" s="18" t="n">
        <v>11.5</v>
      </c>
      <c r="S159" s="18" t="n">
        <v>29.7</v>
      </c>
      <c r="T159" s="18" t="n">
        <v>255</v>
      </c>
      <c r="U159" s="20" t="s">
        <v>29</v>
      </c>
      <c r="V159" s="21"/>
      <c r="W159" s="16"/>
      <c r="X159" s="16"/>
      <c r="Y159" s="16"/>
    </row>
    <row r="160" customFormat="false" ht="14.15" hidden="false" customHeight="false" outlineLevel="0" collapsed="false">
      <c r="A160" s="9"/>
      <c r="B160" s="10"/>
      <c r="C160" s="10"/>
      <c r="D160" s="10"/>
      <c r="E160" s="10"/>
      <c r="F160" s="10"/>
      <c r="G160" s="10"/>
      <c r="H160" s="10"/>
      <c r="I160" s="22" t="n">
        <v>3</v>
      </c>
      <c r="J160" s="22" t="s">
        <v>35</v>
      </c>
      <c r="K160" s="23" t="n">
        <f aca="false">42.9</f>
        <v>42.9</v>
      </c>
      <c r="L160" s="23" t="n">
        <f aca="false">96.86</f>
        <v>96.86</v>
      </c>
      <c r="M160" s="22" t="n">
        <v>14</v>
      </c>
      <c r="N160" s="22" t="n">
        <v>24</v>
      </c>
      <c r="O160" s="22" t="n">
        <v>77.35</v>
      </c>
      <c r="P160" s="23" t="n">
        <f aca="false">22.85</f>
        <v>22.85</v>
      </c>
      <c r="Q160" s="23" t="n">
        <f aca="false">92.6</f>
        <v>92.6</v>
      </c>
      <c r="R160" s="22" t="n">
        <v>11.4</v>
      </c>
      <c r="S160" s="22" t="n">
        <v>29.1</v>
      </c>
      <c r="T160" s="22" t="n">
        <v>233</v>
      </c>
      <c r="U160" s="24" t="s">
        <v>29</v>
      </c>
      <c r="V160" s="15"/>
      <c r="W160" s="16"/>
      <c r="X160" s="16"/>
      <c r="Y160" s="16"/>
    </row>
    <row r="161" customFormat="false" ht="14.15" hidden="false" customHeight="false" outlineLevel="0" collapsed="false">
      <c r="A161" s="9"/>
      <c r="B161" s="10"/>
      <c r="C161" s="10"/>
      <c r="D161" s="10"/>
      <c r="E161" s="10"/>
      <c r="F161" s="10"/>
      <c r="G161" s="10"/>
      <c r="H161" s="10"/>
      <c r="I161" s="25" t="n">
        <v>4</v>
      </c>
      <c r="J161" s="25" t="s">
        <v>35</v>
      </c>
      <c r="K161" s="26" t="n">
        <f aca="false">42.33</f>
        <v>42.33</v>
      </c>
      <c r="L161" s="26" t="n">
        <f aca="false">81.75</f>
        <v>81.75</v>
      </c>
      <c r="M161" s="25" t="n">
        <v>16</v>
      </c>
      <c r="N161" s="25" t="n">
        <v>20</v>
      </c>
      <c r="O161" s="25" t="n">
        <v>65.7</v>
      </c>
      <c r="P161" s="26" t="n">
        <f aca="false">22.55</f>
        <v>22.55</v>
      </c>
      <c r="Q161" s="26" t="n">
        <f aca="false">87.21</f>
        <v>87.21</v>
      </c>
      <c r="R161" s="25" t="n">
        <v>9.15</v>
      </c>
      <c r="S161" s="25" t="n">
        <v>25.5</v>
      </c>
      <c r="T161" s="25" t="n">
        <v>227</v>
      </c>
      <c r="U161" s="27" t="s">
        <v>29</v>
      </c>
      <c r="V161" s="21"/>
      <c r="W161" s="16"/>
      <c r="X161" s="16"/>
      <c r="Y161" s="16"/>
    </row>
    <row r="162" customFormat="false" ht="15.75" hidden="false" customHeight="true" outlineLevel="0" collapsed="false">
      <c r="A162" s="9" t="s">
        <v>25</v>
      </c>
      <c r="B162" s="10" t="s">
        <v>26</v>
      </c>
      <c r="C162" s="11" t="s">
        <v>88</v>
      </c>
      <c r="D162" s="10" t="s">
        <v>28</v>
      </c>
      <c r="E162" s="10" t="s">
        <v>28</v>
      </c>
      <c r="F162" s="10" t="s">
        <v>89</v>
      </c>
      <c r="G162" s="10" t="n">
        <v>28</v>
      </c>
      <c r="H162" s="10" t="n">
        <v>4.35</v>
      </c>
      <c r="I162" s="12" t="n">
        <v>1</v>
      </c>
      <c r="J162" s="12"/>
      <c r="K162" s="13" t="n">
        <f aca="false">37.09</f>
        <v>37.09</v>
      </c>
      <c r="L162" s="13" t="n">
        <f aca="false">137.88</f>
        <v>137.88</v>
      </c>
      <c r="M162" s="12" t="n">
        <v>16</v>
      </c>
      <c r="N162" s="12" t="n">
        <v>34</v>
      </c>
      <c r="O162" s="12" t="n">
        <v>95.25</v>
      </c>
      <c r="P162" s="13" t="n">
        <f aca="false">25.7</f>
        <v>25.7</v>
      </c>
      <c r="Q162" s="13" t="n">
        <f aca="false">140.19</f>
        <v>140.19</v>
      </c>
      <c r="R162" s="12" t="n">
        <v>13.45</v>
      </c>
      <c r="S162" s="12" t="n">
        <v>17.05</v>
      </c>
      <c r="T162" s="12" t="n">
        <v>486</v>
      </c>
      <c r="U162" s="14" t="s">
        <v>58</v>
      </c>
      <c r="V162" s="15"/>
      <c r="W162" s="16" t="str">
        <f aca="false">A162</f>
        <v>KL</v>
      </c>
      <c r="X162" s="17" t="e">
        <f aca="false">ifs(C162="","",X162="",NOW(),TRUE(),X162)</f>
        <v>#VALUE!</v>
      </c>
      <c r="Y162" s="17" t="e">
        <f aca="false">ifs(COUNTA(K162:U165)&lt;44,"",Y162="",NOW(),TRUE(),Y162)</f>
        <v>#VALUE!</v>
      </c>
    </row>
    <row r="163" customFormat="false" ht="14.15" hidden="false" customHeight="false" outlineLevel="0" collapsed="false">
      <c r="A163" s="9"/>
      <c r="B163" s="10"/>
      <c r="C163" s="10"/>
      <c r="D163" s="10"/>
      <c r="E163" s="10"/>
      <c r="F163" s="10"/>
      <c r="G163" s="10"/>
      <c r="H163" s="10"/>
      <c r="I163" s="18" t="n">
        <v>2</v>
      </c>
      <c r="J163" s="18"/>
      <c r="K163" s="19" t="n">
        <f aca="false">37.83</f>
        <v>37.83</v>
      </c>
      <c r="L163" s="19" t="n">
        <f aca="false">133.21</f>
        <v>133.21</v>
      </c>
      <c r="M163" s="18" t="n">
        <v>12</v>
      </c>
      <c r="N163" s="18" t="n">
        <v>34</v>
      </c>
      <c r="O163" s="18" t="n">
        <v>93.8</v>
      </c>
      <c r="P163" s="19" t="n">
        <f aca="false">23.84</f>
        <v>23.84</v>
      </c>
      <c r="Q163" s="19" t="n">
        <f aca="false">142.93</f>
        <v>142.93</v>
      </c>
      <c r="R163" s="18" t="n">
        <v>13.9</v>
      </c>
      <c r="S163" s="18" t="n">
        <v>20.25</v>
      </c>
      <c r="T163" s="18" t="n">
        <v>405</v>
      </c>
      <c r="U163" s="20" t="s">
        <v>32</v>
      </c>
      <c r="V163" s="21"/>
      <c r="W163" s="16"/>
      <c r="X163" s="16"/>
      <c r="Y163" s="16"/>
    </row>
    <row r="164" customFormat="false" ht="14.15" hidden="false" customHeight="false" outlineLevel="0" collapsed="false">
      <c r="A164" s="9"/>
      <c r="B164" s="10"/>
      <c r="C164" s="10"/>
      <c r="D164" s="10"/>
      <c r="E164" s="10"/>
      <c r="F164" s="10"/>
      <c r="G164" s="10"/>
      <c r="H164" s="10"/>
      <c r="I164" s="22" t="n">
        <v>3</v>
      </c>
      <c r="J164" s="22"/>
      <c r="K164" s="23" t="n">
        <f aca="false">36.05</f>
        <v>36.05</v>
      </c>
      <c r="L164" s="23" t="n">
        <f aca="false">117.82</f>
        <v>117.82</v>
      </c>
      <c r="M164" s="22" t="n">
        <v>14</v>
      </c>
      <c r="N164" s="22" t="n">
        <v>28</v>
      </c>
      <c r="O164" s="22" t="n">
        <v>68.1</v>
      </c>
      <c r="P164" s="23" t="n">
        <f aca="false">23.99</f>
        <v>23.99</v>
      </c>
      <c r="Q164" s="23" t="n">
        <f aca="false">140.16</f>
        <v>140.16</v>
      </c>
      <c r="R164" s="22" t="n">
        <v>8.65</v>
      </c>
      <c r="S164" s="22" t="n">
        <v>14.55</v>
      </c>
      <c r="T164" s="22" t="n">
        <v>408</v>
      </c>
      <c r="U164" s="24" t="s">
        <v>58</v>
      </c>
      <c r="V164" s="15"/>
      <c r="W164" s="16"/>
      <c r="X164" s="16"/>
      <c r="Y164" s="16"/>
    </row>
    <row r="165" customFormat="false" ht="14.15" hidden="false" customHeight="false" outlineLevel="0" collapsed="false">
      <c r="A165" s="9"/>
      <c r="B165" s="10"/>
      <c r="C165" s="10"/>
      <c r="D165" s="10"/>
      <c r="E165" s="10"/>
      <c r="F165" s="10"/>
      <c r="G165" s="10"/>
      <c r="H165" s="10"/>
      <c r="I165" s="25" t="n">
        <v>4</v>
      </c>
      <c r="J165" s="25"/>
      <c r="K165" s="26" t="n">
        <f aca="false">36.36</f>
        <v>36.36</v>
      </c>
      <c r="L165" s="26" t="n">
        <f aca="false">117.08</f>
        <v>117.08</v>
      </c>
      <c r="M165" s="25" t="n">
        <v>14</v>
      </c>
      <c r="N165" s="25" t="n">
        <v>30</v>
      </c>
      <c r="O165" s="25" t="n">
        <v>74.05</v>
      </c>
      <c r="P165" s="26" t="n">
        <f aca="false">23.43</f>
        <v>23.43</v>
      </c>
      <c r="Q165" s="26" t="n">
        <f aca="false">126.33</f>
        <v>126.33</v>
      </c>
      <c r="R165" s="25" t="n">
        <v>9.5</v>
      </c>
      <c r="S165" s="25" t="n">
        <v>16.7</v>
      </c>
      <c r="T165" s="25" t="n">
        <v>388</v>
      </c>
      <c r="U165" s="27" t="s">
        <v>58</v>
      </c>
      <c r="V165" s="21"/>
      <c r="W165" s="16"/>
      <c r="X165" s="16"/>
      <c r="Y165" s="16"/>
    </row>
    <row r="166" customFormat="false" ht="15.75" hidden="false" customHeight="true" outlineLevel="0" collapsed="false">
      <c r="A166" s="9" t="s">
        <v>25</v>
      </c>
      <c r="B166" s="10" t="s">
        <v>26</v>
      </c>
      <c r="C166" s="11" t="s">
        <v>90</v>
      </c>
      <c r="D166" s="10" t="s">
        <v>28</v>
      </c>
      <c r="E166" s="10" t="s">
        <v>28</v>
      </c>
      <c r="F166" s="10"/>
      <c r="G166" s="10" t="n">
        <v>10</v>
      </c>
      <c r="H166" s="10" t="n">
        <v>1.9</v>
      </c>
      <c r="I166" s="12" t="n">
        <v>1</v>
      </c>
      <c r="J166" s="12"/>
      <c r="K166" s="13" t="n">
        <f aca="false">40.17</f>
        <v>40.17</v>
      </c>
      <c r="L166" s="13" t="n">
        <f aca="false">145.98</f>
        <v>145.98</v>
      </c>
      <c r="M166" s="12" t="n">
        <v>14</v>
      </c>
      <c r="N166" s="12" t="n">
        <v>36</v>
      </c>
      <c r="O166" s="12" t="n">
        <v>119.95</v>
      </c>
      <c r="P166" s="13" t="n">
        <f aca="false">24.56</f>
        <v>24.56</v>
      </c>
      <c r="Q166" s="13" t="n">
        <f aca="false">162.37</f>
        <v>162.37</v>
      </c>
      <c r="R166" s="12" t="n">
        <v>15.35</v>
      </c>
      <c r="S166" s="12" t="n">
        <v>22.85</v>
      </c>
      <c r="T166" s="12" t="n">
        <v>462</v>
      </c>
      <c r="U166" s="14" t="s">
        <v>58</v>
      </c>
      <c r="V166" s="15"/>
      <c r="W166" s="16" t="str">
        <f aca="false">A166</f>
        <v>KL</v>
      </c>
      <c r="X166" s="17" t="e">
        <f aca="false">ifs(C166="","",X166="",NOW(),TRUE(),X166)</f>
        <v>#VALUE!</v>
      </c>
      <c r="Y166" s="17" t="e">
        <f aca="false">ifs(COUNTA(K166:U169)&lt;44,"",Y166="",NOW(),TRUE(),Y166)</f>
        <v>#VALUE!</v>
      </c>
    </row>
    <row r="167" customFormat="false" ht="14.15" hidden="false" customHeight="false" outlineLevel="0" collapsed="false">
      <c r="A167" s="9"/>
      <c r="B167" s="10"/>
      <c r="C167" s="10"/>
      <c r="D167" s="10"/>
      <c r="E167" s="10"/>
      <c r="F167" s="10"/>
      <c r="G167" s="10"/>
      <c r="H167" s="10"/>
      <c r="I167" s="18" t="n">
        <v>2</v>
      </c>
      <c r="J167" s="18"/>
      <c r="K167" s="19" t="n">
        <f aca="false">40.22</f>
        <v>40.22</v>
      </c>
      <c r="L167" s="19" t="n">
        <f aca="false">144.45</f>
        <v>144.45</v>
      </c>
      <c r="M167" s="18" t="n">
        <v>14</v>
      </c>
      <c r="N167" s="18" t="n">
        <v>34</v>
      </c>
      <c r="O167" s="18" t="n">
        <v>115.5</v>
      </c>
      <c r="P167" s="19" t="n">
        <f aca="false">22.25</f>
        <v>22.25</v>
      </c>
      <c r="Q167" s="19" t="n">
        <f aca="false">159.94</f>
        <v>159.94</v>
      </c>
      <c r="R167" s="18" t="n">
        <v>14.45</v>
      </c>
      <c r="S167" s="18" t="n">
        <v>21.1</v>
      </c>
      <c r="T167" s="18" t="n">
        <v>478</v>
      </c>
      <c r="U167" s="20" t="s">
        <v>58</v>
      </c>
      <c r="V167" s="21"/>
      <c r="W167" s="16"/>
      <c r="X167" s="16"/>
      <c r="Y167" s="16"/>
    </row>
    <row r="168" customFormat="false" ht="14.15" hidden="false" customHeight="false" outlineLevel="0" collapsed="false">
      <c r="A168" s="9"/>
      <c r="B168" s="10"/>
      <c r="C168" s="10"/>
      <c r="D168" s="10"/>
      <c r="E168" s="10"/>
      <c r="F168" s="10"/>
      <c r="G168" s="10"/>
      <c r="H168" s="10"/>
      <c r="I168" s="22" t="n">
        <v>3</v>
      </c>
      <c r="J168" s="22"/>
      <c r="K168" s="23" t="n">
        <f aca="false">38.72</f>
        <v>38.72</v>
      </c>
      <c r="L168" s="23" t="n">
        <f aca="false">132.44</f>
        <v>132.44</v>
      </c>
      <c r="M168" s="22" t="n">
        <v>14</v>
      </c>
      <c r="N168" s="22" t="n">
        <v>34</v>
      </c>
      <c r="O168" s="22" t="n">
        <v>100.45</v>
      </c>
      <c r="P168" s="23" t="n">
        <f aca="false">22.58</f>
        <v>22.58</v>
      </c>
      <c r="Q168" s="23" t="n">
        <f aca="false">147.14</f>
        <v>147.14</v>
      </c>
      <c r="R168" s="22" t="n">
        <v>12.65</v>
      </c>
      <c r="S168" s="22" t="n">
        <v>20.1</v>
      </c>
      <c r="T168" s="22" t="n">
        <v>451</v>
      </c>
      <c r="U168" s="24" t="s">
        <v>58</v>
      </c>
      <c r="V168" s="15"/>
      <c r="W168" s="16"/>
      <c r="X168" s="16"/>
      <c r="Y168" s="16"/>
    </row>
    <row r="169" customFormat="false" ht="14.15" hidden="false" customHeight="false" outlineLevel="0" collapsed="false">
      <c r="A169" s="9"/>
      <c r="B169" s="10"/>
      <c r="C169" s="10"/>
      <c r="D169" s="10"/>
      <c r="E169" s="10"/>
      <c r="F169" s="10"/>
      <c r="G169" s="10"/>
      <c r="H169" s="10"/>
      <c r="I169" s="25" t="n">
        <v>4</v>
      </c>
      <c r="J169" s="25"/>
      <c r="K169" s="26" t="n">
        <f aca="false">36.2</f>
        <v>36.2</v>
      </c>
      <c r="L169" s="26" t="n">
        <f aca="false">144.14</f>
        <v>144.14</v>
      </c>
      <c r="M169" s="25" t="n">
        <v>12</v>
      </c>
      <c r="N169" s="25" t="n">
        <v>34</v>
      </c>
      <c r="O169" s="25" t="n">
        <v>99.05</v>
      </c>
      <c r="P169" s="26" t="n">
        <f aca="false">22.47</f>
        <v>22.47</v>
      </c>
      <c r="Q169" s="26" t="n">
        <f aca="false">152.85</f>
        <v>152.85</v>
      </c>
      <c r="R169" s="25" t="n">
        <v>13.45</v>
      </c>
      <c r="S169" s="25" t="n">
        <v>21.1</v>
      </c>
      <c r="T169" s="25" t="n">
        <v>407</v>
      </c>
      <c r="U169" s="27" t="s">
        <v>58</v>
      </c>
      <c r="V169" s="21"/>
      <c r="W169" s="16"/>
      <c r="X169" s="16"/>
      <c r="Y169" s="16"/>
    </row>
    <row r="170" customFormat="false" ht="15.75" hidden="false" customHeight="true" outlineLevel="0" collapsed="false">
      <c r="A170" s="9" t="s">
        <v>25</v>
      </c>
      <c r="B170" s="10" t="s">
        <v>26</v>
      </c>
      <c r="C170" s="11" t="s">
        <v>91</v>
      </c>
      <c r="D170" s="10" t="s">
        <v>28</v>
      </c>
      <c r="E170" s="10" t="s">
        <v>28</v>
      </c>
      <c r="F170" s="10"/>
      <c r="G170" s="10" t="n">
        <v>54</v>
      </c>
      <c r="H170" s="10" t="n">
        <v>8.7</v>
      </c>
      <c r="I170" s="12" t="n">
        <v>1</v>
      </c>
      <c r="J170" s="12" t="s">
        <v>47</v>
      </c>
      <c r="K170" s="13" t="n">
        <f aca="false">45.03</f>
        <v>45.03</v>
      </c>
      <c r="L170" s="13" t="n">
        <f aca="false">152.68</f>
        <v>152.68</v>
      </c>
      <c r="M170" s="12" t="n">
        <v>16</v>
      </c>
      <c r="N170" s="12" t="n">
        <v>38</v>
      </c>
      <c r="O170" s="12" t="n">
        <v>166.8</v>
      </c>
      <c r="P170" s="13" t="n">
        <f aca="false">28.55</f>
        <v>28.55</v>
      </c>
      <c r="Q170" s="13" t="n">
        <f aca="false">167.46</f>
        <v>167.46</v>
      </c>
      <c r="R170" s="12" t="n">
        <v>21.25</v>
      </c>
      <c r="S170" s="12" t="n">
        <v>24.7</v>
      </c>
      <c r="T170" s="12" t="n">
        <v>593</v>
      </c>
      <c r="U170" s="14" t="s">
        <v>29</v>
      </c>
      <c r="V170" s="15"/>
      <c r="W170" s="16" t="str">
        <f aca="false">A170</f>
        <v>KL</v>
      </c>
      <c r="X170" s="17" t="e">
        <f aca="false">ifs(C170="","",X170="",NOW(),TRUE(),X170)</f>
        <v>#VALUE!</v>
      </c>
      <c r="Y170" s="17" t="e">
        <f aca="false">ifs(COUNTA(K170:U173)&lt;44,"",Y170="",NOW(),TRUE(),Y170)</f>
        <v>#VALUE!</v>
      </c>
    </row>
    <row r="171" customFormat="false" ht="14.15" hidden="false" customHeight="false" outlineLevel="0" collapsed="false">
      <c r="A171" s="9"/>
      <c r="B171" s="10"/>
      <c r="C171" s="10"/>
      <c r="D171" s="10"/>
      <c r="E171" s="10"/>
      <c r="F171" s="10"/>
      <c r="G171" s="10"/>
      <c r="H171" s="10"/>
      <c r="I171" s="18" t="n">
        <v>2</v>
      </c>
      <c r="J171" s="18" t="s">
        <v>36</v>
      </c>
      <c r="K171" s="19" t="n">
        <f aca="false">43.1</f>
        <v>43.1</v>
      </c>
      <c r="L171" s="19" t="n">
        <f aca="false">116.96</f>
        <v>116.96</v>
      </c>
      <c r="M171" s="18" t="n">
        <v>16</v>
      </c>
      <c r="N171" s="18" t="n">
        <v>30</v>
      </c>
      <c r="O171" s="18" t="n">
        <v>121.2</v>
      </c>
      <c r="P171" s="19" t="n">
        <f aca="false">26.25</f>
        <v>26.25</v>
      </c>
      <c r="Q171" s="19" t="n">
        <f aca="false">133.03</f>
        <v>133.03</v>
      </c>
      <c r="R171" s="18" t="n">
        <v>15.65</v>
      </c>
      <c r="S171" s="18" t="n">
        <v>24.25</v>
      </c>
      <c r="T171" s="18" t="n">
        <v>448</v>
      </c>
      <c r="U171" s="20" t="s">
        <v>29</v>
      </c>
      <c r="V171" s="21"/>
      <c r="W171" s="16"/>
      <c r="X171" s="16"/>
      <c r="Y171" s="16"/>
    </row>
    <row r="172" customFormat="false" ht="14.15" hidden="false" customHeight="false" outlineLevel="0" collapsed="false">
      <c r="A172" s="9"/>
      <c r="B172" s="10"/>
      <c r="C172" s="10"/>
      <c r="D172" s="10"/>
      <c r="E172" s="10"/>
      <c r="F172" s="10"/>
      <c r="G172" s="10"/>
      <c r="H172" s="10"/>
      <c r="I172" s="22" t="n">
        <v>3</v>
      </c>
      <c r="J172" s="22" t="s">
        <v>47</v>
      </c>
      <c r="K172" s="23" t="n">
        <f aca="false">40.64</f>
        <v>40.64</v>
      </c>
      <c r="L172" s="23" t="n">
        <f aca="false">128.29</f>
        <v>128.29</v>
      </c>
      <c r="M172" s="22" t="n">
        <v>18</v>
      </c>
      <c r="N172" s="22" t="n">
        <v>30</v>
      </c>
      <c r="O172" s="22" t="n">
        <v>103.9</v>
      </c>
      <c r="P172" s="23" t="n">
        <f aca="false">26.52</f>
        <v>26.52</v>
      </c>
      <c r="Q172" s="23" t="n">
        <f aca="false">137.53</f>
        <v>137.53</v>
      </c>
      <c r="R172" s="22" t="n">
        <v>14.15</v>
      </c>
      <c r="S172" s="22" t="n">
        <v>18.25</v>
      </c>
      <c r="T172" s="22" t="n">
        <v>503</v>
      </c>
      <c r="U172" s="24" t="s">
        <v>29</v>
      </c>
      <c r="V172" s="15"/>
      <c r="W172" s="16"/>
      <c r="X172" s="16"/>
      <c r="Y172" s="16"/>
    </row>
    <row r="173" customFormat="false" ht="14.15" hidden="false" customHeight="false" outlineLevel="0" collapsed="false">
      <c r="A173" s="9"/>
      <c r="B173" s="10"/>
      <c r="C173" s="10"/>
      <c r="D173" s="10"/>
      <c r="E173" s="10"/>
      <c r="F173" s="10"/>
      <c r="G173" s="10"/>
      <c r="H173" s="10"/>
      <c r="I173" s="25" t="n">
        <v>4</v>
      </c>
      <c r="J173" s="25"/>
      <c r="K173" s="26" t="n">
        <f aca="false">38.01</f>
        <v>38.01</v>
      </c>
      <c r="L173" s="26" t="n">
        <f aca="false">120.17</f>
        <v>120.17</v>
      </c>
      <c r="M173" s="25" t="n">
        <v>12</v>
      </c>
      <c r="N173" s="25" t="n">
        <v>32</v>
      </c>
      <c r="O173" s="25" t="n">
        <v>92.25</v>
      </c>
      <c r="P173" s="26" t="n">
        <f aca="false">23.28</f>
        <v>23.28</v>
      </c>
      <c r="Q173" s="26" t="n">
        <f aca="false">139.16</f>
        <v>139.16</v>
      </c>
      <c r="R173" s="25" t="n">
        <v>12.25</v>
      </c>
      <c r="S173" s="25" t="n">
        <v>21.25</v>
      </c>
      <c r="T173" s="25" t="n">
        <v>380</v>
      </c>
      <c r="U173" s="27" t="s">
        <v>29</v>
      </c>
      <c r="V173" s="21"/>
      <c r="W173" s="16"/>
      <c r="X173" s="16"/>
      <c r="Y173" s="16"/>
    </row>
    <row r="174" customFormat="false" ht="15.75" hidden="false" customHeight="true" outlineLevel="0" collapsed="false">
      <c r="A174" s="9" t="s">
        <v>25</v>
      </c>
      <c r="B174" s="10" t="s">
        <v>26</v>
      </c>
      <c r="C174" s="11" t="s">
        <v>92</v>
      </c>
      <c r="D174" s="10" t="s">
        <v>28</v>
      </c>
      <c r="E174" s="10" t="s">
        <v>28</v>
      </c>
      <c r="F174" s="10"/>
      <c r="G174" s="10" t="n">
        <v>4</v>
      </c>
      <c r="H174" s="10" t="n">
        <v>0.95</v>
      </c>
      <c r="I174" s="12" t="n">
        <v>1</v>
      </c>
      <c r="J174" s="12"/>
      <c r="K174" s="13" t="n">
        <f aca="false">40.8</f>
        <v>40.8</v>
      </c>
      <c r="L174" s="13" t="n">
        <f aca="false">140.81</f>
        <v>140.81</v>
      </c>
      <c r="M174" s="12" t="n">
        <v>16</v>
      </c>
      <c r="N174" s="12" t="n">
        <v>38</v>
      </c>
      <c r="O174" s="12" t="n">
        <v>127.9</v>
      </c>
      <c r="P174" s="13" t="n">
        <f aca="false">23.25</f>
        <v>23.25</v>
      </c>
      <c r="Q174" s="13" t="n">
        <f aca="false">151.8</f>
        <v>151.8</v>
      </c>
      <c r="R174" s="12" t="n">
        <v>20.25</v>
      </c>
      <c r="S174" s="12" t="n">
        <v>17.7</v>
      </c>
      <c r="T174" s="12" t="n">
        <v>613</v>
      </c>
      <c r="U174" s="14" t="s">
        <v>29</v>
      </c>
      <c r="V174" s="15"/>
      <c r="W174" s="16" t="str">
        <f aca="false">A174</f>
        <v>KL</v>
      </c>
      <c r="X174" s="17" t="e">
        <f aca="false">ifs(C174="","",X174="",NOW(),TRUE(),X174)</f>
        <v>#VALUE!</v>
      </c>
      <c r="Y174" s="17" t="e">
        <f aca="false">ifs(COUNTA(K174:U177)&lt;44,"",Y174="",NOW(),TRUE(),Y174)</f>
        <v>#VALUE!</v>
      </c>
    </row>
    <row r="175" customFormat="false" ht="14.15" hidden="false" customHeight="false" outlineLevel="0" collapsed="false">
      <c r="A175" s="9"/>
      <c r="B175" s="10"/>
      <c r="C175" s="10"/>
      <c r="D175" s="10"/>
      <c r="E175" s="10"/>
      <c r="F175" s="10"/>
      <c r="G175" s="10"/>
      <c r="H175" s="10"/>
      <c r="I175" s="18" t="n">
        <v>2</v>
      </c>
      <c r="J175" s="18"/>
      <c r="K175" s="19" t="n">
        <f aca="false">40.21</f>
        <v>40.21</v>
      </c>
      <c r="L175" s="19" t="n">
        <f aca="false">131.55</f>
        <v>131.55</v>
      </c>
      <c r="M175" s="18" t="n">
        <v>16</v>
      </c>
      <c r="N175" s="18" t="n">
        <v>36</v>
      </c>
      <c r="O175" s="18" t="n">
        <v>112.1</v>
      </c>
      <c r="P175" s="19" t="n">
        <f aca="false">24.42</f>
        <v>24.42</v>
      </c>
      <c r="Q175" s="19" t="n">
        <f aca="false">146.66</f>
        <v>146.66</v>
      </c>
      <c r="R175" s="18" t="n">
        <v>17.45</v>
      </c>
      <c r="S175" s="18" t="n">
        <v>17.4</v>
      </c>
      <c r="T175" s="18" t="n">
        <v>562</v>
      </c>
      <c r="U175" s="20" t="s">
        <v>29</v>
      </c>
      <c r="V175" s="21"/>
      <c r="W175" s="16"/>
      <c r="X175" s="16"/>
      <c r="Y175" s="16"/>
    </row>
    <row r="176" customFormat="false" ht="14.15" hidden="false" customHeight="false" outlineLevel="0" collapsed="false">
      <c r="A176" s="9"/>
      <c r="B176" s="10"/>
      <c r="C176" s="10"/>
      <c r="D176" s="10"/>
      <c r="E176" s="10"/>
      <c r="F176" s="10"/>
      <c r="G176" s="10"/>
      <c r="H176" s="10"/>
      <c r="I176" s="22" t="n">
        <v>3</v>
      </c>
      <c r="J176" s="22"/>
      <c r="K176" s="23" t="n">
        <f aca="false">39.23</f>
        <v>39.23</v>
      </c>
      <c r="L176" s="23" t="n">
        <f aca="false">138.72</f>
        <v>138.72</v>
      </c>
      <c r="M176" s="22" t="n">
        <v>12</v>
      </c>
      <c r="N176" s="22" t="n">
        <v>38</v>
      </c>
      <c r="O176" s="22" t="n">
        <v>111.85</v>
      </c>
      <c r="P176" s="23" t="n">
        <f aca="false">23.16</f>
        <v>23.16</v>
      </c>
      <c r="Q176" s="23" t="n">
        <f aca="false">147.73</f>
        <v>147.73</v>
      </c>
      <c r="R176" s="22" t="n">
        <v>16.3</v>
      </c>
      <c r="S176" s="22" t="n">
        <v>23.65</v>
      </c>
      <c r="T176" s="22" t="n">
        <v>407</v>
      </c>
      <c r="U176" s="24" t="s">
        <v>29</v>
      </c>
      <c r="V176" s="15"/>
      <c r="W176" s="16"/>
      <c r="X176" s="16"/>
      <c r="Y176" s="16"/>
    </row>
    <row r="177" customFormat="false" ht="14.15" hidden="false" customHeight="false" outlineLevel="0" collapsed="false">
      <c r="A177" s="9"/>
      <c r="B177" s="10"/>
      <c r="C177" s="10"/>
      <c r="D177" s="10"/>
      <c r="E177" s="10"/>
      <c r="F177" s="10"/>
      <c r="G177" s="10"/>
      <c r="H177" s="10"/>
      <c r="I177" s="25" t="n">
        <v>4</v>
      </c>
      <c r="J177" s="25"/>
      <c r="K177" s="26" t="n">
        <f aca="false">37.98</f>
        <v>37.98</v>
      </c>
      <c r="L177" s="26" t="n">
        <f aca="false">119.01</f>
        <v>119.01</v>
      </c>
      <c r="M177" s="25" t="n">
        <v>12</v>
      </c>
      <c r="N177" s="25" t="n">
        <v>34</v>
      </c>
      <c r="O177" s="25" t="n">
        <v>101.95</v>
      </c>
      <c r="P177" s="26" t="n">
        <f aca="false">21.71</f>
        <v>21.71</v>
      </c>
      <c r="Q177" s="26" t="n">
        <f aca="false">142.72</f>
        <v>142.72</v>
      </c>
      <c r="R177" s="25" t="n">
        <v>15.05</v>
      </c>
      <c r="S177" s="25" t="n">
        <v>21.15</v>
      </c>
      <c r="T177" s="25" t="n">
        <v>401</v>
      </c>
      <c r="U177" s="27" t="s">
        <v>29</v>
      </c>
      <c r="V177" s="21"/>
      <c r="W177" s="16"/>
      <c r="X177" s="16"/>
      <c r="Y177" s="16"/>
    </row>
    <row r="178" customFormat="false" ht="15.75" hidden="false" customHeight="true" outlineLevel="0" collapsed="false">
      <c r="A178" s="9" t="s">
        <v>25</v>
      </c>
      <c r="B178" s="10" t="s">
        <v>26</v>
      </c>
      <c r="C178" s="11" t="s">
        <v>93</v>
      </c>
      <c r="D178" s="10" t="s">
        <v>28</v>
      </c>
      <c r="E178" s="10" t="s">
        <v>28</v>
      </c>
      <c r="F178" s="10"/>
      <c r="G178" s="10" t="n">
        <v>13</v>
      </c>
      <c r="H178" s="10" t="n">
        <v>1.8</v>
      </c>
      <c r="I178" s="12" t="n">
        <v>1</v>
      </c>
      <c r="J178" s="12"/>
      <c r="K178" s="13" t="n">
        <f aca="false">38.72</f>
        <v>38.72</v>
      </c>
      <c r="L178" s="13" t="n">
        <f aca="false">126.44</f>
        <v>126.44</v>
      </c>
      <c r="M178" s="12" t="n">
        <v>14</v>
      </c>
      <c r="N178" s="12" t="n">
        <v>34</v>
      </c>
      <c r="O178" s="12" t="n">
        <v>108.65</v>
      </c>
      <c r="P178" s="13" t="n">
        <f aca="false">23.12</f>
        <v>23.12</v>
      </c>
      <c r="Q178" s="13" t="n">
        <f aca="false">141.55</f>
        <v>141.55</v>
      </c>
      <c r="R178" s="12" t="n">
        <v>13.65</v>
      </c>
      <c r="S178" s="12" t="n">
        <v>20.1</v>
      </c>
      <c r="T178" s="12" t="n">
        <v>498</v>
      </c>
      <c r="U178" s="14" t="s">
        <v>29</v>
      </c>
      <c r="V178" s="15"/>
      <c r="W178" s="16" t="str">
        <f aca="false">A178</f>
        <v>KL</v>
      </c>
      <c r="X178" s="17" t="e">
        <f aca="false">ifs(C178="","",X178="",NOW(),TRUE(),X178)</f>
        <v>#VALUE!</v>
      </c>
      <c r="Y178" s="17" t="e">
        <f aca="false">ifs(COUNTA(K178:U181)&lt;44,"",Y178="",NOW(),TRUE(),Y178)</f>
        <v>#VALUE!</v>
      </c>
    </row>
    <row r="179" customFormat="false" ht="14.15" hidden="false" customHeight="false" outlineLevel="0" collapsed="false">
      <c r="A179" s="9"/>
      <c r="B179" s="10"/>
      <c r="C179" s="10"/>
      <c r="D179" s="10"/>
      <c r="E179" s="10"/>
      <c r="F179" s="10"/>
      <c r="G179" s="10"/>
      <c r="H179" s="10"/>
      <c r="I179" s="18" t="n">
        <v>2</v>
      </c>
      <c r="J179" s="18" t="s">
        <v>49</v>
      </c>
      <c r="K179" s="19" t="n">
        <f aca="false">38.31</f>
        <v>38.31</v>
      </c>
      <c r="L179" s="19" t="n">
        <f aca="false">117.96</f>
        <v>117.96</v>
      </c>
      <c r="M179" s="18" t="n">
        <v>14</v>
      </c>
      <c r="N179" s="18" t="n">
        <v>30</v>
      </c>
      <c r="O179" s="18" t="n">
        <v>99.7</v>
      </c>
      <c r="P179" s="19" t="n">
        <f aca="false">23.7</f>
        <v>23.7</v>
      </c>
      <c r="Q179" s="19" t="n">
        <f aca="false">142.95</f>
        <v>142.95</v>
      </c>
      <c r="R179" s="18" t="n">
        <v>13.95</v>
      </c>
      <c r="S179" s="18" t="n">
        <v>18.35</v>
      </c>
      <c r="T179" s="18" t="n">
        <v>464</v>
      </c>
      <c r="U179" s="20" t="s">
        <v>29</v>
      </c>
      <c r="V179" s="21"/>
      <c r="W179" s="16"/>
      <c r="X179" s="16"/>
      <c r="Y179" s="16"/>
    </row>
    <row r="180" customFormat="false" ht="14.15" hidden="false" customHeight="false" outlineLevel="0" collapsed="false">
      <c r="A180" s="9"/>
      <c r="B180" s="10"/>
      <c r="C180" s="10"/>
      <c r="D180" s="10"/>
      <c r="E180" s="10"/>
      <c r="F180" s="10"/>
      <c r="G180" s="10"/>
      <c r="H180" s="10"/>
      <c r="I180" s="22" t="n">
        <v>3</v>
      </c>
      <c r="J180" s="22" t="s">
        <v>49</v>
      </c>
      <c r="K180" s="23" t="n">
        <f aca="false">38.65</f>
        <v>38.65</v>
      </c>
      <c r="L180" s="23" t="n">
        <f aca="false">116.16</f>
        <v>116.16</v>
      </c>
      <c r="M180" s="22" t="n">
        <v>14</v>
      </c>
      <c r="N180" s="22" t="n">
        <v>30</v>
      </c>
      <c r="O180" s="22" t="n">
        <v>96.55</v>
      </c>
      <c r="P180" s="23" t="n">
        <f aca="false">23.66</f>
        <v>23.66</v>
      </c>
      <c r="Q180" s="23" t="n">
        <f aca="false">129.18</f>
        <v>129.18</v>
      </c>
      <c r="R180" s="22" t="n">
        <v>13.2</v>
      </c>
      <c r="S180" s="22" t="n">
        <v>18.85</v>
      </c>
      <c r="T180" s="22" t="n">
        <v>467</v>
      </c>
      <c r="U180" s="24" t="s">
        <v>29</v>
      </c>
      <c r="V180" s="15"/>
      <c r="W180" s="16"/>
      <c r="X180" s="16"/>
      <c r="Y180" s="16"/>
    </row>
    <row r="181" customFormat="false" ht="14.15" hidden="false" customHeight="false" outlineLevel="0" collapsed="false">
      <c r="A181" s="9"/>
      <c r="B181" s="10"/>
      <c r="C181" s="10"/>
      <c r="D181" s="10"/>
      <c r="E181" s="10"/>
      <c r="F181" s="10"/>
      <c r="G181" s="10"/>
      <c r="H181" s="10"/>
      <c r="I181" s="25" t="n">
        <v>4</v>
      </c>
      <c r="J181" s="25"/>
      <c r="K181" s="26" t="n">
        <f aca="false">37.37</f>
        <v>37.37</v>
      </c>
      <c r="L181" s="26" t="n">
        <f aca="false">110.64</f>
        <v>110.64</v>
      </c>
      <c r="M181" s="25" t="n">
        <v>14</v>
      </c>
      <c r="N181" s="25" t="n">
        <v>28</v>
      </c>
      <c r="O181" s="25" t="n">
        <v>87.65</v>
      </c>
      <c r="P181" s="26" t="n">
        <f aca="false">21.86</f>
        <v>21.86</v>
      </c>
      <c r="Q181" s="26" t="n">
        <f aca="false">127.68</f>
        <v>127.68</v>
      </c>
      <c r="R181" s="25" t="n">
        <v>11.75</v>
      </c>
      <c r="S181" s="25" t="n">
        <v>19.65</v>
      </c>
      <c r="T181" s="25" t="n">
        <v>398</v>
      </c>
      <c r="U181" s="27" t="s">
        <v>29</v>
      </c>
      <c r="V181" s="21"/>
      <c r="W181" s="16"/>
      <c r="X181" s="16"/>
      <c r="Y181" s="16"/>
    </row>
    <row r="182" customFormat="false" ht="15.75" hidden="false" customHeight="true" outlineLevel="0" collapsed="false">
      <c r="A182" s="9" t="s">
        <v>25</v>
      </c>
      <c r="B182" s="10" t="s">
        <v>26</v>
      </c>
      <c r="C182" s="11" t="s">
        <v>94</v>
      </c>
      <c r="D182" s="10" t="s">
        <v>28</v>
      </c>
      <c r="E182" s="10" t="s">
        <v>28</v>
      </c>
      <c r="F182" s="10"/>
      <c r="G182" s="10" t="n">
        <v>23</v>
      </c>
      <c r="H182" s="10" t="n">
        <v>4.45</v>
      </c>
      <c r="I182" s="12" t="n">
        <v>1</v>
      </c>
      <c r="J182" s="12"/>
      <c r="K182" s="13" t="n">
        <f aca="false">45.04</f>
        <v>45.04</v>
      </c>
      <c r="L182" s="13" t="n">
        <f aca="false">167.03</f>
        <v>167.03</v>
      </c>
      <c r="M182" s="12" t="n">
        <v>16</v>
      </c>
      <c r="N182" s="12" t="n">
        <v>40</v>
      </c>
      <c r="O182" s="12" t="n">
        <v>199.5</v>
      </c>
      <c r="P182" s="13" t="n">
        <f aca="false">24.95</f>
        <v>24.95</v>
      </c>
      <c r="Q182" s="13" t="n">
        <f aca="false">172.82</f>
        <v>172.82</v>
      </c>
      <c r="R182" s="12" t="n">
        <v>23.55</v>
      </c>
      <c r="S182" s="12" t="n">
        <v>27.75</v>
      </c>
      <c r="T182" s="12" t="n">
        <v>641</v>
      </c>
      <c r="U182" s="14" t="s">
        <v>29</v>
      </c>
      <c r="V182" s="15"/>
      <c r="W182" s="16" t="str">
        <f aca="false">A182</f>
        <v>KL</v>
      </c>
      <c r="X182" s="17" t="e">
        <f aca="false">ifs(C182="","",X182="",NOW(),TRUE(),X182)</f>
        <v>#VALUE!</v>
      </c>
      <c r="Y182" s="17" t="e">
        <f aca="false">ifs(COUNTA(K182:U185)&lt;44,"",Y182="",NOW(),TRUE(),Y182)</f>
        <v>#VALUE!</v>
      </c>
    </row>
    <row r="183" customFormat="false" ht="14.15" hidden="false" customHeight="false" outlineLevel="0" collapsed="false">
      <c r="A183" s="9"/>
      <c r="B183" s="10"/>
      <c r="C183" s="10"/>
      <c r="D183" s="10"/>
      <c r="E183" s="10"/>
      <c r="F183" s="10"/>
      <c r="G183" s="10"/>
      <c r="H183" s="10"/>
      <c r="I183" s="18" t="n">
        <v>2</v>
      </c>
      <c r="J183" s="18"/>
      <c r="K183" s="19" t="n">
        <f aca="false">40.92</f>
        <v>40.92</v>
      </c>
      <c r="L183" s="19" t="n">
        <f aca="false">152.53</f>
        <v>152.53</v>
      </c>
      <c r="M183" s="18" t="n">
        <v>14</v>
      </c>
      <c r="N183" s="18" t="n">
        <v>34</v>
      </c>
      <c r="O183" s="18" t="n">
        <v>150.45</v>
      </c>
      <c r="P183" s="19" t="n">
        <f aca="false">24.35</f>
        <v>24.35</v>
      </c>
      <c r="Q183" s="19" t="n">
        <f aca="false">175.22</f>
        <v>175.22</v>
      </c>
      <c r="R183" s="18" t="n">
        <v>16.4</v>
      </c>
      <c r="S183" s="18" t="n">
        <v>26.3</v>
      </c>
      <c r="T183" s="18" t="n">
        <v>506</v>
      </c>
      <c r="U183" s="20" t="s">
        <v>29</v>
      </c>
      <c r="V183" s="21"/>
      <c r="W183" s="16"/>
      <c r="X183" s="16"/>
      <c r="Y183" s="16"/>
    </row>
    <row r="184" customFormat="false" ht="14.15" hidden="false" customHeight="false" outlineLevel="0" collapsed="false">
      <c r="A184" s="9"/>
      <c r="B184" s="10"/>
      <c r="C184" s="10"/>
      <c r="D184" s="10"/>
      <c r="E184" s="10"/>
      <c r="F184" s="10"/>
      <c r="G184" s="10"/>
      <c r="H184" s="10"/>
      <c r="I184" s="22" t="n">
        <v>3</v>
      </c>
      <c r="J184" s="22"/>
      <c r="K184" s="23" t="n">
        <f aca="false">41.24</f>
        <v>41.24</v>
      </c>
      <c r="L184" s="23" t="n">
        <f aca="false">157.07</f>
        <v>157.07</v>
      </c>
      <c r="M184" s="22" t="n">
        <v>16</v>
      </c>
      <c r="N184" s="22" t="n">
        <v>38</v>
      </c>
      <c r="O184" s="22" t="n">
        <v>150.45</v>
      </c>
      <c r="P184" s="23" t="n">
        <f aca="false">24.52</f>
        <v>24.52</v>
      </c>
      <c r="Q184" s="23" t="n">
        <f aca="false">164.03</f>
        <v>164.03</v>
      </c>
      <c r="R184" s="22" t="n">
        <v>17.75</v>
      </c>
      <c r="S184" s="22" t="n">
        <v>22.4</v>
      </c>
      <c r="T184" s="22" t="n">
        <v>616</v>
      </c>
      <c r="U184" s="24" t="s">
        <v>29</v>
      </c>
      <c r="V184" s="15"/>
      <c r="W184" s="16"/>
      <c r="X184" s="16"/>
      <c r="Y184" s="16"/>
    </row>
    <row r="185" customFormat="false" ht="14.15" hidden="false" customHeight="false" outlineLevel="0" collapsed="false">
      <c r="A185" s="9"/>
      <c r="B185" s="10"/>
      <c r="C185" s="10"/>
      <c r="D185" s="10"/>
      <c r="E185" s="10"/>
      <c r="F185" s="10"/>
      <c r="G185" s="10"/>
      <c r="H185" s="10"/>
      <c r="I185" s="25" t="n">
        <v>4</v>
      </c>
      <c r="J185" s="25"/>
      <c r="K185" s="26" t="n">
        <f aca="false">40.51</f>
        <v>40.51</v>
      </c>
      <c r="L185" s="26" t="n">
        <f aca="false">131.72</f>
        <v>131.72</v>
      </c>
      <c r="M185" s="25" t="n">
        <v>16</v>
      </c>
      <c r="N185" s="25" t="n">
        <v>30</v>
      </c>
      <c r="O185" s="25" t="n">
        <v>127.2</v>
      </c>
      <c r="P185" s="26" t="n">
        <f aca="false">22.97</f>
        <v>22.97</v>
      </c>
      <c r="Q185" s="26" t="n">
        <f aca="false">152.96</f>
        <v>152.96</v>
      </c>
      <c r="R185" s="25" t="n">
        <v>14.55</v>
      </c>
      <c r="S185" s="25" t="n">
        <v>23.85</v>
      </c>
      <c r="T185" s="25" t="n">
        <v>506</v>
      </c>
      <c r="U185" s="27" t="s">
        <v>29</v>
      </c>
      <c r="V185" s="21"/>
      <c r="W185" s="16"/>
      <c r="X185" s="16"/>
      <c r="Y185" s="16"/>
    </row>
    <row r="186" customFormat="false" ht="15.75" hidden="false" customHeight="true" outlineLevel="0" collapsed="false">
      <c r="A186" s="9" t="s">
        <v>25</v>
      </c>
      <c r="B186" s="10" t="s">
        <v>26</v>
      </c>
      <c r="C186" s="11" t="s">
        <v>95</v>
      </c>
      <c r="D186" s="10" t="s">
        <v>28</v>
      </c>
      <c r="E186" s="10" t="s">
        <v>28</v>
      </c>
      <c r="F186" s="10"/>
      <c r="G186" s="10" t="n">
        <v>25</v>
      </c>
      <c r="H186" s="10" t="n">
        <v>6.55</v>
      </c>
      <c r="I186" s="12" t="n">
        <v>1</v>
      </c>
      <c r="J186" s="12"/>
      <c r="K186" s="13" t="n">
        <f aca="false">44.66</f>
        <v>44.66</v>
      </c>
      <c r="L186" s="13" t="n">
        <f aca="false">152.23</f>
        <v>152.23</v>
      </c>
      <c r="M186" s="12" t="n">
        <v>14</v>
      </c>
      <c r="N186" s="12" t="n">
        <v>38</v>
      </c>
      <c r="O186" s="12" t="n">
        <v>170</v>
      </c>
      <c r="P186" s="13" t="n">
        <f aca="false">27.43</f>
        <v>27.43</v>
      </c>
      <c r="Q186" s="13" t="n">
        <f aca="false">159.79</f>
        <v>159.79</v>
      </c>
      <c r="R186" s="12" t="n">
        <v>23.65</v>
      </c>
      <c r="S186" s="12" t="n">
        <v>27.7</v>
      </c>
      <c r="T186" s="12" t="n">
        <v>560</v>
      </c>
      <c r="U186" s="14" t="s">
        <v>29</v>
      </c>
      <c r="V186" s="15"/>
      <c r="W186" s="16" t="str">
        <f aca="false">A186</f>
        <v>KL</v>
      </c>
      <c r="X186" s="17" t="e">
        <f aca="false">ifs(C186="","",X186="",NOW(),TRUE(),X186)</f>
        <v>#VALUE!</v>
      </c>
      <c r="Y186" s="17" t="e">
        <f aca="false">ifs(COUNTA(K186:U189)&lt;44,"",Y186="",NOW(),TRUE(),Y186)</f>
        <v>#VALUE!</v>
      </c>
    </row>
    <row r="187" customFormat="false" ht="14.15" hidden="false" customHeight="false" outlineLevel="0" collapsed="false">
      <c r="A187" s="9"/>
      <c r="B187" s="10"/>
      <c r="C187" s="10"/>
      <c r="D187" s="10"/>
      <c r="E187" s="10"/>
      <c r="F187" s="10"/>
      <c r="G187" s="10"/>
      <c r="H187" s="10"/>
      <c r="I187" s="18" t="n">
        <v>2</v>
      </c>
      <c r="J187" s="18" t="s">
        <v>47</v>
      </c>
      <c r="K187" s="19" t="n">
        <f aca="false">45.37</f>
        <v>45.37</v>
      </c>
      <c r="L187" s="19" t="n">
        <f aca="false">145.93</f>
        <v>145.93</v>
      </c>
      <c r="M187" s="18" t="n">
        <v>16</v>
      </c>
      <c r="N187" s="18" t="n">
        <v>36</v>
      </c>
      <c r="O187" s="18" t="n">
        <v>162.05</v>
      </c>
      <c r="P187" s="19" t="n">
        <f aca="false">27.67</f>
        <v>27.67</v>
      </c>
      <c r="Q187" s="19" t="n">
        <f aca="false">162.22</f>
        <v>162.22</v>
      </c>
      <c r="R187" s="18" t="n">
        <v>24.25</v>
      </c>
      <c r="S187" s="18" t="n">
        <v>25.9</v>
      </c>
      <c r="T187" s="18" t="n">
        <v>524</v>
      </c>
      <c r="U187" s="20" t="s">
        <v>29</v>
      </c>
      <c r="V187" s="21"/>
      <c r="W187" s="16"/>
      <c r="X187" s="16"/>
      <c r="Y187" s="16"/>
    </row>
    <row r="188" customFormat="false" ht="14.15" hidden="false" customHeight="false" outlineLevel="0" collapsed="false">
      <c r="A188" s="9"/>
      <c r="B188" s="10"/>
      <c r="C188" s="10"/>
      <c r="D188" s="10"/>
      <c r="E188" s="10"/>
      <c r="F188" s="10"/>
      <c r="G188" s="10"/>
      <c r="H188" s="10"/>
      <c r="I188" s="22" t="n">
        <v>3</v>
      </c>
      <c r="J188" s="22" t="s">
        <v>47</v>
      </c>
      <c r="K188" s="23" t="n">
        <f aca="false">47.57</f>
        <v>47.57</v>
      </c>
      <c r="L188" s="23" t="n">
        <f aca="false">142.72</f>
        <v>142.72</v>
      </c>
      <c r="M188" s="22" t="n">
        <v>16</v>
      </c>
      <c r="N188" s="22" t="n">
        <v>36</v>
      </c>
      <c r="O188" s="22" t="n">
        <v>182.85</v>
      </c>
      <c r="P188" s="23" t="n">
        <f aca="false">26.55</f>
        <v>26.55</v>
      </c>
      <c r="Q188" s="23" t="n">
        <f aca="false">153.62</f>
        <v>153.62</v>
      </c>
      <c r="R188" s="22" t="n">
        <v>25.3</v>
      </c>
      <c r="S188" s="22" t="n">
        <v>26.45</v>
      </c>
      <c r="T188" s="22" t="n">
        <v>564</v>
      </c>
      <c r="U188" s="24" t="s">
        <v>29</v>
      </c>
      <c r="V188" s="15"/>
      <c r="W188" s="16"/>
      <c r="X188" s="16"/>
      <c r="Y188" s="16"/>
    </row>
    <row r="189" customFormat="false" ht="14.15" hidden="false" customHeight="false" outlineLevel="0" collapsed="false">
      <c r="A189" s="9"/>
      <c r="B189" s="10"/>
      <c r="C189" s="10"/>
      <c r="D189" s="10"/>
      <c r="E189" s="10"/>
      <c r="F189" s="10"/>
      <c r="G189" s="10"/>
      <c r="H189" s="10"/>
      <c r="I189" s="25" t="n">
        <v>4</v>
      </c>
      <c r="J189" s="25"/>
      <c r="K189" s="26" t="n">
        <f aca="false">46.48</f>
        <v>46.48</v>
      </c>
      <c r="L189" s="26" t="n">
        <f aca="false">144.22</f>
        <v>144.22</v>
      </c>
      <c r="M189" s="25" t="n">
        <v>18</v>
      </c>
      <c r="N189" s="25" t="n">
        <v>36</v>
      </c>
      <c r="O189" s="25" t="n">
        <v>151.05</v>
      </c>
      <c r="P189" s="26" t="n">
        <f aca="false">27.48</f>
        <v>27.48</v>
      </c>
      <c r="Q189" s="26" t="n">
        <f aca="false">155.71</f>
        <v>155.71</v>
      </c>
      <c r="R189" s="25" t="n">
        <v>21.65</v>
      </c>
      <c r="S189" s="25" t="n">
        <v>21.85</v>
      </c>
      <c r="T189" s="25" t="n">
        <v>616</v>
      </c>
      <c r="U189" s="27" t="s">
        <v>29</v>
      </c>
      <c r="V189" s="21"/>
      <c r="W189" s="16"/>
      <c r="X189" s="16"/>
      <c r="Y189" s="16"/>
    </row>
    <row r="190" customFormat="false" ht="15.75" hidden="false" customHeight="true" outlineLevel="0" collapsed="false">
      <c r="A190" s="9" t="s">
        <v>25</v>
      </c>
      <c r="B190" s="10" t="s">
        <v>26</v>
      </c>
      <c r="C190" s="11" t="s">
        <v>96</v>
      </c>
      <c r="D190" s="10" t="s">
        <v>28</v>
      </c>
      <c r="E190" s="10" t="s">
        <v>28</v>
      </c>
      <c r="F190" s="10"/>
      <c r="G190" s="10" t="n">
        <v>4</v>
      </c>
      <c r="H190" s="10" t="n">
        <v>0.65</v>
      </c>
      <c r="I190" s="12" t="n">
        <v>1</v>
      </c>
      <c r="J190" s="12"/>
      <c r="K190" s="13" t="n">
        <f aca="false">44.5</f>
        <v>44.5</v>
      </c>
      <c r="L190" s="13" t="n">
        <f aca="false">159.59</f>
        <v>159.59</v>
      </c>
      <c r="M190" s="12" t="n">
        <v>14</v>
      </c>
      <c r="N190" s="12" t="n">
        <v>40</v>
      </c>
      <c r="O190" s="12" t="n">
        <v>156.45</v>
      </c>
      <c r="P190" s="13" t="n">
        <f aca="false">28.22</f>
        <v>28.22</v>
      </c>
      <c r="Q190" s="13" t="n">
        <f aca="false">168.01</f>
        <v>168.01</v>
      </c>
      <c r="R190" s="12" t="n">
        <v>21.25</v>
      </c>
      <c r="S190" s="12" t="n">
        <v>26.7</v>
      </c>
      <c r="T190" s="12" t="n">
        <v>526</v>
      </c>
      <c r="U190" s="14" t="s">
        <v>29</v>
      </c>
      <c r="V190" s="15"/>
      <c r="W190" s="16" t="str">
        <f aca="false">A190</f>
        <v>KL</v>
      </c>
      <c r="X190" s="17" t="e">
        <f aca="false">ifs(C190="","",X190="",NOW(),TRUE(),X190)</f>
        <v>#VALUE!</v>
      </c>
      <c r="Y190" s="17" t="e">
        <f aca="false">ifs(COUNTA(K190:U193)&lt;44,"",Y190="",NOW(),TRUE(),Y190)</f>
        <v>#VALUE!</v>
      </c>
    </row>
    <row r="191" customFormat="false" ht="14.15" hidden="false" customHeight="false" outlineLevel="0" collapsed="false">
      <c r="A191" s="9"/>
      <c r="B191" s="10"/>
      <c r="C191" s="10"/>
      <c r="D191" s="10"/>
      <c r="E191" s="10"/>
      <c r="F191" s="10"/>
      <c r="G191" s="10"/>
      <c r="H191" s="10"/>
      <c r="I191" s="18" t="n">
        <v>2</v>
      </c>
      <c r="J191" s="18" t="s">
        <v>33</v>
      </c>
      <c r="K191" s="19" t="n">
        <f aca="false">40.38</f>
        <v>40.38</v>
      </c>
      <c r="L191" s="19" t="n">
        <f aca="false">90.57</f>
        <v>90.57</v>
      </c>
      <c r="M191" s="18" t="n">
        <v>14</v>
      </c>
      <c r="N191" s="18" t="n">
        <v>20</v>
      </c>
      <c r="O191" s="18" t="n">
        <v>79</v>
      </c>
      <c r="P191" s="19" t="n">
        <f aca="false">23.94</f>
        <v>23.94</v>
      </c>
      <c r="Q191" s="19" t="n">
        <f aca="false">128.55</f>
        <v>128.55</v>
      </c>
      <c r="R191" s="18" t="n">
        <v>10.45</v>
      </c>
      <c r="S191" s="18" t="n">
        <v>26.15</v>
      </c>
      <c r="T191" s="18" t="n">
        <v>264</v>
      </c>
      <c r="U191" s="20" t="s">
        <v>97</v>
      </c>
      <c r="V191" s="21"/>
      <c r="W191" s="16"/>
      <c r="X191" s="16"/>
      <c r="Y191" s="16"/>
    </row>
    <row r="192" customFormat="false" ht="14.15" hidden="false" customHeight="false" outlineLevel="0" collapsed="false">
      <c r="A192" s="9"/>
      <c r="B192" s="10"/>
      <c r="C192" s="10"/>
      <c r="D192" s="10"/>
      <c r="E192" s="10"/>
      <c r="F192" s="10"/>
      <c r="G192" s="10"/>
      <c r="H192" s="10"/>
      <c r="I192" s="22" t="n">
        <v>3</v>
      </c>
      <c r="J192" s="22" t="s">
        <v>33</v>
      </c>
      <c r="K192" s="23" t="n">
        <f aca="false">43.08</f>
        <v>43.08</v>
      </c>
      <c r="L192" s="23" t="n">
        <f aca="false">92.8</f>
        <v>92.8</v>
      </c>
      <c r="M192" s="22" t="n">
        <v>16</v>
      </c>
      <c r="N192" s="22" t="n">
        <v>22</v>
      </c>
      <c r="O192" s="22" t="n">
        <v>89.9</v>
      </c>
      <c r="P192" s="23" t="n">
        <f aca="false">25.52</f>
        <v>25.52</v>
      </c>
      <c r="Q192" s="23" t="n">
        <f aca="false">127.2</f>
        <v>127.2</v>
      </c>
      <c r="R192" s="22" t="n">
        <v>12.05</v>
      </c>
      <c r="S192" s="22" t="n">
        <v>28.3</v>
      </c>
      <c r="T192" s="22" t="n">
        <v>290</v>
      </c>
      <c r="U192" s="24" t="s">
        <v>97</v>
      </c>
      <c r="V192" s="15"/>
      <c r="W192" s="16"/>
      <c r="X192" s="16"/>
      <c r="Y192" s="16"/>
    </row>
    <row r="193" customFormat="false" ht="14.15" hidden="false" customHeight="false" outlineLevel="0" collapsed="false">
      <c r="A193" s="9"/>
      <c r="B193" s="10"/>
      <c r="C193" s="10"/>
      <c r="D193" s="10"/>
      <c r="E193" s="10"/>
      <c r="F193" s="10"/>
      <c r="G193" s="10"/>
      <c r="H193" s="10"/>
      <c r="I193" s="25" t="n">
        <v>4</v>
      </c>
      <c r="J193" s="25" t="s">
        <v>33</v>
      </c>
      <c r="K193" s="26" t="n">
        <f aca="false">37.54</f>
        <v>37.54</v>
      </c>
      <c r="L193" s="26" t="n">
        <f aca="false">94.54</f>
        <v>94.54</v>
      </c>
      <c r="M193" s="25" t="n">
        <v>14</v>
      </c>
      <c r="N193" s="25" t="n">
        <v>22</v>
      </c>
      <c r="O193" s="25" t="n">
        <v>67.35</v>
      </c>
      <c r="P193" s="26" t="n">
        <f aca="false">22</f>
        <v>22</v>
      </c>
      <c r="Q193" s="26" t="n">
        <f aca="false">132.13</f>
        <v>132.13</v>
      </c>
      <c r="R193" s="25" t="n">
        <v>9.45</v>
      </c>
      <c r="S193" s="25" t="n">
        <v>24.95</v>
      </c>
      <c r="T193" s="25" t="n">
        <v>229</v>
      </c>
      <c r="U193" s="27" t="s">
        <v>97</v>
      </c>
      <c r="V193" s="21"/>
      <c r="W193" s="16"/>
      <c r="X193" s="16"/>
      <c r="Y193" s="16"/>
    </row>
    <row r="194" customFormat="false" ht="15.75" hidden="false" customHeight="true" outlineLevel="0" collapsed="false">
      <c r="A194" s="9" t="s">
        <v>25</v>
      </c>
      <c r="B194" s="10" t="s">
        <v>26</v>
      </c>
      <c r="C194" s="11" t="s">
        <v>98</v>
      </c>
      <c r="D194" s="10" t="s">
        <v>28</v>
      </c>
      <c r="E194" s="10" t="s">
        <v>28</v>
      </c>
      <c r="F194" s="10"/>
      <c r="G194" s="10" t="n">
        <v>22</v>
      </c>
      <c r="H194" s="10" t="n">
        <v>5.45</v>
      </c>
      <c r="I194" s="12" t="n">
        <v>1</v>
      </c>
      <c r="J194" s="12" t="s">
        <v>36</v>
      </c>
      <c r="K194" s="13" t="n">
        <f aca="false">51.42</f>
        <v>51.42</v>
      </c>
      <c r="L194" s="13" t="n">
        <f aca="false">171.13</f>
        <v>171.13</v>
      </c>
      <c r="M194" s="12" t="n">
        <v>20</v>
      </c>
      <c r="N194" s="12" t="n">
        <v>40</v>
      </c>
      <c r="O194" s="12" t="n">
        <v>233.75</v>
      </c>
      <c r="P194" s="13" t="n">
        <f aca="false">32.35</f>
        <v>32.35</v>
      </c>
      <c r="Q194" s="13" t="n">
        <f aca="false">194.06</f>
        <v>194.06</v>
      </c>
      <c r="R194" s="12" t="n">
        <v>38.1</v>
      </c>
      <c r="S194" s="12" t="n">
        <v>26.05</v>
      </c>
      <c r="T194" s="12" t="n">
        <v>765</v>
      </c>
      <c r="U194" s="14" t="s">
        <v>29</v>
      </c>
      <c r="V194" s="15"/>
      <c r="W194" s="16" t="str">
        <f aca="false">A194</f>
        <v>KL</v>
      </c>
      <c r="X194" s="17" t="e">
        <f aca="false">ifs(C194="","",X194="",NOW(),TRUE(),X194)</f>
        <v>#VALUE!</v>
      </c>
      <c r="Y194" s="17" t="e">
        <f aca="false">ifs(COUNTA(K194:U197)&lt;44,"",Y194="",NOW(),TRUE(),Y194)</f>
        <v>#VALUE!</v>
      </c>
    </row>
    <row r="195" customFormat="false" ht="14.15" hidden="false" customHeight="false" outlineLevel="0" collapsed="false">
      <c r="A195" s="9"/>
      <c r="B195" s="10"/>
      <c r="C195" s="10"/>
      <c r="D195" s="10"/>
      <c r="E195" s="10"/>
      <c r="F195" s="10"/>
      <c r="G195" s="10"/>
      <c r="H195" s="10"/>
      <c r="I195" s="18" t="n">
        <v>2</v>
      </c>
      <c r="J195" s="18" t="s">
        <v>47</v>
      </c>
      <c r="K195" s="19" t="n">
        <f aca="false">45.77</f>
        <v>45.77</v>
      </c>
      <c r="L195" s="19" t="n">
        <f aca="false">141.36</f>
        <v>141.36</v>
      </c>
      <c r="M195" s="18" t="n">
        <v>16</v>
      </c>
      <c r="N195" s="18" t="n">
        <v>32</v>
      </c>
      <c r="O195" s="18" t="n">
        <v>150.5</v>
      </c>
      <c r="P195" s="19" t="n">
        <f aca="false">28.13</f>
        <v>28.13</v>
      </c>
      <c r="Q195" s="19" t="n">
        <f aca="false">161.62</f>
        <v>161.62</v>
      </c>
      <c r="R195" s="18" t="n">
        <v>27.05</v>
      </c>
      <c r="S195" s="18" t="n">
        <v>24.8</v>
      </c>
      <c r="T195" s="18" t="n">
        <v>504</v>
      </c>
      <c r="U195" s="20" t="s">
        <v>29</v>
      </c>
      <c r="V195" s="21"/>
      <c r="W195" s="16"/>
      <c r="X195" s="16"/>
      <c r="Y195" s="16"/>
    </row>
    <row r="196" customFormat="false" ht="14.15" hidden="false" customHeight="false" outlineLevel="0" collapsed="false">
      <c r="A196" s="9"/>
      <c r="B196" s="10"/>
      <c r="C196" s="10"/>
      <c r="D196" s="10"/>
      <c r="E196" s="10"/>
      <c r="F196" s="10"/>
      <c r="G196" s="10"/>
      <c r="H196" s="10"/>
      <c r="I196" s="22" t="n">
        <v>3</v>
      </c>
      <c r="J196" s="22" t="s">
        <v>46</v>
      </c>
      <c r="K196" s="23" t="n">
        <f aca="false">46.39</f>
        <v>46.39</v>
      </c>
      <c r="L196" s="23" t="n">
        <f aca="false">112.68</f>
        <v>112.68</v>
      </c>
      <c r="M196" s="22" t="n">
        <v>20</v>
      </c>
      <c r="N196" s="22" t="n">
        <v>28</v>
      </c>
      <c r="O196" s="22" t="n">
        <v>122.35</v>
      </c>
      <c r="P196" s="23" t="n">
        <f aca="false">28.87</f>
        <v>28.87</v>
      </c>
      <c r="Q196" s="23" t="n">
        <f aca="false">139.75</f>
        <v>139.75</v>
      </c>
      <c r="R196" s="22" t="n">
        <v>23.45</v>
      </c>
      <c r="S196" s="22" t="n">
        <v>22.25</v>
      </c>
      <c r="T196" s="22" t="n">
        <v>458</v>
      </c>
      <c r="U196" s="24" t="s">
        <v>29</v>
      </c>
      <c r="V196" s="15"/>
      <c r="W196" s="16"/>
      <c r="X196" s="16"/>
      <c r="Y196" s="16"/>
    </row>
    <row r="197" customFormat="false" ht="14.15" hidden="false" customHeight="false" outlineLevel="0" collapsed="false">
      <c r="A197" s="9"/>
      <c r="B197" s="10"/>
      <c r="C197" s="10"/>
      <c r="D197" s="10"/>
      <c r="E197" s="10"/>
      <c r="F197" s="10"/>
      <c r="G197" s="10"/>
      <c r="H197" s="10"/>
      <c r="I197" s="25" t="n">
        <v>4</v>
      </c>
      <c r="J197" s="25" t="s">
        <v>46</v>
      </c>
      <c r="K197" s="26" t="n">
        <f aca="false">43.8</f>
        <v>43.8</v>
      </c>
      <c r="L197" s="26" t="n">
        <f aca="false">87.1</f>
        <v>87.1</v>
      </c>
      <c r="M197" s="25" t="n">
        <v>18</v>
      </c>
      <c r="N197" s="25" t="n">
        <v>20</v>
      </c>
      <c r="O197" s="25" t="n">
        <v>82.05</v>
      </c>
      <c r="P197" s="26" t="n">
        <f aca="false">28.53</f>
        <v>28.53</v>
      </c>
      <c r="Q197" s="26" t="n">
        <f aca="false">121.21</f>
        <v>121.21</v>
      </c>
      <c r="R197" s="25" t="n">
        <v>17.45</v>
      </c>
      <c r="S197" s="25" t="n">
        <v>21.75</v>
      </c>
      <c r="T197" s="25" t="n">
        <v>302</v>
      </c>
      <c r="U197" s="27" t="s">
        <v>29</v>
      </c>
      <c r="V197" s="21"/>
      <c r="W197" s="16"/>
      <c r="X197" s="16"/>
      <c r="Y197" s="16"/>
    </row>
    <row r="198" customFormat="false" ht="15.75" hidden="false" customHeight="true" outlineLevel="0" collapsed="false">
      <c r="A198" s="9" t="s">
        <v>43</v>
      </c>
      <c r="B198" s="10" t="s">
        <v>44</v>
      </c>
      <c r="C198" s="11" t="s">
        <v>99</v>
      </c>
      <c r="D198" s="10" t="s">
        <v>28</v>
      </c>
      <c r="E198" s="10" t="s">
        <v>28</v>
      </c>
      <c r="F198" s="10"/>
      <c r="G198" s="10" t="n">
        <v>16</v>
      </c>
      <c r="H198" s="10" t="n">
        <v>2.8</v>
      </c>
      <c r="I198" s="12" t="n">
        <v>1</v>
      </c>
      <c r="J198" s="12" t="s">
        <v>57</v>
      </c>
      <c r="K198" s="13" t="n">
        <f aca="false">40.87</f>
        <v>40.87</v>
      </c>
      <c r="L198" s="13" t="n">
        <f aca="false">153.19</f>
        <v>153.19</v>
      </c>
      <c r="M198" s="12" t="n">
        <v>16</v>
      </c>
      <c r="N198" s="12" t="n">
        <v>34</v>
      </c>
      <c r="O198" s="12" t="n">
        <v>114.1</v>
      </c>
      <c r="P198" s="13" t="n">
        <f aca="false">27.81</f>
        <v>27.81</v>
      </c>
      <c r="Q198" s="13" t="n">
        <f aca="false">178.17</f>
        <v>178.17</v>
      </c>
      <c r="R198" s="12" t="n">
        <v>21.4</v>
      </c>
      <c r="S198" s="12" t="n">
        <v>17.4</v>
      </c>
      <c r="T198" s="12" t="n">
        <v>537</v>
      </c>
      <c r="U198" s="14" t="s">
        <v>29</v>
      </c>
      <c r="V198" s="15"/>
      <c r="W198" s="16" t="str">
        <f aca="false">A198</f>
        <v>JB</v>
      </c>
      <c r="X198" s="17" t="e">
        <f aca="false">ifs(C198="","",X198="",NOW(),TRUE(),X198)</f>
        <v>#VALUE!</v>
      </c>
      <c r="Y198" s="17" t="e">
        <f aca="false">ifs(COUNTA(K198:U201)&lt;44,"",Y198="",NOW(),TRUE(),Y198)</f>
        <v>#VALUE!</v>
      </c>
    </row>
    <row r="199" customFormat="false" ht="14.15" hidden="false" customHeight="false" outlineLevel="0" collapsed="false">
      <c r="A199" s="9"/>
      <c r="B199" s="10"/>
      <c r="C199" s="10"/>
      <c r="D199" s="10"/>
      <c r="E199" s="10"/>
      <c r="F199" s="10"/>
      <c r="G199" s="10"/>
      <c r="H199" s="10"/>
      <c r="I199" s="18" t="n">
        <v>2</v>
      </c>
      <c r="J199" s="18" t="s">
        <v>49</v>
      </c>
      <c r="K199" s="19" t="n">
        <f aca="false">41.01</f>
        <v>41.01</v>
      </c>
      <c r="L199" s="19" t="n">
        <f aca="false">137.54</f>
        <v>137.54</v>
      </c>
      <c r="M199" s="18" t="n">
        <v>16</v>
      </c>
      <c r="N199" s="18" t="n">
        <v>36</v>
      </c>
      <c r="O199" s="18" t="n">
        <v>124.2</v>
      </c>
      <c r="P199" s="19" t="n">
        <f aca="false">26.19</f>
        <v>26.19</v>
      </c>
      <c r="Q199" s="19" t="n">
        <f aca="false">179.96</f>
        <v>179.96</v>
      </c>
      <c r="R199" s="18" t="n">
        <v>21.8</v>
      </c>
      <c r="S199" s="18" t="n">
        <v>18.8</v>
      </c>
      <c r="T199" s="18" t="n">
        <v>527</v>
      </c>
      <c r="U199" s="20" t="s">
        <v>29</v>
      </c>
      <c r="V199" s="21"/>
      <c r="W199" s="16"/>
      <c r="X199" s="16"/>
      <c r="Y199" s="16"/>
    </row>
    <row r="200" customFormat="false" ht="14.15" hidden="false" customHeight="false" outlineLevel="0" collapsed="false">
      <c r="A200" s="9"/>
      <c r="B200" s="10"/>
      <c r="C200" s="10"/>
      <c r="D200" s="10"/>
      <c r="E200" s="10"/>
      <c r="F200" s="10"/>
      <c r="G200" s="10"/>
      <c r="H200" s="10"/>
      <c r="I200" s="22" t="n">
        <v>3</v>
      </c>
      <c r="J200" s="22" t="s">
        <v>46</v>
      </c>
      <c r="K200" s="23" t="n">
        <f aca="false">38.73</f>
        <v>38.73</v>
      </c>
      <c r="L200" s="23" t="n">
        <f aca="false">110.73</f>
        <v>110.73</v>
      </c>
      <c r="M200" s="22" t="n">
        <v>18</v>
      </c>
      <c r="N200" s="22" t="n">
        <v>30</v>
      </c>
      <c r="O200" s="22" t="n">
        <v>96.4</v>
      </c>
      <c r="P200" s="23" t="n">
        <f aca="false">28.9</f>
        <v>28.9</v>
      </c>
      <c r="Q200" s="23" t="n">
        <f aca="false">149.82</f>
        <v>149.82</v>
      </c>
      <c r="R200" s="22" t="n">
        <v>16.1</v>
      </c>
      <c r="S200" s="22" t="n">
        <v>18.4</v>
      </c>
      <c r="T200" s="22" t="n">
        <v>428</v>
      </c>
      <c r="U200" s="24" t="s">
        <v>29</v>
      </c>
      <c r="V200" s="15"/>
      <c r="W200" s="16"/>
      <c r="X200" s="16"/>
      <c r="Y200" s="16"/>
    </row>
    <row r="201" customFormat="false" ht="14.15" hidden="false" customHeight="false" outlineLevel="0" collapsed="false">
      <c r="A201" s="9"/>
      <c r="B201" s="10"/>
      <c r="C201" s="10"/>
      <c r="D201" s="10"/>
      <c r="E201" s="10"/>
      <c r="F201" s="10"/>
      <c r="G201" s="10"/>
      <c r="H201" s="10"/>
      <c r="I201" s="25" t="n">
        <v>4</v>
      </c>
      <c r="J201" s="25" t="s">
        <v>49</v>
      </c>
      <c r="K201" s="26" t="n">
        <f aca="false">41.35</f>
        <v>41.35</v>
      </c>
      <c r="L201" s="26" t="n">
        <f aca="false">141.79</f>
        <v>141.79</v>
      </c>
      <c r="M201" s="25" t="n">
        <v>16</v>
      </c>
      <c r="N201" s="25" t="n">
        <v>28</v>
      </c>
      <c r="O201" s="25" t="n">
        <v>124</v>
      </c>
      <c r="P201" s="26" t="n">
        <f aca="false">25.74</f>
        <v>25.74</v>
      </c>
      <c r="Q201" s="26" t="n">
        <f aca="false">175.82</f>
        <v>175.82</v>
      </c>
      <c r="R201" s="25" t="n">
        <v>17.6</v>
      </c>
      <c r="S201" s="25" t="n">
        <v>22.2</v>
      </c>
      <c r="T201" s="25" t="n">
        <v>479</v>
      </c>
      <c r="U201" s="27" t="s">
        <v>29</v>
      </c>
      <c r="V201" s="21"/>
      <c r="W201" s="16"/>
      <c r="X201" s="16"/>
      <c r="Y201" s="16"/>
    </row>
    <row r="202" customFormat="false" ht="15.75" hidden="false" customHeight="true" outlineLevel="0" collapsed="false">
      <c r="A202" s="9" t="s">
        <v>43</v>
      </c>
      <c r="B202" s="10" t="s">
        <v>44</v>
      </c>
      <c r="C202" s="11" t="s">
        <v>100</v>
      </c>
      <c r="D202" s="10" t="s">
        <v>28</v>
      </c>
      <c r="E202" s="10" t="s">
        <v>28</v>
      </c>
      <c r="F202" s="10"/>
      <c r="G202" s="10" t="n">
        <v>0</v>
      </c>
      <c r="H202" s="10" t="n">
        <v>0</v>
      </c>
      <c r="I202" s="12" t="n">
        <v>1</v>
      </c>
      <c r="J202" s="12" t="s">
        <v>33</v>
      </c>
      <c r="K202" s="13" t="n">
        <f aca="false">37.25</f>
        <v>37.25</v>
      </c>
      <c r="L202" s="13" t="n">
        <f aca="false">131.33</f>
        <v>131.33</v>
      </c>
      <c r="M202" s="12" t="n">
        <v>12</v>
      </c>
      <c r="N202" s="12" t="n">
        <v>34</v>
      </c>
      <c r="O202" s="12" t="n">
        <v>102.8</v>
      </c>
      <c r="P202" s="13" t="n">
        <f aca="false">23.58</f>
        <v>23.58</v>
      </c>
      <c r="Q202" s="13" t="n">
        <f aca="false">145.14</f>
        <v>145.14</v>
      </c>
      <c r="R202" s="12" t="n">
        <v>12.4</v>
      </c>
      <c r="S202" s="12" t="n">
        <v>22.7</v>
      </c>
      <c r="T202" s="12" t="n">
        <v>406</v>
      </c>
      <c r="U202" s="14" t="s">
        <v>29</v>
      </c>
      <c r="V202" s="15"/>
      <c r="W202" s="16" t="str">
        <f aca="false">A202</f>
        <v>JB</v>
      </c>
      <c r="X202" s="17" t="e">
        <f aca="false">ifs(C202="","",X202="",NOW(),TRUE(),X202)</f>
        <v>#VALUE!</v>
      </c>
      <c r="Y202" s="17" t="e">
        <f aca="false">ifs(COUNTA(K202:U205)&lt;44,"",Y202="",NOW(),TRUE(),Y202)</f>
        <v>#VALUE!</v>
      </c>
    </row>
    <row r="203" customFormat="false" ht="14.15" hidden="false" customHeight="false" outlineLevel="0" collapsed="false">
      <c r="A203" s="9"/>
      <c r="B203" s="10"/>
      <c r="C203" s="10"/>
      <c r="D203" s="10"/>
      <c r="E203" s="10"/>
      <c r="F203" s="10"/>
      <c r="G203" s="10"/>
      <c r="H203" s="10"/>
      <c r="I203" s="18" t="n">
        <v>2</v>
      </c>
      <c r="J203" s="18" t="s">
        <v>46</v>
      </c>
      <c r="K203" s="19" t="n">
        <f aca="false">43.78</f>
        <v>43.78</v>
      </c>
      <c r="L203" s="19" t="n">
        <f aca="false">160.66</f>
        <v>160.66</v>
      </c>
      <c r="M203" s="18" t="n">
        <v>16</v>
      </c>
      <c r="N203" s="18" t="n">
        <v>40</v>
      </c>
      <c r="O203" s="18" t="n">
        <v>185.4</v>
      </c>
      <c r="P203" s="19" t="n">
        <f aca="false">26.58</f>
        <v>26.58</v>
      </c>
      <c r="Q203" s="19" t="n">
        <f aca="false">179.7</f>
        <v>179.7</v>
      </c>
      <c r="R203" s="18" t="n">
        <v>23.6</v>
      </c>
      <c r="S203" s="18" t="n">
        <v>26.4</v>
      </c>
      <c r="T203" s="18" t="n">
        <v>602</v>
      </c>
      <c r="U203" s="20" t="s">
        <v>29</v>
      </c>
      <c r="V203" s="21"/>
      <c r="W203" s="16"/>
      <c r="X203" s="16"/>
      <c r="Y203" s="16"/>
    </row>
    <row r="204" customFormat="false" ht="14.15" hidden="false" customHeight="false" outlineLevel="0" collapsed="false">
      <c r="A204" s="9"/>
      <c r="B204" s="10"/>
      <c r="C204" s="10"/>
      <c r="D204" s="10"/>
      <c r="E204" s="10"/>
      <c r="F204" s="10"/>
      <c r="G204" s="10"/>
      <c r="H204" s="10"/>
      <c r="I204" s="22" t="n">
        <v>3</v>
      </c>
      <c r="J204" s="22" t="s">
        <v>33</v>
      </c>
      <c r="K204" s="23" t="n">
        <f aca="false">40.97</f>
        <v>40.97</v>
      </c>
      <c r="L204" s="23" t="n">
        <f aca="false">154.58</f>
        <v>154.58</v>
      </c>
      <c r="M204" s="22" t="n">
        <v>16</v>
      </c>
      <c r="N204" s="22" t="n">
        <v>34</v>
      </c>
      <c r="O204" s="22" t="n">
        <v>145.7</v>
      </c>
      <c r="P204" s="23" t="n">
        <f aca="false">24.53</f>
        <v>24.53</v>
      </c>
      <c r="Q204" s="23" t="n">
        <f aca="false">166.54</f>
        <v>166.54</v>
      </c>
      <c r="R204" s="22" t="n">
        <v>18.5</v>
      </c>
      <c r="S204" s="22" t="n">
        <v>23.4</v>
      </c>
      <c r="T204" s="22" t="n">
        <v>554</v>
      </c>
      <c r="U204" s="24" t="s">
        <v>29</v>
      </c>
      <c r="V204" s="15"/>
      <c r="W204" s="16"/>
      <c r="X204" s="16"/>
      <c r="Y204" s="16"/>
    </row>
    <row r="205" customFormat="false" ht="14.15" hidden="false" customHeight="false" outlineLevel="0" collapsed="false">
      <c r="A205" s="9"/>
      <c r="B205" s="10"/>
      <c r="C205" s="10"/>
      <c r="D205" s="10"/>
      <c r="E205" s="10"/>
      <c r="F205" s="10"/>
      <c r="G205" s="10"/>
      <c r="H205" s="10"/>
      <c r="I205" s="25" t="n">
        <v>4</v>
      </c>
      <c r="J205" s="25" t="s">
        <v>49</v>
      </c>
      <c r="K205" s="26" t="n">
        <f aca="false">41.38</f>
        <v>41.38</v>
      </c>
      <c r="L205" s="26" t="n">
        <f aca="false">179.23</f>
        <v>179.23</v>
      </c>
      <c r="M205" s="25" t="n">
        <v>14</v>
      </c>
      <c r="N205" s="25" t="n">
        <v>44</v>
      </c>
      <c r="O205" s="25" t="n">
        <v>171.1</v>
      </c>
      <c r="P205" s="26" t="n">
        <f aca="false">24.56</f>
        <v>24.56</v>
      </c>
      <c r="Q205" s="26" t="n">
        <f aca="false">187.34</f>
        <v>187.34</v>
      </c>
      <c r="R205" s="25" t="n">
        <v>21.1</v>
      </c>
      <c r="S205" s="25" t="n">
        <v>25.7</v>
      </c>
      <c r="T205" s="25" t="n">
        <v>582</v>
      </c>
      <c r="U205" s="27" t="s">
        <v>29</v>
      </c>
      <c r="V205" s="21"/>
      <c r="W205" s="16"/>
      <c r="X205" s="16"/>
      <c r="Y205" s="16"/>
    </row>
    <row r="206" customFormat="false" ht="15.75" hidden="false" customHeight="true" outlineLevel="0" collapsed="false">
      <c r="A206" s="9" t="s">
        <v>43</v>
      </c>
      <c r="B206" s="10" t="s">
        <v>44</v>
      </c>
      <c r="C206" s="11" t="s">
        <v>101</v>
      </c>
      <c r="D206" s="10" t="s">
        <v>28</v>
      </c>
      <c r="E206" s="10" t="s">
        <v>28</v>
      </c>
      <c r="F206" s="10"/>
      <c r="G206" s="10" t="n">
        <v>6</v>
      </c>
      <c r="H206" s="10" t="n">
        <v>0.9</v>
      </c>
      <c r="I206" s="12" t="n">
        <v>1</v>
      </c>
      <c r="J206" s="12" t="s">
        <v>35</v>
      </c>
      <c r="K206" s="13" t="n">
        <f aca="false">37.16</f>
        <v>37.16</v>
      </c>
      <c r="L206" s="13" t="n">
        <f aca="false">85.7</f>
        <v>85.7</v>
      </c>
      <c r="M206" s="12" t="n">
        <v>12</v>
      </c>
      <c r="N206" s="12" t="n">
        <v>16</v>
      </c>
      <c r="O206" s="12" t="n">
        <v>49.2</v>
      </c>
      <c r="P206" s="13" t="n">
        <f aca="false">23.25</f>
        <v>23.25</v>
      </c>
      <c r="Q206" s="13" t="n">
        <f aca="false">115.39</f>
        <v>115.39</v>
      </c>
      <c r="R206" s="12" t="n">
        <v>9.9</v>
      </c>
      <c r="S206" s="12" t="n">
        <v>19.9</v>
      </c>
      <c r="T206" s="12" t="n">
        <v>207</v>
      </c>
      <c r="U206" s="14" t="s">
        <v>29</v>
      </c>
      <c r="V206" s="15"/>
      <c r="W206" s="16" t="str">
        <f aca="false">A206</f>
        <v>JB</v>
      </c>
      <c r="X206" s="17" t="e">
        <f aca="false">ifs(C206="","",X206="",NOW(),TRUE(),X206)</f>
        <v>#VALUE!</v>
      </c>
      <c r="Y206" s="17" t="e">
        <f aca="false">ifs(COUNTA(K206:U209)&lt;44,"",Y206="",NOW(),TRUE(),Y206)</f>
        <v>#VALUE!</v>
      </c>
    </row>
    <row r="207" customFormat="false" ht="14.15" hidden="false" customHeight="false" outlineLevel="0" collapsed="false">
      <c r="A207" s="9"/>
      <c r="B207" s="10"/>
      <c r="C207" s="10"/>
      <c r="D207" s="10"/>
      <c r="E207" s="10"/>
      <c r="F207" s="10"/>
      <c r="G207" s="10"/>
      <c r="H207" s="10"/>
      <c r="I207" s="18" t="n">
        <v>2</v>
      </c>
      <c r="J207" s="18" t="s">
        <v>35</v>
      </c>
      <c r="K207" s="19" t="n">
        <f aca="false">39.64</f>
        <v>39.64</v>
      </c>
      <c r="L207" s="19" t="n">
        <f aca="false">127.19</f>
        <v>127.19</v>
      </c>
      <c r="M207" s="18" t="n">
        <v>14</v>
      </c>
      <c r="N207" s="18" t="n">
        <v>32</v>
      </c>
      <c r="O207" s="18" t="n">
        <v>104.2</v>
      </c>
      <c r="P207" s="19" t="n">
        <f aca="false">25.07</f>
        <v>25.07</v>
      </c>
      <c r="Q207" s="19" t="n">
        <f aca="false">151.27</f>
        <v>151.27</v>
      </c>
      <c r="R207" s="18" t="n">
        <v>14</v>
      </c>
      <c r="S207" s="18" t="n">
        <v>21.9</v>
      </c>
      <c r="T207" s="18" t="n">
        <v>407</v>
      </c>
      <c r="U207" s="20" t="s">
        <v>29</v>
      </c>
      <c r="V207" s="21"/>
      <c r="W207" s="16"/>
      <c r="X207" s="16"/>
      <c r="Y207" s="16"/>
    </row>
    <row r="208" customFormat="false" ht="14.15" hidden="false" customHeight="false" outlineLevel="0" collapsed="false">
      <c r="A208" s="9"/>
      <c r="B208" s="10"/>
      <c r="C208" s="10"/>
      <c r="D208" s="10"/>
      <c r="E208" s="10"/>
      <c r="F208" s="10"/>
      <c r="G208" s="10"/>
      <c r="H208" s="10"/>
      <c r="I208" s="22" t="n">
        <v>3</v>
      </c>
      <c r="J208" s="22" t="s">
        <v>49</v>
      </c>
      <c r="K208" s="23" t="n">
        <f aca="false">37.39</f>
        <v>37.39</v>
      </c>
      <c r="L208" s="23" t="n">
        <f aca="false">89.95</f>
        <v>89.95</v>
      </c>
      <c r="M208" s="22" t="n">
        <v>12</v>
      </c>
      <c r="N208" s="22" t="n">
        <v>24</v>
      </c>
      <c r="O208" s="22" t="n">
        <v>67.1</v>
      </c>
      <c r="P208" s="23" t="n">
        <f aca="false">24.63</f>
        <v>24.63</v>
      </c>
      <c r="Q208" s="23" t="n">
        <f aca="false">123.84</f>
        <v>123.84</v>
      </c>
      <c r="R208" s="22" t="n">
        <v>10.7</v>
      </c>
      <c r="S208" s="22" t="n">
        <v>20.3</v>
      </c>
      <c r="T208" s="22" t="n">
        <v>279</v>
      </c>
      <c r="U208" s="24" t="s">
        <v>29</v>
      </c>
      <c r="V208" s="15"/>
      <c r="W208" s="16"/>
      <c r="X208" s="16"/>
      <c r="Y208" s="16"/>
    </row>
    <row r="209" customFormat="false" ht="14.15" hidden="false" customHeight="false" outlineLevel="0" collapsed="false">
      <c r="A209" s="9"/>
      <c r="B209" s="10"/>
      <c r="C209" s="10"/>
      <c r="D209" s="10"/>
      <c r="E209" s="10"/>
      <c r="F209" s="10"/>
      <c r="G209" s="10"/>
      <c r="H209" s="10"/>
      <c r="I209" s="25" t="n">
        <v>4</v>
      </c>
      <c r="J209" s="25" t="s">
        <v>35</v>
      </c>
      <c r="K209" s="26" t="n">
        <f aca="false">40.74</f>
        <v>40.74</v>
      </c>
      <c r="L209" s="26" t="n">
        <f aca="false">119.78</f>
        <v>119.78</v>
      </c>
      <c r="M209" s="25" t="n">
        <v>14</v>
      </c>
      <c r="N209" s="25" t="n">
        <v>30</v>
      </c>
      <c r="O209" s="25" t="n">
        <v>98.9</v>
      </c>
      <c r="P209" s="26" t="n">
        <f aca="false">23.85</f>
        <v>23.85</v>
      </c>
      <c r="Q209" s="26" t="n">
        <f aca="false">140.65</f>
        <v>140.65</v>
      </c>
      <c r="R209" s="25" t="n">
        <v>13.5</v>
      </c>
      <c r="S209" s="25" t="n">
        <v>20.5</v>
      </c>
      <c r="T209" s="25" t="n">
        <v>421</v>
      </c>
      <c r="U209" s="27" t="s">
        <v>97</v>
      </c>
      <c r="V209" s="21"/>
      <c r="W209" s="16"/>
      <c r="X209" s="16"/>
      <c r="Y209" s="16"/>
    </row>
    <row r="210" customFormat="false" ht="15.75" hidden="false" customHeight="true" outlineLevel="0" collapsed="false">
      <c r="A210" s="9" t="s">
        <v>43</v>
      </c>
      <c r="B210" s="10" t="s">
        <v>44</v>
      </c>
      <c r="C210" s="11" t="s">
        <v>102</v>
      </c>
      <c r="D210" s="10" t="s">
        <v>28</v>
      </c>
      <c r="E210" s="10" t="s">
        <v>28</v>
      </c>
      <c r="F210" s="10"/>
      <c r="G210" s="10" t="n">
        <v>11</v>
      </c>
      <c r="H210" s="10" t="n">
        <v>2</v>
      </c>
      <c r="I210" s="12" t="n">
        <v>1</v>
      </c>
      <c r="J210" s="12" t="s">
        <v>46</v>
      </c>
      <c r="K210" s="13" t="n">
        <f aca="false">40.34</f>
        <v>40.34</v>
      </c>
      <c r="L210" s="13" t="n">
        <f aca="false">110.72</f>
        <v>110.72</v>
      </c>
      <c r="M210" s="12" t="n">
        <v>16</v>
      </c>
      <c r="N210" s="12" t="n">
        <v>24</v>
      </c>
      <c r="O210" s="12" t="n">
        <v>84.3</v>
      </c>
      <c r="P210" s="13" t="n">
        <f aca="false">25.54</f>
        <v>25.54</v>
      </c>
      <c r="Q210" s="13" t="n">
        <f aca="false">128.8</f>
        <v>128.8</v>
      </c>
      <c r="R210" s="12" t="n">
        <v>14.2</v>
      </c>
      <c r="S210" s="12" t="n">
        <v>19</v>
      </c>
      <c r="T210" s="12" t="n">
        <v>365</v>
      </c>
      <c r="U210" s="14" t="s">
        <v>29</v>
      </c>
      <c r="V210" s="15"/>
      <c r="W210" s="16" t="str">
        <f aca="false">A210</f>
        <v>JB</v>
      </c>
      <c r="X210" s="17" t="e">
        <f aca="false">ifs(C210="","",X210="",NOW(),TRUE(),X210)</f>
        <v>#VALUE!</v>
      </c>
      <c r="Y210" s="17" t="e">
        <f aca="false">ifs(COUNTA(K210:U213)&lt;44,"",Y210="",NOW(),TRUE(),Y210)</f>
        <v>#VALUE!</v>
      </c>
    </row>
    <row r="211" customFormat="false" ht="14.15" hidden="false" customHeight="false" outlineLevel="0" collapsed="false">
      <c r="A211" s="9"/>
      <c r="B211" s="10"/>
      <c r="C211" s="10"/>
      <c r="D211" s="10"/>
      <c r="E211" s="10"/>
      <c r="F211" s="10"/>
      <c r="G211" s="10"/>
      <c r="H211" s="10"/>
      <c r="I211" s="18" t="n">
        <v>2</v>
      </c>
      <c r="J211" s="18" t="s">
        <v>103</v>
      </c>
      <c r="K211" s="19" t="n">
        <f aca="false">37.79</f>
        <v>37.79</v>
      </c>
      <c r="L211" s="19" t="n">
        <f aca="false">107.34</f>
        <v>107.34</v>
      </c>
      <c r="M211" s="18" t="n">
        <v>12</v>
      </c>
      <c r="N211" s="18" t="n">
        <v>28</v>
      </c>
      <c r="O211" s="18" t="n">
        <v>71</v>
      </c>
      <c r="P211" s="19" t="n">
        <f aca="false">24.8</f>
        <v>24.8</v>
      </c>
      <c r="Q211" s="19" t="n">
        <f aca="false">125.57</f>
        <v>125.57</v>
      </c>
      <c r="R211" s="18" t="n">
        <v>14.2</v>
      </c>
      <c r="S211" s="18" t="n">
        <v>20.8</v>
      </c>
      <c r="T211" s="18" t="n">
        <v>272</v>
      </c>
      <c r="U211" s="20" t="s">
        <v>58</v>
      </c>
      <c r="V211" s="21"/>
      <c r="W211" s="16"/>
      <c r="X211" s="16"/>
      <c r="Y211" s="16"/>
    </row>
    <row r="212" customFormat="false" ht="14.15" hidden="false" customHeight="false" outlineLevel="0" collapsed="false">
      <c r="A212" s="9"/>
      <c r="B212" s="10"/>
      <c r="C212" s="10"/>
      <c r="D212" s="10"/>
      <c r="E212" s="10"/>
      <c r="F212" s="10"/>
      <c r="G212" s="10"/>
      <c r="H212" s="10"/>
      <c r="I212" s="22" t="n">
        <v>3</v>
      </c>
      <c r="J212" s="22" t="s">
        <v>104</v>
      </c>
      <c r="K212" s="23" t="n">
        <f aca="false">42.42</f>
        <v>42.42</v>
      </c>
      <c r="L212" s="23" t="n">
        <f aca="false">153</f>
        <v>153</v>
      </c>
      <c r="M212" s="22" t="n">
        <v>14</v>
      </c>
      <c r="N212" s="22" t="n">
        <v>40</v>
      </c>
      <c r="O212" s="22" t="n">
        <v>135.2</v>
      </c>
      <c r="P212" s="23" t="n">
        <f aca="false">27.33</f>
        <v>27.33</v>
      </c>
      <c r="Q212" s="23" t="n">
        <f aca="false">166.38</f>
        <v>166.38</v>
      </c>
      <c r="R212" s="22" t="n">
        <v>24.3</v>
      </c>
      <c r="S212" s="22" t="n">
        <v>21.2</v>
      </c>
      <c r="T212" s="22" t="n">
        <v>514</v>
      </c>
      <c r="U212" s="24" t="s">
        <v>29</v>
      </c>
      <c r="V212" s="15"/>
      <c r="W212" s="16"/>
      <c r="X212" s="16"/>
      <c r="Y212" s="16"/>
    </row>
    <row r="213" customFormat="false" ht="14.15" hidden="false" customHeight="false" outlineLevel="0" collapsed="false">
      <c r="A213" s="9"/>
      <c r="B213" s="10"/>
      <c r="C213" s="10"/>
      <c r="D213" s="10"/>
      <c r="E213" s="10"/>
      <c r="F213" s="10"/>
      <c r="G213" s="10"/>
      <c r="H213" s="10"/>
      <c r="I213" s="25" t="n">
        <v>4</v>
      </c>
      <c r="J213" s="25" t="s">
        <v>33</v>
      </c>
      <c r="K213" s="26" t="n">
        <f aca="false">37.84</f>
        <v>37.84</v>
      </c>
      <c r="L213" s="26" t="n">
        <f aca="false">100.26</f>
        <v>100.26</v>
      </c>
      <c r="M213" s="25" t="n">
        <v>10</v>
      </c>
      <c r="N213" s="25" t="n">
        <v>26</v>
      </c>
      <c r="O213" s="25" t="n">
        <v>69.8</v>
      </c>
      <c r="P213" s="26" t="n">
        <f aca="false">22.9</f>
        <v>22.9</v>
      </c>
      <c r="Q213" s="26" t="n">
        <f aca="false">130.09</f>
        <v>130.09</v>
      </c>
      <c r="R213" s="25" t="n">
        <v>12.2</v>
      </c>
      <c r="S213" s="25" t="n">
        <v>22.5</v>
      </c>
      <c r="T213" s="25" t="n">
        <v>241</v>
      </c>
      <c r="U213" s="27" t="s">
        <v>29</v>
      </c>
      <c r="V213" s="21"/>
      <c r="W213" s="16"/>
      <c r="X213" s="16"/>
      <c r="Y213" s="16"/>
    </row>
    <row r="214" customFormat="false" ht="15.75" hidden="false" customHeight="true" outlineLevel="0" collapsed="false">
      <c r="A214" s="9" t="s">
        <v>43</v>
      </c>
      <c r="B214" s="10" t="s">
        <v>44</v>
      </c>
      <c r="C214" s="11" t="s">
        <v>105</v>
      </c>
      <c r="D214" s="10" t="s">
        <v>28</v>
      </c>
      <c r="E214" s="10" t="s">
        <v>28</v>
      </c>
      <c r="F214" s="10"/>
      <c r="G214" s="10" t="n">
        <v>14</v>
      </c>
      <c r="H214" s="10" t="n">
        <v>2.8</v>
      </c>
      <c r="I214" s="12" t="n">
        <v>1</v>
      </c>
      <c r="J214" s="12" t="s">
        <v>106</v>
      </c>
      <c r="K214" s="13" t="n">
        <f aca="false">37.4</f>
        <v>37.4</v>
      </c>
      <c r="L214" s="13" t="n">
        <f aca="false">96.78</f>
        <v>96.78</v>
      </c>
      <c r="M214" s="12" t="n">
        <v>12</v>
      </c>
      <c r="N214" s="12" t="n">
        <v>22</v>
      </c>
      <c r="O214" s="12" t="n">
        <v>50.5</v>
      </c>
      <c r="P214" s="13" t="n">
        <f aca="false">22.41</f>
        <v>22.41</v>
      </c>
      <c r="Q214" s="13" t="n">
        <f aca="false">107.75</f>
        <v>107.75</v>
      </c>
      <c r="R214" s="12" t="n">
        <v>8</v>
      </c>
      <c r="S214" s="12" t="n">
        <v>24.4</v>
      </c>
      <c r="T214" s="12" t="n">
        <v>177</v>
      </c>
      <c r="U214" s="14" t="s">
        <v>29</v>
      </c>
      <c r="V214" s="15"/>
      <c r="W214" s="16" t="str">
        <f aca="false">A214</f>
        <v>JB</v>
      </c>
      <c r="X214" s="17" t="e">
        <f aca="false">ifs(C214="","",X214="",NOW(),TRUE(),X214)</f>
        <v>#VALUE!</v>
      </c>
      <c r="Y214" s="17" t="e">
        <f aca="false">ifs(COUNTA(K214:U217)&lt;44,"",Y214="",NOW(),TRUE(),Y214)</f>
        <v>#VALUE!</v>
      </c>
    </row>
    <row r="215" customFormat="false" ht="14.15" hidden="false" customHeight="false" outlineLevel="0" collapsed="false">
      <c r="A215" s="9"/>
      <c r="B215" s="10"/>
      <c r="C215" s="10"/>
      <c r="D215" s="10"/>
      <c r="E215" s="10"/>
      <c r="F215" s="10"/>
      <c r="G215" s="10"/>
      <c r="H215" s="10"/>
      <c r="I215" s="18" t="n">
        <v>2</v>
      </c>
      <c r="J215" s="18" t="s">
        <v>106</v>
      </c>
      <c r="K215" s="19" t="n">
        <f aca="false">42.91</f>
        <v>42.91</v>
      </c>
      <c r="L215" s="19" t="n">
        <f aca="false">125.24</f>
        <v>125.24</v>
      </c>
      <c r="M215" s="18" t="n">
        <v>10</v>
      </c>
      <c r="N215" s="18" t="n">
        <v>28</v>
      </c>
      <c r="O215" s="18" t="n">
        <v>95.8</v>
      </c>
      <c r="P215" s="19" t="n">
        <f aca="false">26.78</f>
        <v>26.78</v>
      </c>
      <c r="Q215" s="19" t="n">
        <f aca="false">135.55</f>
        <v>135.55</v>
      </c>
      <c r="R215" s="18" t="n">
        <v>15.4</v>
      </c>
      <c r="S215" s="18" t="n">
        <v>26.8</v>
      </c>
      <c r="T215" s="18" t="n">
        <v>297</v>
      </c>
      <c r="U215" s="20" t="s">
        <v>29</v>
      </c>
      <c r="V215" s="21"/>
      <c r="W215" s="16"/>
      <c r="X215" s="16"/>
      <c r="Y215" s="16"/>
    </row>
    <row r="216" customFormat="false" ht="14.15" hidden="false" customHeight="false" outlineLevel="0" collapsed="false">
      <c r="A216" s="9"/>
      <c r="B216" s="10"/>
      <c r="C216" s="10"/>
      <c r="D216" s="10"/>
      <c r="E216" s="10"/>
      <c r="F216" s="10"/>
      <c r="G216" s="10"/>
      <c r="H216" s="10"/>
      <c r="I216" s="22" t="n">
        <v>3</v>
      </c>
      <c r="J216" s="22" t="s">
        <v>35</v>
      </c>
      <c r="K216" s="23" t="n">
        <f aca="false">45.76</f>
        <v>45.76</v>
      </c>
      <c r="L216" s="23" t="n">
        <f aca="false">163.77</f>
        <v>163.77</v>
      </c>
      <c r="M216" s="22" t="n">
        <v>14</v>
      </c>
      <c r="N216" s="22" t="n">
        <v>40</v>
      </c>
      <c r="O216" s="22" t="n">
        <v>151.1</v>
      </c>
      <c r="P216" s="23" t="n">
        <f aca="false">26.49</f>
        <v>26.49</v>
      </c>
      <c r="Q216" s="23" t="n">
        <f aca="false">174.61</f>
        <v>174.61</v>
      </c>
      <c r="R216" s="22" t="n">
        <v>21.4</v>
      </c>
      <c r="S216" s="22" t="n">
        <v>23.3</v>
      </c>
      <c r="T216" s="22" t="n">
        <v>543</v>
      </c>
      <c r="U216" s="24" t="s">
        <v>29</v>
      </c>
      <c r="V216" s="15"/>
      <c r="W216" s="16"/>
      <c r="X216" s="16"/>
      <c r="Y216" s="16"/>
    </row>
    <row r="217" customFormat="false" ht="14.15" hidden="false" customHeight="false" outlineLevel="0" collapsed="false">
      <c r="A217" s="9"/>
      <c r="B217" s="10"/>
      <c r="C217" s="10"/>
      <c r="D217" s="10"/>
      <c r="E217" s="10"/>
      <c r="F217" s="10"/>
      <c r="G217" s="10"/>
      <c r="H217" s="10"/>
      <c r="I217" s="25" t="n">
        <v>4</v>
      </c>
      <c r="J217" s="25" t="s">
        <v>106</v>
      </c>
      <c r="K217" s="26" t="n">
        <f aca="false">38.54</f>
        <v>38.54</v>
      </c>
      <c r="L217" s="26" t="n">
        <f aca="false">116.52</f>
        <v>116.52</v>
      </c>
      <c r="M217" s="25" t="n">
        <v>12</v>
      </c>
      <c r="N217" s="25" t="n">
        <v>34</v>
      </c>
      <c r="O217" s="25" t="n">
        <v>66</v>
      </c>
      <c r="P217" s="26" t="n">
        <f aca="false">24.74</f>
        <v>24.74</v>
      </c>
      <c r="Q217" s="26" t="n">
        <f aca="false">131.84</f>
        <v>131.84</v>
      </c>
      <c r="R217" s="25" t="n">
        <v>14.6</v>
      </c>
      <c r="S217" s="25" t="n">
        <v>18.5</v>
      </c>
      <c r="T217" s="25" t="n">
        <v>275</v>
      </c>
      <c r="U217" s="27" t="s">
        <v>29</v>
      </c>
      <c r="V217" s="21"/>
      <c r="W217" s="16"/>
      <c r="X217" s="16"/>
      <c r="Y217" s="16"/>
    </row>
    <row r="218" customFormat="false" ht="15.75" hidden="false" customHeight="true" outlineLevel="0" collapsed="false">
      <c r="A218" s="9" t="s">
        <v>43</v>
      </c>
      <c r="B218" s="10" t="s">
        <v>44</v>
      </c>
      <c r="C218" s="11" t="s">
        <v>107</v>
      </c>
      <c r="D218" s="10" t="s">
        <v>28</v>
      </c>
      <c r="E218" s="10" t="s">
        <v>28</v>
      </c>
      <c r="F218" s="10"/>
      <c r="G218" s="10" t="n">
        <v>11</v>
      </c>
      <c r="H218" s="10" t="n">
        <v>2.5</v>
      </c>
      <c r="I218" s="12" t="n">
        <v>1</v>
      </c>
      <c r="J218" s="12" t="s">
        <v>35</v>
      </c>
      <c r="K218" s="13" t="n">
        <f aca="false">44</f>
        <v>44</v>
      </c>
      <c r="L218" s="13" t="n">
        <f aca="false">162.07</f>
        <v>162.07</v>
      </c>
      <c r="M218" s="12" t="n">
        <v>16</v>
      </c>
      <c r="N218" s="12" t="n">
        <v>42</v>
      </c>
      <c r="O218" s="12" t="n">
        <v>159.4</v>
      </c>
      <c r="P218" s="13" t="n">
        <f aca="false">30.68</f>
        <v>30.68</v>
      </c>
      <c r="Q218" s="13" t="n">
        <f aca="false">168.85</f>
        <v>168.85</v>
      </c>
      <c r="R218" s="12" t="n">
        <v>30.4</v>
      </c>
      <c r="S218" s="12" t="n">
        <v>19.9</v>
      </c>
      <c r="T218" s="12" t="n">
        <v>662</v>
      </c>
      <c r="U218" s="14" t="s">
        <v>29</v>
      </c>
      <c r="V218" s="15"/>
      <c r="W218" s="16" t="str">
        <f aca="false">A218</f>
        <v>JB</v>
      </c>
      <c r="X218" s="17" t="e">
        <f aca="false">ifs(C218="","",X218="",NOW(),TRUE(),X218)</f>
        <v>#VALUE!</v>
      </c>
      <c r="Y218" s="17" t="e">
        <f aca="false">ifs(COUNTA(K218:U221)&lt;44,"",Y218="",NOW(),TRUE(),Y218)</f>
        <v>#VALUE!</v>
      </c>
    </row>
    <row r="219" customFormat="false" ht="14.15" hidden="false" customHeight="false" outlineLevel="0" collapsed="false">
      <c r="A219" s="9"/>
      <c r="B219" s="10"/>
      <c r="C219" s="10"/>
      <c r="D219" s="10"/>
      <c r="E219" s="10"/>
      <c r="F219" s="10"/>
      <c r="G219" s="10"/>
      <c r="H219" s="10"/>
      <c r="I219" s="18" t="n">
        <v>2</v>
      </c>
      <c r="J219" s="18" t="s">
        <v>47</v>
      </c>
      <c r="K219" s="19" t="n">
        <f aca="false">44.44</f>
        <v>44.44</v>
      </c>
      <c r="L219" s="19" t="n">
        <f aca="false">158.31</f>
        <v>158.31</v>
      </c>
      <c r="M219" s="18" t="n">
        <v>18</v>
      </c>
      <c r="N219" s="18" t="n">
        <v>40</v>
      </c>
      <c r="O219" s="18" t="n">
        <v>164.1</v>
      </c>
      <c r="P219" s="19" t="n">
        <f aca="false">29.82</f>
        <v>29.82</v>
      </c>
      <c r="Q219" s="19" t="n">
        <f aca="false">168.87</f>
        <v>168.87</v>
      </c>
      <c r="R219" s="18" t="n">
        <v>30.1</v>
      </c>
      <c r="S219" s="18" t="n">
        <v>20.4</v>
      </c>
      <c r="T219" s="18" t="n">
        <v>649</v>
      </c>
      <c r="U219" s="20" t="s">
        <v>29</v>
      </c>
      <c r="V219" s="21"/>
      <c r="W219" s="16"/>
      <c r="X219" s="16"/>
      <c r="Y219" s="16"/>
    </row>
    <row r="220" customFormat="false" ht="14.15" hidden="false" customHeight="false" outlineLevel="0" collapsed="false">
      <c r="A220" s="9"/>
      <c r="B220" s="10"/>
      <c r="C220" s="10"/>
      <c r="D220" s="10"/>
      <c r="E220" s="10"/>
      <c r="F220" s="10"/>
      <c r="G220" s="10"/>
      <c r="H220" s="10"/>
      <c r="I220" s="22" t="n">
        <v>3</v>
      </c>
      <c r="J220" s="22" t="s">
        <v>46</v>
      </c>
      <c r="K220" s="23" t="n">
        <f aca="false">45.12</f>
        <v>45.12</v>
      </c>
      <c r="L220" s="23" t="n">
        <f aca="false">148.81</f>
        <v>148.81</v>
      </c>
      <c r="M220" s="22" t="n">
        <v>18</v>
      </c>
      <c r="N220" s="22" t="n">
        <v>38</v>
      </c>
      <c r="O220" s="22" t="n">
        <v>147.1</v>
      </c>
      <c r="P220" s="23" t="n">
        <f aca="false">29.04</f>
        <v>29.04</v>
      </c>
      <c r="Q220" s="23" t="n">
        <f aca="false">156.31</f>
        <v>156.31</v>
      </c>
      <c r="R220" s="22" t="n">
        <v>24.3</v>
      </c>
      <c r="S220" s="22" t="n">
        <v>21</v>
      </c>
      <c r="T220" s="22" t="n">
        <v>595</v>
      </c>
      <c r="U220" s="24" t="s">
        <v>29</v>
      </c>
      <c r="V220" s="15"/>
      <c r="W220" s="16"/>
      <c r="X220" s="16"/>
      <c r="Y220" s="16"/>
    </row>
    <row r="221" customFormat="false" ht="14.15" hidden="false" customHeight="false" outlineLevel="0" collapsed="false">
      <c r="A221" s="9"/>
      <c r="B221" s="10"/>
      <c r="C221" s="10"/>
      <c r="D221" s="10"/>
      <c r="E221" s="10"/>
      <c r="F221" s="10"/>
      <c r="G221" s="10"/>
      <c r="H221" s="10"/>
      <c r="I221" s="25" t="n">
        <v>4</v>
      </c>
      <c r="J221" s="25" t="s">
        <v>50</v>
      </c>
      <c r="K221" s="26" t="n">
        <f aca="false">45.86</f>
        <v>45.86</v>
      </c>
      <c r="L221" s="26" t="n">
        <f aca="false">161.13</f>
        <v>161.13</v>
      </c>
      <c r="M221" s="25" t="n">
        <v>18</v>
      </c>
      <c r="N221" s="25" t="n">
        <v>38</v>
      </c>
      <c r="O221" s="25" t="n">
        <v>167.4</v>
      </c>
      <c r="P221" s="26" t="n">
        <f aca="false">29.19</f>
        <v>29.19</v>
      </c>
      <c r="Q221" s="26" t="n">
        <f aca="false">171.76</f>
        <v>171.76</v>
      </c>
      <c r="R221" s="25" t="n">
        <v>29.4</v>
      </c>
      <c r="S221" s="25" t="n">
        <v>19.7</v>
      </c>
      <c r="T221" s="25" t="n">
        <v>683</v>
      </c>
      <c r="U221" s="27" t="s">
        <v>29</v>
      </c>
      <c r="V221" s="21"/>
      <c r="W221" s="16"/>
      <c r="X221" s="16"/>
      <c r="Y221" s="16"/>
    </row>
    <row r="222" customFormat="false" ht="15.75" hidden="false" customHeight="true" outlineLevel="0" collapsed="false">
      <c r="A222" s="9" t="s">
        <v>43</v>
      </c>
      <c r="B222" s="10" t="s">
        <v>44</v>
      </c>
      <c r="C222" s="11" t="s">
        <v>108</v>
      </c>
      <c r="D222" s="10" t="s">
        <v>28</v>
      </c>
      <c r="E222" s="10" t="s">
        <v>28</v>
      </c>
      <c r="F222" s="10"/>
      <c r="G222" s="10" t="n">
        <v>12</v>
      </c>
      <c r="H222" s="10" t="n">
        <v>1.9</v>
      </c>
      <c r="I222" s="12" t="n">
        <v>1</v>
      </c>
      <c r="J222" s="12" t="s">
        <v>50</v>
      </c>
      <c r="K222" s="13" t="n">
        <f aca="false">35.7</f>
        <v>35.7</v>
      </c>
      <c r="L222" s="13" t="n">
        <f aca="false">98.76</f>
        <v>98.76</v>
      </c>
      <c r="M222" s="12" t="n">
        <v>12</v>
      </c>
      <c r="N222" s="12" t="n">
        <v>24</v>
      </c>
      <c r="O222" s="12" t="n">
        <v>63.6</v>
      </c>
      <c r="P222" s="13" t="n">
        <f aca="false">23.24</f>
        <v>23.24</v>
      </c>
      <c r="Q222" s="13" t="n">
        <f aca="false">117.02</f>
        <v>117.02</v>
      </c>
      <c r="R222" s="12" t="n">
        <v>8.8</v>
      </c>
      <c r="S222" s="12" t="n">
        <v>19.4</v>
      </c>
      <c r="T222" s="12" t="n">
        <v>290</v>
      </c>
      <c r="U222" s="14" t="s">
        <v>29</v>
      </c>
      <c r="V222" s="15"/>
      <c r="W222" s="16" t="str">
        <f aca="false">A222</f>
        <v>JB</v>
      </c>
      <c r="X222" s="17" t="e">
        <f aca="false">ifs(C222="","",X222="",NOW(),TRUE(),X222)</f>
        <v>#VALUE!</v>
      </c>
      <c r="Y222" s="17" t="e">
        <f aca="false">ifs(COUNTA(K222:U225)&lt;44,"",Y222="",NOW(),TRUE(),Y222)</f>
        <v>#VALUE!</v>
      </c>
    </row>
    <row r="223" customFormat="false" ht="14.15" hidden="false" customHeight="false" outlineLevel="0" collapsed="false">
      <c r="A223" s="9"/>
      <c r="B223" s="10"/>
      <c r="C223" s="10"/>
      <c r="D223" s="10"/>
      <c r="E223" s="10"/>
      <c r="F223" s="10"/>
      <c r="G223" s="10"/>
      <c r="H223" s="10"/>
      <c r="I223" s="18" t="n">
        <v>2</v>
      </c>
      <c r="J223" s="18" t="s">
        <v>33</v>
      </c>
      <c r="K223" s="19" t="n">
        <f aca="false">36.63</f>
        <v>36.63</v>
      </c>
      <c r="L223" s="19" t="n">
        <f aca="false">106.25</f>
        <v>106.25</v>
      </c>
      <c r="M223" s="18" t="n">
        <v>16</v>
      </c>
      <c r="N223" s="18" t="n">
        <v>26</v>
      </c>
      <c r="O223" s="18" t="n">
        <v>62.9</v>
      </c>
      <c r="P223" s="19" t="n">
        <f aca="false">25.52</f>
        <v>25.52</v>
      </c>
      <c r="Q223" s="19" t="n">
        <f aca="false">122.73</f>
        <v>122.73</v>
      </c>
      <c r="R223" s="18" t="n">
        <v>9.6</v>
      </c>
      <c r="S223" s="18" t="n">
        <v>15.9</v>
      </c>
      <c r="T223" s="18" t="n">
        <v>343</v>
      </c>
      <c r="U223" s="20" t="s">
        <v>29</v>
      </c>
      <c r="V223" s="21"/>
      <c r="W223" s="16"/>
      <c r="X223" s="16"/>
      <c r="Y223" s="16"/>
    </row>
    <row r="224" customFormat="false" ht="14.15" hidden="false" customHeight="false" outlineLevel="0" collapsed="false">
      <c r="A224" s="9"/>
      <c r="B224" s="10"/>
      <c r="C224" s="10"/>
      <c r="D224" s="10"/>
      <c r="E224" s="10"/>
      <c r="F224" s="10"/>
      <c r="G224" s="10"/>
      <c r="H224" s="10"/>
      <c r="I224" s="22" t="n">
        <v>3</v>
      </c>
      <c r="J224" s="22" t="s">
        <v>57</v>
      </c>
      <c r="K224" s="23" t="n">
        <f aca="false">34.84</f>
        <v>34.84</v>
      </c>
      <c r="L224" s="23" t="n">
        <f aca="false">106.02</f>
        <v>106.02</v>
      </c>
      <c r="M224" s="22" t="n">
        <v>14</v>
      </c>
      <c r="N224" s="22" t="n">
        <v>30</v>
      </c>
      <c r="O224" s="22" t="n">
        <v>68.3</v>
      </c>
      <c r="P224" s="23" t="n">
        <f aca="false">27.41</f>
        <v>27.41</v>
      </c>
      <c r="Q224" s="23" t="n">
        <f aca="false">126.2</f>
        <v>126.2</v>
      </c>
      <c r="R224" s="22" t="n">
        <v>10.1</v>
      </c>
      <c r="S224" s="22" t="n">
        <v>16.9</v>
      </c>
      <c r="T224" s="22" t="n">
        <v>350</v>
      </c>
      <c r="U224" s="24" t="s">
        <v>58</v>
      </c>
      <c r="V224" s="15"/>
      <c r="W224" s="16"/>
      <c r="X224" s="16"/>
      <c r="Y224" s="16"/>
    </row>
    <row r="225" customFormat="false" ht="14.15" hidden="false" customHeight="false" outlineLevel="0" collapsed="false">
      <c r="A225" s="9"/>
      <c r="B225" s="10"/>
      <c r="C225" s="10"/>
      <c r="D225" s="10"/>
      <c r="E225" s="10"/>
      <c r="F225" s="10"/>
      <c r="G225" s="10"/>
      <c r="H225" s="10"/>
      <c r="I225" s="25" t="n">
        <v>4</v>
      </c>
      <c r="J225" s="25" t="s">
        <v>57</v>
      </c>
      <c r="K225" s="26" t="n">
        <f aca="false">36.65</f>
        <v>36.65</v>
      </c>
      <c r="L225" s="26" t="n">
        <f aca="false">87.97</f>
        <v>87.97</v>
      </c>
      <c r="M225" s="25" t="n">
        <v>14</v>
      </c>
      <c r="N225" s="25" t="n">
        <v>18</v>
      </c>
      <c r="O225" s="25" t="n">
        <v>51.5</v>
      </c>
      <c r="P225" s="26" t="n">
        <f aca="false">22.11</f>
        <v>22.11</v>
      </c>
      <c r="Q225" s="26" t="n">
        <f aca="false">98.71</f>
        <v>98.71</v>
      </c>
      <c r="R225" s="25" t="n">
        <v>6.2</v>
      </c>
      <c r="S225" s="25" t="n">
        <v>18.6</v>
      </c>
      <c r="T225" s="25" t="n">
        <v>248</v>
      </c>
      <c r="U225" s="27" t="s">
        <v>29</v>
      </c>
      <c r="V225" s="21"/>
      <c r="W225" s="16"/>
      <c r="X225" s="16"/>
      <c r="Y225" s="16"/>
    </row>
    <row r="226" customFormat="false" ht="15.75" hidden="false" customHeight="true" outlineLevel="0" collapsed="false">
      <c r="A226" s="9" t="s">
        <v>43</v>
      </c>
      <c r="B226" s="10" t="s">
        <v>44</v>
      </c>
      <c r="C226" s="11" t="s">
        <v>109</v>
      </c>
      <c r="D226" s="10" t="s">
        <v>28</v>
      </c>
      <c r="E226" s="10" t="s">
        <v>28</v>
      </c>
      <c r="F226" s="10"/>
      <c r="G226" s="10" t="n">
        <v>19</v>
      </c>
      <c r="H226" s="10" t="n">
        <v>2.8</v>
      </c>
      <c r="I226" s="12" t="n">
        <v>1</v>
      </c>
      <c r="J226" s="12" t="s">
        <v>50</v>
      </c>
      <c r="K226" s="13" t="n">
        <f aca="false">41.18</f>
        <v>41.18</v>
      </c>
      <c r="L226" s="13" t="n">
        <f aca="false">108.77</f>
        <v>108.77</v>
      </c>
      <c r="M226" s="12" t="n">
        <v>14</v>
      </c>
      <c r="N226" s="12" t="n">
        <v>28</v>
      </c>
      <c r="O226" s="12" t="n">
        <v>82.1</v>
      </c>
      <c r="P226" s="13" t="n">
        <f aca="false">24.94</f>
        <v>24.94</v>
      </c>
      <c r="Q226" s="13" t="n">
        <f aca="false">140.11</f>
        <v>140.11</v>
      </c>
      <c r="R226" s="12" t="n">
        <v>13.8</v>
      </c>
      <c r="S226" s="12" t="n">
        <v>21.6</v>
      </c>
      <c r="T226" s="12" t="n">
        <v>320</v>
      </c>
      <c r="U226" s="14" t="s">
        <v>29</v>
      </c>
      <c r="V226" s="15"/>
      <c r="W226" s="16" t="str">
        <f aca="false">A226</f>
        <v>JB</v>
      </c>
      <c r="X226" s="17" t="e">
        <f aca="false">ifs(C226="","",X226="",NOW(),TRUE(),X226)</f>
        <v>#VALUE!</v>
      </c>
      <c r="Y226" s="17" t="e">
        <f aca="false">ifs(COUNTA(K226:U229)&lt;44,"",Y226="",NOW(),TRUE(),Y226)</f>
        <v>#VALUE!</v>
      </c>
    </row>
    <row r="227" customFormat="false" ht="14.15" hidden="false" customHeight="false" outlineLevel="0" collapsed="false">
      <c r="A227" s="9"/>
      <c r="B227" s="10"/>
      <c r="C227" s="10"/>
      <c r="D227" s="10"/>
      <c r="E227" s="10"/>
      <c r="F227" s="10"/>
      <c r="G227" s="10"/>
      <c r="H227" s="10"/>
      <c r="I227" s="18" t="n">
        <v>2</v>
      </c>
      <c r="J227" s="18" t="s">
        <v>35</v>
      </c>
      <c r="K227" s="19" t="n">
        <f aca="false">39.8</f>
        <v>39.8</v>
      </c>
      <c r="L227" s="19" t="n">
        <f aca="false">95.7</f>
        <v>95.7</v>
      </c>
      <c r="M227" s="18" t="n">
        <v>12</v>
      </c>
      <c r="N227" s="18" t="n">
        <v>22</v>
      </c>
      <c r="O227" s="18" t="n">
        <v>71.4</v>
      </c>
      <c r="P227" s="19" t="n">
        <f aca="false">25.71</f>
        <v>25.71</v>
      </c>
      <c r="Q227" s="19" t="n">
        <f aca="false">122.72</f>
        <v>122.72</v>
      </c>
      <c r="R227" s="18" t="n">
        <v>12.5</v>
      </c>
      <c r="S227" s="18" t="n">
        <v>23</v>
      </c>
      <c r="T227" s="18" t="n">
        <v>259</v>
      </c>
      <c r="U227" s="20" t="s">
        <v>29</v>
      </c>
      <c r="V227" s="21"/>
      <c r="W227" s="16"/>
      <c r="X227" s="16"/>
      <c r="Y227" s="16"/>
    </row>
    <row r="228" customFormat="false" ht="14.15" hidden="false" customHeight="false" outlineLevel="0" collapsed="false">
      <c r="A228" s="9"/>
      <c r="B228" s="10"/>
      <c r="C228" s="10"/>
      <c r="D228" s="10"/>
      <c r="E228" s="10"/>
      <c r="F228" s="10"/>
      <c r="G228" s="10"/>
      <c r="H228" s="10"/>
      <c r="I228" s="22" t="n">
        <v>3</v>
      </c>
      <c r="J228" s="22" t="s">
        <v>50</v>
      </c>
      <c r="K228" s="23" t="n">
        <f aca="false">43.44</f>
        <v>43.44</v>
      </c>
      <c r="L228" s="23" t="n">
        <f aca="false">123.49</f>
        <v>123.49</v>
      </c>
      <c r="M228" s="22" t="n">
        <v>14</v>
      </c>
      <c r="N228" s="22" t="n">
        <v>34</v>
      </c>
      <c r="O228" s="22" t="n">
        <v>111.1</v>
      </c>
      <c r="P228" s="23" t="n">
        <f aca="false">26.44</f>
        <v>26.44</v>
      </c>
      <c r="Q228" s="23" t="n">
        <f aca="false">153.96</f>
        <v>153.96</v>
      </c>
      <c r="R228" s="22" t="n">
        <v>19.4</v>
      </c>
      <c r="S228" s="22" t="n">
        <v>21</v>
      </c>
      <c r="T228" s="22" t="n">
        <v>426</v>
      </c>
      <c r="U228" s="24" t="s">
        <v>29</v>
      </c>
      <c r="V228" s="15"/>
      <c r="W228" s="16"/>
      <c r="X228" s="16"/>
      <c r="Y228" s="16"/>
    </row>
    <row r="229" customFormat="false" ht="14.15" hidden="false" customHeight="false" outlineLevel="0" collapsed="false">
      <c r="A229" s="9"/>
      <c r="B229" s="10"/>
      <c r="C229" s="10"/>
      <c r="D229" s="10"/>
      <c r="E229" s="10"/>
      <c r="F229" s="10"/>
      <c r="G229" s="10"/>
      <c r="H229" s="10"/>
      <c r="I229" s="25" t="n">
        <v>4</v>
      </c>
      <c r="J229" s="25" t="s">
        <v>49</v>
      </c>
      <c r="K229" s="26" t="n">
        <f aca="false">39.29</f>
        <v>39.29</v>
      </c>
      <c r="L229" s="26" t="n">
        <f aca="false">100.8</f>
        <v>100.8</v>
      </c>
      <c r="M229" s="25" t="n">
        <v>16</v>
      </c>
      <c r="N229" s="25" t="n">
        <v>30</v>
      </c>
      <c r="O229" s="25" t="n">
        <v>62.5</v>
      </c>
      <c r="P229" s="26" t="n">
        <f aca="false">24.72</f>
        <v>24.72</v>
      </c>
      <c r="Q229" s="26" t="n">
        <f aca="false">128.89</f>
        <v>128.89</v>
      </c>
      <c r="R229" s="25" t="n">
        <v>12.9</v>
      </c>
      <c r="S229" s="25" t="n">
        <v>18.2</v>
      </c>
      <c r="T229" s="25" t="n">
        <v>272</v>
      </c>
      <c r="U229" s="27" t="s">
        <v>29</v>
      </c>
      <c r="V229" s="21"/>
      <c r="W229" s="16"/>
      <c r="X229" s="16"/>
      <c r="Y229" s="16"/>
    </row>
    <row r="230" customFormat="false" ht="15.75" hidden="false" customHeight="true" outlineLevel="0" collapsed="false">
      <c r="A230" s="9" t="s">
        <v>43</v>
      </c>
      <c r="B230" s="10" t="s">
        <v>44</v>
      </c>
      <c r="C230" s="11" t="s">
        <v>110</v>
      </c>
      <c r="D230" s="10" t="s">
        <v>28</v>
      </c>
      <c r="E230" s="10" t="s">
        <v>28</v>
      </c>
      <c r="F230" s="10"/>
      <c r="G230" s="10" t="n">
        <v>6</v>
      </c>
      <c r="H230" s="10" t="n">
        <v>1.7</v>
      </c>
      <c r="I230" s="12" t="n">
        <v>1</v>
      </c>
      <c r="J230" s="12" t="s">
        <v>111</v>
      </c>
      <c r="K230" s="13" t="n">
        <f aca="false">43.12</f>
        <v>43.12</v>
      </c>
      <c r="L230" s="13" t="n">
        <f aca="false">137.76</f>
        <v>137.76</v>
      </c>
      <c r="M230" s="12" t="n">
        <v>14</v>
      </c>
      <c r="N230" s="12" t="n">
        <v>38</v>
      </c>
      <c r="O230" s="12" t="n">
        <v>114.7</v>
      </c>
      <c r="P230" s="13" t="n">
        <f aca="false">29.62</f>
        <v>29.62</v>
      </c>
      <c r="Q230" s="13" t="n">
        <f aca="false">140.97</f>
        <v>140.97</v>
      </c>
      <c r="R230" s="12" t="n">
        <v>16.6</v>
      </c>
      <c r="S230" s="12" t="n">
        <v>25.3</v>
      </c>
      <c r="T230" s="12" t="n">
        <v>397</v>
      </c>
      <c r="U230" s="14" t="s">
        <v>58</v>
      </c>
      <c r="V230" s="15"/>
      <c r="W230" s="16" t="str">
        <f aca="false">A230</f>
        <v>JB</v>
      </c>
      <c r="X230" s="17" t="e">
        <f aca="false">ifs(C230="","",X230="",NOW(),TRUE(),X230)</f>
        <v>#VALUE!</v>
      </c>
      <c r="Y230" s="17" t="e">
        <f aca="false">ifs(COUNTA(K230:U233)&lt;44,"",Y230="",NOW(),TRUE(),Y230)</f>
        <v>#VALUE!</v>
      </c>
    </row>
    <row r="231" customFormat="false" ht="14.15" hidden="false" customHeight="false" outlineLevel="0" collapsed="false">
      <c r="A231" s="9"/>
      <c r="B231" s="10"/>
      <c r="C231" s="10"/>
      <c r="D231" s="10"/>
      <c r="E231" s="10"/>
      <c r="F231" s="10"/>
      <c r="G231" s="10"/>
      <c r="H231" s="10"/>
      <c r="I231" s="18" t="n">
        <v>2</v>
      </c>
      <c r="J231" s="18" t="s">
        <v>35</v>
      </c>
      <c r="K231" s="19" t="n">
        <f aca="false">42.64</f>
        <v>42.64</v>
      </c>
      <c r="L231" s="19" t="n">
        <f aca="false">123.66</f>
        <v>123.66</v>
      </c>
      <c r="M231" s="18" t="n">
        <v>12</v>
      </c>
      <c r="N231" s="18" t="n">
        <v>36</v>
      </c>
      <c r="O231" s="18" t="n">
        <v>94.9</v>
      </c>
      <c r="P231" s="19" t="n">
        <f aca="false">28.45</f>
        <v>28.45</v>
      </c>
      <c r="Q231" s="19" t="n">
        <f aca="false">125.67</f>
        <v>125.67</v>
      </c>
      <c r="R231" s="18" t="n">
        <v>17.8</v>
      </c>
      <c r="S231" s="18" t="n">
        <v>25.3</v>
      </c>
      <c r="T231" s="18" t="n">
        <v>307</v>
      </c>
      <c r="U231" s="20" t="s">
        <v>58</v>
      </c>
      <c r="V231" s="21"/>
      <c r="W231" s="16"/>
      <c r="X231" s="16"/>
      <c r="Y231" s="16"/>
    </row>
    <row r="232" customFormat="false" ht="14.15" hidden="false" customHeight="false" outlineLevel="0" collapsed="false">
      <c r="A232" s="9"/>
      <c r="B232" s="10"/>
      <c r="C232" s="10"/>
      <c r="D232" s="10"/>
      <c r="E232" s="10"/>
      <c r="F232" s="10"/>
      <c r="G232" s="10"/>
      <c r="H232" s="10"/>
      <c r="I232" s="22" t="n">
        <v>3</v>
      </c>
      <c r="J232" s="22" t="s">
        <v>33</v>
      </c>
      <c r="K232" s="23" t="n">
        <f aca="false">44.28</f>
        <v>44.28</v>
      </c>
      <c r="L232" s="23" t="n">
        <f aca="false">131.44</f>
        <v>131.44</v>
      </c>
      <c r="M232" s="22" t="n">
        <v>12</v>
      </c>
      <c r="N232" s="22" t="n">
        <v>38</v>
      </c>
      <c r="O232" s="22" t="n">
        <v>132.7</v>
      </c>
      <c r="P232" s="23" t="n">
        <f aca="false">27.55</f>
        <v>27.55</v>
      </c>
      <c r="Q232" s="23" t="n">
        <f aca="false">141.84</f>
        <v>141.84</v>
      </c>
      <c r="R232" s="22" t="n">
        <v>22.7</v>
      </c>
      <c r="S232" s="22" t="n">
        <v>27.1</v>
      </c>
      <c r="T232" s="22" t="n">
        <v>407</v>
      </c>
      <c r="U232" s="24" t="s">
        <v>58</v>
      </c>
      <c r="V232" s="15"/>
      <c r="W232" s="16"/>
      <c r="X232" s="16"/>
      <c r="Y232" s="16"/>
    </row>
    <row r="233" customFormat="false" ht="14.15" hidden="false" customHeight="false" outlineLevel="0" collapsed="false">
      <c r="A233" s="9"/>
      <c r="B233" s="10"/>
      <c r="C233" s="10"/>
      <c r="D233" s="10"/>
      <c r="E233" s="10"/>
      <c r="F233" s="10"/>
      <c r="G233" s="10"/>
      <c r="H233" s="10"/>
      <c r="I233" s="25" t="n">
        <v>4</v>
      </c>
      <c r="J233" s="25" t="s">
        <v>33</v>
      </c>
      <c r="K233" s="26" t="n">
        <f aca="false">45.13</f>
        <v>45.13</v>
      </c>
      <c r="L233" s="26" t="n">
        <f aca="false">138.74</f>
        <v>138.74</v>
      </c>
      <c r="M233" s="25" t="n">
        <v>16</v>
      </c>
      <c r="N233" s="25" t="n">
        <v>36</v>
      </c>
      <c r="O233" s="25" t="n">
        <v>134.8</v>
      </c>
      <c r="P233" s="26" t="n">
        <f aca="false">27.07</f>
        <v>27.07</v>
      </c>
      <c r="Q233" s="26" t="n">
        <f aca="false">157.76</f>
        <v>157.76</v>
      </c>
      <c r="R233" s="25" t="n">
        <v>21</v>
      </c>
      <c r="S233" s="25" t="n">
        <v>25.9</v>
      </c>
      <c r="T233" s="25" t="n">
        <v>451</v>
      </c>
      <c r="U233" s="27" t="s">
        <v>58</v>
      </c>
      <c r="V233" s="21"/>
      <c r="W233" s="16"/>
      <c r="X233" s="16"/>
      <c r="Y233" s="16"/>
    </row>
    <row r="234" customFormat="false" ht="15.75" hidden="false" customHeight="true" outlineLevel="0" collapsed="false">
      <c r="A234" s="9" t="s">
        <v>43</v>
      </c>
      <c r="B234" s="10" t="s">
        <v>44</v>
      </c>
      <c r="C234" s="11" t="s">
        <v>112</v>
      </c>
      <c r="D234" s="10" t="s">
        <v>28</v>
      </c>
      <c r="E234" s="10" t="s">
        <v>28</v>
      </c>
      <c r="F234" s="10"/>
      <c r="G234" s="10" t="n">
        <v>36</v>
      </c>
      <c r="H234" s="10" t="n">
        <v>8.8</v>
      </c>
      <c r="I234" s="12" t="n">
        <v>1</v>
      </c>
      <c r="J234" s="12" t="s">
        <v>49</v>
      </c>
      <c r="K234" s="13" t="n">
        <f aca="false">46.23</f>
        <v>46.23</v>
      </c>
      <c r="L234" s="13" t="n">
        <f aca="false">153.46</f>
        <v>153.46</v>
      </c>
      <c r="M234" s="12" t="n">
        <v>16</v>
      </c>
      <c r="N234" s="12" t="n">
        <v>34</v>
      </c>
      <c r="O234" s="12" t="n">
        <v>155.7</v>
      </c>
      <c r="P234" s="13" t="n">
        <f aca="false">28.99</f>
        <v>28.99</v>
      </c>
      <c r="Q234" s="13" t="n">
        <f aca="false">168.32</f>
        <v>168.32</v>
      </c>
      <c r="R234" s="12" t="n">
        <v>20.3</v>
      </c>
      <c r="S234" s="12" t="n">
        <v>25.5</v>
      </c>
      <c r="T234" s="12" t="n">
        <v>527</v>
      </c>
      <c r="U234" s="14" t="s">
        <v>58</v>
      </c>
      <c r="V234" s="15"/>
      <c r="W234" s="16" t="str">
        <f aca="false">A234</f>
        <v>JB</v>
      </c>
      <c r="X234" s="17" t="e">
        <f aca="false">ifs(C234="","",X234="",NOW(),TRUE(),X234)</f>
        <v>#VALUE!</v>
      </c>
      <c r="Y234" s="17" t="e">
        <f aca="false">ifs(COUNTA(K234:U237)&lt;44,"",Y234="",NOW(),TRUE(),Y234)</f>
        <v>#VALUE!</v>
      </c>
    </row>
    <row r="235" customFormat="false" ht="14.15" hidden="false" customHeight="false" outlineLevel="0" collapsed="false">
      <c r="A235" s="9"/>
      <c r="B235" s="10"/>
      <c r="C235" s="10"/>
      <c r="D235" s="10"/>
      <c r="E235" s="10"/>
      <c r="F235" s="10"/>
      <c r="G235" s="10"/>
      <c r="H235" s="10"/>
      <c r="I235" s="18" t="n">
        <v>2</v>
      </c>
      <c r="J235" s="18" t="s">
        <v>49</v>
      </c>
      <c r="K235" s="19" t="n">
        <f aca="false">40.75</f>
        <v>40.75</v>
      </c>
      <c r="L235" s="19" t="n">
        <f aca="false">127.41</f>
        <v>127.41</v>
      </c>
      <c r="M235" s="18" t="n">
        <v>14</v>
      </c>
      <c r="N235" s="18" t="n">
        <v>30</v>
      </c>
      <c r="O235" s="18" t="n">
        <v>106.8</v>
      </c>
      <c r="P235" s="19" t="n">
        <f aca="false">28.17</f>
        <v>28.17</v>
      </c>
      <c r="Q235" s="19" t="n">
        <f aca="false">143.22</f>
        <v>143.22</v>
      </c>
      <c r="R235" s="18" t="n">
        <v>13.1</v>
      </c>
      <c r="S235" s="18" t="n">
        <v>22.8</v>
      </c>
      <c r="T235" s="18" t="n">
        <v>401</v>
      </c>
      <c r="U235" s="20" t="s">
        <v>58</v>
      </c>
      <c r="V235" s="21"/>
      <c r="W235" s="16"/>
      <c r="X235" s="16"/>
      <c r="Y235" s="16"/>
    </row>
    <row r="236" customFormat="false" ht="14.15" hidden="false" customHeight="false" outlineLevel="0" collapsed="false">
      <c r="A236" s="9"/>
      <c r="B236" s="10"/>
      <c r="C236" s="10"/>
      <c r="D236" s="10"/>
      <c r="E236" s="10"/>
      <c r="F236" s="10"/>
      <c r="G236" s="10"/>
      <c r="H236" s="10"/>
      <c r="I236" s="22" t="n">
        <v>3</v>
      </c>
      <c r="J236" s="22" t="s">
        <v>33</v>
      </c>
      <c r="K236" s="23" t="n">
        <f aca="false">42.88</f>
        <v>42.88</v>
      </c>
      <c r="L236" s="23" t="n">
        <f aca="false">135.47</f>
        <v>135.47</v>
      </c>
      <c r="M236" s="22" t="n">
        <v>14</v>
      </c>
      <c r="N236" s="22" t="n">
        <v>34</v>
      </c>
      <c r="O236" s="22" t="n">
        <v>141.3</v>
      </c>
      <c r="P236" s="23" t="n">
        <f aca="false">25.29</f>
        <v>25.29</v>
      </c>
      <c r="Q236" s="23" t="n">
        <f aca="false">153.86</f>
        <v>153.86</v>
      </c>
      <c r="R236" s="22" t="n">
        <v>15.4</v>
      </c>
      <c r="S236" s="22" t="n">
        <v>27.7</v>
      </c>
      <c r="T236" s="22" t="n">
        <v>445</v>
      </c>
      <c r="U236" s="24" t="s">
        <v>58</v>
      </c>
      <c r="V236" s="15"/>
      <c r="W236" s="16"/>
      <c r="X236" s="16"/>
      <c r="Y236" s="16"/>
    </row>
    <row r="237" customFormat="false" ht="14.15" hidden="false" customHeight="false" outlineLevel="0" collapsed="false">
      <c r="A237" s="9"/>
      <c r="B237" s="10"/>
      <c r="C237" s="10"/>
      <c r="D237" s="10"/>
      <c r="E237" s="10"/>
      <c r="F237" s="10"/>
      <c r="G237" s="10"/>
      <c r="H237" s="10"/>
      <c r="I237" s="25" t="n">
        <v>4</v>
      </c>
      <c r="J237" s="25" t="s">
        <v>33</v>
      </c>
      <c r="K237" s="26" t="n">
        <f aca="false">42.73</f>
        <v>42.73</v>
      </c>
      <c r="L237" s="26" t="n">
        <f aca="false">117.77</f>
        <v>117.77</v>
      </c>
      <c r="M237" s="25" t="n">
        <v>16</v>
      </c>
      <c r="N237" s="25" t="n">
        <v>26</v>
      </c>
      <c r="O237" s="25" t="n">
        <v>91.7</v>
      </c>
      <c r="P237" s="26" t="n">
        <f aca="false">26.74</f>
        <v>26.74</v>
      </c>
      <c r="Q237" s="26" t="n">
        <f aca="false">119.94</f>
        <v>119.94</v>
      </c>
      <c r="R237" s="25" t="n">
        <v>10.6</v>
      </c>
      <c r="S237" s="25" t="n">
        <v>30.7</v>
      </c>
      <c r="T237" s="25" t="n">
        <v>171</v>
      </c>
      <c r="U237" s="27" t="s">
        <v>58</v>
      </c>
      <c r="V237" s="21"/>
      <c r="W237" s="16"/>
      <c r="X237" s="16"/>
      <c r="Y237" s="16"/>
    </row>
    <row r="238" customFormat="false" ht="15.75" hidden="false" customHeight="true" outlineLevel="0" collapsed="false">
      <c r="A238" s="9" t="s">
        <v>25</v>
      </c>
      <c r="B238" s="10" t="s">
        <v>26</v>
      </c>
      <c r="C238" s="11" t="s">
        <v>113</v>
      </c>
      <c r="D238" s="10" t="s">
        <v>28</v>
      </c>
      <c r="E238" s="10" t="s">
        <v>28</v>
      </c>
      <c r="F238" s="10"/>
      <c r="G238" s="10" t="n">
        <v>9</v>
      </c>
      <c r="H238" s="10" t="n">
        <v>2.1</v>
      </c>
      <c r="I238" s="12" t="n">
        <v>1</v>
      </c>
      <c r="J238" s="12"/>
      <c r="K238" s="13" t="n">
        <f aca="false">44.51</f>
        <v>44.51</v>
      </c>
      <c r="L238" s="13" t="n">
        <f aca="false">163.35</f>
        <v>163.35</v>
      </c>
      <c r="M238" s="12" t="n">
        <v>12</v>
      </c>
      <c r="N238" s="12" t="n">
        <v>40</v>
      </c>
      <c r="O238" s="12" t="n">
        <v>167.45</v>
      </c>
      <c r="P238" s="13" t="n">
        <f aca="false">25.94</f>
        <v>25.94</v>
      </c>
      <c r="Q238" s="13" t="n">
        <f aca="false">184.44</f>
        <v>184.44</v>
      </c>
      <c r="R238" s="12" t="n">
        <v>20.55</v>
      </c>
      <c r="S238" s="12" t="n">
        <v>29.6</v>
      </c>
      <c r="T238" s="12" t="n">
        <v>472</v>
      </c>
      <c r="U238" s="14" t="s">
        <v>29</v>
      </c>
      <c r="V238" s="15"/>
      <c r="W238" s="16" t="str">
        <f aca="false">A238</f>
        <v>KL</v>
      </c>
      <c r="X238" s="17" t="e">
        <f aca="false">ifs(C238="","",X238="",NOW(),TRUE(),X238)</f>
        <v>#VALUE!</v>
      </c>
      <c r="Y238" s="17" t="e">
        <f aca="false">ifs(COUNTA(K238:U241)&lt;44,"",Y238="",NOW(),TRUE(),Y238)</f>
        <v>#VALUE!</v>
      </c>
    </row>
    <row r="239" customFormat="false" ht="14.15" hidden="false" customHeight="false" outlineLevel="0" collapsed="false">
      <c r="A239" s="9"/>
      <c r="B239" s="10"/>
      <c r="C239" s="10"/>
      <c r="D239" s="10"/>
      <c r="E239" s="10"/>
      <c r="F239" s="10"/>
      <c r="G239" s="10"/>
      <c r="H239" s="10"/>
      <c r="I239" s="18" t="n">
        <v>2</v>
      </c>
      <c r="J239" s="18"/>
      <c r="K239" s="19" t="n">
        <f aca="false">44.5</f>
        <v>44.5</v>
      </c>
      <c r="L239" s="19" t="n">
        <f aca="false">137.61</f>
        <v>137.61</v>
      </c>
      <c r="M239" s="18" t="n">
        <v>12</v>
      </c>
      <c r="N239" s="18" t="n">
        <v>32</v>
      </c>
      <c r="O239" s="18" t="n">
        <v>150.7</v>
      </c>
      <c r="P239" s="19" t="n">
        <f aca="false">25.98</f>
        <v>25.98</v>
      </c>
      <c r="Q239" s="19" t="n">
        <f aca="false">162.46</f>
        <v>162.46</v>
      </c>
      <c r="R239" s="18" t="n">
        <v>16.85</v>
      </c>
      <c r="S239" s="18" t="n">
        <v>33.9</v>
      </c>
      <c r="T239" s="18" t="n">
        <v>409</v>
      </c>
      <c r="U239" s="20" t="s">
        <v>29</v>
      </c>
      <c r="V239" s="21"/>
      <c r="W239" s="16"/>
      <c r="X239" s="16"/>
      <c r="Y239" s="16"/>
    </row>
    <row r="240" customFormat="false" ht="14.15" hidden="false" customHeight="false" outlineLevel="0" collapsed="false">
      <c r="A240" s="9"/>
      <c r="B240" s="10"/>
      <c r="C240" s="10"/>
      <c r="D240" s="10"/>
      <c r="E240" s="10"/>
      <c r="F240" s="10"/>
      <c r="G240" s="10"/>
      <c r="H240" s="10"/>
      <c r="I240" s="22" t="n">
        <v>3</v>
      </c>
      <c r="J240" s="22"/>
      <c r="K240" s="23" t="n">
        <f aca="false">46.34</f>
        <v>46.34</v>
      </c>
      <c r="L240" s="23" t="n">
        <f aca="false">133.17</f>
        <v>133.17</v>
      </c>
      <c r="M240" s="22" t="n">
        <v>14</v>
      </c>
      <c r="N240" s="22" t="n">
        <v>34</v>
      </c>
      <c r="O240" s="22" t="n">
        <v>155.45</v>
      </c>
      <c r="P240" s="23" t="n">
        <f aca="false">25.2</f>
        <v>25.2</v>
      </c>
      <c r="Q240" s="23" t="n">
        <f aca="false">160.11</f>
        <v>160.11</v>
      </c>
      <c r="R240" s="22" t="n">
        <v>17.45</v>
      </c>
      <c r="S240" s="22" t="n">
        <v>30.9</v>
      </c>
      <c r="T240" s="22" t="n">
        <v>449</v>
      </c>
      <c r="U240" s="24" t="s">
        <v>29</v>
      </c>
      <c r="V240" s="15"/>
      <c r="W240" s="16"/>
      <c r="X240" s="16"/>
      <c r="Y240" s="16"/>
    </row>
    <row r="241" customFormat="false" ht="14.15" hidden="false" customHeight="false" outlineLevel="0" collapsed="false">
      <c r="A241" s="9"/>
      <c r="B241" s="10"/>
      <c r="C241" s="10"/>
      <c r="D241" s="10"/>
      <c r="E241" s="10"/>
      <c r="F241" s="10"/>
      <c r="G241" s="10"/>
      <c r="H241" s="10"/>
      <c r="I241" s="25" t="n">
        <v>4</v>
      </c>
      <c r="J241" s="25"/>
      <c r="K241" s="26" t="n">
        <f aca="false">42.35</f>
        <v>42.35</v>
      </c>
      <c r="L241" s="26" t="n">
        <f aca="false">119.15</f>
        <v>119.15</v>
      </c>
      <c r="M241" s="25" t="n">
        <v>12</v>
      </c>
      <c r="N241" s="25" t="n">
        <v>30</v>
      </c>
      <c r="O241" s="25" t="n">
        <v>122.05</v>
      </c>
      <c r="P241" s="26" t="n">
        <f aca="false">23.38</f>
        <v>23.38</v>
      </c>
      <c r="Q241" s="26" t="n">
        <f aca="false">143.09</f>
        <v>143.09</v>
      </c>
      <c r="R241" s="25" t="n">
        <v>15.75</v>
      </c>
      <c r="S241" s="25" t="n">
        <v>30.4</v>
      </c>
      <c r="T241" s="25" t="n">
        <v>358</v>
      </c>
      <c r="U241" s="27" t="s">
        <v>29</v>
      </c>
      <c r="V241" s="21"/>
      <c r="W241" s="16"/>
      <c r="X241" s="16"/>
      <c r="Y241" s="16"/>
    </row>
    <row r="242" customFormat="false" ht="15.75" hidden="false" customHeight="true" outlineLevel="0" collapsed="false">
      <c r="A242" s="9" t="s">
        <v>25</v>
      </c>
      <c r="B242" s="10" t="s">
        <v>26</v>
      </c>
      <c r="C242" s="11" t="s">
        <v>114</v>
      </c>
      <c r="D242" s="10" t="s">
        <v>28</v>
      </c>
      <c r="E242" s="10" t="s">
        <v>28</v>
      </c>
      <c r="F242" s="10"/>
      <c r="G242" s="10" t="n">
        <v>7</v>
      </c>
      <c r="H242" s="10" t="n">
        <v>1.65</v>
      </c>
      <c r="I242" s="12" t="n">
        <v>1</v>
      </c>
      <c r="J242" s="12"/>
      <c r="K242" s="13" t="n">
        <f aca="false">46.09</f>
        <v>46.09</v>
      </c>
      <c r="L242" s="13" t="n">
        <f aca="false">168.47</f>
        <v>168.47</v>
      </c>
      <c r="M242" s="12" t="n">
        <v>16</v>
      </c>
      <c r="N242" s="12" t="n">
        <v>38</v>
      </c>
      <c r="O242" s="12" t="n">
        <v>185.5</v>
      </c>
      <c r="P242" s="13" t="n">
        <f aca="false">28.45</f>
        <v>28.45</v>
      </c>
      <c r="Q242" s="13" t="n">
        <f aca="false">170.57</f>
        <v>170.57</v>
      </c>
      <c r="R242" s="12" t="n">
        <v>19.15</v>
      </c>
      <c r="S242" s="12" t="n">
        <v>27.6</v>
      </c>
      <c r="T242" s="12" t="n">
        <v>625</v>
      </c>
      <c r="U242" s="14" t="s">
        <v>29</v>
      </c>
      <c r="V242" s="15"/>
      <c r="W242" s="16" t="str">
        <f aca="false">A242</f>
        <v>KL</v>
      </c>
      <c r="X242" s="17" t="e">
        <f aca="false">ifs(C242="","",X242="",NOW(),TRUE(),X242)</f>
        <v>#VALUE!</v>
      </c>
      <c r="Y242" s="17" t="e">
        <f aca="false">ifs(COUNTA(K242:U245)&lt;44,"",Y242="",NOW(),TRUE(),Y242)</f>
        <v>#VALUE!</v>
      </c>
    </row>
    <row r="243" customFormat="false" ht="14.15" hidden="false" customHeight="false" outlineLevel="0" collapsed="false">
      <c r="A243" s="9"/>
      <c r="B243" s="10"/>
      <c r="C243" s="10"/>
      <c r="D243" s="10"/>
      <c r="E243" s="10"/>
      <c r="F243" s="10"/>
      <c r="G243" s="10"/>
      <c r="H243" s="10"/>
      <c r="I243" s="18" t="n">
        <v>2</v>
      </c>
      <c r="J243" s="18"/>
      <c r="K243" s="19" t="n">
        <f aca="false">45.58</f>
        <v>45.58</v>
      </c>
      <c r="L243" s="19" t="n">
        <f aca="false">135.25</f>
        <v>135.25</v>
      </c>
      <c r="M243" s="18" t="n">
        <v>16</v>
      </c>
      <c r="N243" s="18" t="n">
        <v>30</v>
      </c>
      <c r="O243" s="18" t="n">
        <v>135.35</v>
      </c>
      <c r="P243" s="19" t="n">
        <f aca="false">25.15</f>
        <v>25.15</v>
      </c>
      <c r="Q243" s="19" t="n">
        <f aca="false">142.97</f>
        <v>142.97</v>
      </c>
      <c r="R243" s="18" t="n">
        <v>13.45</v>
      </c>
      <c r="S243" s="18" t="n">
        <v>26.05</v>
      </c>
      <c r="T243" s="18" t="n">
        <v>478</v>
      </c>
      <c r="U243" s="20" t="s">
        <v>29</v>
      </c>
      <c r="V243" s="21"/>
      <c r="W243" s="16"/>
      <c r="X243" s="16"/>
      <c r="Y243" s="16"/>
    </row>
    <row r="244" customFormat="false" ht="14.15" hidden="false" customHeight="false" outlineLevel="0" collapsed="false">
      <c r="A244" s="9"/>
      <c r="B244" s="10"/>
      <c r="C244" s="10"/>
      <c r="D244" s="10"/>
      <c r="E244" s="10"/>
      <c r="F244" s="10"/>
      <c r="G244" s="10"/>
      <c r="H244" s="10"/>
      <c r="I244" s="22" t="n">
        <v>3</v>
      </c>
      <c r="J244" s="22"/>
      <c r="K244" s="23" t="n">
        <f aca="false">44.91</f>
        <v>44.91</v>
      </c>
      <c r="L244" s="23" t="n">
        <f aca="false">113.03</f>
        <v>113.03</v>
      </c>
      <c r="M244" s="22" t="n">
        <v>16</v>
      </c>
      <c r="N244" s="22" t="n">
        <v>24</v>
      </c>
      <c r="O244" s="22" t="n">
        <v>108</v>
      </c>
      <c r="P244" s="23" t="n">
        <f aca="false">25.87</f>
        <v>25.87</v>
      </c>
      <c r="Q244" s="23" t="n">
        <f aca="false">129.01</f>
        <v>129.01</v>
      </c>
      <c r="R244" s="22" t="n">
        <v>11.3</v>
      </c>
      <c r="S244" s="22" t="n">
        <v>25.55</v>
      </c>
      <c r="T244" s="22" t="n">
        <v>398</v>
      </c>
      <c r="U244" s="24" t="s">
        <v>29</v>
      </c>
      <c r="V244" s="15"/>
      <c r="W244" s="16"/>
      <c r="X244" s="16"/>
      <c r="Y244" s="16"/>
    </row>
    <row r="245" customFormat="false" ht="14.15" hidden="false" customHeight="false" outlineLevel="0" collapsed="false">
      <c r="A245" s="9"/>
      <c r="B245" s="10"/>
      <c r="C245" s="10"/>
      <c r="D245" s="10"/>
      <c r="E245" s="10"/>
      <c r="F245" s="10"/>
      <c r="G245" s="10"/>
      <c r="H245" s="10"/>
      <c r="I245" s="25" t="n">
        <v>4</v>
      </c>
      <c r="J245" s="25"/>
      <c r="K245" s="26" t="n">
        <f aca="false">43.05</f>
        <v>43.05</v>
      </c>
      <c r="L245" s="26" t="n">
        <f aca="false">105.95</f>
        <v>105.95</v>
      </c>
      <c r="M245" s="25" t="n">
        <v>16</v>
      </c>
      <c r="N245" s="25" t="n">
        <v>26</v>
      </c>
      <c r="O245" s="25" t="n">
        <v>101.4</v>
      </c>
      <c r="P245" s="26" t="n">
        <f aca="false">24.98</f>
        <v>24.98</v>
      </c>
      <c r="Q245" s="26" t="n">
        <f aca="false">127.67</f>
        <v>127.67</v>
      </c>
      <c r="R245" s="25" t="n">
        <v>10.6</v>
      </c>
      <c r="S245" s="25" t="n">
        <v>24.05</v>
      </c>
      <c r="T245" s="25" t="n">
        <v>397</v>
      </c>
      <c r="U245" s="27" t="s">
        <v>29</v>
      </c>
      <c r="V245" s="21"/>
      <c r="W245" s="16"/>
      <c r="X245" s="16"/>
      <c r="Y245" s="16"/>
    </row>
    <row r="246" customFormat="false" ht="15.75" hidden="false" customHeight="true" outlineLevel="0" collapsed="false">
      <c r="A246" s="9" t="s">
        <v>25</v>
      </c>
      <c r="B246" s="10" t="s">
        <v>26</v>
      </c>
      <c r="C246" s="11" t="s">
        <v>115</v>
      </c>
      <c r="D246" s="10" t="s">
        <v>28</v>
      </c>
      <c r="E246" s="10" t="s">
        <v>28</v>
      </c>
      <c r="F246" s="10"/>
      <c r="G246" s="10" t="n">
        <v>14</v>
      </c>
      <c r="H246" s="10" t="n">
        <v>3.6</v>
      </c>
      <c r="I246" s="12" t="n">
        <v>1</v>
      </c>
      <c r="J246" s="12" t="s">
        <v>47</v>
      </c>
      <c r="K246" s="13" t="n">
        <f aca="false">49.62</f>
        <v>49.62</v>
      </c>
      <c r="L246" s="13" t="n">
        <f aca="false">163.57</f>
        <v>163.57</v>
      </c>
      <c r="M246" s="12" t="n">
        <v>18</v>
      </c>
      <c r="N246" s="12" t="n">
        <v>40</v>
      </c>
      <c r="O246" s="12" t="n">
        <v>206.35</v>
      </c>
      <c r="P246" s="13" t="n">
        <f aca="false">30.47</f>
        <v>30.47</v>
      </c>
      <c r="Q246" s="13" t="n">
        <f aca="false">178.66</f>
        <v>178.66</v>
      </c>
      <c r="R246" s="12" t="n">
        <v>32.8</v>
      </c>
      <c r="S246" s="12" t="n">
        <v>24.15</v>
      </c>
      <c r="T246" s="12" t="n">
        <v>708</v>
      </c>
      <c r="U246" s="14" t="s">
        <v>29</v>
      </c>
      <c r="V246" s="15"/>
      <c r="W246" s="16" t="str">
        <f aca="false">A246</f>
        <v>KL</v>
      </c>
      <c r="X246" s="17" t="e">
        <f aca="false">ifs(C246="","",X246="",NOW(),TRUE(),X246)</f>
        <v>#VALUE!</v>
      </c>
      <c r="Y246" s="17" t="e">
        <f aca="false">ifs(COUNTA(K246:U249)&lt;44,"",Y246="",NOW(),TRUE(),Y246)</f>
        <v>#VALUE!</v>
      </c>
    </row>
    <row r="247" customFormat="false" ht="14.15" hidden="false" customHeight="false" outlineLevel="0" collapsed="false">
      <c r="A247" s="9"/>
      <c r="B247" s="10"/>
      <c r="C247" s="10"/>
      <c r="D247" s="10"/>
      <c r="E247" s="10"/>
      <c r="F247" s="10"/>
      <c r="G247" s="10"/>
      <c r="H247" s="10"/>
      <c r="I247" s="18" t="n">
        <v>2</v>
      </c>
      <c r="J247" s="18" t="s">
        <v>47</v>
      </c>
      <c r="K247" s="19" t="n">
        <f aca="false">47.84</f>
        <v>47.84</v>
      </c>
      <c r="L247" s="19" t="n">
        <f aca="false">129.83</f>
        <v>129.83</v>
      </c>
      <c r="M247" s="18" t="n">
        <v>18</v>
      </c>
      <c r="N247" s="18" t="n">
        <v>30</v>
      </c>
      <c r="O247" s="18" t="n">
        <v>143.35</v>
      </c>
      <c r="P247" s="19" t="n">
        <f aca="false">29.25</f>
        <v>29.25</v>
      </c>
      <c r="Q247" s="19" t="n">
        <f aca="false">150.81</f>
        <v>150.81</v>
      </c>
      <c r="R247" s="18" t="n">
        <v>21.9</v>
      </c>
      <c r="S247" s="18" t="n">
        <v>24.25</v>
      </c>
      <c r="T247" s="18" t="n">
        <v>529</v>
      </c>
      <c r="U247" s="20" t="s">
        <v>29</v>
      </c>
      <c r="V247" s="21"/>
      <c r="W247" s="16"/>
      <c r="X247" s="16"/>
      <c r="Y247" s="16"/>
    </row>
    <row r="248" customFormat="false" ht="14.15" hidden="false" customHeight="false" outlineLevel="0" collapsed="false">
      <c r="A248" s="9"/>
      <c r="B248" s="10"/>
      <c r="C248" s="10"/>
      <c r="D248" s="10"/>
      <c r="E248" s="10"/>
      <c r="F248" s="10"/>
      <c r="G248" s="10"/>
      <c r="H248" s="10"/>
      <c r="I248" s="22" t="n">
        <v>3</v>
      </c>
      <c r="J248" s="22" t="s">
        <v>47</v>
      </c>
      <c r="K248" s="23" t="n">
        <f aca="false">44.9</f>
        <v>44.9</v>
      </c>
      <c r="L248" s="23" t="n">
        <f aca="false">119.44</f>
        <v>119.44</v>
      </c>
      <c r="M248" s="22" t="n">
        <v>18</v>
      </c>
      <c r="N248" s="22" t="n">
        <v>28</v>
      </c>
      <c r="O248" s="22" t="n">
        <v>135.15</v>
      </c>
      <c r="P248" s="23" t="n">
        <f aca="false">27.57</f>
        <v>27.57</v>
      </c>
      <c r="Q248" s="23" t="n">
        <f aca="false">140.15</f>
        <v>140.15</v>
      </c>
      <c r="R248" s="22" t="n">
        <v>19.35</v>
      </c>
      <c r="S248" s="22" t="n">
        <v>25.15</v>
      </c>
      <c r="T248" s="22" t="n">
        <v>472</v>
      </c>
      <c r="U248" s="24" t="s">
        <v>29</v>
      </c>
      <c r="V248" s="15"/>
      <c r="W248" s="16"/>
      <c r="X248" s="16"/>
      <c r="Y248" s="16"/>
    </row>
    <row r="249" customFormat="false" ht="14.15" hidden="false" customHeight="false" outlineLevel="0" collapsed="false">
      <c r="A249" s="9"/>
      <c r="B249" s="10"/>
      <c r="C249" s="10"/>
      <c r="D249" s="10"/>
      <c r="E249" s="10"/>
      <c r="F249" s="10"/>
      <c r="G249" s="10"/>
      <c r="H249" s="10"/>
      <c r="I249" s="25" t="n">
        <v>4</v>
      </c>
      <c r="J249" s="25"/>
      <c r="K249" s="26" t="n">
        <f aca="false">44.92</f>
        <v>44.92</v>
      </c>
      <c r="L249" s="26" t="n">
        <f aca="false">113.48</f>
        <v>113.48</v>
      </c>
      <c r="M249" s="25" t="n">
        <v>20</v>
      </c>
      <c r="N249" s="25" t="n">
        <v>26</v>
      </c>
      <c r="O249" s="25" t="n">
        <v>122.65</v>
      </c>
      <c r="P249" s="26" t="n">
        <f aca="false">25.32</f>
        <v>25.32</v>
      </c>
      <c r="Q249" s="26" t="n">
        <f aca="false">131.28</f>
        <v>131.28</v>
      </c>
      <c r="R249" s="25" t="n">
        <v>16.2</v>
      </c>
      <c r="S249" s="25" t="n">
        <v>23.45</v>
      </c>
      <c r="T249" s="25" t="n">
        <v>463</v>
      </c>
      <c r="U249" s="27" t="s">
        <v>29</v>
      </c>
      <c r="V249" s="21"/>
      <c r="W249" s="16"/>
      <c r="X249" s="16"/>
      <c r="Y249" s="16"/>
    </row>
    <row r="250" customFormat="false" ht="15.75" hidden="false" customHeight="true" outlineLevel="0" collapsed="false">
      <c r="A250" s="9" t="s">
        <v>25</v>
      </c>
      <c r="B250" s="10" t="s">
        <v>26</v>
      </c>
      <c r="C250" s="11" t="s">
        <v>116</v>
      </c>
      <c r="D250" s="10" t="s">
        <v>28</v>
      </c>
      <c r="E250" s="10" t="s">
        <v>28</v>
      </c>
      <c r="F250" s="10"/>
      <c r="G250" s="10" t="n">
        <v>29</v>
      </c>
      <c r="H250" s="10" t="n">
        <v>6.55</v>
      </c>
      <c r="I250" s="12" t="n">
        <v>1</v>
      </c>
      <c r="J250" s="12"/>
      <c r="K250" s="13" t="n">
        <f aca="false">50.02</f>
        <v>50.02</v>
      </c>
      <c r="L250" s="13" t="n">
        <f aca="false">176.16</f>
        <v>176.16</v>
      </c>
      <c r="M250" s="12" t="n">
        <v>18</v>
      </c>
      <c r="N250" s="12" t="n">
        <v>44</v>
      </c>
      <c r="O250" s="12" t="n">
        <v>220.05</v>
      </c>
      <c r="P250" s="13" t="n">
        <f aca="false">32.52</f>
        <v>32.52</v>
      </c>
      <c r="Q250" s="13" t="n">
        <f aca="false">187.84</f>
        <v>187.84</v>
      </c>
      <c r="R250" s="12" t="n">
        <v>38.4</v>
      </c>
      <c r="S250" s="12" t="n">
        <v>23.95</v>
      </c>
      <c r="T250" s="12" t="n">
        <v>773</v>
      </c>
      <c r="U250" s="14" t="s">
        <v>29</v>
      </c>
      <c r="V250" s="15"/>
      <c r="W250" s="16" t="str">
        <f aca="false">A250</f>
        <v>KL</v>
      </c>
      <c r="X250" s="17" t="e">
        <f aca="false">ifs(C250="","",X250="",NOW(),TRUE(),X250)</f>
        <v>#VALUE!</v>
      </c>
      <c r="Y250" s="17" t="e">
        <f aca="false">ifs(COUNTA(K250:U253)&lt;44,"",Y250="",NOW(),TRUE(),Y250)</f>
        <v>#VALUE!</v>
      </c>
    </row>
    <row r="251" customFormat="false" ht="14.15" hidden="false" customHeight="false" outlineLevel="0" collapsed="false">
      <c r="A251" s="9"/>
      <c r="B251" s="10"/>
      <c r="C251" s="10"/>
      <c r="D251" s="10"/>
      <c r="E251" s="10"/>
      <c r="F251" s="10"/>
      <c r="G251" s="10"/>
      <c r="H251" s="10"/>
      <c r="I251" s="18" t="n">
        <v>2</v>
      </c>
      <c r="J251" s="18" t="s">
        <v>33</v>
      </c>
      <c r="K251" s="19" t="n">
        <f aca="false">46.58</f>
        <v>46.58</v>
      </c>
      <c r="L251" s="19" t="n">
        <f aca="false">111.68</f>
        <v>111.68</v>
      </c>
      <c r="M251" s="18" t="n">
        <v>18</v>
      </c>
      <c r="N251" s="18" t="n">
        <v>28</v>
      </c>
      <c r="O251" s="18" t="n">
        <v>124.1</v>
      </c>
      <c r="P251" s="19" t="n">
        <f aca="false">28.96</f>
        <v>28.96</v>
      </c>
      <c r="Q251" s="19" t="n">
        <f aca="false">127.9</f>
        <v>127.9</v>
      </c>
      <c r="R251" s="18" t="n">
        <v>19.05</v>
      </c>
      <c r="S251" s="18" t="n">
        <v>24.2</v>
      </c>
      <c r="T251" s="18" t="n">
        <v>445</v>
      </c>
      <c r="U251" s="20" t="s">
        <v>29</v>
      </c>
      <c r="V251" s="21"/>
      <c r="W251" s="16"/>
      <c r="X251" s="16"/>
      <c r="Y251" s="16"/>
    </row>
    <row r="252" customFormat="false" ht="14.15" hidden="false" customHeight="false" outlineLevel="0" collapsed="false">
      <c r="A252" s="9"/>
      <c r="B252" s="10"/>
      <c r="C252" s="10"/>
      <c r="D252" s="10"/>
      <c r="E252" s="10"/>
      <c r="F252" s="10"/>
      <c r="G252" s="10"/>
      <c r="H252" s="10"/>
      <c r="I252" s="22" t="n">
        <v>3</v>
      </c>
      <c r="J252" s="22" t="s">
        <v>46</v>
      </c>
      <c r="K252" s="23" t="n">
        <f aca="false">44.12</f>
        <v>44.12</v>
      </c>
      <c r="L252" s="23" t="n">
        <f aca="false">100.37</f>
        <v>100.37</v>
      </c>
      <c r="M252" s="22" t="n">
        <v>16</v>
      </c>
      <c r="N252" s="22" t="n">
        <v>24</v>
      </c>
      <c r="O252" s="22" t="n">
        <v>99.95</v>
      </c>
      <c r="P252" s="23" t="n">
        <f aca="false">25.05</f>
        <v>25.05</v>
      </c>
      <c r="Q252" s="23" t="n">
        <f aca="false">112.24</f>
        <v>112.24</v>
      </c>
      <c r="R252" s="22" t="n">
        <v>16.15</v>
      </c>
      <c r="S252" s="22" t="n">
        <v>28.35</v>
      </c>
      <c r="T252" s="22" t="n">
        <v>312</v>
      </c>
      <c r="U252" s="24" t="s">
        <v>29</v>
      </c>
      <c r="V252" s="15"/>
      <c r="W252" s="16"/>
      <c r="X252" s="16"/>
      <c r="Y252" s="16"/>
    </row>
    <row r="253" customFormat="false" ht="14.15" hidden="false" customHeight="false" outlineLevel="0" collapsed="false">
      <c r="A253" s="9"/>
      <c r="B253" s="10"/>
      <c r="C253" s="10"/>
      <c r="D253" s="10"/>
      <c r="E253" s="10"/>
      <c r="F253" s="10"/>
      <c r="G253" s="10"/>
      <c r="H253" s="10"/>
      <c r="I253" s="25" t="n">
        <v>4</v>
      </c>
      <c r="J253" s="25" t="s">
        <v>50</v>
      </c>
      <c r="K253" s="26" t="n">
        <f aca="false">40.54</f>
        <v>40.54</v>
      </c>
      <c r="L253" s="26" t="n">
        <f aca="false">85.48</f>
        <v>85.48</v>
      </c>
      <c r="M253" s="25" t="n">
        <v>16</v>
      </c>
      <c r="N253" s="25" t="n">
        <v>20</v>
      </c>
      <c r="O253" s="25" t="n">
        <v>72.45</v>
      </c>
      <c r="P253" s="26" t="n">
        <f aca="false">23.47</f>
        <v>23.47</v>
      </c>
      <c r="Q253" s="26" t="n">
        <f aca="false">83.64</f>
        <v>83.64</v>
      </c>
      <c r="R253" s="25" t="n">
        <v>10.55</v>
      </c>
      <c r="S253" s="25" t="n">
        <v>22.95</v>
      </c>
      <c r="T253" s="25" t="n">
        <v>280</v>
      </c>
      <c r="U253" s="27" t="s">
        <v>29</v>
      </c>
      <c r="V253" s="21"/>
      <c r="W253" s="16"/>
      <c r="X253" s="16"/>
      <c r="Y253" s="16"/>
    </row>
    <row r="254" customFormat="false" ht="15.75" hidden="false" customHeight="true" outlineLevel="0" collapsed="false">
      <c r="A254" s="9" t="s">
        <v>25</v>
      </c>
      <c r="B254" s="10" t="s">
        <v>26</v>
      </c>
      <c r="C254" s="11" t="s">
        <v>117</v>
      </c>
      <c r="D254" s="10" t="s">
        <v>28</v>
      </c>
      <c r="E254" s="10" t="s">
        <v>28</v>
      </c>
      <c r="F254" s="10"/>
      <c r="G254" s="10" t="n">
        <v>14</v>
      </c>
      <c r="H254" s="10" t="n">
        <v>2.6</v>
      </c>
      <c r="I254" s="12" t="n">
        <v>1</v>
      </c>
      <c r="J254" s="12" t="s">
        <v>104</v>
      </c>
      <c r="K254" s="13" t="n">
        <f aca="false">44.15</f>
        <v>44.15</v>
      </c>
      <c r="L254" s="13" t="n">
        <f aca="false">198.12</f>
        <v>198.12</v>
      </c>
      <c r="M254" s="12" t="n">
        <v>16</v>
      </c>
      <c r="N254" s="12" t="n">
        <v>36</v>
      </c>
      <c r="O254" s="12" t="n">
        <v>197.1</v>
      </c>
      <c r="P254" s="13" t="n">
        <f aca="false">29.88</f>
        <v>29.88</v>
      </c>
      <c r="Q254" s="13" t="n">
        <f aca="false">214.21</f>
        <v>214.21</v>
      </c>
      <c r="R254" s="12" t="n">
        <v>40.1</v>
      </c>
      <c r="S254" s="12" t="n">
        <v>28.85</v>
      </c>
      <c r="T254" s="12" t="n">
        <v>536</v>
      </c>
      <c r="U254" s="14" t="s">
        <v>29</v>
      </c>
      <c r="V254" s="15"/>
      <c r="W254" s="16" t="str">
        <f aca="false">A254</f>
        <v>KL</v>
      </c>
      <c r="X254" s="17" t="e">
        <f aca="false">ifs(C254="","",X254="",NOW(),TRUE(),X254)</f>
        <v>#VALUE!</v>
      </c>
      <c r="Y254" s="17" t="e">
        <f aca="false">ifs(COUNTA(K254:U257)&lt;44,"",Y254="",NOW(),TRUE(),Y254)</f>
        <v>#VALUE!</v>
      </c>
    </row>
    <row r="255" customFormat="false" ht="14.15" hidden="false" customHeight="false" outlineLevel="0" collapsed="false">
      <c r="A255" s="9"/>
      <c r="B255" s="10"/>
      <c r="C255" s="10"/>
      <c r="D255" s="10"/>
      <c r="E255" s="10"/>
      <c r="F255" s="10"/>
      <c r="G255" s="10"/>
      <c r="H255" s="10"/>
      <c r="I255" s="18" t="n">
        <v>2</v>
      </c>
      <c r="J255" s="18" t="s">
        <v>47</v>
      </c>
      <c r="K255" s="19" t="n">
        <f aca="false">40.62</f>
        <v>40.62</v>
      </c>
      <c r="L255" s="19" t="n">
        <f aca="false">123.99</f>
        <v>123.99</v>
      </c>
      <c r="M255" s="18" t="n">
        <v>14</v>
      </c>
      <c r="N255" s="18" t="n">
        <v>28</v>
      </c>
      <c r="O255" s="18" t="n">
        <v>114.25</v>
      </c>
      <c r="P255" s="19" t="n">
        <f aca="false">26.47</f>
        <v>26.47</v>
      </c>
      <c r="Q255" s="19" t="n">
        <f aca="false">153.93</f>
        <v>153.93</v>
      </c>
      <c r="R255" s="18" t="n">
        <v>22.8</v>
      </c>
      <c r="S255" s="18" t="n">
        <v>25.15</v>
      </c>
      <c r="T255" s="18" t="n">
        <v>373</v>
      </c>
      <c r="U255" s="20" t="s">
        <v>29</v>
      </c>
      <c r="V255" s="15"/>
      <c r="W255" s="16"/>
      <c r="X255" s="16"/>
      <c r="Y255" s="16"/>
    </row>
    <row r="256" customFormat="false" ht="14.15" hidden="false" customHeight="false" outlineLevel="0" collapsed="false">
      <c r="A256" s="9"/>
      <c r="B256" s="10"/>
      <c r="C256" s="10"/>
      <c r="D256" s="10"/>
      <c r="E256" s="10"/>
      <c r="F256" s="10"/>
      <c r="G256" s="10"/>
      <c r="H256" s="10"/>
      <c r="I256" s="22" t="n">
        <v>3</v>
      </c>
      <c r="J256" s="22"/>
      <c r="K256" s="23" t="n">
        <f aca="false">40.08</f>
        <v>40.08</v>
      </c>
      <c r="L256" s="23" t="n">
        <f aca="false">114.57</f>
        <v>114.57</v>
      </c>
      <c r="M256" s="22" t="n">
        <v>14</v>
      </c>
      <c r="N256" s="22" t="n">
        <v>24</v>
      </c>
      <c r="O256" s="22" t="n">
        <v>98</v>
      </c>
      <c r="P256" s="23" t="n">
        <f aca="false">25.65</f>
        <v>25.65</v>
      </c>
      <c r="Q256" s="23" t="n">
        <f aca="false">140.62</f>
        <v>140.62</v>
      </c>
      <c r="R256" s="22" t="n">
        <v>18.5</v>
      </c>
      <c r="S256" s="22" t="n">
        <v>23.95</v>
      </c>
      <c r="T256" s="22" t="n">
        <v>359</v>
      </c>
      <c r="U256" s="24" t="s">
        <v>29</v>
      </c>
      <c r="V256" s="15"/>
      <c r="W256" s="16"/>
      <c r="X256" s="16"/>
      <c r="Y256" s="16"/>
    </row>
    <row r="257" customFormat="false" ht="14.15" hidden="false" customHeight="false" outlineLevel="0" collapsed="false">
      <c r="A257" s="9"/>
      <c r="B257" s="10"/>
      <c r="C257" s="10"/>
      <c r="D257" s="10"/>
      <c r="E257" s="10"/>
      <c r="F257" s="10"/>
      <c r="G257" s="10"/>
      <c r="H257" s="10"/>
      <c r="I257" s="25" t="n">
        <v>4</v>
      </c>
      <c r="J257" s="25"/>
      <c r="K257" s="26" t="n">
        <f aca="false">39.23</f>
        <v>39.23</v>
      </c>
      <c r="L257" s="26" t="n">
        <f aca="false">105.64</f>
        <v>105.64</v>
      </c>
      <c r="M257" s="25" t="n">
        <v>14</v>
      </c>
      <c r="N257" s="25" t="n">
        <v>24</v>
      </c>
      <c r="O257" s="25" t="n">
        <v>86.15</v>
      </c>
      <c r="P257" s="26" t="n">
        <f aca="false">24.24</f>
        <v>24.24</v>
      </c>
      <c r="Q257" s="26" t="n">
        <f aca="false">132.71</f>
        <v>132.71</v>
      </c>
      <c r="R257" s="25" t="n">
        <v>17.15</v>
      </c>
      <c r="S257" s="25" t="n">
        <v>23.05</v>
      </c>
      <c r="T257" s="25" t="n">
        <v>306</v>
      </c>
      <c r="U257" s="27" t="s">
        <v>29</v>
      </c>
      <c r="V257" s="15"/>
      <c r="W257" s="16"/>
      <c r="X257" s="16"/>
      <c r="Y257" s="16"/>
    </row>
    <row r="258" customFormat="false" ht="14.15" hidden="false" customHeight="false" outlineLevel="0" collapsed="false">
      <c r="A258" s="9" t="s">
        <v>25</v>
      </c>
      <c r="B258" s="10" t="s">
        <v>26</v>
      </c>
      <c r="C258" s="11"/>
      <c r="D258" s="10"/>
      <c r="E258" s="10"/>
      <c r="F258" s="10"/>
      <c r="G258" s="10" t="n">
        <v>28</v>
      </c>
      <c r="H258" s="10" t="n">
        <v>5.6</v>
      </c>
      <c r="I258" s="12" t="n">
        <v>1</v>
      </c>
      <c r="J258" s="12" t="s">
        <v>383</v>
      </c>
      <c r="K258" s="13" t="n">
        <f aca="false">42.11</f>
        <v>42.11</v>
      </c>
      <c r="L258" s="13" t="n">
        <f aca="false">155.05</f>
        <v>155.05</v>
      </c>
      <c r="M258" s="12" t="n">
        <v>12</v>
      </c>
      <c r="N258" s="12" t="n">
        <v>40</v>
      </c>
      <c r="O258" s="12" t="n">
        <v>155.15</v>
      </c>
      <c r="P258" s="13" t="n">
        <f aca="false">23.2</f>
        <v>23.2</v>
      </c>
      <c r="Q258" s="13" t="n">
        <f aca="false">162.95</f>
        <v>162.95</v>
      </c>
      <c r="R258" s="12" t="n">
        <v>16</v>
      </c>
      <c r="S258" s="12" t="n">
        <v>26.6</v>
      </c>
      <c r="T258" s="12" t="n">
        <v>514</v>
      </c>
      <c r="U258" s="14" t="s">
        <v>29</v>
      </c>
      <c r="V258" s="15" t="s">
        <v>118</v>
      </c>
      <c r="W258" s="16" t="str">
        <f aca="false">A258</f>
        <v>KL</v>
      </c>
      <c r="X258" s="17" t="e">
        <f aca="false">ifs(C258="","",X258="",NOW(),TRUE(),X258)</f>
        <v>#VALUE!</v>
      </c>
      <c r="Y258" s="17" t="e">
        <f aca="false">ifs(COUNTA(K258:U261)&lt;44,"",Y258="",NOW(),TRUE(),Y258)</f>
        <v>#VALUE!</v>
      </c>
    </row>
    <row r="259" customFormat="false" ht="14.15" hidden="false" customHeight="false" outlineLevel="0" collapsed="false">
      <c r="A259" s="9"/>
      <c r="B259" s="10"/>
      <c r="C259" s="10"/>
      <c r="D259" s="10"/>
      <c r="E259" s="10"/>
      <c r="F259" s="10"/>
      <c r="G259" s="10"/>
      <c r="H259" s="10"/>
      <c r="I259" s="18" t="n">
        <v>2</v>
      </c>
      <c r="J259" s="18"/>
      <c r="K259" s="19" t="n">
        <f aca="false">42.24</f>
        <v>42.24</v>
      </c>
      <c r="L259" s="19" t="n">
        <f aca="false">138.64</f>
        <v>138.64</v>
      </c>
      <c r="M259" s="18" t="n">
        <v>16</v>
      </c>
      <c r="N259" s="18" t="n">
        <v>32</v>
      </c>
      <c r="O259" s="18" t="n">
        <v>134.4</v>
      </c>
      <c r="P259" s="19" t="n">
        <f aca="false">22.58</f>
        <v>22.58</v>
      </c>
      <c r="Q259" s="19" t="n">
        <f aca="false">142.4</f>
        <v>142.4</v>
      </c>
      <c r="R259" s="18" t="n">
        <v>13.9</v>
      </c>
      <c r="S259" s="18" t="n">
        <v>26.7</v>
      </c>
      <c r="T259" s="18" t="n">
        <v>478</v>
      </c>
      <c r="U259" s="20" t="s">
        <v>29</v>
      </c>
      <c r="V259" s="15" t="s">
        <v>118</v>
      </c>
      <c r="W259" s="16"/>
      <c r="X259" s="16"/>
      <c r="Y259" s="16"/>
    </row>
    <row r="260" customFormat="false" ht="14.15" hidden="false" customHeight="false" outlineLevel="0" collapsed="false">
      <c r="A260" s="9"/>
      <c r="B260" s="10"/>
      <c r="C260" s="10"/>
      <c r="D260" s="10"/>
      <c r="E260" s="10"/>
      <c r="F260" s="10"/>
      <c r="G260" s="10"/>
      <c r="H260" s="10"/>
      <c r="I260" s="22" t="n">
        <v>3</v>
      </c>
      <c r="J260" s="22"/>
      <c r="K260" s="23" t="n">
        <f aca="false">40.7</f>
        <v>40.7</v>
      </c>
      <c r="L260" s="23" t="n">
        <f aca="false">124.68</f>
        <v>124.68</v>
      </c>
      <c r="M260" s="22" t="n">
        <v>12</v>
      </c>
      <c r="N260" s="22" t="n">
        <v>34</v>
      </c>
      <c r="O260" s="22" t="n">
        <v>118.25</v>
      </c>
      <c r="P260" s="23" t="n">
        <f aca="false">21.26</f>
        <v>21.26</v>
      </c>
      <c r="Q260" s="23" t="n">
        <f aca="false">129.04</f>
        <v>129.04</v>
      </c>
      <c r="R260" s="22" t="n">
        <v>11.9</v>
      </c>
      <c r="S260" s="22" t="n">
        <v>25.3</v>
      </c>
      <c r="T260" s="22" t="n">
        <v>430</v>
      </c>
      <c r="U260" s="24" t="s">
        <v>29</v>
      </c>
      <c r="V260" s="15" t="s">
        <v>118</v>
      </c>
      <c r="W260" s="16"/>
      <c r="X260" s="16"/>
      <c r="Y260" s="16"/>
    </row>
    <row r="261" customFormat="false" ht="14.15" hidden="false" customHeight="false" outlineLevel="0" collapsed="false">
      <c r="A261" s="9"/>
      <c r="B261" s="10"/>
      <c r="C261" s="10"/>
      <c r="D261" s="10"/>
      <c r="E261" s="10"/>
      <c r="F261" s="10"/>
      <c r="G261" s="10"/>
      <c r="H261" s="10"/>
      <c r="I261" s="25" t="n">
        <v>4</v>
      </c>
      <c r="J261" s="25" t="s">
        <v>47</v>
      </c>
      <c r="K261" s="26" t="n">
        <f aca="false">37.9</f>
        <v>37.9</v>
      </c>
      <c r="L261" s="26" t="n">
        <f aca="false">128.27</f>
        <v>128.27</v>
      </c>
      <c r="M261" s="25" t="n">
        <v>12</v>
      </c>
      <c r="N261" s="25" t="n">
        <v>34</v>
      </c>
      <c r="O261" s="25" t="n">
        <v>103</v>
      </c>
      <c r="P261" s="26" t="n">
        <f aca="false">20.45</f>
        <v>20.45</v>
      </c>
      <c r="Q261" s="26" t="n">
        <f aca="false">132.81</f>
        <v>132.81</v>
      </c>
      <c r="R261" s="25" t="n">
        <v>11</v>
      </c>
      <c r="S261" s="25" t="n">
        <v>24.1</v>
      </c>
      <c r="T261" s="25" t="n">
        <v>381</v>
      </c>
      <c r="U261" s="27" t="s">
        <v>29</v>
      </c>
      <c r="V261" s="15" t="s">
        <v>118</v>
      </c>
      <c r="W261" s="16"/>
      <c r="X261" s="16"/>
      <c r="Y261" s="16"/>
    </row>
    <row r="262" customFormat="false" ht="15.75" hidden="false" customHeight="true" outlineLevel="0" collapsed="false">
      <c r="A262" s="9" t="s">
        <v>25</v>
      </c>
      <c r="B262" s="10" t="s">
        <v>26</v>
      </c>
      <c r="C262" s="11" t="s">
        <v>119</v>
      </c>
      <c r="D262" s="10" t="s">
        <v>28</v>
      </c>
      <c r="E262" s="10" t="s">
        <v>28</v>
      </c>
      <c r="F262" s="10"/>
      <c r="G262" s="10" t="n">
        <v>32</v>
      </c>
      <c r="H262" s="10" t="n">
        <v>7</v>
      </c>
      <c r="I262" s="12" t="n">
        <v>1</v>
      </c>
      <c r="J262" s="12" t="s">
        <v>120</v>
      </c>
      <c r="K262" s="13" t="n">
        <f aca="false">47.64</f>
        <v>47.64</v>
      </c>
      <c r="L262" s="13" t="n">
        <f aca="false">187.26</f>
        <v>187.26</v>
      </c>
      <c r="M262" s="12" t="n">
        <v>16</v>
      </c>
      <c r="N262" s="12" t="n">
        <v>42</v>
      </c>
      <c r="O262" s="12" t="n">
        <v>204.3</v>
      </c>
      <c r="P262" s="13" t="n">
        <f aca="false">31.2</f>
        <v>31.2</v>
      </c>
      <c r="Q262" s="13" t="n">
        <f aca="false">205.66</f>
        <v>205.66</v>
      </c>
      <c r="R262" s="12" t="n">
        <v>33.1</v>
      </c>
      <c r="S262" s="12" t="n">
        <v>28.75</v>
      </c>
      <c r="T262" s="12" t="n">
        <v>615</v>
      </c>
      <c r="U262" s="14" t="s">
        <v>29</v>
      </c>
      <c r="V262" s="15"/>
      <c r="W262" s="16" t="str">
        <f aca="false">A262</f>
        <v>KL</v>
      </c>
      <c r="X262" s="17" t="e">
        <f aca="false">ifs(C262="","",X262="",NOW(),TRUE(),X262)</f>
        <v>#VALUE!</v>
      </c>
      <c r="Y262" s="17" t="e">
        <f aca="false">ifs(COUNTA(K262:U265)&lt;44,"",Y262="",NOW(),TRUE(),Y262)</f>
        <v>#VALUE!</v>
      </c>
    </row>
    <row r="263" customFormat="false" ht="14.15" hidden="false" customHeight="false" outlineLevel="0" collapsed="false">
      <c r="A263" s="9"/>
      <c r="B263" s="10"/>
      <c r="C263" s="10"/>
      <c r="D263" s="10"/>
      <c r="E263" s="10"/>
      <c r="F263" s="10"/>
      <c r="G263" s="10"/>
      <c r="H263" s="10"/>
      <c r="I263" s="18" t="n">
        <v>2</v>
      </c>
      <c r="J263" s="18" t="s">
        <v>46</v>
      </c>
      <c r="K263" s="19" t="n">
        <f aca="false">31.02</f>
        <v>31.02</v>
      </c>
      <c r="L263" s="19" t="n">
        <f aca="false">103.28</f>
        <v>103.28</v>
      </c>
      <c r="M263" s="18" t="n">
        <v>12</v>
      </c>
      <c r="N263" s="18" t="n">
        <v>16</v>
      </c>
      <c r="O263" s="18" t="n">
        <v>31.05</v>
      </c>
      <c r="P263" s="19" t="n">
        <f aca="false">21.92</f>
        <v>21.92</v>
      </c>
      <c r="Q263" s="19" t="n">
        <f aca="false">141.23</f>
        <v>141.23</v>
      </c>
      <c r="R263" s="18" t="n">
        <v>16.45</v>
      </c>
      <c r="S263" s="18"/>
      <c r="T263" s="18" t="n">
        <v>74</v>
      </c>
      <c r="U263" s="20" t="s">
        <v>29</v>
      </c>
      <c r="V263" s="21" t="s">
        <v>121</v>
      </c>
      <c r="W263" s="16"/>
      <c r="X263" s="16"/>
      <c r="Y263" s="16"/>
    </row>
    <row r="264" customFormat="false" ht="14.15" hidden="false" customHeight="false" outlineLevel="0" collapsed="false">
      <c r="A264" s="9"/>
      <c r="B264" s="10"/>
      <c r="C264" s="10"/>
      <c r="D264" s="10"/>
      <c r="E264" s="10"/>
      <c r="F264" s="10"/>
      <c r="G264" s="10"/>
      <c r="H264" s="10"/>
      <c r="I264" s="22" t="n">
        <v>3</v>
      </c>
      <c r="J264" s="22" t="s">
        <v>111</v>
      </c>
      <c r="K264" s="23"/>
      <c r="L264" s="23"/>
      <c r="M264" s="22"/>
      <c r="N264" s="22"/>
      <c r="O264" s="22" t="n">
        <v>27.55</v>
      </c>
      <c r="P264" s="23" t="n">
        <f aca="false">29.4</f>
        <v>29.4</v>
      </c>
      <c r="Q264" s="23" t="n">
        <f aca="false">186.04</f>
        <v>186.04</v>
      </c>
      <c r="R264" s="22" t="n">
        <v>27.55</v>
      </c>
      <c r="S264" s="22"/>
      <c r="T264" s="22"/>
      <c r="U264" s="24"/>
      <c r="V264" s="15" t="s">
        <v>122</v>
      </c>
      <c r="W264" s="16"/>
      <c r="X264" s="16"/>
      <c r="Y264" s="16"/>
    </row>
    <row r="265" customFormat="false" ht="13.8" hidden="false" customHeight="false" outlineLevel="0" collapsed="false">
      <c r="A265" s="9"/>
      <c r="B265" s="10"/>
      <c r="C265" s="10"/>
      <c r="D265" s="10"/>
      <c r="E265" s="10"/>
      <c r="F265" s="10"/>
      <c r="G265" s="10"/>
      <c r="H265" s="10"/>
      <c r="I265" s="25" t="n">
        <v>4</v>
      </c>
      <c r="J265" s="25"/>
      <c r="K265" s="26"/>
      <c r="L265" s="26"/>
      <c r="M265" s="25"/>
      <c r="N265" s="25"/>
      <c r="O265" s="25"/>
      <c r="P265" s="26"/>
      <c r="Q265" s="26"/>
      <c r="R265" s="25"/>
      <c r="S265" s="25"/>
      <c r="T265" s="25"/>
      <c r="U265" s="27"/>
      <c r="V265" s="21"/>
      <c r="W265" s="16"/>
      <c r="X265" s="16"/>
      <c r="Y265" s="16"/>
    </row>
    <row r="266" customFormat="false" ht="15.75" hidden="false" customHeight="true" outlineLevel="0" collapsed="false">
      <c r="A266" s="9" t="s">
        <v>25</v>
      </c>
      <c r="B266" s="10" t="s">
        <v>26</v>
      </c>
      <c r="C266" s="11" t="s">
        <v>123</v>
      </c>
      <c r="D266" s="10" t="s">
        <v>28</v>
      </c>
      <c r="E266" s="10" t="s">
        <v>28</v>
      </c>
      <c r="F266" s="10"/>
      <c r="G266" s="10" t="n">
        <v>25</v>
      </c>
      <c r="H266" s="10" t="n">
        <v>4.35</v>
      </c>
      <c r="I266" s="12" t="n">
        <v>1</v>
      </c>
      <c r="J266" s="12"/>
      <c r="K266" s="13" t="n">
        <f aca="false">44.61</f>
        <v>44.61</v>
      </c>
      <c r="L266" s="13" t="n">
        <f aca="false">158.32</f>
        <v>158.32</v>
      </c>
      <c r="M266" s="12" t="n">
        <v>14</v>
      </c>
      <c r="N266" s="12" t="n">
        <v>40</v>
      </c>
      <c r="O266" s="12" t="n">
        <v>158.7</v>
      </c>
      <c r="P266" s="13" t="n">
        <f aca="false">26.96</f>
        <v>26.96</v>
      </c>
      <c r="Q266" s="13" t="n">
        <f aca="false">168.46</f>
        <v>168.46</v>
      </c>
      <c r="R266" s="12" t="n">
        <v>26.45</v>
      </c>
      <c r="S266" s="12" t="n">
        <v>22.8</v>
      </c>
      <c r="T266" s="12" t="n">
        <v>579</v>
      </c>
      <c r="U266" s="14" t="s">
        <v>29</v>
      </c>
      <c r="V266" s="15"/>
      <c r="W266" s="16" t="str">
        <f aca="false">A266</f>
        <v>KL</v>
      </c>
      <c r="X266" s="17" t="e">
        <f aca="false">ifs(C266="","",X266="",NOW(),TRUE(),X266)</f>
        <v>#VALUE!</v>
      </c>
      <c r="Y266" s="17" t="e">
        <f aca="false">ifs(COUNTA(K266:U269)&lt;44,"",Y266="",NOW(),TRUE(),Y266)</f>
        <v>#VALUE!</v>
      </c>
    </row>
    <row r="267" customFormat="false" ht="14.15" hidden="false" customHeight="false" outlineLevel="0" collapsed="false">
      <c r="A267" s="9"/>
      <c r="B267" s="10"/>
      <c r="C267" s="10"/>
      <c r="D267" s="10"/>
      <c r="E267" s="10"/>
      <c r="F267" s="10"/>
      <c r="G267" s="10"/>
      <c r="H267" s="10"/>
      <c r="I267" s="18" t="n">
        <v>2</v>
      </c>
      <c r="J267" s="18"/>
      <c r="K267" s="19" t="n">
        <f aca="false">43.75</f>
        <v>43.75</v>
      </c>
      <c r="L267" s="19" t="n">
        <f aca="false">135.87</f>
        <v>135.87</v>
      </c>
      <c r="M267" s="18" t="n">
        <v>14</v>
      </c>
      <c r="N267" s="18" t="n">
        <v>34</v>
      </c>
      <c r="O267" s="18" t="n">
        <v>133.55</v>
      </c>
      <c r="P267" s="19" t="n">
        <f aca="false">25.96</f>
        <v>25.96</v>
      </c>
      <c r="Q267" s="19" t="n">
        <f aca="false">157</f>
        <v>157</v>
      </c>
      <c r="R267" s="18" t="n">
        <v>23.3</v>
      </c>
      <c r="S267" s="18" t="n">
        <v>22.7</v>
      </c>
      <c r="T267" s="18" t="n">
        <v>498</v>
      </c>
      <c r="U267" s="20" t="s">
        <v>29</v>
      </c>
      <c r="V267" s="21"/>
      <c r="W267" s="16"/>
      <c r="X267" s="16"/>
      <c r="Y267" s="16"/>
    </row>
    <row r="268" customFormat="false" ht="14.15" hidden="false" customHeight="false" outlineLevel="0" collapsed="false">
      <c r="A268" s="9"/>
      <c r="B268" s="10"/>
      <c r="C268" s="10"/>
      <c r="D268" s="10"/>
      <c r="E268" s="10"/>
      <c r="F268" s="10"/>
      <c r="G268" s="10"/>
      <c r="H268" s="10"/>
      <c r="I268" s="22" t="n">
        <v>3</v>
      </c>
      <c r="J268" s="22"/>
      <c r="K268" s="23" t="n">
        <f aca="false">43.59</f>
        <v>43.59</v>
      </c>
      <c r="L268" s="23" t="n">
        <f aca="false">150.79</f>
        <v>150.79</v>
      </c>
      <c r="M268" s="22" t="n">
        <v>12</v>
      </c>
      <c r="N268" s="22" t="n">
        <v>36</v>
      </c>
      <c r="O268" s="22" t="n">
        <v>128.95</v>
      </c>
      <c r="P268" s="23" t="n">
        <f aca="false">27.13</f>
        <v>27.13</v>
      </c>
      <c r="Q268" s="23" t="n">
        <f aca="false">160.01</f>
        <v>160.01</v>
      </c>
      <c r="R268" s="22" t="n">
        <v>23.9</v>
      </c>
      <c r="S268" s="22" t="n">
        <v>23.3</v>
      </c>
      <c r="T268" s="22" t="n">
        <v>454</v>
      </c>
      <c r="U268" s="24" t="s">
        <v>29</v>
      </c>
      <c r="V268" s="15"/>
      <c r="W268" s="16"/>
      <c r="X268" s="16"/>
      <c r="Y268" s="16"/>
    </row>
    <row r="269" customFormat="false" ht="14.15" hidden="false" customHeight="false" outlineLevel="0" collapsed="false">
      <c r="A269" s="9"/>
      <c r="B269" s="10"/>
      <c r="C269" s="10"/>
      <c r="D269" s="10"/>
      <c r="E269" s="10"/>
      <c r="F269" s="10"/>
      <c r="G269" s="10"/>
      <c r="H269" s="10"/>
      <c r="I269" s="25" t="n">
        <v>4</v>
      </c>
      <c r="J269" s="25"/>
      <c r="K269" s="26" t="n">
        <f aca="false">43.52</f>
        <v>43.52</v>
      </c>
      <c r="L269" s="26" t="n">
        <f aca="false">126.31</f>
        <v>126.31</v>
      </c>
      <c r="M269" s="25" t="n">
        <v>16</v>
      </c>
      <c r="N269" s="25" t="n">
        <v>30</v>
      </c>
      <c r="O269" s="25" t="n">
        <v>117.35</v>
      </c>
      <c r="P269" s="26" t="n">
        <f aca="false">28.1</f>
        <v>28.1</v>
      </c>
      <c r="Q269" s="26" t="n">
        <f aca="false">139.06</f>
        <v>139.06</v>
      </c>
      <c r="R269" s="25" t="n">
        <v>21.9</v>
      </c>
      <c r="S269" s="25" t="n">
        <v>19.9</v>
      </c>
      <c r="T269" s="25" t="n">
        <v>494</v>
      </c>
      <c r="U269" s="27" t="s">
        <v>29</v>
      </c>
      <c r="V269" s="21"/>
      <c r="W269" s="16"/>
      <c r="X269" s="16"/>
      <c r="Y269" s="16"/>
    </row>
    <row r="270" customFormat="false" ht="15.75" hidden="false" customHeight="true" outlineLevel="0" collapsed="false">
      <c r="A270" s="9" t="s">
        <v>25</v>
      </c>
      <c r="B270" s="10" t="s">
        <v>26</v>
      </c>
      <c r="C270" s="11" t="s">
        <v>124</v>
      </c>
      <c r="D270" s="10" t="s">
        <v>28</v>
      </c>
      <c r="E270" s="10" t="s">
        <v>28</v>
      </c>
      <c r="F270" s="10"/>
      <c r="G270" s="10" t="n">
        <v>40</v>
      </c>
      <c r="H270" s="10" t="n">
        <v>9.25</v>
      </c>
      <c r="I270" s="12" t="n">
        <v>1</v>
      </c>
      <c r="J270" s="12"/>
      <c r="K270" s="13" t="n">
        <f aca="false">49.93</f>
        <v>49.93</v>
      </c>
      <c r="L270" s="13" t="n">
        <f aca="false">202.25</f>
        <v>202.25</v>
      </c>
      <c r="M270" s="12" t="n">
        <v>16</v>
      </c>
      <c r="N270" s="12" t="n">
        <v>46</v>
      </c>
      <c r="O270" s="12" t="n">
        <v>264</v>
      </c>
      <c r="P270" s="13" t="n">
        <f aca="false">29.68</f>
        <v>29.68</v>
      </c>
      <c r="Q270" s="13" t="n">
        <f aca="false">213.52</f>
        <v>213.52</v>
      </c>
      <c r="R270" s="12" t="n">
        <v>36.4</v>
      </c>
      <c r="S270" s="12" t="n">
        <v>35.95</v>
      </c>
      <c r="T270" s="12" t="n">
        <v>710</v>
      </c>
      <c r="U270" s="14" t="s">
        <v>58</v>
      </c>
      <c r="V270" s="15"/>
      <c r="W270" s="16" t="str">
        <f aca="false">A270</f>
        <v>KL</v>
      </c>
      <c r="X270" s="17" t="e">
        <f aca="false">ifs(C270="","",X270="",NOW(),TRUE(),X270)</f>
        <v>#VALUE!</v>
      </c>
      <c r="Y270" s="17" t="e">
        <f aca="false">ifs(COUNTA(K270:U273)&lt;44,"",Y270="",NOW(),TRUE(),Y270)</f>
        <v>#VALUE!</v>
      </c>
    </row>
    <row r="271" customFormat="false" ht="14.15" hidden="false" customHeight="false" outlineLevel="0" collapsed="false">
      <c r="A271" s="9"/>
      <c r="B271" s="10"/>
      <c r="C271" s="10"/>
      <c r="D271" s="10"/>
      <c r="E271" s="10"/>
      <c r="F271" s="10"/>
      <c r="G271" s="10"/>
      <c r="H271" s="10"/>
      <c r="I271" s="18" t="n">
        <v>2</v>
      </c>
      <c r="J271" s="18"/>
      <c r="K271" s="19" t="n">
        <f aca="false">49.5</f>
        <v>49.5</v>
      </c>
      <c r="L271" s="19" t="n">
        <f aca="false">189.45</f>
        <v>189.45</v>
      </c>
      <c r="M271" s="18" t="n">
        <v>18</v>
      </c>
      <c r="N271" s="18" t="n">
        <v>44</v>
      </c>
      <c r="O271" s="18" t="n">
        <v>241.2</v>
      </c>
      <c r="P271" s="19" t="n">
        <f aca="false">31.57</f>
        <v>31.57</v>
      </c>
      <c r="Q271" s="19" t="n">
        <f aca="false">205.95</f>
        <v>205.95</v>
      </c>
      <c r="R271" s="18" t="n">
        <v>34.55</v>
      </c>
      <c r="S271" s="18" t="n">
        <v>30.75</v>
      </c>
      <c r="T271" s="18" t="n">
        <v>721</v>
      </c>
      <c r="U271" s="20" t="s">
        <v>58</v>
      </c>
      <c r="V271" s="21"/>
      <c r="W271" s="16"/>
      <c r="X271" s="16"/>
      <c r="Y271" s="16"/>
    </row>
    <row r="272" customFormat="false" ht="14.15" hidden="false" customHeight="false" outlineLevel="0" collapsed="false">
      <c r="A272" s="9"/>
      <c r="B272" s="10"/>
      <c r="C272" s="10"/>
      <c r="D272" s="10"/>
      <c r="E272" s="10"/>
      <c r="F272" s="10"/>
      <c r="G272" s="10"/>
      <c r="H272" s="10"/>
      <c r="I272" s="22" t="n">
        <v>3</v>
      </c>
      <c r="J272" s="22"/>
      <c r="K272" s="23" t="n">
        <f aca="false">49.66</f>
        <v>49.66</v>
      </c>
      <c r="L272" s="23" t="n">
        <f aca="false">193.61</f>
        <v>193.61</v>
      </c>
      <c r="M272" s="22" t="n">
        <v>14</v>
      </c>
      <c r="N272" s="22" t="n">
        <v>44</v>
      </c>
      <c r="O272" s="22" t="n">
        <v>239.65</v>
      </c>
      <c r="P272" s="23" t="n">
        <f aca="false">28.98</f>
        <v>28.98</v>
      </c>
      <c r="Q272" s="23" t="n">
        <f aca="false">200.73</f>
        <v>200.73</v>
      </c>
      <c r="R272" s="22" t="n">
        <v>35.6</v>
      </c>
      <c r="S272" s="22" t="n">
        <v>33.4</v>
      </c>
      <c r="T272" s="22" t="n">
        <v>603</v>
      </c>
      <c r="U272" s="24" t="s">
        <v>58</v>
      </c>
      <c r="V272" s="15"/>
      <c r="W272" s="16"/>
      <c r="X272" s="16"/>
      <c r="Y272" s="16"/>
    </row>
    <row r="273" customFormat="false" ht="14.15" hidden="false" customHeight="false" outlineLevel="0" collapsed="false">
      <c r="A273" s="9"/>
      <c r="B273" s="10"/>
      <c r="C273" s="10"/>
      <c r="D273" s="10"/>
      <c r="E273" s="10"/>
      <c r="F273" s="10"/>
      <c r="G273" s="10"/>
      <c r="H273" s="10"/>
      <c r="I273" s="25" t="n">
        <v>4</v>
      </c>
      <c r="J273" s="25"/>
      <c r="K273" s="26" t="n">
        <f aca="false">46.07</f>
        <v>46.07</v>
      </c>
      <c r="L273" s="26" t="n">
        <f aca="false">153.16</f>
        <v>153.16</v>
      </c>
      <c r="M273" s="25" t="n">
        <v>14</v>
      </c>
      <c r="N273" s="25" t="n">
        <v>34</v>
      </c>
      <c r="O273" s="25" t="n">
        <v>167.25</v>
      </c>
      <c r="P273" s="26" t="n">
        <f aca="false">28.13</f>
        <v>28.13</v>
      </c>
      <c r="Q273" s="26" t="n">
        <f aca="false">157.1</f>
        <v>157.1</v>
      </c>
      <c r="R273" s="25" t="n">
        <v>22.75</v>
      </c>
      <c r="S273" s="25" t="n">
        <v>31.85</v>
      </c>
      <c r="T273" s="25" t="n">
        <v>461</v>
      </c>
      <c r="U273" s="27" t="s">
        <v>58</v>
      </c>
      <c r="V273" s="21"/>
      <c r="W273" s="16"/>
      <c r="X273" s="16"/>
      <c r="Y273" s="16"/>
    </row>
    <row r="274" customFormat="false" ht="15.75" hidden="false" customHeight="true" outlineLevel="0" collapsed="false">
      <c r="A274" s="9" t="s">
        <v>25</v>
      </c>
      <c r="B274" s="10" t="s">
        <v>26</v>
      </c>
      <c r="C274" s="11" t="s">
        <v>125</v>
      </c>
      <c r="D274" s="10" t="s">
        <v>28</v>
      </c>
      <c r="E274" s="10" t="s">
        <v>28</v>
      </c>
      <c r="F274" s="10"/>
      <c r="G274" s="10" t="n">
        <v>39</v>
      </c>
      <c r="H274" s="10" t="n">
        <v>8.5</v>
      </c>
      <c r="I274" s="12" t="n">
        <v>1</v>
      </c>
      <c r="J274" s="12"/>
      <c r="K274" s="13" t="n">
        <f aca="false">41.52</f>
        <v>41.52</v>
      </c>
      <c r="L274" s="13" t="n">
        <f aca="false">116.16</f>
        <v>116.16</v>
      </c>
      <c r="M274" s="12" t="n">
        <v>14</v>
      </c>
      <c r="N274" s="12" t="n">
        <v>28</v>
      </c>
      <c r="O274" s="12" t="n">
        <v>105.5</v>
      </c>
      <c r="P274" s="13" t="n">
        <f aca="false">27</f>
        <v>27</v>
      </c>
      <c r="Q274" s="13" t="n">
        <f aca="false">136.07</f>
        <v>136.07</v>
      </c>
      <c r="R274" s="12" t="n">
        <v>15.3</v>
      </c>
      <c r="S274" s="12" t="n">
        <v>23.75</v>
      </c>
      <c r="T274" s="12" t="n">
        <v>390</v>
      </c>
      <c r="U274" s="14" t="s">
        <v>58</v>
      </c>
      <c r="V274" s="15"/>
      <c r="W274" s="16" t="str">
        <f aca="false">A274</f>
        <v>KL</v>
      </c>
      <c r="X274" s="17" t="e">
        <f aca="false">ifs(C274="","",X274="",NOW(),TRUE(),X274)</f>
        <v>#VALUE!</v>
      </c>
      <c r="Y274" s="17" t="e">
        <f aca="false">ifs(COUNTA(K274:U277)&lt;44,"",Y274="",NOW(),TRUE(),Y274)</f>
        <v>#VALUE!</v>
      </c>
    </row>
    <row r="275" customFormat="false" ht="14.15" hidden="false" customHeight="false" outlineLevel="0" collapsed="false">
      <c r="A275" s="9"/>
      <c r="B275" s="10"/>
      <c r="C275" s="10"/>
      <c r="D275" s="10"/>
      <c r="E275" s="10"/>
      <c r="F275" s="10"/>
      <c r="G275" s="10"/>
      <c r="H275" s="10"/>
      <c r="I275" s="18" t="n">
        <v>2</v>
      </c>
      <c r="J275" s="18"/>
      <c r="K275" s="19" t="n">
        <f aca="false">37.18</f>
        <v>37.18</v>
      </c>
      <c r="L275" s="19" t="n">
        <f aca="false">124.24</f>
        <v>124.24</v>
      </c>
      <c r="M275" s="18" t="n">
        <v>12</v>
      </c>
      <c r="N275" s="18" t="n">
        <v>28</v>
      </c>
      <c r="O275" s="18" t="n">
        <v>87.15</v>
      </c>
      <c r="P275" s="19" t="n">
        <f aca="false">23.55</f>
        <v>23.55</v>
      </c>
      <c r="Q275" s="19" t="n">
        <f aca="false">136.7</f>
        <v>136.7</v>
      </c>
      <c r="R275" s="18" t="n">
        <v>10.7</v>
      </c>
      <c r="S275" s="18" t="n">
        <v>22.9</v>
      </c>
      <c r="T275" s="18" t="n">
        <v>340</v>
      </c>
      <c r="U275" s="20" t="s">
        <v>58</v>
      </c>
      <c r="V275" s="21"/>
      <c r="W275" s="16"/>
      <c r="X275" s="16"/>
      <c r="Y275" s="16"/>
    </row>
    <row r="276" customFormat="false" ht="14.15" hidden="false" customHeight="false" outlineLevel="0" collapsed="false">
      <c r="A276" s="9"/>
      <c r="B276" s="10"/>
      <c r="C276" s="10"/>
      <c r="D276" s="10"/>
      <c r="E276" s="10"/>
      <c r="F276" s="10"/>
      <c r="G276" s="10"/>
      <c r="H276" s="10"/>
      <c r="I276" s="22" t="n">
        <v>3</v>
      </c>
      <c r="J276" s="22"/>
      <c r="K276" s="23" t="n">
        <f aca="false">39.61</f>
        <v>39.61</v>
      </c>
      <c r="L276" s="23" t="n">
        <f aca="false">118.1</f>
        <v>118.1</v>
      </c>
      <c r="M276" s="22" t="n">
        <v>14</v>
      </c>
      <c r="N276" s="22" t="n">
        <v>28</v>
      </c>
      <c r="O276" s="22" t="n">
        <v>92.05</v>
      </c>
      <c r="P276" s="23" t="n">
        <f aca="false">25.29</f>
        <v>25.29</v>
      </c>
      <c r="Q276" s="23" t="n">
        <f aca="false">134.1</f>
        <v>134.1</v>
      </c>
      <c r="R276" s="22" t="n">
        <v>10.85</v>
      </c>
      <c r="S276" s="22" t="n">
        <v>21.9</v>
      </c>
      <c r="T276" s="22" t="n">
        <v>383</v>
      </c>
      <c r="U276" s="24" t="s">
        <v>58</v>
      </c>
      <c r="V276" s="15"/>
      <c r="W276" s="16"/>
      <c r="X276" s="16"/>
      <c r="Y276" s="16"/>
    </row>
    <row r="277" customFormat="false" ht="14.15" hidden="false" customHeight="false" outlineLevel="0" collapsed="false">
      <c r="A277" s="9"/>
      <c r="B277" s="10"/>
      <c r="C277" s="10"/>
      <c r="D277" s="10"/>
      <c r="E277" s="10"/>
      <c r="F277" s="10"/>
      <c r="G277" s="10"/>
      <c r="H277" s="10"/>
      <c r="I277" s="25" t="n">
        <v>4</v>
      </c>
      <c r="J277" s="25"/>
      <c r="K277" s="26" t="n">
        <f aca="false">36.98</f>
        <v>36.98</v>
      </c>
      <c r="L277" s="26" t="n">
        <f aca="false">103.86</f>
        <v>103.86</v>
      </c>
      <c r="M277" s="25" t="n">
        <v>12</v>
      </c>
      <c r="N277" s="25" t="n">
        <v>26</v>
      </c>
      <c r="O277" s="25" t="n">
        <v>74.45</v>
      </c>
      <c r="P277" s="26" t="n">
        <f aca="false">23.33</f>
        <v>23.33</v>
      </c>
      <c r="Q277" s="26" t="n">
        <f aca="false">119.57</f>
        <v>119.57</v>
      </c>
      <c r="R277" s="25" t="n">
        <v>10.2</v>
      </c>
      <c r="S277" s="25" t="n">
        <v>21.4</v>
      </c>
      <c r="T277" s="25" t="n">
        <v>300</v>
      </c>
      <c r="U277" s="27" t="s">
        <v>58</v>
      </c>
      <c r="V277" s="21"/>
      <c r="W277" s="16"/>
      <c r="X277" s="16"/>
      <c r="Y277" s="16"/>
    </row>
    <row r="278" customFormat="false" ht="15.75" hidden="false" customHeight="true" outlineLevel="0" collapsed="false">
      <c r="A278" s="9" t="s">
        <v>25</v>
      </c>
      <c r="B278" s="10" t="s">
        <v>26</v>
      </c>
      <c r="C278" s="11" t="s">
        <v>126</v>
      </c>
      <c r="D278" s="10" t="s">
        <v>28</v>
      </c>
      <c r="E278" s="10" t="s">
        <v>28</v>
      </c>
      <c r="F278" s="10"/>
      <c r="G278" s="10" t="n">
        <v>12</v>
      </c>
      <c r="H278" s="10" t="n">
        <v>3.45</v>
      </c>
      <c r="I278" s="12" t="n">
        <v>1</v>
      </c>
      <c r="J278" s="12" t="s">
        <v>47</v>
      </c>
      <c r="K278" s="13" t="n">
        <f aca="false">44.98</f>
        <v>44.98</v>
      </c>
      <c r="L278" s="13" t="n">
        <f aca="false">156.78</f>
        <v>156.78</v>
      </c>
      <c r="M278" s="12" t="n">
        <v>16</v>
      </c>
      <c r="N278" s="12" t="n">
        <v>36</v>
      </c>
      <c r="O278" s="12" t="n">
        <v>174</v>
      </c>
      <c r="P278" s="13" t="n">
        <f aca="false">27.07</f>
        <v>27.07</v>
      </c>
      <c r="Q278" s="13" t="n">
        <f aca="false">178.22</f>
        <v>178.22</v>
      </c>
      <c r="R278" s="12" t="n">
        <v>20</v>
      </c>
      <c r="S278" s="12" t="n">
        <v>27.05</v>
      </c>
      <c r="T278" s="12" t="n">
        <v>574</v>
      </c>
      <c r="U278" s="14" t="s">
        <v>29</v>
      </c>
      <c r="V278" s="15"/>
      <c r="W278" s="16" t="str">
        <f aca="false">A278</f>
        <v>KL</v>
      </c>
      <c r="X278" s="17" t="e">
        <f aca="false">ifs(C278="","",X278="",NOW(),TRUE(),X278)</f>
        <v>#VALUE!</v>
      </c>
      <c r="Y278" s="17" t="e">
        <f aca="false">ifs(COUNTA(K278:U281)&lt;44,"",Y278="",NOW(),TRUE(),Y278)</f>
        <v>#VALUE!</v>
      </c>
    </row>
    <row r="279" customFormat="false" ht="14.15" hidden="false" customHeight="false" outlineLevel="0" collapsed="false">
      <c r="A279" s="9"/>
      <c r="B279" s="10"/>
      <c r="C279" s="10"/>
      <c r="D279" s="10"/>
      <c r="E279" s="10"/>
      <c r="F279" s="10"/>
      <c r="G279" s="10"/>
      <c r="H279" s="10"/>
      <c r="I279" s="18" t="n">
        <v>2</v>
      </c>
      <c r="J279" s="18" t="s">
        <v>47</v>
      </c>
      <c r="K279" s="19" t="n">
        <f aca="false">42.1</f>
        <v>42.1</v>
      </c>
      <c r="L279" s="19" t="n">
        <f aca="false">155.59</f>
        <v>155.59</v>
      </c>
      <c r="M279" s="18" t="n">
        <v>14</v>
      </c>
      <c r="N279" s="18" t="n">
        <v>34</v>
      </c>
      <c r="O279" s="18" t="n">
        <v>151.55</v>
      </c>
      <c r="P279" s="19" t="n">
        <f aca="false">24.78</f>
        <v>24.78</v>
      </c>
      <c r="Q279" s="19" t="n">
        <f aca="false">173.67</f>
        <v>173.67</v>
      </c>
      <c r="R279" s="18" t="n">
        <v>17.5</v>
      </c>
      <c r="S279" s="18" t="n">
        <v>27</v>
      </c>
      <c r="T279" s="18" t="n">
        <v>514</v>
      </c>
      <c r="U279" s="20" t="s">
        <v>29</v>
      </c>
      <c r="V279" s="21"/>
      <c r="W279" s="16"/>
      <c r="X279" s="16"/>
      <c r="Y279" s="16"/>
    </row>
    <row r="280" customFormat="false" ht="14.15" hidden="false" customHeight="false" outlineLevel="0" collapsed="false">
      <c r="A280" s="9"/>
      <c r="B280" s="10"/>
      <c r="C280" s="10"/>
      <c r="D280" s="10"/>
      <c r="E280" s="10"/>
      <c r="F280" s="10"/>
      <c r="G280" s="10"/>
      <c r="H280" s="10"/>
      <c r="I280" s="22" t="n">
        <v>3</v>
      </c>
      <c r="J280" s="22"/>
      <c r="K280" s="23" t="n">
        <f aca="false">43.22</f>
        <v>43.22</v>
      </c>
      <c r="L280" s="23" t="n">
        <f aca="false">134.94</f>
        <v>134.94</v>
      </c>
      <c r="M280" s="22" t="n">
        <v>14</v>
      </c>
      <c r="N280" s="22" t="n">
        <v>32</v>
      </c>
      <c r="O280" s="22" t="n">
        <v>142.9</v>
      </c>
      <c r="P280" s="23" t="n">
        <f aca="false">24.64</f>
        <v>24.64</v>
      </c>
      <c r="Q280" s="23" t="n">
        <f aca="false">160.59</f>
        <v>160.59</v>
      </c>
      <c r="R280" s="22" t="n">
        <v>15.8</v>
      </c>
      <c r="S280" s="22" t="n">
        <v>28.7</v>
      </c>
      <c r="T280" s="22" t="n">
        <v>449</v>
      </c>
      <c r="U280" s="24" t="s">
        <v>29</v>
      </c>
      <c r="V280" s="15"/>
      <c r="W280" s="16"/>
      <c r="X280" s="16"/>
      <c r="Y280" s="16"/>
    </row>
    <row r="281" customFormat="false" ht="14.15" hidden="false" customHeight="false" outlineLevel="0" collapsed="false">
      <c r="A281" s="9"/>
      <c r="B281" s="10"/>
      <c r="C281" s="10"/>
      <c r="D281" s="10"/>
      <c r="E281" s="10"/>
      <c r="F281" s="10"/>
      <c r="G281" s="10"/>
      <c r="H281" s="10"/>
      <c r="I281" s="25" t="n">
        <v>4</v>
      </c>
      <c r="J281" s="25"/>
      <c r="K281" s="26" t="n">
        <f aca="false">43.07</f>
        <v>43.07</v>
      </c>
      <c r="L281" s="26" t="n">
        <f aca="false">131.82</f>
        <v>131.82</v>
      </c>
      <c r="M281" s="25" t="n">
        <v>16</v>
      </c>
      <c r="N281" s="25" t="n">
        <v>30</v>
      </c>
      <c r="O281" s="25" t="n">
        <v>138.3</v>
      </c>
      <c r="P281" s="26" t="n">
        <f aca="false">24.75</f>
        <v>24.75</v>
      </c>
      <c r="Q281" s="26" t="n">
        <f aca="false">150.68</f>
        <v>150.68</v>
      </c>
      <c r="R281" s="25" t="n">
        <v>15.45</v>
      </c>
      <c r="S281" s="25" t="n">
        <v>23.1</v>
      </c>
      <c r="T281" s="25" t="n">
        <v>501</v>
      </c>
      <c r="U281" s="27" t="s">
        <v>29</v>
      </c>
      <c r="V281" s="21"/>
      <c r="W281" s="16"/>
      <c r="X281" s="16"/>
      <c r="Y281" s="16"/>
    </row>
    <row r="282" customFormat="false" ht="15.75" hidden="false" customHeight="true" outlineLevel="0" collapsed="false">
      <c r="A282" s="9" t="s">
        <v>25</v>
      </c>
      <c r="B282" s="10" t="s">
        <v>26</v>
      </c>
      <c r="C282" s="11" t="s">
        <v>127</v>
      </c>
      <c r="D282" s="10" t="s">
        <v>28</v>
      </c>
      <c r="E282" s="10" t="s">
        <v>28</v>
      </c>
      <c r="F282" s="10"/>
      <c r="G282" s="10" t="n">
        <v>6</v>
      </c>
      <c r="H282" s="10" t="n">
        <v>1.1</v>
      </c>
      <c r="I282" s="12" t="n">
        <v>1</v>
      </c>
      <c r="J282" s="12"/>
      <c r="K282" s="13" t="n">
        <f aca="false">48.32</f>
        <v>48.32</v>
      </c>
      <c r="L282" s="13" t="n">
        <f aca="false">149.87</f>
        <v>149.87</v>
      </c>
      <c r="M282" s="12" t="n">
        <v>16</v>
      </c>
      <c r="N282" s="12" t="n">
        <v>38</v>
      </c>
      <c r="O282" s="12" t="n">
        <v>184.85</v>
      </c>
      <c r="P282" s="13" t="n">
        <f aca="false">29.27</f>
        <v>29.27</v>
      </c>
      <c r="Q282" s="13" t="n">
        <f aca="false">169.5</f>
        <v>169.5</v>
      </c>
      <c r="R282" s="12" t="n">
        <v>25.95</v>
      </c>
      <c r="S282" s="12" t="n">
        <v>24.5</v>
      </c>
      <c r="T282" s="12" t="n">
        <v>630</v>
      </c>
      <c r="U282" s="14" t="s">
        <v>29</v>
      </c>
      <c r="V282" s="15"/>
      <c r="W282" s="16" t="str">
        <f aca="false">A282</f>
        <v>KL</v>
      </c>
      <c r="X282" s="17" t="e">
        <f aca="false">ifs(C282="","",X282="",NOW(),TRUE(),X282)</f>
        <v>#VALUE!</v>
      </c>
      <c r="Y282" s="17" t="e">
        <f aca="false">ifs(COUNTA(K282:U285)&lt;44,"",Y282="",NOW(),TRUE(),Y282)</f>
        <v>#VALUE!</v>
      </c>
    </row>
    <row r="283" customFormat="false" ht="14.15" hidden="false" customHeight="false" outlineLevel="0" collapsed="false">
      <c r="A283" s="9"/>
      <c r="B283" s="10"/>
      <c r="C283" s="10"/>
      <c r="D283" s="10"/>
      <c r="E283" s="10"/>
      <c r="F283" s="10"/>
      <c r="G283" s="10"/>
      <c r="H283" s="10"/>
      <c r="I283" s="18" t="n">
        <v>2</v>
      </c>
      <c r="J283" s="18"/>
      <c r="K283" s="19" t="n">
        <f aca="false">47.31</f>
        <v>47.31</v>
      </c>
      <c r="L283" s="19" t="n">
        <f aca="false">136.42</f>
        <v>136.42</v>
      </c>
      <c r="M283" s="18" t="n">
        <v>16</v>
      </c>
      <c r="N283" s="18" t="n">
        <v>34</v>
      </c>
      <c r="O283" s="18" t="n">
        <v>164.85</v>
      </c>
      <c r="P283" s="19" t="n">
        <f aca="false">28.39</f>
        <v>28.39</v>
      </c>
      <c r="Q283" s="19" t="n">
        <f aca="false">168.39</f>
        <v>168.39</v>
      </c>
      <c r="R283" s="18" t="n">
        <v>25.5</v>
      </c>
      <c r="S283" s="18" t="n">
        <v>25.2</v>
      </c>
      <c r="T283" s="18" t="n">
        <v>563</v>
      </c>
      <c r="U283" s="20" t="s">
        <v>29</v>
      </c>
      <c r="V283" s="21"/>
      <c r="W283" s="16"/>
      <c r="X283" s="16"/>
      <c r="Y283" s="16"/>
    </row>
    <row r="284" customFormat="false" ht="14.15" hidden="false" customHeight="false" outlineLevel="0" collapsed="false">
      <c r="A284" s="9"/>
      <c r="B284" s="10"/>
      <c r="C284" s="10"/>
      <c r="D284" s="10"/>
      <c r="E284" s="10"/>
      <c r="F284" s="10"/>
      <c r="G284" s="10"/>
      <c r="H284" s="10"/>
      <c r="I284" s="22" t="n">
        <v>3</v>
      </c>
      <c r="J284" s="22"/>
      <c r="K284" s="23" t="n">
        <f aca="false">44.01</f>
        <v>44.01</v>
      </c>
      <c r="L284" s="23" t="n">
        <f aca="false">134.62</f>
        <v>134.62</v>
      </c>
      <c r="M284" s="22" t="n">
        <v>16</v>
      </c>
      <c r="N284" s="22" t="n">
        <v>34</v>
      </c>
      <c r="O284" s="22" t="n">
        <v>137.4</v>
      </c>
      <c r="P284" s="23" t="n">
        <f aca="false">27.76</f>
        <v>27.76</v>
      </c>
      <c r="Q284" s="23" t="n">
        <f aca="false">158.91</f>
        <v>158.91</v>
      </c>
      <c r="R284" s="22" t="n">
        <v>18.7</v>
      </c>
      <c r="S284" s="22" t="n">
        <v>22</v>
      </c>
      <c r="T284" s="22" t="n">
        <v>547</v>
      </c>
      <c r="U284" s="24" t="s">
        <v>29</v>
      </c>
      <c r="V284" s="15"/>
      <c r="W284" s="16"/>
      <c r="X284" s="16"/>
      <c r="Y284" s="16"/>
    </row>
    <row r="285" customFormat="false" ht="14.15" hidden="false" customHeight="false" outlineLevel="0" collapsed="false">
      <c r="A285" s="9"/>
      <c r="B285" s="10"/>
      <c r="C285" s="10"/>
      <c r="D285" s="10"/>
      <c r="E285" s="10"/>
      <c r="F285" s="10"/>
      <c r="G285" s="10"/>
      <c r="H285" s="10"/>
      <c r="I285" s="25" t="n">
        <v>4</v>
      </c>
      <c r="J285" s="25"/>
      <c r="K285" s="26" t="n">
        <f aca="false">44.13</f>
        <v>44.13</v>
      </c>
      <c r="L285" s="26" t="n">
        <f aca="false">109.93</f>
        <v>109.93</v>
      </c>
      <c r="M285" s="25" t="n">
        <v>18</v>
      </c>
      <c r="N285" s="25" t="n">
        <v>28</v>
      </c>
      <c r="O285" s="25" t="n">
        <v>111</v>
      </c>
      <c r="P285" s="26" t="n">
        <f aca="false">27.03</f>
        <v>27.03</v>
      </c>
      <c r="Q285" s="26" t="n">
        <f aca="false">136.07</f>
        <v>136.07</v>
      </c>
      <c r="R285" s="25" t="n">
        <v>14</v>
      </c>
      <c r="S285" s="25" t="n">
        <v>18.95</v>
      </c>
      <c r="T285" s="25" t="n">
        <v>505</v>
      </c>
      <c r="U285" s="27" t="s">
        <v>29</v>
      </c>
      <c r="V285" s="21"/>
      <c r="W285" s="16"/>
      <c r="X285" s="16"/>
      <c r="Y285" s="16"/>
    </row>
    <row r="286" customFormat="false" ht="15.75" hidden="false" customHeight="true" outlineLevel="0" collapsed="false">
      <c r="A286" s="9" t="s">
        <v>25</v>
      </c>
      <c r="B286" s="10" t="s">
        <v>26</v>
      </c>
      <c r="C286" s="11" t="s">
        <v>128</v>
      </c>
      <c r="D286" s="10" t="s">
        <v>28</v>
      </c>
      <c r="E286" s="10" t="s">
        <v>28</v>
      </c>
      <c r="F286" s="10"/>
      <c r="G286" s="10" t="n">
        <v>8</v>
      </c>
      <c r="H286" s="10" t="n">
        <v>1.95</v>
      </c>
      <c r="I286" s="12" t="n">
        <v>1</v>
      </c>
      <c r="J286" s="12"/>
      <c r="K286" s="13" t="n">
        <f aca="false">42.62</f>
        <v>42.62</v>
      </c>
      <c r="L286" s="13" t="n">
        <f aca="false">165.69</f>
        <v>165.69</v>
      </c>
      <c r="M286" s="12" t="n">
        <v>14</v>
      </c>
      <c r="N286" s="12" t="n">
        <v>40</v>
      </c>
      <c r="O286" s="12" t="n">
        <v>165.9</v>
      </c>
      <c r="P286" s="13" t="n">
        <f aca="false">25.32</f>
        <v>25.32</v>
      </c>
      <c r="Q286" s="13" t="n">
        <f aca="false">175.03</f>
        <v>175.03</v>
      </c>
      <c r="R286" s="12" t="n">
        <v>16.8</v>
      </c>
      <c r="S286" s="12" t="n">
        <v>25.2</v>
      </c>
      <c r="T286" s="12" t="n">
        <v>577</v>
      </c>
      <c r="U286" s="14" t="s">
        <v>29</v>
      </c>
      <c r="V286" s="15"/>
      <c r="W286" s="16" t="str">
        <f aca="false">A286</f>
        <v>KL</v>
      </c>
      <c r="X286" s="17" t="e">
        <f aca="false">ifs(C286="","",X286="",NOW(),TRUE(),X286)</f>
        <v>#VALUE!</v>
      </c>
      <c r="Y286" s="17" t="e">
        <f aca="false">ifs(COUNTA(K286:U289)&lt;44,"",Y286="",NOW(),TRUE(),Y286)</f>
        <v>#VALUE!</v>
      </c>
    </row>
    <row r="287" customFormat="false" ht="14.15" hidden="false" customHeight="false" outlineLevel="0" collapsed="false">
      <c r="A287" s="9"/>
      <c r="B287" s="10"/>
      <c r="C287" s="10"/>
      <c r="D287" s="10"/>
      <c r="E287" s="10"/>
      <c r="F287" s="10"/>
      <c r="G287" s="10"/>
      <c r="H287" s="10"/>
      <c r="I287" s="18" t="n">
        <v>2</v>
      </c>
      <c r="J287" s="18" t="s">
        <v>47</v>
      </c>
      <c r="K287" s="19" t="n">
        <f aca="false">41.95</f>
        <v>41.95</v>
      </c>
      <c r="L287" s="19" t="n">
        <f aca="false">146.05</f>
        <v>146.05</v>
      </c>
      <c r="M287" s="18" t="n">
        <v>14</v>
      </c>
      <c r="N287" s="18" t="n">
        <v>34</v>
      </c>
      <c r="O287" s="18" t="n">
        <v>137.9</v>
      </c>
      <c r="P287" s="19" t="n">
        <f aca="false">23.95</f>
        <v>23.95</v>
      </c>
      <c r="Q287" s="19" t="n">
        <f aca="false">159.6</f>
        <v>159.6</v>
      </c>
      <c r="R287" s="18" t="n">
        <v>15.4</v>
      </c>
      <c r="S287" s="18" t="n">
        <v>26.05</v>
      </c>
      <c r="T287" s="18" t="n">
        <v>501</v>
      </c>
      <c r="U287" s="20" t="s">
        <v>29</v>
      </c>
      <c r="V287" s="21"/>
      <c r="W287" s="16"/>
      <c r="X287" s="16"/>
      <c r="Y287" s="16"/>
    </row>
    <row r="288" customFormat="false" ht="14.15" hidden="false" customHeight="false" outlineLevel="0" collapsed="false">
      <c r="A288" s="9"/>
      <c r="B288" s="10"/>
      <c r="C288" s="10"/>
      <c r="D288" s="10"/>
      <c r="E288" s="10"/>
      <c r="F288" s="10"/>
      <c r="G288" s="10"/>
      <c r="H288" s="10"/>
      <c r="I288" s="22" t="n">
        <v>3</v>
      </c>
      <c r="J288" s="22" t="s">
        <v>46</v>
      </c>
      <c r="K288" s="23" t="n">
        <f aca="false">43.33</f>
        <v>43.33</v>
      </c>
      <c r="L288" s="23" t="n">
        <f aca="false">117.42</f>
        <v>117.42</v>
      </c>
      <c r="M288" s="22" t="n">
        <v>18</v>
      </c>
      <c r="N288" s="22" t="n">
        <v>28</v>
      </c>
      <c r="O288" s="22" t="n">
        <v>122.8</v>
      </c>
      <c r="P288" s="23" t="n">
        <f aca="false">25.61</f>
        <v>25.61</v>
      </c>
      <c r="Q288" s="23" t="n">
        <f aca="false">145.43</f>
        <v>145.43</v>
      </c>
      <c r="R288" s="22" t="n">
        <v>14.65</v>
      </c>
      <c r="S288" s="22" t="n">
        <v>23</v>
      </c>
      <c r="T288" s="22" t="n">
        <v>487</v>
      </c>
      <c r="U288" s="24" t="s">
        <v>29</v>
      </c>
      <c r="V288" s="15"/>
      <c r="W288" s="16"/>
      <c r="X288" s="16"/>
      <c r="Y288" s="16"/>
    </row>
    <row r="289" customFormat="false" ht="14.15" hidden="false" customHeight="false" outlineLevel="0" collapsed="false">
      <c r="A289" s="9"/>
      <c r="B289" s="10"/>
      <c r="C289" s="10"/>
      <c r="D289" s="10"/>
      <c r="E289" s="10"/>
      <c r="F289" s="10"/>
      <c r="G289" s="10"/>
      <c r="H289" s="10"/>
      <c r="I289" s="25" t="n">
        <v>4</v>
      </c>
      <c r="J289" s="25" t="s">
        <v>46</v>
      </c>
      <c r="K289" s="26" t="n">
        <f aca="false">40.31</f>
        <v>40.31</v>
      </c>
      <c r="L289" s="26" t="n">
        <f aca="false">108.97</f>
        <v>108.97</v>
      </c>
      <c r="M289" s="25" t="n">
        <v>14</v>
      </c>
      <c r="N289" s="25" t="n">
        <v>26</v>
      </c>
      <c r="O289" s="25" t="n">
        <v>100.25</v>
      </c>
      <c r="P289" s="26" t="n">
        <f aca="false">23.29</f>
        <v>23.29</v>
      </c>
      <c r="Q289" s="26" t="n">
        <f aca="false">138.46</f>
        <v>138.46</v>
      </c>
      <c r="R289" s="25" t="n">
        <v>11.5</v>
      </c>
      <c r="S289" s="25" t="n">
        <v>23.6</v>
      </c>
      <c r="T289" s="25" t="n">
        <v>382</v>
      </c>
      <c r="U289" s="27" t="s">
        <v>29</v>
      </c>
      <c r="V289" s="21"/>
      <c r="W289" s="16"/>
      <c r="X289" s="16"/>
      <c r="Y289" s="16"/>
    </row>
    <row r="290" customFormat="false" ht="15.75" hidden="false" customHeight="true" outlineLevel="0" collapsed="false">
      <c r="A290" s="9" t="s">
        <v>25</v>
      </c>
      <c r="B290" s="10" t="s">
        <v>26</v>
      </c>
      <c r="C290" s="11" t="s">
        <v>129</v>
      </c>
      <c r="D290" s="10" t="s">
        <v>28</v>
      </c>
      <c r="E290" s="10" t="s">
        <v>28</v>
      </c>
      <c r="F290" s="10"/>
      <c r="G290" s="10" t="n">
        <v>19</v>
      </c>
      <c r="H290" s="10" t="n">
        <v>5.6</v>
      </c>
      <c r="I290" s="12" t="n">
        <v>1</v>
      </c>
      <c r="J290" s="12" t="s">
        <v>120</v>
      </c>
      <c r="K290" s="13" t="n">
        <f aca="false">45.12</f>
        <v>45.12</v>
      </c>
      <c r="L290" s="13" t="n">
        <f aca="false">175.78</f>
        <v>175.78</v>
      </c>
      <c r="M290" s="12" t="n">
        <v>14</v>
      </c>
      <c r="N290" s="12" t="n">
        <v>44</v>
      </c>
      <c r="O290" s="12" t="n">
        <v>198.75</v>
      </c>
      <c r="P290" s="13" t="n">
        <f aca="false">26.95</f>
        <v>26.95</v>
      </c>
      <c r="Q290" s="13" t="n">
        <f aca="false">206.57</f>
        <v>206.57</v>
      </c>
      <c r="R290" s="12" t="n">
        <v>23.05</v>
      </c>
      <c r="S290" s="12" t="n">
        <v>30.72</v>
      </c>
      <c r="T290" s="12" t="n">
        <v>562</v>
      </c>
      <c r="U290" s="14" t="s">
        <v>29</v>
      </c>
      <c r="V290" s="15"/>
      <c r="W290" s="16" t="str">
        <f aca="false">A290</f>
        <v>KL</v>
      </c>
      <c r="X290" s="17" t="e">
        <f aca="false">ifs(C290="","",X290="",NOW(),TRUE(),X290)</f>
        <v>#VALUE!</v>
      </c>
      <c r="Y290" s="17" t="e">
        <f aca="false">ifs(COUNTA(K290:U293)&lt;44,"",Y290="",NOW(),TRUE(),Y290)</f>
        <v>#VALUE!</v>
      </c>
    </row>
    <row r="291" customFormat="false" ht="14.15" hidden="false" customHeight="false" outlineLevel="0" collapsed="false">
      <c r="A291" s="9"/>
      <c r="B291" s="10"/>
      <c r="C291" s="10"/>
      <c r="D291" s="10"/>
      <c r="E291" s="10"/>
      <c r="F291" s="10"/>
      <c r="G291" s="10"/>
      <c r="H291" s="10"/>
      <c r="I291" s="18" t="n">
        <v>2</v>
      </c>
      <c r="J291" s="18" t="s">
        <v>47</v>
      </c>
      <c r="K291" s="19" t="n">
        <f aca="false">43.48</f>
        <v>43.48</v>
      </c>
      <c r="L291" s="19" t="n">
        <f aca="false">170.23</f>
        <v>170.23</v>
      </c>
      <c r="M291" s="18" t="n">
        <v>14</v>
      </c>
      <c r="N291" s="18" t="n">
        <v>40</v>
      </c>
      <c r="O291" s="18" t="n">
        <v>175.15</v>
      </c>
      <c r="P291" s="19" t="n">
        <f aca="false">24.06</f>
        <v>24.06</v>
      </c>
      <c r="Q291" s="19" t="n">
        <f aca="false">191.68</f>
        <v>191.68</v>
      </c>
      <c r="R291" s="18" t="n">
        <v>18.75</v>
      </c>
      <c r="S291" s="18" t="n">
        <v>28.55</v>
      </c>
      <c r="T291" s="18" t="n">
        <v>570</v>
      </c>
      <c r="U291" s="20" t="s">
        <v>29</v>
      </c>
      <c r="V291" s="21"/>
      <c r="W291" s="16"/>
      <c r="X291" s="16"/>
      <c r="Y291" s="16"/>
    </row>
    <row r="292" customFormat="false" ht="14.15" hidden="false" customHeight="false" outlineLevel="0" collapsed="false">
      <c r="A292" s="9"/>
      <c r="B292" s="10"/>
      <c r="C292" s="10"/>
      <c r="D292" s="10"/>
      <c r="E292" s="10"/>
      <c r="F292" s="10"/>
      <c r="G292" s="10"/>
      <c r="H292" s="10"/>
      <c r="I292" s="22" t="n">
        <v>3</v>
      </c>
      <c r="J292" s="22" t="s">
        <v>57</v>
      </c>
      <c r="K292" s="23" t="n">
        <f aca="false">44.58</f>
        <v>44.58</v>
      </c>
      <c r="L292" s="23" t="n">
        <f aca="false">155.89</f>
        <v>155.89</v>
      </c>
      <c r="M292" s="22" t="n">
        <v>14</v>
      </c>
      <c r="N292" s="22" t="n">
        <v>36</v>
      </c>
      <c r="O292" s="22" t="n">
        <v>165.7</v>
      </c>
      <c r="P292" s="23" t="n">
        <f aca="false">27.23</f>
        <v>27.23</v>
      </c>
      <c r="Q292" s="23" t="n">
        <f aca="false">177.52</f>
        <v>177.52</v>
      </c>
      <c r="R292" s="22" t="n">
        <v>18.45</v>
      </c>
      <c r="S292" s="22" t="n">
        <v>25.75</v>
      </c>
      <c r="T292" s="22" t="n">
        <v>561</v>
      </c>
      <c r="U292" s="24" t="s">
        <v>29</v>
      </c>
      <c r="V292" s="15"/>
      <c r="W292" s="16"/>
      <c r="X292" s="16"/>
      <c r="Y292" s="16"/>
    </row>
    <row r="293" customFormat="false" ht="14.15" hidden="false" customHeight="false" outlineLevel="0" collapsed="false">
      <c r="A293" s="9"/>
      <c r="B293" s="10"/>
      <c r="C293" s="10"/>
      <c r="D293" s="10"/>
      <c r="E293" s="10"/>
      <c r="F293" s="10"/>
      <c r="G293" s="10"/>
      <c r="H293" s="10"/>
      <c r="I293" s="25" t="n">
        <v>4</v>
      </c>
      <c r="J293" s="25" t="s">
        <v>57</v>
      </c>
      <c r="K293" s="26" t="n">
        <f aca="false">44.47</f>
        <v>44.47</v>
      </c>
      <c r="L293" s="26" t="n">
        <f aca="false">149.38</f>
        <v>149.38</v>
      </c>
      <c r="M293" s="25" t="n">
        <v>14</v>
      </c>
      <c r="N293" s="25" t="n">
        <v>36</v>
      </c>
      <c r="O293" s="25" t="n">
        <v>149.75</v>
      </c>
      <c r="P293" s="26" t="n">
        <f aca="false">24.18</f>
        <v>24.18</v>
      </c>
      <c r="Q293" s="26" t="n">
        <f aca="false">176.26</f>
        <v>176.26</v>
      </c>
      <c r="R293" s="25" t="n">
        <v>15.35</v>
      </c>
      <c r="S293" s="25" t="n">
        <v>27.15</v>
      </c>
      <c r="T293" s="25" t="n">
        <v>507</v>
      </c>
      <c r="U293" s="27" t="s">
        <v>29</v>
      </c>
      <c r="V293" s="21"/>
      <c r="W293" s="16"/>
      <c r="X293" s="16"/>
      <c r="Y293" s="16"/>
    </row>
    <row r="294" customFormat="false" ht="15.75" hidden="false" customHeight="true" outlineLevel="0" collapsed="false">
      <c r="A294" s="9" t="s">
        <v>25</v>
      </c>
      <c r="B294" s="10" t="s">
        <v>26</v>
      </c>
      <c r="C294" s="11" t="s">
        <v>130</v>
      </c>
      <c r="D294" s="10" t="s">
        <v>28</v>
      </c>
      <c r="E294" s="10" t="s">
        <v>28</v>
      </c>
      <c r="F294" s="10"/>
      <c r="G294" s="10" t="n">
        <v>3</v>
      </c>
      <c r="H294" s="10" t="n">
        <v>0.75</v>
      </c>
      <c r="I294" s="12" t="n">
        <v>1</v>
      </c>
      <c r="J294" s="12"/>
      <c r="K294" s="13" t="n">
        <f aca="false">44.66</f>
        <v>44.66</v>
      </c>
      <c r="L294" s="13" t="n">
        <f aca="false">177.03</f>
        <v>177.03</v>
      </c>
      <c r="M294" s="12" t="n">
        <v>16</v>
      </c>
      <c r="N294" s="12" t="n">
        <v>40</v>
      </c>
      <c r="O294" s="12" t="n">
        <v>196.6</v>
      </c>
      <c r="P294" s="13" t="n">
        <f aca="false">24.31</f>
        <v>24.31</v>
      </c>
      <c r="Q294" s="13" t="n">
        <f aca="false">185.56</f>
        <v>185.56</v>
      </c>
      <c r="R294" s="12" t="n">
        <v>23.7</v>
      </c>
      <c r="S294" s="12" t="n">
        <v>25.15</v>
      </c>
      <c r="T294" s="12" t="n">
        <v>704</v>
      </c>
      <c r="U294" s="14" t="s">
        <v>29</v>
      </c>
      <c r="V294" s="15"/>
      <c r="W294" s="16" t="str">
        <f aca="false">A294</f>
        <v>KL</v>
      </c>
      <c r="X294" s="17" t="e">
        <f aca="false">ifs(C294="","",X294="",NOW(),TRUE(),X294)</f>
        <v>#VALUE!</v>
      </c>
      <c r="Y294" s="17" t="e">
        <f aca="false">ifs(COUNTA(K294:U297)&lt;44,"",Y294="",NOW(),TRUE(),Y294)</f>
        <v>#VALUE!</v>
      </c>
    </row>
    <row r="295" customFormat="false" ht="14.15" hidden="false" customHeight="false" outlineLevel="0" collapsed="false">
      <c r="A295" s="9"/>
      <c r="B295" s="10"/>
      <c r="C295" s="10"/>
      <c r="D295" s="10"/>
      <c r="E295" s="10"/>
      <c r="F295" s="10"/>
      <c r="G295" s="10"/>
      <c r="H295" s="10"/>
      <c r="I295" s="18" t="n">
        <v>2</v>
      </c>
      <c r="J295" s="18"/>
      <c r="K295" s="19" t="n">
        <f aca="false">42.3</f>
        <v>42.3</v>
      </c>
      <c r="L295" s="19" t="n">
        <f aca="false">165.57</f>
        <v>165.57</v>
      </c>
      <c r="M295" s="18" t="n">
        <v>14</v>
      </c>
      <c r="N295" s="18" t="n">
        <v>40</v>
      </c>
      <c r="O295" s="18" t="n">
        <v>178.2</v>
      </c>
      <c r="P295" s="19" t="n">
        <f aca="false">25.11</f>
        <v>25.11</v>
      </c>
      <c r="Q295" s="19" t="n">
        <f aca="false">178.84</f>
        <v>178.84</v>
      </c>
      <c r="R295" s="18" t="n">
        <v>20.45</v>
      </c>
      <c r="S295" s="18" t="n">
        <v>24.25</v>
      </c>
      <c r="T295" s="18" t="n">
        <v>642</v>
      </c>
      <c r="U295" s="20" t="s">
        <v>29</v>
      </c>
      <c r="V295" s="21"/>
      <c r="W295" s="16"/>
      <c r="X295" s="16"/>
      <c r="Y295" s="16"/>
    </row>
    <row r="296" customFormat="false" ht="14.15" hidden="false" customHeight="false" outlineLevel="0" collapsed="false">
      <c r="A296" s="9"/>
      <c r="B296" s="10"/>
      <c r="C296" s="10"/>
      <c r="D296" s="10"/>
      <c r="E296" s="10"/>
      <c r="F296" s="10"/>
      <c r="G296" s="10"/>
      <c r="H296" s="10"/>
      <c r="I296" s="22" t="n">
        <v>3</v>
      </c>
      <c r="J296" s="22"/>
      <c r="K296" s="23" t="n">
        <f aca="false">44.19</f>
        <v>44.19</v>
      </c>
      <c r="L296" s="23" t="n">
        <f aca="false">168.54</f>
        <v>168.54</v>
      </c>
      <c r="M296" s="22" t="n">
        <v>16</v>
      </c>
      <c r="N296" s="22" t="n">
        <v>42</v>
      </c>
      <c r="O296" s="22" t="n">
        <v>179.75</v>
      </c>
      <c r="P296" s="23" t="n">
        <f aca="false">25.27</f>
        <v>25.27</v>
      </c>
      <c r="Q296" s="23" t="n">
        <f aca="false">174.01</f>
        <v>174.01</v>
      </c>
      <c r="R296" s="22" t="n">
        <v>19.4</v>
      </c>
      <c r="S296" s="22" t="n">
        <v>24.05</v>
      </c>
      <c r="T296" s="22" t="n">
        <v>686</v>
      </c>
      <c r="U296" s="24" t="s">
        <v>29</v>
      </c>
      <c r="V296" s="15"/>
      <c r="W296" s="16"/>
      <c r="X296" s="16"/>
      <c r="Y296" s="16"/>
    </row>
    <row r="297" customFormat="false" ht="14.15" hidden="false" customHeight="false" outlineLevel="0" collapsed="false">
      <c r="A297" s="9"/>
      <c r="B297" s="10"/>
      <c r="C297" s="10"/>
      <c r="D297" s="10"/>
      <c r="E297" s="10"/>
      <c r="F297" s="10"/>
      <c r="G297" s="10"/>
      <c r="H297" s="10"/>
      <c r="I297" s="25" t="n">
        <v>4</v>
      </c>
      <c r="J297" s="25"/>
      <c r="K297" s="26" t="n">
        <f aca="false">42.12</f>
        <v>42.12</v>
      </c>
      <c r="L297" s="26" t="n">
        <f aca="false">145.66</f>
        <v>145.66</v>
      </c>
      <c r="M297" s="25" t="n">
        <v>16</v>
      </c>
      <c r="N297" s="25" t="n">
        <v>40</v>
      </c>
      <c r="O297" s="25" t="n">
        <v>140.55</v>
      </c>
      <c r="P297" s="26" t="n">
        <f aca="false">24.84</f>
        <v>24.84</v>
      </c>
      <c r="Q297" s="26" t="n">
        <f aca="false">161.23</f>
        <v>161.23</v>
      </c>
      <c r="R297" s="25" t="n">
        <v>17.1</v>
      </c>
      <c r="S297" s="25" t="n">
        <v>20.65</v>
      </c>
      <c r="T297" s="25" t="n">
        <v>643</v>
      </c>
      <c r="U297" s="27" t="s">
        <v>29</v>
      </c>
      <c r="V297" s="21"/>
      <c r="W297" s="16"/>
      <c r="X297" s="16"/>
      <c r="Y297" s="16"/>
    </row>
    <row r="298" customFormat="false" ht="15.75" hidden="false" customHeight="true" outlineLevel="0" collapsed="false">
      <c r="A298" s="9" t="s">
        <v>25</v>
      </c>
      <c r="B298" s="10" t="s">
        <v>26</v>
      </c>
      <c r="C298" s="11" t="s">
        <v>131</v>
      </c>
      <c r="D298" s="10" t="s">
        <v>28</v>
      </c>
      <c r="E298" s="10" t="s">
        <v>28</v>
      </c>
      <c r="F298" s="10"/>
      <c r="G298" s="10" t="n">
        <v>10</v>
      </c>
      <c r="H298" s="10" t="n">
        <v>3</v>
      </c>
      <c r="I298" s="12" t="n">
        <v>1</v>
      </c>
      <c r="J298" s="12"/>
      <c r="K298" s="13" t="n">
        <f aca="false">43.47</f>
        <v>43.47</v>
      </c>
      <c r="L298" s="13" t="n">
        <f aca="false">146.22</f>
        <v>146.22</v>
      </c>
      <c r="M298" s="12" t="n">
        <v>12</v>
      </c>
      <c r="N298" s="12" t="n">
        <v>36</v>
      </c>
      <c r="O298" s="12" t="n">
        <v>155.55</v>
      </c>
      <c r="P298" s="13" t="n">
        <f aca="false">24.68</f>
        <v>24.68</v>
      </c>
      <c r="Q298" s="13" t="n">
        <f aca="false">160.53</f>
        <v>160.53</v>
      </c>
      <c r="R298" s="12" t="n">
        <v>20.8</v>
      </c>
      <c r="S298" s="12" t="n">
        <v>29.2</v>
      </c>
      <c r="T298" s="12" t="n">
        <v>464</v>
      </c>
      <c r="U298" s="14" t="s">
        <v>29</v>
      </c>
      <c r="V298" s="15"/>
      <c r="W298" s="16" t="str">
        <f aca="false">A298</f>
        <v>KL</v>
      </c>
      <c r="X298" s="17" t="e">
        <f aca="false">ifs(C298="","",X298="",NOW(),TRUE(),X298)</f>
        <v>#VALUE!</v>
      </c>
      <c r="Y298" s="17" t="e">
        <f aca="false">ifs(COUNTA(K298:U301)&lt;44,"",Y298="",NOW(),TRUE(),Y298)</f>
        <v>#VALUE!</v>
      </c>
    </row>
    <row r="299" customFormat="false" ht="14.15" hidden="false" customHeight="false" outlineLevel="0" collapsed="false">
      <c r="A299" s="9"/>
      <c r="B299" s="10"/>
      <c r="C299" s="10"/>
      <c r="D299" s="10"/>
      <c r="E299" s="10"/>
      <c r="F299" s="10"/>
      <c r="G299" s="10"/>
      <c r="H299" s="10"/>
      <c r="I299" s="18" t="n">
        <v>2</v>
      </c>
      <c r="J299" s="18"/>
      <c r="K299" s="19" t="n">
        <f aca="false">40.66</f>
        <v>40.66</v>
      </c>
      <c r="L299" s="19" t="n">
        <f aca="false">133.94</f>
        <v>133.94</v>
      </c>
      <c r="M299" s="18" t="n">
        <v>12</v>
      </c>
      <c r="N299" s="18" t="n">
        <v>32</v>
      </c>
      <c r="O299" s="18" t="n">
        <v>123.9</v>
      </c>
      <c r="P299" s="19" t="n">
        <f aca="false">25.19</f>
        <v>25.19</v>
      </c>
      <c r="Q299" s="19" t="n">
        <f aca="false">151.05</f>
        <v>151.05</v>
      </c>
      <c r="R299" s="18" t="n">
        <v>19.4</v>
      </c>
      <c r="S299" s="18" t="n">
        <v>26.35</v>
      </c>
      <c r="T299" s="18" t="n">
        <v>408</v>
      </c>
      <c r="U299" s="20" t="s">
        <v>29</v>
      </c>
      <c r="V299" s="21"/>
      <c r="W299" s="16"/>
      <c r="X299" s="16"/>
      <c r="Y299" s="16"/>
    </row>
    <row r="300" customFormat="false" ht="14.15" hidden="false" customHeight="false" outlineLevel="0" collapsed="false">
      <c r="A300" s="9"/>
      <c r="B300" s="10"/>
      <c r="C300" s="10"/>
      <c r="D300" s="10"/>
      <c r="E300" s="10"/>
      <c r="F300" s="10"/>
      <c r="G300" s="10"/>
      <c r="H300" s="10"/>
      <c r="I300" s="22" t="n">
        <v>3</v>
      </c>
      <c r="J300" s="22"/>
      <c r="K300" s="23" t="n">
        <f aca="false">39.72</f>
        <v>39.72</v>
      </c>
      <c r="L300" s="23" t="n">
        <f aca="false">129.05</f>
        <v>129.05</v>
      </c>
      <c r="M300" s="22" t="n">
        <v>12</v>
      </c>
      <c r="N300" s="22" t="n">
        <v>32</v>
      </c>
      <c r="O300" s="22" t="n">
        <v>117.4</v>
      </c>
      <c r="P300" s="23" t="n">
        <f aca="false">22.97</f>
        <v>22.97</v>
      </c>
      <c r="Q300" s="23" t="n">
        <f aca="false">132.68</f>
        <v>132.68</v>
      </c>
      <c r="R300" s="22" t="n">
        <v>16.1</v>
      </c>
      <c r="S300" s="22" t="n">
        <v>26.2</v>
      </c>
      <c r="T300" s="22" t="n">
        <v>393</v>
      </c>
      <c r="U300" s="24" t="s">
        <v>29</v>
      </c>
      <c r="V300" s="15"/>
      <c r="W300" s="16"/>
      <c r="X300" s="16"/>
      <c r="Y300" s="16"/>
    </row>
    <row r="301" customFormat="false" ht="14.15" hidden="false" customHeight="false" outlineLevel="0" collapsed="false">
      <c r="A301" s="9"/>
      <c r="B301" s="10"/>
      <c r="C301" s="10"/>
      <c r="D301" s="10"/>
      <c r="E301" s="10"/>
      <c r="F301" s="10"/>
      <c r="G301" s="10"/>
      <c r="H301" s="10"/>
      <c r="I301" s="25" t="n">
        <v>4</v>
      </c>
      <c r="J301" s="25"/>
      <c r="K301" s="26" t="n">
        <f aca="false">38.41</f>
        <v>38.41</v>
      </c>
      <c r="L301" s="26" t="n">
        <f aca="false">100.66</f>
        <v>100.66</v>
      </c>
      <c r="M301" s="25" t="n">
        <v>12</v>
      </c>
      <c r="N301" s="25" t="n">
        <v>26</v>
      </c>
      <c r="O301" s="25" t="n">
        <v>81.15</v>
      </c>
      <c r="P301" s="26" t="n">
        <f aca="false">21.51</f>
        <v>21.51</v>
      </c>
      <c r="Q301" s="26" t="n">
        <f aca="false">118.1</f>
        <v>118.1</v>
      </c>
      <c r="R301" s="25" t="n">
        <v>12.1</v>
      </c>
      <c r="S301" s="25" t="n">
        <v>25.15</v>
      </c>
      <c r="T301" s="25" t="n">
        <v>282</v>
      </c>
      <c r="U301" s="27" t="s">
        <v>29</v>
      </c>
      <c r="V301" s="21"/>
      <c r="W301" s="16"/>
      <c r="X301" s="16"/>
      <c r="Y301" s="16"/>
    </row>
    <row r="302" customFormat="false" ht="15.75" hidden="false" customHeight="true" outlineLevel="0" collapsed="false">
      <c r="A302" s="9" t="s">
        <v>25</v>
      </c>
      <c r="B302" s="10" t="s">
        <v>26</v>
      </c>
      <c r="C302" s="11" t="s">
        <v>132</v>
      </c>
      <c r="D302" s="10" t="s">
        <v>28</v>
      </c>
      <c r="E302" s="10" t="s">
        <v>28</v>
      </c>
      <c r="F302" s="10"/>
      <c r="G302" s="10" t="n">
        <v>127</v>
      </c>
      <c r="H302" s="10" t="n">
        <v>40.6</v>
      </c>
      <c r="I302" s="12" t="n">
        <v>1</v>
      </c>
      <c r="J302" s="12"/>
      <c r="K302" s="13" t="n">
        <f aca="false">48.09</f>
        <v>48.09</v>
      </c>
      <c r="L302" s="13" t="n">
        <f aca="false">176.89</f>
        <v>176.89</v>
      </c>
      <c r="M302" s="12" t="n">
        <v>16</v>
      </c>
      <c r="N302" s="12" t="n">
        <v>36</v>
      </c>
      <c r="O302" s="12" t="n">
        <v>182.25</v>
      </c>
      <c r="P302" s="13" t="n">
        <f aca="false">30.88</f>
        <v>30.88</v>
      </c>
      <c r="Q302" s="13" t="n">
        <f aca="false">178.52</f>
        <v>178.52</v>
      </c>
      <c r="R302" s="12" t="n">
        <v>23.25</v>
      </c>
      <c r="S302" s="12" t="n">
        <v>30.95</v>
      </c>
      <c r="T302" s="12" t="n">
        <v>502</v>
      </c>
      <c r="U302" s="14" t="s">
        <v>58</v>
      </c>
      <c r="V302" s="15"/>
      <c r="W302" s="16" t="str">
        <f aca="false">A302</f>
        <v>KL</v>
      </c>
      <c r="X302" s="17" t="e">
        <f aca="false">ifs(C302="","",X302="",NOW(),TRUE(),X302)</f>
        <v>#VALUE!</v>
      </c>
      <c r="Y302" s="17" t="e">
        <f aca="false">ifs(COUNTA(K302:U305)&lt;44,"",Y302="",NOW(),TRUE(),Y302)</f>
        <v>#VALUE!</v>
      </c>
    </row>
    <row r="303" customFormat="false" ht="14.15" hidden="false" customHeight="false" outlineLevel="0" collapsed="false">
      <c r="A303" s="9"/>
      <c r="B303" s="10"/>
      <c r="C303" s="10"/>
      <c r="D303" s="10"/>
      <c r="E303" s="10"/>
      <c r="F303" s="10"/>
      <c r="G303" s="10"/>
      <c r="H303" s="10"/>
      <c r="I303" s="18" t="n">
        <v>2</v>
      </c>
      <c r="J303" s="18" t="s">
        <v>49</v>
      </c>
      <c r="K303" s="19" t="n">
        <f aca="false">48.28</f>
        <v>48.28</v>
      </c>
      <c r="L303" s="19" t="n">
        <f aca="false">131.17</f>
        <v>131.17</v>
      </c>
      <c r="M303" s="18" t="n">
        <v>16</v>
      </c>
      <c r="N303" s="18" t="n">
        <v>24</v>
      </c>
      <c r="O303" s="18" t="n">
        <v>146.95</v>
      </c>
      <c r="P303" s="19" t="n">
        <f aca="false">30.99</f>
        <v>30.99</v>
      </c>
      <c r="Q303" s="19" t="n">
        <f aca="false">166.36</f>
        <v>166.36</v>
      </c>
      <c r="R303" s="18" t="n">
        <v>16.7</v>
      </c>
      <c r="S303" s="18" t="n">
        <v>33.2</v>
      </c>
      <c r="T303" s="18" t="n">
        <v>405</v>
      </c>
      <c r="U303" s="20" t="s">
        <v>58</v>
      </c>
      <c r="V303" s="21"/>
      <c r="W303" s="16"/>
      <c r="X303" s="16"/>
      <c r="Y303" s="16"/>
    </row>
    <row r="304" customFormat="false" ht="14.15" hidden="false" customHeight="false" outlineLevel="0" collapsed="false">
      <c r="A304" s="9"/>
      <c r="B304" s="10"/>
      <c r="C304" s="10"/>
      <c r="D304" s="10"/>
      <c r="E304" s="10"/>
      <c r="F304" s="10"/>
      <c r="G304" s="10"/>
      <c r="H304" s="10"/>
      <c r="I304" s="22" t="n">
        <v>3</v>
      </c>
      <c r="J304" s="22"/>
      <c r="K304" s="23" t="n">
        <f aca="false">47.7</f>
        <v>47.7</v>
      </c>
      <c r="L304" s="23" t="n">
        <f aca="false">152.07</f>
        <v>152.07</v>
      </c>
      <c r="M304" s="22" t="n">
        <v>14</v>
      </c>
      <c r="N304" s="22" t="n">
        <v>30</v>
      </c>
      <c r="O304" s="22" t="n">
        <v>144.9</v>
      </c>
      <c r="P304" s="23" t="n">
        <f aca="false">28.73</f>
        <v>28.73</v>
      </c>
      <c r="Q304" s="23" t="n">
        <f aca="false">168.49</f>
        <v>168.49</v>
      </c>
      <c r="R304" s="22" t="n">
        <v>20.35</v>
      </c>
      <c r="S304" s="22" t="n">
        <v>33.4</v>
      </c>
      <c r="T304" s="22" t="n">
        <v>373</v>
      </c>
      <c r="U304" s="24" t="s">
        <v>58</v>
      </c>
      <c r="V304" s="15"/>
      <c r="W304" s="16"/>
      <c r="X304" s="16"/>
      <c r="Y304" s="16"/>
    </row>
    <row r="305" customFormat="false" ht="14.15" hidden="false" customHeight="false" outlineLevel="0" collapsed="false">
      <c r="A305" s="9"/>
      <c r="B305" s="10"/>
      <c r="C305" s="10"/>
      <c r="D305" s="10"/>
      <c r="E305" s="10"/>
      <c r="F305" s="10"/>
      <c r="G305" s="10"/>
      <c r="H305" s="10"/>
      <c r="I305" s="25" t="n">
        <v>4</v>
      </c>
      <c r="J305" s="25"/>
      <c r="K305" s="26" t="n">
        <f aca="false">46.96</f>
        <v>46.96</v>
      </c>
      <c r="L305" s="26" t="n">
        <f aca="false">144.16</f>
        <v>144.16</v>
      </c>
      <c r="M305" s="25" t="n">
        <v>14</v>
      </c>
      <c r="N305" s="25" t="n">
        <v>30</v>
      </c>
      <c r="O305" s="25" t="n">
        <v>131.15</v>
      </c>
      <c r="P305" s="26" t="n">
        <f aca="false">27.82</f>
        <v>27.82</v>
      </c>
      <c r="Q305" s="26" t="n">
        <f aca="false">167.12</f>
        <v>167.12</v>
      </c>
      <c r="R305" s="25" t="n">
        <v>16.8</v>
      </c>
      <c r="S305" s="25" t="n">
        <v>29.7</v>
      </c>
      <c r="T305" s="25" t="n">
        <v>378</v>
      </c>
      <c r="U305" s="27" t="s">
        <v>58</v>
      </c>
      <c r="V305" s="21"/>
      <c r="W305" s="16"/>
      <c r="X305" s="16"/>
      <c r="Y305" s="16"/>
    </row>
    <row r="306" customFormat="false" ht="15.75" hidden="false" customHeight="true" outlineLevel="0" collapsed="false">
      <c r="A306" s="9" t="s">
        <v>25</v>
      </c>
      <c r="B306" s="10" t="s">
        <v>26</v>
      </c>
      <c r="C306" s="11" t="s">
        <v>133</v>
      </c>
      <c r="D306" s="10" t="s">
        <v>28</v>
      </c>
      <c r="E306" s="10" t="s">
        <v>28</v>
      </c>
      <c r="F306" s="10"/>
      <c r="G306" s="10" t="n">
        <v>44</v>
      </c>
      <c r="H306" s="10" t="n">
        <v>12.15</v>
      </c>
      <c r="I306" s="12" t="n">
        <v>1</v>
      </c>
      <c r="J306" s="12"/>
      <c r="K306" s="13" t="n">
        <f aca="false">46.05</f>
        <v>46.05</v>
      </c>
      <c r="L306" s="13" t="n">
        <f aca="false">177.15</f>
        <v>177.15</v>
      </c>
      <c r="M306" s="12" t="n">
        <v>14</v>
      </c>
      <c r="N306" s="12" t="n">
        <v>42</v>
      </c>
      <c r="O306" s="12" t="n">
        <v>185.5</v>
      </c>
      <c r="P306" s="13" t="n">
        <f aca="false">27.15</f>
        <v>27.15</v>
      </c>
      <c r="Q306" s="13" t="n">
        <f aca="false">187.87</f>
        <v>187.87</v>
      </c>
      <c r="R306" s="12" t="n">
        <v>20.7</v>
      </c>
      <c r="S306" s="12" t="n">
        <v>27.3</v>
      </c>
      <c r="T306" s="12" t="n">
        <v>590</v>
      </c>
      <c r="U306" s="14" t="s">
        <v>97</v>
      </c>
      <c r="V306" s="15"/>
      <c r="W306" s="16" t="str">
        <f aca="false">A306</f>
        <v>KL</v>
      </c>
      <c r="X306" s="17" t="e">
        <f aca="false">ifs(C306="","",X306="",NOW(),TRUE(),X306)</f>
        <v>#VALUE!</v>
      </c>
      <c r="Y306" s="17" t="e">
        <f aca="false">ifs(COUNTA(K306:U309)&lt;44,"",Y306="",NOW(),TRUE(),Y306)</f>
        <v>#VALUE!</v>
      </c>
    </row>
    <row r="307" customFormat="false" ht="14.15" hidden="false" customHeight="false" outlineLevel="0" collapsed="false">
      <c r="A307" s="9"/>
      <c r="B307" s="10"/>
      <c r="C307" s="10"/>
      <c r="D307" s="10"/>
      <c r="E307" s="10"/>
      <c r="F307" s="10"/>
      <c r="G307" s="10"/>
      <c r="H307" s="10"/>
      <c r="I307" s="18" t="n">
        <v>2</v>
      </c>
      <c r="J307" s="18"/>
      <c r="K307" s="19" t="n">
        <f aca="false">41.46</f>
        <v>41.46</v>
      </c>
      <c r="L307" s="19" t="n">
        <f aca="false">146.39</f>
        <v>146.39</v>
      </c>
      <c r="M307" s="18" t="n">
        <v>12</v>
      </c>
      <c r="N307" s="18" t="n">
        <v>36</v>
      </c>
      <c r="O307" s="18" t="n">
        <v>119.7</v>
      </c>
      <c r="P307" s="19" t="n">
        <f aca="false">24.65</f>
        <v>24.65</v>
      </c>
      <c r="Q307" s="19" t="n">
        <f aca="false">165.58</f>
        <v>165.58</v>
      </c>
      <c r="R307" s="18" t="n">
        <v>13.45</v>
      </c>
      <c r="S307" s="18" t="n">
        <v>25</v>
      </c>
      <c r="T307" s="18" t="n">
        <v>426</v>
      </c>
      <c r="U307" s="20" t="s">
        <v>97</v>
      </c>
      <c r="V307" s="21"/>
      <c r="W307" s="16"/>
      <c r="X307" s="16"/>
      <c r="Y307" s="16"/>
    </row>
    <row r="308" customFormat="false" ht="14.15" hidden="false" customHeight="false" outlineLevel="0" collapsed="false">
      <c r="A308" s="9"/>
      <c r="B308" s="10"/>
      <c r="C308" s="10"/>
      <c r="D308" s="10"/>
      <c r="E308" s="10"/>
      <c r="F308" s="10"/>
      <c r="G308" s="10"/>
      <c r="H308" s="10"/>
      <c r="I308" s="22" t="n">
        <v>3</v>
      </c>
      <c r="J308" s="22" t="s">
        <v>47</v>
      </c>
      <c r="K308" s="23" t="n">
        <f aca="false">43.37</f>
        <v>43.37</v>
      </c>
      <c r="L308" s="23" t="n">
        <f aca="false">136.84</f>
        <v>136.84</v>
      </c>
      <c r="M308" s="22" t="n">
        <v>14</v>
      </c>
      <c r="N308" s="22" t="n">
        <v>30</v>
      </c>
      <c r="O308" s="22" t="n">
        <v>124.6</v>
      </c>
      <c r="P308" s="23" t="n">
        <f aca="false">24.19</f>
        <v>24.19</v>
      </c>
      <c r="Q308" s="23" t="n">
        <f aca="false">157.31</f>
        <v>157.31</v>
      </c>
      <c r="R308" s="22" t="n">
        <v>14.4</v>
      </c>
      <c r="S308" s="22" t="n">
        <v>26.65</v>
      </c>
      <c r="T308" s="22" t="n">
        <v>418</v>
      </c>
      <c r="U308" s="24" t="s">
        <v>29</v>
      </c>
      <c r="V308" s="15"/>
      <c r="W308" s="16"/>
      <c r="X308" s="16"/>
      <c r="Y308" s="16"/>
    </row>
    <row r="309" customFormat="false" ht="14.15" hidden="false" customHeight="false" outlineLevel="0" collapsed="false">
      <c r="A309" s="9"/>
      <c r="B309" s="10"/>
      <c r="C309" s="10"/>
      <c r="D309" s="10"/>
      <c r="E309" s="10"/>
      <c r="F309" s="10"/>
      <c r="G309" s="10"/>
      <c r="H309" s="10"/>
      <c r="I309" s="25" t="n">
        <v>4</v>
      </c>
      <c r="J309" s="25" t="s">
        <v>35</v>
      </c>
      <c r="K309" s="26" t="n">
        <f aca="false">43.32</f>
        <v>43.32</v>
      </c>
      <c r="L309" s="26" t="n">
        <f aca="false">112.53</f>
        <v>112.53</v>
      </c>
      <c r="M309" s="25" t="n">
        <v>16</v>
      </c>
      <c r="N309" s="25" t="n">
        <v>28</v>
      </c>
      <c r="O309" s="25" t="n">
        <v>103.45</v>
      </c>
      <c r="P309" s="26" t="n">
        <f aca="false">24.34</f>
        <v>24.34</v>
      </c>
      <c r="Q309" s="26" t="n">
        <f aca="false">141.81</f>
        <v>141.81</v>
      </c>
      <c r="R309" s="25" t="n">
        <v>11.35</v>
      </c>
      <c r="S309" s="25" t="n">
        <v>23.3</v>
      </c>
      <c r="T309" s="25" t="n">
        <v>398</v>
      </c>
      <c r="U309" s="27" t="s">
        <v>97</v>
      </c>
      <c r="V309" s="21"/>
      <c r="W309" s="16"/>
      <c r="X309" s="16"/>
      <c r="Y309" s="16"/>
    </row>
    <row r="310" customFormat="false" ht="15.75" hidden="false" customHeight="true" outlineLevel="0" collapsed="false">
      <c r="A310" s="9" t="s">
        <v>25</v>
      </c>
      <c r="B310" s="10" t="s">
        <v>26</v>
      </c>
      <c r="C310" s="11" t="s">
        <v>134</v>
      </c>
      <c r="D310" s="10" t="s">
        <v>28</v>
      </c>
      <c r="E310" s="10" t="s">
        <v>28</v>
      </c>
      <c r="F310" s="10"/>
      <c r="G310" s="10" t="n">
        <v>10</v>
      </c>
      <c r="H310" s="10" t="n">
        <v>1.8</v>
      </c>
      <c r="I310" s="12" t="n">
        <v>1</v>
      </c>
      <c r="J310" s="12"/>
      <c r="K310" s="13" t="n">
        <f aca="false">42.82</f>
        <v>42.82</v>
      </c>
      <c r="L310" s="13" t="n">
        <f aca="false">163.91</f>
        <v>163.91</v>
      </c>
      <c r="M310" s="12" t="n">
        <v>12</v>
      </c>
      <c r="N310" s="12" t="n">
        <v>36</v>
      </c>
      <c r="O310" s="12" t="n">
        <v>153.55</v>
      </c>
      <c r="P310" s="13" t="n">
        <f aca="false">24.52</f>
        <v>24.52</v>
      </c>
      <c r="Q310" s="13" t="n">
        <f aca="false">173.92</f>
        <v>173.92</v>
      </c>
      <c r="R310" s="12" t="n">
        <v>17.5</v>
      </c>
      <c r="S310" s="12" t="n">
        <v>32.6</v>
      </c>
      <c r="T310" s="12" t="n">
        <v>426</v>
      </c>
      <c r="U310" s="14" t="s">
        <v>29</v>
      </c>
      <c r="V310" s="15"/>
      <c r="W310" s="16" t="str">
        <f aca="false">A310</f>
        <v>KL</v>
      </c>
      <c r="X310" s="17" t="e">
        <f aca="false">ifs(C310="","",X310="",NOW(),TRUE(),X310)</f>
        <v>#VALUE!</v>
      </c>
      <c r="Y310" s="17" t="e">
        <f aca="false">ifs(COUNTA(K310:U313)&lt;44,"",Y310="",NOW(),TRUE(),Y310)</f>
        <v>#VALUE!</v>
      </c>
    </row>
    <row r="311" customFormat="false" ht="14.15" hidden="false" customHeight="false" outlineLevel="0" collapsed="false">
      <c r="A311" s="9"/>
      <c r="B311" s="10"/>
      <c r="C311" s="10"/>
      <c r="D311" s="10"/>
      <c r="E311" s="10"/>
      <c r="F311" s="10"/>
      <c r="G311" s="10"/>
      <c r="H311" s="10"/>
      <c r="I311" s="18" t="n">
        <v>2</v>
      </c>
      <c r="J311" s="18"/>
      <c r="K311" s="19" t="n">
        <f aca="false">42.01</f>
        <v>42.01</v>
      </c>
      <c r="L311" s="19" t="n">
        <f aca="false">154.27</f>
        <v>154.27</v>
      </c>
      <c r="M311" s="18" t="n">
        <v>12</v>
      </c>
      <c r="N311" s="18" t="n">
        <v>34</v>
      </c>
      <c r="O311" s="18" t="n">
        <v>137.7</v>
      </c>
      <c r="P311" s="19" t="n">
        <f aca="false">23.73</f>
        <v>23.73</v>
      </c>
      <c r="Q311" s="19" t="n">
        <f aca="false">168.65</f>
        <v>168.65</v>
      </c>
      <c r="R311" s="18" t="n">
        <v>15.05</v>
      </c>
      <c r="S311" s="18" t="n">
        <v>30.95</v>
      </c>
      <c r="T311" s="18" t="n">
        <v>422</v>
      </c>
      <c r="U311" s="20" t="s">
        <v>29</v>
      </c>
      <c r="V311" s="21"/>
      <c r="W311" s="16"/>
      <c r="X311" s="16"/>
      <c r="Y311" s="16"/>
    </row>
    <row r="312" customFormat="false" ht="14.15" hidden="false" customHeight="false" outlineLevel="0" collapsed="false">
      <c r="A312" s="9"/>
      <c r="B312" s="10"/>
      <c r="C312" s="10"/>
      <c r="D312" s="10"/>
      <c r="E312" s="10"/>
      <c r="F312" s="10"/>
      <c r="G312" s="10"/>
      <c r="H312" s="10"/>
      <c r="I312" s="22" t="n">
        <v>3</v>
      </c>
      <c r="J312" s="22"/>
      <c r="K312" s="23" t="n">
        <f aca="false">41.64</f>
        <v>41.64</v>
      </c>
      <c r="L312" s="23" t="n">
        <f aca="false">138.03</f>
        <v>138.03</v>
      </c>
      <c r="M312" s="22" t="n">
        <v>16</v>
      </c>
      <c r="N312" s="22" t="n">
        <v>30</v>
      </c>
      <c r="O312" s="22" t="n">
        <v>112.35</v>
      </c>
      <c r="P312" s="23" t="n">
        <f aca="false">24.32</f>
        <v>24.32</v>
      </c>
      <c r="Q312" s="23" t="n">
        <f aca="false">149.48</f>
        <v>149.48</v>
      </c>
      <c r="R312" s="22" t="n">
        <v>11.4</v>
      </c>
      <c r="S312" s="22" t="n">
        <v>22.1</v>
      </c>
      <c r="T312" s="22" t="n">
        <v>462</v>
      </c>
      <c r="U312" s="24" t="s">
        <v>29</v>
      </c>
      <c r="V312" s="15"/>
      <c r="W312" s="16"/>
      <c r="X312" s="16"/>
      <c r="Y312" s="16"/>
    </row>
    <row r="313" customFormat="false" ht="14.15" hidden="false" customHeight="false" outlineLevel="0" collapsed="false">
      <c r="A313" s="9"/>
      <c r="B313" s="10"/>
      <c r="C313" s="10"/>
      <c r="D313" s="10"/>
      <c r="E313" s="10"/>
      <c r="F313" s="10"/>
      <c r="G313" s="10"/>
      <c r="H313" s="10"/>
      <c r="I313" s="25" t="n">
        <v>4</v>
      </c>
      <c r="J313" s="25"/>
      <c r="K313" s="26" t="n">
        <f aca="false">40.6</f>
        <v>40.6</v>
      </c>
      <c r="L313" s="26" t="n">
        <f aca="false">139.94</f>
        <v>139.94</v>
      </c>
      <c r="M313" s="25" t="n">
        <v>14</v>
      </c>
      <c r="N313" s="25" t="n">
        <v>30</v>
      </c>
      <c r="O313" s="25" t="n">
        <v>105.8</v>
      </c>
      <c r="P313" s="26" t="n">
        <f aca="false">24.32</f>
        <v>24.32</v>
      </c>
      <c r="Q313" s="26" t="n">
        <f aca="false">150.21</f>
        <v>150.21</v>
      </c>
      <c r="R313" s="25" t="n">
        <v>10.75</v>
      </c>
      <c r="S313" s="25" t="n">
        <v>23.95</v>
      </c>
      <c r="T313" s="25" t="n">
        <v>427</v>
      </c>
      <c r="U313" s="27" t="s">
        <v>29</v>
      </c>
      <c r="V313" s="21"/>
      <c r="W313" s="16"/>
      <c r="X313" s="16"/>
      <c r="Y313" s="16"/>
    </row>
    <row r="314" customFormat="false" ht="15.75" hidden="false" customHeight="true" outlineLevel="0" collapsed="false">
      <c r="A314" s="9" t="s">
        <v>25</v>
      </c>
      <c r="B314" s="10" t="s">
        <v>26</v>
      </c>
      <c r="C314" s="11" t="s">
        <v>135</v>
      </c>
      <c r="D314" s="10" t="s">
        <v>28</v>
      </c>
      <c r="E314" s="10" t="s">
        <v>28</v>
      </c>
      <c r="F314" s="10"/>
      <c r="G314" s="10" t="n">
        <v>46</v>
      </c>
      <c r="H314" s="10" t="n">
        <v>11.5</v>
      </c>
      <c r="I314" s="12" t="n">
        <v>1</v>
      </c>
      <c r="J314" s="12" t="s">
        <v>47</v>
      </c>
      <c r="K314" s="13" t="n">
        <f aca="false">45.79</f>
        <v>45.79</v>
      </c>
      <c r="L314" s="13" t="n">
        <f aca="false">111.53</f>
        <v>111.53</v>
      </c>
      <c r="M314" s="12" t="n">
        <v>14</v>
      </c>
      <c r="N314" s="12" t="n">
        <v>26</v>
      </c>
      <c r="O314" s="12" t="n">
        <v>110.35</v>
      </c>
      <c r="P314" s="13" t="n">
        <f aca="false">27.04</f>
        <v>27.04</v>
      </c>
      <c r="Q314" s="13" t="n">
        <f aca="false">114.96</f>
        <v>114.96</v>
      </c>
      <c r="R314" s="12" t="n">
        <v>17.1</v>
      </c>
      <c r="S314" s="12" t="n">
        <v>26.75</v>
      </c>
      <c r="T314" s="12" t="n">
        <v>352</v>
      </c>
      <c r="U314" s="14" t="s">
        <v>29</v>
      </c>
      <c r="V314" s="15"/>
      <c r="W314" s="16" t="str">
        <f aca="false">A314</f>
        <v>KL</v>
      </c>
      <c r="X314" s="17" t="e">
        <f aca="false">ifs(C314="","",X314="",NOW(),TRUE(),X314)</f>
        <v>#VALUE!</v>
      </c>
      <c r="Y314" s="17" t="e">
        <f aca="false">ifs(COUNTA(K314:U317)&lt;44,"",Y314="",NOW(),TRUE(),Y314)</f>
        <v>#VALUE!</v>
      </c>
    </row>
    <row r="315" customFormat="false" ht="14.15" hidden="false" customHeight="false" outlineLevel="0" collapsed="false">
      <c r="A315" s="9"/>
      <c r="B315" s="10"/>
      <c r="C315" s="10"/>
      <c r="D315" s="10"/>
      <c r="E315" s="10"/>
      <c r="F315" s="10"/>
      <c r="G315" s="10"/>
      <c r="H315" s="10"/>
      <c r="I315" s="18" t="n">
        <v>2</v>
      </c>
      <c r="J315" s="18"/>
      <c r="K315" s="19" t="n">
        <f aca="false">47.13</f>
        <v>47.13</v>
      </c>
      <c r="L315" s="19" t="n">
        <f aca="false">112.29</f>
        <v>112.29</v>
      </c>
      <c r="M315" s="18" t="n">
        <v>14</v>
      </c>
      <c r="N315" s="18" t="n">
        <v>26</v>
      </c>
      <c r="O315" s="18" t="n">
        <v>115.6</v>
      </c>
      <c r="P315" s="19" t="n">
        <f aca="false">30.49</f>
        <v>30.49</v>
      </c>
      <c r="Q315" s="19" t="n">
        <f aca="false">112.78</f>
        <v>112.78</v>
      </c>
      <c r="R315" s="18" t="n">
        <v>17.65</v>
      </c>
      <c r="S315" s="18" t="n">
        <v>29</v>
      </c>
      <c r="T315" s="18" t="n">
        <v>349</v>
      </c>
      <c r="U315" s="20" t="s">
        <v>29</v>
      </c>
      <c r="V315" s="21"/>
      <c r="W315" s="16"/>
      <c r="X315" s="16"/>
      <c r="Y315" s="16"/>
    </row>
    <row r="316" customFormat="false" ht="14.15" hidden="false" customHeight="false" outlineLevel="0" collapsed="false">
      <c r="A316" s="9"/>
      <c r="B316" s="10"/>
      <c r="C316" s="10"/>
      <c r="D316" s="10"/>
      <c r="E316" s="10"/>
      <c r="F316" s="10"/>
      <c r="G316" s="10"/>
      <c r="H316" s="10"/>
      <c r="I316" s="22" t="n">
        <v>3</v>
      </c>
      <c r="J316" s="22" t="s">
        <v>47</v>
      </c>
      <c r="K316" s="23" t="n">
        <f aca="false">47.12</f>
        <v>47.12</v>
      </c>
      <c r="L316" s="23" t="n">
        <f aca="false">80.1</f>
        <v>80.1</v>
      </c>
      <c r="M316" s="22" t="n">
        <v>18</v>
      </c>
      <c r="N316" s="22" t="n">
        <v>18</v>
      </c>
      <c r="O316" s="22" t="n">
        <v>91.8</v>
      </c>
      <c r="P316" s="23" t="n">
        <f aca="false">30.96</f>
        <v>30.96</v>
      </c>
      <c r="Q316" s="23" t="n">
        <f aca="false">109.9</f>
        <v>109.9</v>
      </c>
      <c r="R316" s="22" t="n">
        <v>16.1</v>
      </c>
      <c r="S316" s="22" t="n">
        <v>24.75</v>
      </c>
      <c r="T316" s="22" t="n">
        <v>319</v>
      </c>
      <c r="U316" s="24" t="s">
        <v>29</v>
      </c>
      <c r="V316" s="15"/>
      <c r="W316" s="16"/>
      <c r="X316" s="16"/>
      <c r="Y316" s="16"/>
    </row>
    <row r="317" customFormat="false" ht="14.15" hidden="false" customHeight="false" outlineLevel="0" collapsed="false">
      <c r="A317" s="9"/>
      <c r="B317" s="10"/>
      <c r="C317" s="10"/>
      <c r="D317" s="10"/>
      <c r="E317" s="10"/>
      <c r="F317" s="10"/>
      <c r="G317" s="10"/>
      <c r="H317" s="10"/>
      <c r="I317" s="25" t="n">
        <v>4</v>
      </c>
      <c r="J317" s="25"/>
      <c r="K317" s="26" t="n">
        <f aca="false">43.45</f>
        <v>43.45</v>
      </c>
      <c r="L317" s="26" t="n">
        <f aca="false">92.1</f>
        <v>92.1</v>
      </c>
      <c r="M317" s="25" t="n">
        <v>16</v>
      </c>
      <c r="N317" s="25" t="n">
        <v>18</v>
      </c>
      <c r="O317" s="25" t="n">
        <v>79.35</v>
      </c>
      <c r="P317" s="26" t="n">
        <f aca="false">27.56</f>
        <v>27.56</v>
      </c>
      <c r="Q317" s="26" t="n">
        <f aca="false">128.6</f>
        <v>128.6</v>
      </c>
      <c r="R317" s="25" t="n">
        <v>16.3</v>
      </c>
      <c r="S317" s="25" t="n">
        <v>27.3</v>
      </c>
      <c r="T317" s="25" t="n">
        <v>242</v>
      </c>
      <c r="U317" s="27" t="s">
        <v>29</v>
      </c>
      <c r="V317" s="21"/>
      <c r="W317" s="16"/>
      <c r="X317" s="16"/>
      <c r="Y317" s="16"/>
    </row>
    <row r="318" customFormat="false" ht="15.75" hidden="false" customHeight="true" outlineLevel="0" collapsed="false">
      <c r="A318" s="9" t="s">
        <v>25</v>
      </c>
      <c r="B318" s="10" t="s">
        <v>26</v>
      </c>
      <c r="C318" s="11" t="s">
        <v>136</v>
      </c>
      <c r="D318" s="10" t="s">
        <v>28</v>
      </c>
      <c r="E318" s="10" t="s">
        <v>28</v>
      </c>
      <c r="F318" s="10"/>
      <c r="G318" s="10" t="n">
        <v>9</v>
      </c>
      <c r="H318" s="10" t="n">
        <v>2.2</v>
      </c>
      <c r="I318" s="12" t="n">
        <v>1</v>
      </c>
      <c r="J318" s="12"/>
      <c r="K318" s="13" t="n">
        <f aca="false">48.18</f>
        <v>48.18</v>
      </c>
      <c r="L318" s="13" t="n">
        <f aca="false">170.3</f>
        <v>170.3</v>
      </c>
      <c r="M318" s="12" t="n">
        <v>14</v>
      </c>
      <c r="N318" s="12" t="n">
        <v>36</v>
      </c>
      <c r="O318" s="12" t="n">
        <v>206.4</v>
      </c>
      <c r="P318" s="13" t="n">
        <f aca="false">28.09</f>
        <v>28.09</v>
      </c>
      <c r="Q318" s="13" t="n">
        <f aca="false">172.53</f>
        <v>172.53</v>
      </c>
      <c r="R318" s="12" t="n">
        <v>30.65</v>
      </c>
      <c r="S318" s="12" t="n">
        <v>34.8</v>
      </c>
      <c r="T318" s="12" t="n">
        <v>539</v>
      </c>
      <c r="U318" s="14" t="s">
        <v>29</v>
      </c>
      <c r="V318" s="15"/>
      <c r="W318" s="16" t="str">
        <f aca="false">A318</f>
        <v>KL</v>
      </c>
      <c r="X318" s="17" t="e">
        <f aca="false">ifs(C318="","",X318="",NOW(),TRUE(),X318)</f>
        <v>#VALUE!</v>
      </c>
      <c r="Y318" s="17" t="e">
        <f aca="false">ifs(COUNTA(K318:U321)&lt;44,"",Y318="",NOW(),TRUE(),Y318)</f>
        <v>#VALUE!</v>
      </c>
    </row>
    <row r="319" customFormat="false" ht="14.15" hidden="false" customHeight="false" outlineLevel="0" collapsed="false">
      <c r="A319" s="9"/>
      <c r="B319" s="10"/>
      <c r="C319" s="10"/>
      <c r="D319" s="10"/>
      <c r="E319" s="10"/>
      <c r="F319" s="10"/>
      <c r="G319" s="10"/>
      <c r="H319" s="10"/>
      <c r="I319" s="18" t="n">
        <v>2</v>
      </c>
      <c r="J319" s="18" t="s">
        <v>36</v>
      </c>
      <c r="K319" s="19" t="n">
        <f aca="false">46.64</f>
        <v>46.64</v>
      </c>
      <c r="L319" s="19" t="n">
        <f aca="false">165.34</f>
        <v>165.34</v>
      </c>
      <c r="M319" s="18" t="n">
        <v>18</v>
      </c>
      <c r="N319" s="18" t="n">
        <v>34</v>
      </c>
      <c r="O319" s="18" t="n">
        <v>180.1</v>
      </c>
      <c r="P319" s="19" t="n">
        <f aca="false">28.15</f>
        <v>28.15</v>
      </c>
      <c r="Q319" s="19" t="n">
        <f aca="false">169.23</f>
        <v>169.23</v>
      </c>
      <c r="R319" s="18" t="n">
        <v>23.05</v>
      </c>
      <c r="S319" s="18" t="n">
        <v>25.1</v>
      </c>
      <c r="T319" s="18" t="n">
        <v>641</v>
      </c>
      <c r="U319" s="20" t="s">
        <v>29</v>
      </c>
      <c r="V319" s="21"/>
      <c r="W319" s="16"/>
      <c r="X319" s="16"/>
      <c r="Y319" s="16"/>
    </row>
    <row r="320" customFormat="false" ht="14.15" hidden="false" customHeight="false" outlineLevel="0" collapsed="false">
      <c r="A320" s="9"/>
      <c r="B320" s="10"/>
      <c r="C320" s="10"/>
      <c r="D320" s="10"/>
      <c r="E320" s="10"/>
      <c r="F320" s="10"/>
      <c r="G320" s="10"/>
      <c r="H320" s="10"/>
      <c r="I320" s="22" t="n">
        <v>3</v>
      </c>
      <c r="J320" s="22"/>
      <c r="K320" s="23" t="n">
        <f aca="false">44.28</f>
        <v>44.28</v>
      </c>
      <c r="L320" s="23" t="n">
        <f aca="false">160.36</f>
        <v>160.36</v>
      </c>
      <c r="M320" s="22" t="n">
        <v>14</v>
      </c>
      <c r="N320" s="22" t="n">
        <v>38</v>
      </c>
      <c r="O320" s="22" t="n">
        <v>162.4</v>
      </c>
      <c r="P320" s="23" t="n">
        <f aca="false">25.01</f>
        <v>25.01</v>
      </c>
      <c r="Q320" s="23" t="n">
        <f aca="false">161</f>
        <v>161</v>
      </c>
      <c r="R320" s="22" t="n">
        <v>18.7</v>
      </c>
      <c r="S320" s="22" t="n">
        <v>26.45</v>
      </c>
      <c r="T320" s="22" t="n">
        <v>530</v>
      </c>
      <c r="U320" s="24" t="s">
        <v>29</v>
      </c>
      <c r="V320" s="15"/>
      <c r="W320" s="16"/>
      <c r="X320" s="16"/>
      <c r="Y320" s="16"/>
    </row>
    <row r="321" customFormat="false" ht="14.15" hidden="false" customHeight="false" outlineLevel="0" collapsed="false">
      <c r="A321" s="9"/>
      <c r="B321" s="10"/>
      <c r="C321" s="10"/>
      <c r="D321" s="10"/>
      <c r="E321" s="10"/>
      <c r="F321" s="10"/>
      <c r="G321" s="10"/>
      <c r="H321" s="10"/>
      <c r="I321" s="25" t="n">
        <v>4</v>
      </c>
      <c r="J321" s="25"/>
      <c r="K321" s="26" t="n">
        <f aca="false">43.39</f>
        <v>43.39</v>
      </c>
      <c r="L321" s="26" t="n">
        <f aca="false">138.13</f>
        <v>138.13</v>
      </c>
      <c r="M321" s="25" t="n">
        <v>18</v>
      </c>
      <c r="N321" s="25" t="n">
        <v>30</v>
      </c>
      <c r="O321" s="25" t="n">
        <v>135.95</v>
      </c>
      <c r="P321" s="26" t="n">
        <f aca="false">24.74</f>
        <v>24.74</v>
      </c>
      <c r="Q321" s="26" t="n">
        <f aca="false">147.88</f>
        <v>147.88</v>
      </c>
      <c r="R321" s="25" t="n">
        <v>13.55</v>
      </c>
      <c r="S321" s="25" t="n">
        <v>23.05</v>
      </c>
      <c r="T321" s="25" t="n">
        <v>512</v>
      </c>
      <c r="U321" s="27" t="s">
        <v>29</v>
      </c>
      <c r="V321" s="21"/>
      <c r="W321" s="16"/>
      <c r="X321" s="16"/>
      <c r="Y321" s="16"/>
    </row>
    <row r="322" customFormat="false" ht="15.75" hidden="false" customHeight="true" outlineLevel="0" collapsed="false">
      <c r="A322" s="9" t="s">
        <v>25</v>
      </c>
      <c r="B322" s="10" t="s">
        <v>26</v>
      </c>
      <c r="C322" s="11" t="s">
        <v>137</v>
      </c>
      <c r="D322" s="10" t="s">
        <v>28</v>
      </c>
      <c r="E322" s="10" t="s">
        <v>28</v>
      </c>
      <c r="F322" s="10"/>
      <c r="G322" s="10" t="n">
        <v>49</v>
      </c>
      <c r="H322" s="10" t="n">
        <v>9.4</v>
      </c>
      <c r="I322" s="12" t="n">
        <v>1</v>
      </c>
      <c r="J322" s="12" t="s">
        <v>35</v>
      </c>
      <c r="K322" s="13" t="n">
        <f aca="false">44.7</f>
        <v>44.7</v>
      </c>
      <c r="L322" s="13" t="n">
        <f aca="false">132.37</f>
        <v>132.37</v>
      </c>
      <c r="M322" s="12" t="n">
        <v>16</v>
      </c>
      <c r="N322" s="12" t="n">
        <v>24</v>
      </c>
      <c r="O322" s="12" t="n">
        <v>124.8</v>
      </c>
      <c r="P322" s="13" t="n">
        <f aca="false">27.88</f>
        <v>27.88</v>
      </c>
      <c r="Q322" s="13" t="n">
        <f aca="false">129.91</f>
        <v>129.91</v>
      </c>
      <c r="R322" s="12" t="n">
        <v>15.65</v>
      </c>
      <c r="S322" s="12" t="n">
        <v>33.65</v>
      </c>
      <c r="T322" s="12" t="n">
        <v>339</v>
      </c>
      <c r="U322" s="14" t="s">
        <v>29</v>
      </c>
      <c r="V322" s="15"/>
      <c r="W322" s="16" t="str">
        <f aca="false">A322</f>
        <v>KL</v>
      </c>
      <c r="X322" s="17" t="e">
        <f aca="false">ifs(C322="","",X322="",NOW(),TRUE(),X322)</f>
        <v>#VALUE!</v>
      </c>
      <c r="Y322" s="17" t="e">
        <f aca="false">ifs(COUNTA(K322:U325)&lt;44,"",Y322="",NOW(),TRUE(),Y322)</f>
        <v>#VALUE!</v>
      </c>
    </row>
    <row r="323" customFormat="false" ht="14.15" hidden="false" customHeight="false" outlineLevel="0" collapsed="false">
      <c r="A323" s="9"/>
      <c r="B323" s="10"/>
      <c r="C323" s="10"/>
      <c r="D323" s="10"/>
      <c r="E323" s="10"/>
      <c r="F323" s="10"/>
      <c r="G323" s="10"/>
      <c r="H323" s="10"/>
      <c r="I323" s="18" t="n">
        <v>2</v>
      </c>
      <c r="J323" s="18" t="s">
        <v>49</v>
      </c>
      <c r="K323" s="19" t="n">
        <f aca="false">38.85</f>
        <v>38.85</v>
      </c>
      <c r="L323" s="19" t="n">
        <f aca="false">113.66</f>
        <v>113.66</v>
      </c>
      <c r="M323" s="18" t="n">
        <v>18</v>
      </c>
      <c r="N323" s="18" t="n">
        <v>26</v>
      </c>
      <c r="O323" s="18" t="n">
        <v>89.4</v>
      </c>
      <c r="P323" s="19" t="n">
        <f aca="false">23.15</f>
        <v>23.15</v>
      </c>
      <c r="Q323" s="19" t="n">
        <f aca="false">129.16</f>
        <v>129.16</v>
      </c>
      <c r="R323" s="18" t="n">
        <v>7.8</v>
      </c>
      <c r="S323" s="18" t="n">
        <v>17.2</v>
      </c>
      <c r="T323" s="18" t="n">
        <v>472</v>
      </c>
      <c r="U323" s="20" t="s">
        <v>29</v>
      </c>
      <c r="V323" s="21"/>
      <c r="W323" s="16"/>
      <c r="X323" s="16"/>
      <c r="Y323" s="16"/>
    </row>
    <row r="324" customFormat="false" ht="14.15" hidden="false" customHeight="false" outlineLevel="0" collapsed="false">
      <c r="A324" s="9"/>
      <c r="B324" s="10"/>
      <c r="C324" s="10"/>
      <c r="D324" s="10"/>
      <c r="E324" s="10"/>
      <c r="F324" s="10"/>
      <c r="G324" s="10"/>
      <c r="H324" s="10"/>
      <c r="I324" s="22" t="n">
        <v>3</v>
      </c>
      <c r="J324" s="22" t="s">
        <v>49</v>
      </c>
      <c r="K324" s="23" t="n">
        <f aca="false">41.68</f>
        <v>41.68</v>
      </c>
      <c r="L324" s="23" t="n">
        <f aca="false">113.75</f>
        <v>113.75</v>
      </c>
      <c r="M324" s="22" t="n">
        <v>16</v>
      </c>
      <c r="N324" s="22" t="n">
        <v>26</v>
      </c>
      <c r="O324" s="22" t="n">
        <v>100</v>
      </c>
      <c r="P324" s="23" t="n">
        <f aca="false">24.42</f>
        <v>24.42</v>
      </c>
      <c r="Q324" s="23" t="n">
        <f aca="false">139.43</f>
        <v>139.43</v>
      </c>
      <c r="R324" s="22" t="n">
        <v>9.05</v>
      </c>
      <c r="S324" s="22" t="n">
        <v>22.2</v>
      </c>
      <c r="T324" s="22" t="n">
        <v>422</v>
      </c>
      <c r="U324" s="24" t="s">
        <v>29</v>
      </c>
      <c r="V324" s="15"/>
      <c r="W324" s="16"/>
      <c r="X324" s="16"/>
      <c r="Y324" s="16"/>
    </row>
    <row r="325" customFormat="false" ht="14.15" hidden="false" customHeight="false" outlineLevel="0" collapsed="false">
      <c r="A325" s="9"/>
      <c r="B325" s="10"/>
      <c r="C325" s="10"/>
      <c r="D325" s="10"/>
      <c r="E325" s="10"/>
      <c r="F325" s="10"/>
      <c r="G325" s="10"/>
      <c r="H325" s="10"/>
      <c r="I325" s="25" t="n">
        <v>4</v>
      </c>
      <c r="J325" s="25" t="s">
        <v>49</v>
      </c>
      <c r="K325" s="26" t="n">
        <f aca="false">35.5</f>
        <v>35.5</v>
      </c>
      <c r="L325" s="26" t="n">
        <f aca="false">107.33</f>
        <v>107.33</v>
      </c>
      <c r="M325" s="25" t="n">
        <v>16</v>
      </c>
      <c r="N325" s="25" t="n">
        <v>24</v>
      </c>
      <c r="O325" s="25" t="n">
        <v>81.3</v>
      </c>
      <c r="P325" s="26" t="n">
        <f aca="false">22.01</f>
        <v>22.01</v>
      </c>
      <c r="Q325" s="26" t="n">
        <f aca="false">133.48</f>
        <v>133.48</v>
      </c>
      <c r="R325" s="25" t="n">
        <v>7.55</v>
      </c>
      <c r="S325" s="25" t="n">
        <v>18.45</v>
      </c>
      <c r="T325" s="25" t="n">
        <v>395</v>
      </c>
      <c r="U325" s="27" t="s">
        <v>29</v>
      </c>
      <c r="V325" s="21"/>
      <c r="W325" s="16"/>
      <c r="X325" s="16"/>
      <c r="Y325" s="16"/>
    </row>
    <row r="326" customFormat="false" ht="15.75" hidden="false" customHeight="true" outlineLevel="0" collapsed="false">
      <c r="A326" s="9" t="s">
        <v>25</v>
      </c>
      <c r="B326" s="10" t="s">
        <v>26</v>
      </c>
      <c r="C326" s="11" t="s">
        <v>138</v>
      </c>
      <c r="D326" s="10" t="s">
        <v>28</v>
      </c>
      <c r="E326" s="10" t="s">
        <v>28</v>
      </c>
      <c r="F326" s="10"/>
      <c r="G326" s="10" t="n">
        <v>42</v>
      </c>
      <c r="H326" s="10" t="n">
        <v>7.75</v>
      </c>
      <c r="I326" s="12" t="n">
        <v>1</v>
      </c>
      <c r="J326" s="12"/>
      <c r="K326" s="13" t="n">
        <f aca="false">43.89</f>
        <v>43.89</v>
      </c>
      <c r="L326" s="13" t="n">
        <f aca="false">171.66</f>
        <v>171.66</v>
      </c>
      <c r="M326" s="12" t="n">
        <v>14</v>
      </c>
      <c r="N326" s="12" t="n">
        <v>38</v>
      </c>
      <c r="O326" s="12" t="n">
        <v>172.7</v>
      </c>
      <c r="P326" s="13" t="n">
        <f aca="false">25.48</f>
        <v>25.48</v>
      </c>
      <c r="Q326" s="13" t="n">
        <f aca="false">185.7</f>
        <v>185.7</v>
      </c>
      <c r="R326" s="12" t="n">
        <v>23.9</v>
      </c>
      <c r="S326" s="12" t="n">
        <v>27</v>
      </c>
      <c r="T326" s="12" t="n">
        <v>566</v>
      </c>
      <c r="U326" s="14" t="s">
        <v>29</v>
      </c>
      <c r="V326" s="15"/>
      <c r="W326" s="16" t="str">
        <f aca="false">A326</f>
        <v>KL</v>
      </c>
      <c r="X326" s="17" t="e">
        <f aca="false">ifs(C326="","",X326="",NOW(),TRUE(),X326)</f>
        <v>#VALUE!</v>
      </c>
      <c r="Y326" s="17" t="e">
        <f aca="false">ifs(COUNTA(K326:U329)&lt;44,"",Y326="",NOW(),TRUE(),Y326)</f>
        <v>#VALUE!</v>
      </c>
    </row>
    <row r="327" customFormat="false" ht="14.15" hidden="false" customHeight="false" outlineLevel="0" collapsed="false">
      <c r="A327" s="9"/>
      <c r="B327" s="10"/>
      <c r="C327" s="10"/>
      <c r="D327" s="10"/>
      <c r="E327" s="10"/>
      <c r="F327" s="10"/>
      <c r="G327" s="10"/>
      <c r="H327" s="10"/>
      <c r="I327" s="18" t="n">
        <v>2</v>
      </c>
      <c r="J327" s="18"/>
      <c r="K327" s="19" t="n">
        <f aca="false">43.87</f>
        <v>43.87</v>
      </c>
      <c r="L327" s="19" t="n">
        <f aca="false">154.08</f>
        <v>154.08</v>
      </c>
      <c r="M327" s="18" t="n">
        <v>16</v>
      </c>
      <c r="N327" s="18" t="n">
        <v>34</v>
      </c>
      <c r="O327" s="18" t="n">
        <v>148.4</v>
      </c>
      <c r="P327" s="19" t="n">
        <f aca="false">25.44</f>
        <v>25.44</v>
      </c>
      <c r="Q327" s="19" t="n">
        <f aca="false">165.19</f>
        <v>165.19</v>
      </c>
      <c r="R327" s="18" t="n">
        <v>19.3</v>
      </c>
      <c r="S327" s="18" t="n">
        <v>23.55</v>
      </c>
      <c r="T327" s="18" t="n">
        <v>554</v>
      </c>
      <c r="U327" s="20" t="s">
        <v>29</v>
      </c>
      <c r="V327" s="21"/>
      <c r="W327" s="16"/>
      <c r="X327" s="16"/>
      <c r="Y327" s="16"/>
    </row>
    <row r="328" customFormat="false" ht="14.15" hidden="false" customHeight="false" outlineLevel="0" collapsed="false">
      <c r="A328" s="9"/>
      <c r="B328" s="10"/>
      <c r="C328" s="10"/>
      <c r="D328" s="10"/>
      <c r="E328" s="10"/>
      <c r="F328" s="10"/>
      <c r="G328" s="10"/>
      <c r="H328" s="10"/>
      <c r="I328" s="22" t="n">
        <v>3</v>
      </c>
      <c r="J328" s="22"/>
      <c r="K328" s="23" t="n">
        <f aca="false">43.4</f>
        <v>43.4</v>
      </c>
      <c r="L328" s="23" t="n">
        <f aca="false">147.9</f>
        <v>147.9</v>
      </c>
      <c r="M328" s="22" t="n">
        <v>16</v>
      </c>
      <c r="N328" s="22" t="n">
        <v>34</v>
      </c>
      <c r="O328" s="22" t="n">
        <v>139.45</v>
      </c>
      <c r="P328" s="23" t="n">
        <f aca="false">24.87</f>
        <v>24.87</v>
      </c>
      <c r="Q328" s="23" t="n">
        <f aca="false">168.24</f>
        <v>168.24</v>
      </c>
      <c r="R328" s="22" t="n">
        <v>19.45</v>
      </c>
      <c r="S328" s="22" t="n">
        <v>22.95</v>
      </c>
      <c r="T328" s="22" t="n">
        <v>530</v>
      </c>
      <c r="U328" s="24" t="s">
        <v>29</v>
      </c>
      <c r="V328" s="15"/>
      <c r="W328" s="16"/>
      <c r="X328" s="16"/>
      <c r="Y328" s="16"/>
    </row>
    <row r="329" customFormat="false" ht="14.15" hidden="false" customHeight="false" outlineLevel="0" collapsed="false">
      <c r="A329" s="9"/>
      <c r="B329" s="10"/>
      <c r="C329" s="10"/>
      <c r="D329" s="10"/>
      <c r="E329" s="10"/>
      <c r="F329" s="10"/>
      <c r="G329" s="10"/>
      <c r="H329" s="10"/>
      <c r="I329" s="25" t="n">
        <v>4</v>
      </c>
      <c r="J329" s="25"/>
      <c r="K329" s="26" t="n">
        <f aca="false">42.45</f>
        <v>42.45</v>
      </c>
      <c r="L329" s="26" t="n">
        <f aca="false">115.35</f>
        <v>115.35</v>
      </c>
      <c r="M329" s="25" t="n">
        <v>16</v>
      </c>
      <c r="N329" s="25" t="n">
        <v>26</v>
      </c>
      <c r="O329" s="25" t="n">
        <v>102.05</v>
      </c>
      <c r="P329" s="26" t="n">
        <f aca="false">25.07</f>
        <v>25.07</v>
      </c>
      <c r="Q329" s="26" t="n">
        <f aca="false">123.28</f>
        <v>123.28</v>
      </c>
      <c r="R329" s="25" t="n">
        <v>13.8</v>
      </c>
      <c r="S329" s="25" t="n">
        <v>25.05</v>
      </c>
      <c r="T329" s="25" t="n">
        <v>365</v>
      </c>
      <c r="U329" s="27" t="s">
        <v>29</v>
      </c>
      <c r="V329" s="21"/>
      <c r="W329" s="16"/>
      <c r="X329" s="16"/>
      <c r="Y329" s="16"/>
    </row>
    <row r="330" customFormat="false" ht="15.75" hidden="false" customHeight="true" outlineLevel="0" collapsed="false">
      <c r="A330" s="9" t="s">
        <v>25</v>
      </c>
      <c r="B330" s="10" t="s">
        <v>26</v>
      </c>
      <c r="C330" s="11" t="s">
        <v>139</v>
      </c>
      <c r="D330" s="10" t="s">
        <v>28</v>
      </c>
      <c r="E330" s="10" t="s">
        <v>28</v>
      </c>
      <c r="F330" s="10"/>
      <c r="G330" s="10" t="n">
        <v>45</v>
      </c>
      <c r="H330" s="10" t="n">
        <v>11.95</v>
      </c>
      <c r="I330" s="12" t="n">
        <v>1</v>
      </c>
      <c r="J330" s="12"/>
      <c r="K330" s="13" t="n">
        <f aca="false">44.13</f>
        <v>44.13</v>
      </c>
      <c r="L330" s="13" t="n">
        <f aca="false">112.73</f>
        <v>112.73</v>
      </c>
      <c r="M330" s="12" t="n">
        <v>14</v>
      </c>
      <c r="N330" s="12" t="n">
        <v>24</v>
      </c>
      <c r="O330" s="12" t="n">
        <v>126.4</v>
      </c>
      <c r="P330" s="13" t="n">
        <f aca="false">27.38</f>
        <v>27.38</v>
      </c>
      <c r="Q330" s="13" t="n">
        <f aca="false">138.83</f>
        <v>138.83</v>
      </c>
      <c r="R330" s="12" t="n">
        <v>15.7</v>
      </c>
      <c r="S330" s="12" t="n">
        <v>32.5</v>
      </c>
      <c r="T330" s="12" t="n">
        <v>357</v>
      </c>
      <c r="U330" s="14" t="s">
        <v>58</v>
      </c>
      <c r="V330" s="15"/>
      <c r="W330" s="16" t="str">
        <f aca="false">A330</f>
        <v>KL</v>
      </c>
      <c r="X330" s="17" t="e">
        <f aca="false">ifs(C330="","",X330="",NOW(),TRUE(),X330)</f>
        <v>#VALUE!</v>
      </c>
      <c r="Y330" s="17" t="e">
        <f aca="false">ifs(COUNTA(K330:U333)&lt;44,"",Y330="",NOW(),TRUE(),Y330)</f>
        <v>#VALUE!</v>
      </c>
    </row>
    <row r="331" customFormat="false" ht="14.15" hidden="false" customHeight="false" outlineLevel="0" collapsed="false">
      <c r="A331" s="9"/>
      <c r="B331" s="10"/>
      <c r="C331" s="10"/>
      <c r="D331" s="10"/>
      <c r="E331" s="10"/>
      <c r="F331" s="10"/>
      <c r="G331" s="10"/>
      <c r="H331" s="10"/>
      <c r="I331" s="18" t="n">
        <v>2</v>
      </c>
      <c r="J331" s="18"/>
      <c r="K331" s="19" t="n">
        <f aca="false">43.21</f>
        <v>43.21</v>
      </c>
      <c r="L331" s="19" t="n">
        <f aca="false">111.82</f>
        <v>111.82</v>
      </c>
      <c r="M331" s="18" t="n">
        <v>12</v>
      </c>
      <c r="N331" s="18" t="n">
        <v>26</v>
      </c>
      <c r="O331" s="18" t="n">
        <v>124.75</v>
      </c>
      <c r="P331" s="19" t="n">
        <f aca="false">25.31</f>
        <v>25.31</v>
      </c>
      <c r="Q331" s="19" t="n">
        <f aca="false">147.91</f>
        <v>147.91</v>
      </c>
      <c r="R331" s="18" t="n">
        <v>18.9</v>
      </c>
      <c r="S331" s="18" t="n">
        <v>36.2</v>
      </c>
      <c r="T331" s="18" t="n">
        <v>295</v>
      </c>
      <c r="U331" s="20" t="s">
        <v>58</v>
      </c>
      <c r="V331" s="21"/>
      <c r="W331" s="16"/>
      <c r="X331" s="16"/>
      <c r="Y331" s="16"/>
    </row>
    <row r="332" customFormat="false" ht="14.15" hidden="false" customHeight="false" outlineLevel="0" collapsed="false">
      <c r="A332" s="9"/>
      <c r="B332" s="10"/>
      <c r="C332" s="10"/>
      <c r="D332" s="10"/>
      <c r="E332" s="10"/>
      <c r="F332" s="10"/>
      <c r="G332" s="10"/>
      <c r="H332" s="10"/>
      <c r="I332" s="22" t="n">
        <v>3</v>
      </c>
      <c r="J332" s="22"/>
      <c r="K332" s="23" t="n">
        <f aca="false">41.16</f>
        <v>41.16</v>
      </c>
      <c r="L332" s="23" t="n">
        <f aca="false">105.65</f>
        <v>105.65</v>
      </c>
      <c r="M332" s="22" t="n">
        <v>14</v>
      </c>
      <c r="N332" s="22" t="n">
        <v>24</v>
      </c>
      <c r="O332" s="22" t="n">
        <v>103.25</v>
      </c>
      <c r="P332" s="23" t="n">
        <f aca="false">24.66</f>
        <v>24.66</v>
      </c>
      <c r="Q332" s="23" t="n">
        <f aca="false">129.66</f>
        <v>129.66</v>
      </c>
      <c r="R332" s="22" t="n">
        <v>12.7</v>
      </c>
      <c r="S332" s="22" t="n">
        <v>27.1</v>
      </c>
      <c r="T332" s="22" t="n">
        <v>333</v>
      </c>
      <c r="U332" s="24" t="s">
        <v>58</v>
      </c>
      <c r="V332" s="15"/>
      <c r="W332" s="16"/>
      <c r="X332" s="16"/>
      <c r="Y332" s="16"/>
    </row>
    <row r="333" customFormat="false" ht="14.15" hidden="false" customHeight="false" outlineLevel="0" collapsed="false">
      <c r="A333" s="9"/>
      <c r="B333" s="10"/>
      <c r="C333" s="10"/>
      <c r="D333" s="10"/>
      <c r="E333" s="10"/>
      <c r="F333" s="10"/>
      <c r="G333" s="10"/>
      <c r="H333" s="10"/>
      <c r="I333" s="25" t="n">
        <v>4</v>
      </c>
      <c r="J333" s="25"/>
      <c r="K333" s="26" t="n">
        <f aca="false">36.35</f>
        <v>36.35</v>
      </c>
      <c r="L333" s="26" t="n">
        <f aca="false">75.92</f>
        <v>75.92</v>
      </c>
      <c r="M333" s="25" t="n">
        <v>12</v>
      </c>
      <c r="N333" s="25" t="n">
        <v>18</v>
      </c>
      <c r="O333" s="25" t="n">
        <v>53.15</v>
      </c>
      <c r="P333" s="26" t="n">
        <f aca="false">21.16</f>
        <v>21.16</v>
      </c>
      <c r="Q333" s="26" t="n">
        <f aca="false">107.69</f>
        <v>107.69</v>
      </c>
      <c r="R333" s="25" t="n">
        <v>5.6</v>
      </c>
      <c r="S333" s="25" t="n">
        <v>32.65</v>
      </c>
      <c r="T333" s="25" t="n">
        <v>145</v>
      </c>
      <c r="U333" s="27" t="s">
        <v>58</v>
      </c>
      <c r="V333" s="21"/>
      <c r="W333" s="16"/>
      <c r="X333" s="16"/>
      <c r="Y333" s="16"/>
    </row>
    <row r="334" customFormat="false" ht="15.75" hidden="false" customHeight="true" outlineLevel="0" collapsed="false">
      <c r="A334" s="9" t="s">
        <v>25</v>
      </c>
      <c r="B334" s="10" t="s">
        <v>26</v>
      </c>
      <c r="C334" s="11" t="s">
        <v>140</v>
      </c>
      <c r="D334" s="10" t="s">
        <v>28</v>
      </c>
      <c r="E334" s="10" t="s">
        <v>28</v>
      </c>
      <c r="F334" s="10"/>
      <c r="G334" s="10" t="n">
        <v>0</v>
      </c>
      <c r="H334" s="10"/>
      <c r="I334" s="12" t="n">
        <v>1</v>
      </c>
      <c r="J334" s="12"/>
      <c r="K334" s="13" t="n">
        <f aca="false">44.45</f>
        <v>44.45</v>
      </c>
      <c r="L334" s="13" t="n">
        <f aca="false">177.72</f>
        <v>177.72</v>
      </c>
      <c r="M334" s="12" t="n">
        <v>14</v>
      </c>
      <c r="N334" s="12" t="n">
        <v>44</v>
      </c>
      <c r="O334" s="12" t="n">
        <v>190.45</v>
      </c>
      <c r="P334" s="13" t="n">
        <f aca="false">27.77</f>
        <v>27.77</v>
      </c>
      <c r="Q334" s="13" t="n">
        <f aca="false">186.35</f>
        <v>186.35</v>
      </c>
      <c r="R334" s="12" t="n">
        <v>26.85</v>
      </c>
      <c r="S334" s="12" t="n">
        <v>26.25</v>
      </c>
      <c r="T334" s="12" t="n">
        <v>638</v>
      </c>
      <c r="U334" s="14" t="s">
        <v>29</v>
      </c>
      <c r="V334" s="15"/>
      <c r="W334" s="16" t="str">
        <f aca="false">A334</f>
        <v>KL</v>
      </c>
      <c r="X334" s="17" t="e">
        <f aca="false">ifs(C334="","",X334="",NOW(),TRUE(),X334)</f>
        <v>#VALUE!</v>
      </c>
      <c r="Y334" s="17" t="e">
        <f aca="false">ifs(COUNTA(K334:U337)&lt;44,"",Y334="",NOW(),TRUE(),Y334)</f>
        <v>#VALUE!</v>
      </c>
    </row>
    <row r="335" customFormat="false" ht="14.15" hidden="false" customHeight="false" outlineLevel="0" collapsed="false">
      <c r="A335" s="9"/>
      <c r="B335" s="10"/>
      <c r="C335" s="10"/>
      <c r="D335" s="10"/>
      <c r="E335" s="10"/>
      <c r="F335" s="10"/>
      <c r="G335" s="10"/>
      <c r="H335" s="10"/>
      <c r="I335" s="18" t="n">
        <v>2</v>
      </c>
      <c r="J335" s="18"/>
      <c r="K335" s="19" t="n">
        <f aca="false">45.42</f>
        <v>45.42</v>
      </c>
      <c r="L335" s="19" t="n">
        <f aca="false">152.46</f>
        <v>152.46</v>
      </c>
      <c r="M335" s="18" t="n">
        <v>14</v>
      </c>
      <c r="N335" s="18" t="n">
        <v>38</v>
      </c>
      <c r="O335" s="18" t="n">
        <v>173.9</v>
      </c>
      <c r="P335" s="19" t="n">
        <f aca="false">28.24</f>
        <v>28.24</v>
      </c>
      <c r="Q335" s="19" t="n">
        <f aca="false">166.13</f>
        <v>166.13</v>
      </c>
      <c r="R335" s="18" t="n">
        <v>24.45</v>
      </c>
      <c r="S335" s="18" t="n">
        <v>28.2</v>
      </c>
      <c r="T335" s="18" t="n">
        <v>554</v>
      </c>
      <c r="U335" s="20" t="s">
        <v>29</v>
      </c>
      <c r="V335" s="21"/>
      <c r="W335" s="16"/>
      <c r="X335" s="16"/>
      <c r="Y335" s="16"/>
    </row>
    <row r="336" customFormat="false" ht="14.15" hidden="false" customHeight="false" outlineLevel="0" collapsed="false">
      <c r="A336" s="9"/>
      <c r="B336" s="10"/>
      <c r="C336" s="10"/>
      <c r="D336" s="10"/>
      <c r="E336" s="10"/>
      <c r="F336" s="10"/>
      <c r="G336" s="10"/>
      <c r="H336" s="10"/>
      <c r="I336" s="22" t="n">
        <v>3</v>
      </c>
      <c r="J336" s="22"/>
      <c r="K336" s="23" t="n">
        <f aca="false">44.82</f>
        <v>44.82</v>
      </c>
      <c r="L336" s="23" t="n">
        <f aca="false">149.24</f>
        <v>149.24</v>
      </c>
      <c r="M336" s="22" t="n">
        <v>14</v>
      </c>
      <c r="N336" s="22" t="n">
        <v>36</v>
      </c>
      <c r="O336" s="22" t="n">
        <v>161.2</v>
      </c>
      <c r="P336" s="23" t="n">
        <f aca="false">27.15</f>
        <v>27.15</v>
      </c>
      <c r="Q336" s="23" t="n">
        <f aca="false">158.65</f>
        <v>158.65</v>
      </c>
      <c r="R336" s="22" t="n">
        <v>23.55</v>
      </c>
      <c r="S336" s="22" t="n">
        <v>28.4</v>
      </c>
      <c r="T336" s="22" t="n">
        <v>478</v>
      </c>
      <c r="U336" s="24" t="s">
        <v>29</v>
      </c>
      <c r="V336" s="15"/>
      <c r="W336" s="16"/>
      <c r="X336" s="16"/>
      <c r="Y336" s="16"/>
    </row>
    <row r="337" customFormat="false" ht="14.15" hidden="false" customHeight="false" outlineLevel="0" collapsed="false">
      <c r="A337" s="9"/>
      <c r="B337" s="10"/>
      <c r="C337" s="10"/>
      <c r="D337" s="10"/>
      <c r="E337" s="10"/>
      <c r="F337" s="10"/>
      <c r="G337" s="10"/>
      <c r="H337" s="10"/>
      <c r="I337" s="25" t="n">
        <v>4</v>
      </c>
      <c r="J337" s="25"/>
      <c r="K337" s="26" t="n">
        <f aca="false">43.19</f>
        <v>43.19</v>
      </c>
      <c r="L337" s="26" t="n">
        <f aca="false">128.89</f>
        <v>128.89</v>
      </c>
      <c r="M337" s="25" t="n">
        <v>12</v>
      </c>
      <c r="N337" s="25" t="n">
        <v>32</v>
      </c>
      <c r="O337" s="25" t="n">
        <v>129.65</v>
      </c>
      <c r="P337" s="26" t="n">
        <f aca="false">26.58</f>
        <v>26.58</v>
      </c>
      <c r="Q337" s="26" t="n">
        <f aca="false">139.32</f>
        <v>139.32</v>
      </c>
      <c r="R337" s="25" t="n">
        <v>16.9</v>
      </c>
      <c r="S337" s="25" t="n">
        <v>27.55</v>
      </c>
      <c r="T337" s="25"/>
      <c r="U337" s="27" t="s">
        <v>29</v>
      </c>
      <c r="V337" s="21"/>
      <c r="W337" s="16"/>
      <c r="X337" s="16"/>
      <c r="Y337" s="16"/>
    </row>
    <row r="338" customFormat="false" ht="15.75" hidden="false" customHeight="true" outlineLevel="0" collapsed="false">
      <c r="A338" s="9" t="s">
        <v>25</v>
      </c>
      <c r="B338" s="10" t="s">
        <v>26</v>
      </c>
      <c r="C338" s="11" t="s">
        <v>141</v>
      </c>
      <c r="D338" s="10" t="s">
        <v>28</v>
      </c>
      <c r="E338" s="10" t="s">
        <v>28</v>
      </c>
      <c r="F338" s="10"/>
      <c r="G338" s="10" t="n">
        <v>20</v>
      </c>
      <c r="H338" s="10" t="n">
        <v>5</v>
      </c>
      <c r="I338" s="12" t="n">
        <v>1</v>
      </c>
      <c r="J338" s="12" t="s">
        <v>46</v>
      </c>
      <c r="K338" s="13" t="n">
        <f aca="false">45.3</f>
        <v>45.3</v>
      </c>
      <c r="L338" s="13" t="n">
        <f aca="false">143.72</f>
        <v>143.72</v>
      </c>
      <c r="M338" s="12" t="n">
        <v>14</v>
      </c>
      <c r="N338" s="12" t="n">
        <v>32</v>
      </c>
      <c r="O338" s="12" t="n">
        <v>163.1</v>
      </c>
      <c r="P338" s="13" t="n">
        <f aca="false">26.71</f>
        <v>26.71</v>
      </c>
      <c r="Q338" s="13" t="n">
        <f aca="false">179.11</f>
        <v>179.11</v>
      </c>
      <c r="R338" s="12" t="n">
        <v>20.55</v>
      </c>
      <c r="S338" s="12" t="n">
        <v>28.7</v>
      </c>
      <c r="T338" s="12" t="n">
        <v>493</v>
      </c>
      <c r="U338" s="14" t="s">
        <v>97</v>
      </c>
      <c r="V338" s="15"/>
      <c r="W338" s="16" t="str">
        <f aca="false">A338</f>
        <v>KL</v>
      </c>
      <c r="X338" s="17" t="e">
        <f aca="false">ifs(C338="","",X338="",NOW(),TRUE(),X338)</f>
        <v>#VALUE!</v>
      </c>
      <c r="Y338" s="17" t="e">
        <f aca="false">ifs(COUNTA(K338:U341)&lt;44,"",Y338="",NOW(),TRUE(),Y338)</f>
        <v>#VALUE!</v>
      </c>
    </row>
    <row r="339" customFormat="false" ht="14.15" hidden="false" customHeight="false" outlineLevel="0" collapsed="false">
      <c r="A339" s="9"/>
      <c r="B339" s="10"/>
      <c r="C339" s="10"/>
      <c r="D339" s="10"/>
      <c r="E339" s="10"/>
      <c r="F339" s="10"/>
      <c r="G339" s="10"/>
      <c r="H339" s="10"/>
      <c r="I339" s="18" t="n">
        <v>2</v>
      </c>
      <c r="J339" s="18" t="s">
        <v>49</v>
      </c>
      <c r="K339" s="19" t="n">
        <f aca="false">45.63</f>
        <v>45.63</v>
      </c>
      <c r="L339" s="19" t="n">
        <f aca="false">123.06</f>
        <v>123.06</v>
      </c>
      <c r="M339" s="18" t="n">
        <v>16</v>
      </c>
      <c r="N339" s="18" t="n">
        <v>28</v>
      </c>
      <c r="O339" s="18" t="n">
        <v>142.1</v>
      </c>
      <c r="P339" s="19" t="n">
        <f aca="false">26.43</f>
        <v>26.43</v>
      </c>
      <c r="Q339" s="19" t="n">
        <f aca="false">153.44</f>
        <v>153.44</v>
      </c>
      <c r="R339" s="18" t="n">
        <v>15.85</v>
      </c>
      <c r="S339" s="18" t="n">
        <v>28.45</v>
      </c>
      <c r="T339" s="18" t="n">
        <v>437</v>
      </c>
      <c r="U339" s="20" t="s">
        <v>97</v>
      </c>
      <c r="V339" s="21"/>
      <c r="W339" s="16"/>
      <c r="X339" s="16"/>
      <c r="Y339" s="16"/>
    </row>
    <row r="340" customFormat="false" ht="14.15" hidden="false" customHeight="false" outlineLevel="0" collapsed="false">
      <c r="A340" s="9"/>
      <c r="B340" s="10"/>
      <c r="C340" s="10"/>
      <c r="D340" s="10"/>
      <c r="E340" s="10"/>
      <c r="F340" s="10"/>
      <c r="G340" s="10"/>
      <c r="H340" s="10"/>
      <c r="I340" s="22" t="n">
        <v>3</v>
      </c>
      <c r="J340" s="22" t="s">
        <v>49</v>
      </c>
      <c r="K340" s="23" t="n">
        <f aca="false">43.34</f>
        <v>43.34</v>
      </c>
      <c r="L340" s="23" t="n">
        <f aca="false">121.41</f>
        <v>121.41</v>
      </c>
      <c r="M340" s="22" t="n">
        <v>14</v>
      </c>
      <c r="N340" s="22" t="n">
        <v>28</v>
      </c>
      <c r="O340" s="22" t="n">
        <v>123.95</v>
      </c>
      <c r="P340" s="23" t="n">
        <f aca="false">25.68</f>
        <v>25.68</v>
      </c>
      <c r="Q340" s="23" t="n">
        <f aca="false">151.46</f>
        <v>151.46</v>
      </c>
      <c r="R340" s="22" t="n">
        <v>16.45</v>
      </c>
      <c r="S340" s="22" t="n">
        <v>29.35</v>
      </c>
      <c r="T340" s="22" t="n">
        <v>376</v>
      </c>
      <c r="U340" s="24" t="s">
        <v>97</v>
      </c>
      <c r="V340" s="15"/>
      <c r="W340" s="16"/>
      <c r="X340" s="16"/>
      <c r="Y340" s="16"/>
    </row>
    <row r="341" customFormat="false" ht="14.15" hidden="false" customHeight="false" outlineLevel="0" collapsed="false">
      <c r="A341" s="9"/>
      <c r="B341" s="10"/>
      <c r="C341" s="10"/>
      <c r="D341" s="10"/>
      <c r="E341" s="10"/>
      <c r="F341" s="10"/>
      <c r="G341" s="10"/>
      <c r="H341" s="10"/>
      <c r="I341" s="25" t="n">
        <v>4</v>
      </c>
      <c r="J341" s="25" t="s">
        <v>57</v>
      </c>
      <c r="K341" s="26" t="n">
        <f aca="false">43.56</f>
        <v>43.56</v>
      </c>
      <c r="L341" s="26" t="n">
        <f aca="false">113.07</f>
        <v>113.07</v>
      </c>
      <c r="M341" s="25" t="n">
        <v>14</v>
      </c>
      <c r="N341" s="25" t="n">
        <v>26</v>
      </c>
      <c r="O341" s="25" t="n">
        <v>132.4</v>
      </c>
      <c r="P341" s="26" t="n">
        <f aca="false">25.09</f>
        <v>25.09</v>
      </c>
      <c r="Q341" s="26" t="n">
        <f aca="false">155.42</f>
        <v>155.42</v>
      </c>
      <c r="R341" s="25" t="n">
        <v>15.7</v>
      </c>
      <c r="S341" s="25" t="n">
        <v>30.65</v>
      </c>
      <c r="T341" s="25" t="n">
        <v>384</v>
      </c>
      <c r="U341" s="27" t="s">
        <v>97</v>
      </c>
      <c r="V341" s="21"/>
      <c r="W341" s="16"/>
      <c r="X341" s="16"/>
      <c r="Y341" s="16"/>
    </row>
    <row r="342" customFormat="false" ht="15.75" hidden="false" customHeight="true" outlineLevel="0" collapsed="false">
      <c r="A342" s="9" t="s">
        <v>43</v>
      </c>
      <c r="B342" s="10" t="s">
        <v>44</v>
      </c>
      <c r="C342" s="11" t="s">
        <v>142</v>
      </c>
      <c r="D342" s="10" t="s">
        <v>28</v>
      </c>
      <c r="E342" s="10" t="s">
        <v>28</v>
      </c>
      <c r="F342" s="10"/>
      <c r="G342" s="10" t="n">
        <v>39</v>
      </c>
      <c r="H342" s="10" t="n">
        <v>6.6</v>
      </c>
      <c r="I342" s="12" t="n">
        <v>1</v>
      </c>
      <c r="J342" s="12" t="s">
        <v>50</v>
      </c>
      <c r="K342" s="13" t="n">
        <f aca="false">44.65</f>
        <v>44.65</v>
      </c>
      <c r="L342" s="13" t="n">
        <f aca="false">161.96</f>
        <v>161.96</v>
      </c>
      <c r="M342" s="12" t="n">
        <v>12</v>
      </c>
      <c r="N342" s="12" t="n">
        <v>36</v>
      </c>
      <c r="O342" s="12" t="n">
        <v>158.5</v>
      </c>
      <c r="P342" s="13" t="n">
        <f aca="false">28.54</f>
        <v>28.54</v>
      </c>
      <c r="Q342" s="13" t="n">
        <f aca="false">180.71</f>
        <v>180.71</v>
      </c>
      <c r="R342" s="12" t="n">
        <v>23</v>
      </c>
      <c r="S342" s="12" t="n">
        <v>28.2</v>
      </c>
      <c r="T342" s="12" t="n">
        <v>559</v>
      </c>
      <c r="U342" s="14" t="s">
        <v>97</v>
      </c>
      <c r="V342" s="15"/>
      <c r="W342" s="16" t="str">
        <f aca="false">A342</f>
        <v>JB</v>
      </c>
      <c r="X342" s="17" t="e">
        <f aca="false">ifs(C342="","",X342="",NOW(),TRUE(),X342)</f>
        <v>#VALUE!</v>
      </c>
      <c r="Y342" s="17" t="e">
        <f aca="false">ifs(COUNTA(K342:U345)&lt;44,"",Y342="",NOW(),TRUE(),Y342)</f>
        <v>#VALUE!</v>
      </c>
    </row>
    <row r="343" customFormat="false" ht="14.15" hidden="false" customHeight="false" outlineLevel="0" collapsed="false">
      <c r="A343" s="9"/>
      <c r="B343" s="10"/>
      <c r="C343" s="10"/>
      <c r="D343" s="10"/>
      <c r="E343" s="10"/>
      <c r="F343" s="10"/>
      <c r="G343" s="10"/>
      <c r="H343" s="10"/>
      <c r="I343" s="18" t="n">
        <v>2</v>
      </c>
      <c r="J343" s="18" t="s">
        <v>50</v>
      </c>
      <c r="K343" s="19" t="n">
        <f aca="false">43.62</f>
        <v>43.62</v>
      </c>
      <c r="L343" s="19" t="n">
        <f aca="false">167.6</f>
        <v>167.6</v>
      </c>
      <c r="M343" s="18" t="n">
        <v>16</v>
      </c>
      <c r="N343" s="18" t="n">
        <v>36</v>
      </c>
      <c r="O343" s="18" t="n">
        <v>148.1</v>
      </c>
      <c r="P343" s="19" t="n">
        <f aca="false">27.46</f>
        <v>27.46</v>
      </c>
      <c r="Q343" s="19" t="n">
        <f aca="false">193.9</f>
        <v>193.9</v>
      </c>
      <c r="R343" s="18" t="n">
        <v>19.3</v>
      </c>
      <c r="S343" s="18" t="n">
        <v>21.1</v>
      </c>
      <c r="T343" s="18" t="n">
        <v>625</v>
      </c>
      <c r="U343" s="20" t="s">
        <v>97</v>
      </c>
      <c r="V343" s="21"/>
      <c r="W343" s="16"/>
      <c r="X343" s="16"/>
      <c r="Y343" s="16"/>
    </row>
    <row r="344" customFormat="false" ht="14.15" hidden="false" customHeight="false" outlineLevel="0" collapsed="false">
      <c r="A344" s="9"/>
      <c r="B344" s="10"/>
      <c r="C344" s="10"/>
      <c r="D344" s="10"/>
      <c r="E344" s="10"/>
      <c r="F344" s="10"/>
      <c r="G344" s="10"/>
      <c r="H344" s="10"/>
      <c r="I344" s="22" t="n">
        <v>3</v>
      </c>
      <c r="J344" s="22" t="s">
        <v>50</v>
      </c>
      <c r="K344" s="23" t="n">
        <f aca="false">41.89</f>
        <v>41.89</v>
      </c>
      <c r="L344" s="23" t="n">
        <f aca="false">168.81</f>
        <v>168.81</v>
      </c>
      <c r="M344" s="22" t="n">
        <v>12</v>
      </c>
      <c r="N344" s="22" t="n">
        <v>36</v>
      </c>
      <c r="O344" s="22" t="n">
        <v>146.3</v>
      </c>
      <c r="P344" s="23" t="n">
        <f aca="false">25.6</f>
        <v>25.6</v>
      </c>
      <c r="Q344" s="23" t="n">
        <f aca="false">183.38</f>
        <v>183.38</v>
      </c>
      <c r="R344" s="22" t="n">
        <v>19.1</v>
      </c>
      <c r="S344" s="22" t="n">
        <v>22.9</v>
      </c>
      <c r="T344" s="22" t="n">
        <v>460</v>
      </c>
      <c r="U344" s="24" t="s">
        <v>97</v>
      </c>
      <c r="V344" s="15"/>
      <c r="W344" s="16"/>
      <c r="X344" s="16"/>
      <c r="Y344" s="16"/>
    </row>
    <row r="345" customFormat="false" ht="14.15" hidden="false" customHeight="false" outlineLevel="0" collapsed="false">
      <c r="A345" s="9"/>
      <c r="B345" s="10"/>
      <c r="C345" s="10"/>
      <c r="D345" s="10"/>
      <c r="E345" s="10"/>
      <c r="F345" s="10"/>
      <c r="G345" s="10"/>
      <c r="H345" s="10"/>
      <c r="I345" s="25" t="n">
        <v>4</v>
      </c>
      <c r="J345" s="25" t="s">
        <v>33</v>
      </c>
      <c r="K345" s="26" t="n">
        <f aca="false">44.65</f>
        <v>44.65</v>
      </c>
      <c r="L345" s="26" t="n">
        <f aca="false">200.66</f>
        <v>200.66</v>
      </c>
      <c r="M345" s="25" t="n">
        <v>14</v>
      </c>
      <c r="N345" s="25" t="n">
        <v>46</v>
      </c>
      <c r="O345" s="25" t="n">
        <v>198.7</v>
      </c>
      <c r="P345" s="26" t="n">
        <f aca="false">27.19</f>
        <v>27.19</v>
      </c>
      <c r="Q345" s="26" t="n">
        <f aca="false">208.61</f>
        <v>208.61</v>
      </c>
      <c r="R345" s="25" t="n">
        <v>26.1</v>
      </c>
      <c r="S345" s="25" t="n">
        <v>25</v>
      </c>
      <c r="T345" s="25" t="n">
        <v>732</v>
      </c>
      <c r="U345" s="27" t="s">
        <v>97</v>
      </c>
      <c r="V345" s="21"/>
      <c r="W345" s="16"/>
      <c r="X345" s="16"/>
      <c r="Y345" s="16"/>
    </row>
    <row r="346" customFormat="false" ht="15.75" hidden="false" customHeight="true" outlineLevel="0" collapsed="false">
      <c r="A346" s="9" t="s">
        <v>43</v>
      </c>
      <c r="B346" s="10" t="s">
        <v>44</v>
      </c>
      <c r="C346" s="11" t="s">
        <v>143</v>
      </c>
      <c r="D346" s="10" t="s">
        <v>28</v>
      </c>
      <c r="E346" s="10" t="s">
        <v>28</v>
      </c>
      <c r="F346" s="10"/>
      <c r="G346" s="10" t="n">
        <v>65</v>
      </c>
      <c r="H346" s="10" t="n">
        <v>13.5</v>
      </c>
      <c r="I346" s="12" t="n">
        <v>1</v>
      </c>
      <c r="J346" s="12" t="s">
        <v>49</v>
      </c>
      <c r="K346" s="13" t="n">
        <f aca="false">47.1</f>
        <v>47.1</v>
      </c>
      <c r="L346" s="13" t="n">
        <f aca="false">173.04</f>
        <v>173.04</v>
      </c>
      <c r="M346" s="12" t="n">
        <v>16</v>
      </c>
      <c r="N346" s="12" t="n">
        <v>34</v>
      </c>
      <c r="O346" s="12" t="n">
        <v>189</v>
      </c>
      <c r="P346" s="13" t="n">
        <f aca="false">29.38</f>
        <v>29.38</v>
      </c>
      <c r="Q346" s="13" t="n">
        <f aca="false">189.68</f>
        <v>189.68</v>
      </c>
      <c r="R346" s="12" t="n">
        <v>24.5</v>
      </c>
      <c r="S346" s="12" t="n">
        <v>21.5</v>
      </c>
      <c r="T346" s="12" t="n">
        <v>697</v>
      </c>
      <c r="U346" s="14" t="s">
        <v>29</v>
      </c>
      <c r="V346" s="15"/>
      <c r="W346" s="16" t="str">
        <f aca="false">A346</f>
        <v>JB</v>
      </c>
      <c r="X346" s="17" t="e">
        <f aca="false">ifs(C346="","",X346="",NOW(),TRUE(),X346)</f>
        <v>#VALUE!</v>
      </c>
      <c r="Y346" s="17" t="e">
        <f aca="false">ifs(COUNTA(K346:U349)&lt;44,"",Y346="",NOW(),TRUE(),Y346)</f>
        <v>#VALUE!</v>
      </c>
    </row>
    <row r="347" customFormat="false" ht="14.15" hidden="false" customHeight="false" outlineLevel="0" collapsed="false">
      <c r="A347" s="9"/>
      <c r="B347" s="10"/>
      <c r="C347" s="10"/>
      <c r="D347" s="10"/>
      <c r="E347" s="10"/>
      <c r="F347" s="10"/>
      <c r="G347" s="10"/>
      <c r="H347" s="10"/>
      <c r="I347" s="18" t="n">
        <v>2</v>
      </c>
      <c r="J347" s="18" t="s">
        <v>49</v>
      </c>
      <c r="K347" s="19" t="n">
        <f aca="false">44.82</f>
        <v>44.82</v>
      </c>
      <c r="L347" s="19" t="n">
        <f aca="false">147.74</f>
        <v>147.74</v>
      </c>
      <c r="M347" s="18" t="n">
        <v>16</v>
      </c>
      <c r="N347" s="18" t="n">
        <v>34</v>
      </c>
      <c r="O347" s="18" t="n">
        <v>149.8</v>
      </c>
      <c r="P347" s="19" t="n">
        <f aca="false">28</f>
        <v>28</v>
      </c>
      <c r="Q347" s="19" t="n">
        <f aca="false">168.5</f>
        <v>168.5</v>
      </c>
      <c r="R347" s="18" t="n">
        <v>19.5</v>
      </c>
      <c r="S347" s="18" t="n">
        <v>22.1</v>
      </c>
      <c r="T347" s="18" t="n">
        <v>555</v>
      </c>
      <c r="U347" s="20" t="s">
        <v>29</v>
      </c>
      <c r="V347" s="21"/>
      <c r="W347" s="16"/>
      <c r="X347" s="16"/>
      <c r="Y347" s="16"/>
    </row>
    <row r="348" customFormat="false" ht="14.15" hidden="false" customHeight="false" outlineLevel="0" collapsed="false">
      <c r="A348" s="9"/>
      <c r="B348" s="10"/>
      <c r="C348" s="10"/>
      <c r="D348" s="10"/>
      <c r="E348" s="10"/>
      <c r="F348" s="10"/>
      <c r="G348" s="10"/>
      <c r="H348" s="10"/>
      <c r="I348" s="22" t="n">
        <v>3</v>
      </c>
      <c r="J348" s="22" t="s">
        <v>49</v>
      </c>
      <c r="K348" s="23" t="n">
        <f aca="false">43.82</f>
        <v>43.82</v>
      </c>
      <c r="L348" s="23" t="n">
        <f aca="false">133.95</f>
        <v>133.95</v>
      </c>
      <c r="M348" s="22" t="n">
        <v>14</v>
      </c>
      <c r="N348" s="22" t="n">
        <v>32</v>
      </c>
      <c r="O348" s="22" t="n">
        <v>128.6</v>
      </c>
      <c r="P348" s="23" t="n">
        <f aca="false">26.58</f>
        <v>26.58</v>
      </c>
      <c r="Q348" s="23" t="n">
        <f aca="false">159.21</f>
        <v>159.21</v>
      </c>
      <c r="R348" s="22" t="n">
        <v>17</v>
      </c>
      <c r="S348" s="22" t="n">
        <v>24.3</v>
      </c>
      <c r="T348" s="22" t="n">
        <v>458</v>
      </c>
      <c r="U348" s="24" t="s">
        <v>29</v>
      </c>
      <c r="V348" s="15"/>
      <c r="W348" s="16"/>
      <c r="X348" s="16"/>
      <c r="Y348" s="16"/>
    </row>
    <row r="349" customFormat="false" ht="14.15" hidden="false" customHeight="false" outlineLevel="0" collapsed="false">
      <c r="A349" s="9"/>
      <c r="B349" s="10"/>
      <c r="C349" s="10"/>
      <c r="D349" s="10"/>
      <c r="E349" s="10"/>
      <c r="F349" s="10"/>
      <c r="G349" s="10"/>
      <c r="H349" s="10"/>
      <c r="I349" s="25" t="n">
        <v>4</v>
      </c>
      <c r="J349" s="25" t="s">
        <v>36</v>
      </c>
      <c r="K349" s="26" t="n">
        <f aca="false">40.47</f>
        <v>40.47</v>
      </c>
      <c r="L349" s="26" t="n">
        <f aca="false">157.13</f>
        <v>157.13</v>
      </c>
      <c r="M349" s="25" t="n">
        <v>14</v>
      </c>
      <c r="N349" s="25" t="n">
        <v>28</v>
      </c>
      <c r="O349" s="25" t="n">
        <v>88.5</v>
      </c>
      <c r="P349" s="26" t="n">
        <f aca="false">27.98</f>
        <v>27.98</v>
      </c>
      <c r="Q349" s="26" t="n">
        <f aca="false">174.43</f>
        <v>174.43</v>
      </c>
      <c r="R349" s="25" t="n">
        <v>23.2</v>
      </c>
      <c r="S349" s="25" t="n">
        <v>17.7</v>
      </c>
      <c r="T349" s="25" t="n">
        <v>370</v>
      </c>
      <c r="U349" s="27" t="s">
        <v>29</v>
      </c>
      <c r="V349" s="21"/>
      <c r="W349" s="16"/>
      <c r="X349" s="16"/>
      <c r="Y349" s="16"/>
    </row>
    <row r="350" customFormat="false" ht="15.75" hidden="false" customHeight="true" outlineLevel="0" collapsed="false">
      <c r="A350" s="9" t="s">
        <v>43</v>
      </c>
      <c r="B350" s="10" t="s">
        <v>44</v>
      </c>
      <c r="C350" s="11" t="s">
        <v>144</v>
      </c>
      <c r="D350" s="10" t="s">
        <v>28</v>
      </c>
      <c r="E350" s="10" t="s">
        <v>28</v>
      </c>
      <c r="F350" s="10"/>
      <c r="G350" s="10" t="n">
        <v>4</v>
      </c>
      <c r="H350" s="10" t="n">
        <v>0.5</v>
      </c>
      <c r="I350" s="12" t="n">
        <v>1</v>
      </c>
      <c r="J350" s="12" t="s">
        <v>50</v>
      </c>
      <c r="K350" s="13" t="n">
        <f aca="false">41.77</f>
        <v>41.77</v>
      </c>
      <c r="L350" s="13" t="n">
        <f aca="false">133.84</f>
        <v>133.84</v>
      </c>
      <c r="M350" s="12" t="n">
        <v>14</v>
      </c>
      <c r="N350" s="12" t="n">
        <v>34</v>
      </c>
      <c r="O350" s="12" t="n">
        <v>115.1</v>
      </c>
      <c r="P350" s="13" t="n">
        <f aca="false">25.53</f>
        <v>25.53</v>
      </c>
      <c r="Q350" s="13" t="n">
        <f aca="false">154.83</f>
        <v>154.83</v>
      </c>
      <c r="R350" s="12" t="n">
        <v>18.9</v>
      </c>
      <c r="S350" s="12" t="n">
        <v>19.8</v>
      </c>
      <c r="T350" s="12" t="n">
        <v>506</v>
      </c>
      <c r="U350" s="14" t="s">
        <v>29</v>
      </c>
      <c r="V350" s="15"/>
      <c r="W350" s="16" t="str">
        <f aca="false">A350</f>
        <v>JB</v>
      </c>
      <c r="X350" s="17" t="e">
        <f aca="false">ifs(C350="","",X350="",NOW(),TRUE(),X350)</f>
        <v>#VALUE!</v>
      </c>
      <c r="Y350" s="17" t="e">
        <f aca="false">ifs(COUNTA(K350:U353)&lt;44,"",Y350="",NOW(),TRUE(),Y350)</f>
        <v>#VALUE!</v>
      </c>
    </row>
    <row r="351" customFormat="false" ht="14.15" hidden="false" customHeight="false" outlineLevel="0" collapsed="false">
      <c r="A351" s="9"/>
      <c r="B351" s="10"/>
      <c r="C351" s="10"/>
      <c r="D351" s="10"/>
      <c r="E351" s="10"/>
      <c r="F351" s="10"/>
      <c r="G351" s="10"/>
      <c r="H351" s="10"/>
      <c r="I351" s="18" t="n">
        <v>2</v>
      </c>
      <c r="J351" s="18" t="s">
        <v>33</v>
      </c>
      <c r="K351" s="19" t="n">
        <f aca="false">37.95</f>
        <v>37.95</v>
      </c>
      <c r="L351" s="19" t="n">
        <f aca="false">120.09</f>
        <v>120.09</v>
      </c>
      <c r="M351" s="18" t="n">
        <v>12</v>
      </c>
      <c r="N351" s="18" t="n">
        <v>30</v>
      </c>
      <c r="O351" s="18" t="n">
        <v>83.8</v>
      </c>
      <c r="P351" s="19" t="n">
        <f aca="false">25.08</f>
        <v>25.08</v>
      </c>
      <c r="Q351" s="19" t="n">
        <f aca="false">145.91</f>
        <v>145.91</v>
      </c>
      <c r="R351" s="18" t="n">
        <v>17</v>
      </c>
      <c r="S351" s="18" t="n">
        <v>13.6</v>
      </c>
      <c r="T351" s="18" t="n">
        <v>442</v>
      </c>
      <c r="U351" s="20" t="s">
        <v>29</v>
      </c>
      <c r="V351" s="21"/>
      <c r="W351" s="16"/>
      <c r="X351" s="16"/>
      <c r="Y351" s="16"/>
    </row>
    <row r="352" customFormat="false" ht="14.15" hidden="false" customHeight="false" outlineLevel="0" collapsed="false">
      <c r="A352" s="9"/>
      <c r="B352" s="10"/>
      <c r="C352" s="10"/>
      <c r="D352" s="10"/>
      <c r="E352" s="10"/>
      <c r="F352" s="10"/>
      <c r="G352" s="10"/>
      <c r="H352" s="10"/>
      <c r="I352" s="22" t="n">
        <v>3</v>
      </c>
      <c r="J352" s="22" t="s">
        <v>46</v>
      </c>
      <c r="K352" s="23" t="n">
        <f aca="false">37.74</f>
        <v>37.74</v>
      </c>
      <c r="L352" s="23" t="n">
        <f aca="false">124.95</f>
        <v>124.95</v>
      </c>
      <c r="M352" s="22" t="n">
        <v>12</v>
      </c>
      <c r="N352" s="22" t="n">
        <v>32</v>
      </c>
      <c r="O352" s="22" t="n">
        <v>81.5</v>
      </c>
      <c r="P352" s="23" t="n">
        <f aca="false">24.23</f>
        <v>24.23</v>
      </c>
      <c r="Q352" s="23" t="n">
        <f aca="false">141.21</f>
        <v>141.21</v>
      </c>
      <c r="R352" s="22" t="n">
        <v>16.1</v>
      </c>
      <c r="S352" s="22" t="n">
        <v>14.9</v>
      </c>
      <c r="T352" s="22" t="n">
        <v>409</v>
      </c>
      <c r="U352" s="24" t="s">
        <v>29</v>
      </c>
      <c r="V352" s="15"/>
      <c r="W352" s="16"/>
      <c r="X352" s="16"/>
      <c r="Y352" s="16"/>
    </row>
    <row r="353" customFormat="false" ht="14.15" hidden="false" customHeight="false" outlineLevel="0" collapsed="false">
      <c r="A353" s="9"/>
      <c r="B353" s="10"/>
      <c r="C353" s="10"/>
      <c r="D353" s="10"/>
      <c r="E353" s="10"/>
      <c r="F353" s="10"/>
      <c r="G353" s="10"/>
      <c r="H353" s="10"/>
      <c r="I353" s="25" t="n">
        <v>4</v>
      </c>
      <c r="J353" s="25" t="s">
        <v>33</v>
      </c>
      <c r="K353" s="26" t="n">
        <f aca="false">42.45</f>
        <v>42.45</v>
      </c>
      <c r="L353" s="26" t="n">
        <f aca="false">165.58</f>
        <v>165.58</v>
      </c>
      <c r="M353" s="25" t="n">
        <v>14</v>
      </c>
      <c r="N353" s="25" t="n">
        <v>44</v>
      </c>
      <c r="O353" s="25" t="n">
        <v>151.9</v>
      </c>
      <c r="P353" s="26" t="n">
        <f aca="false">28.11</f>
        <v>28.11</v>
      </c>
      <c r="Q353" s="26" t="n">
        <f aca="false">188.56</f>
        <v>188.56</v>
      </c>
      <c r="R353" s="25" t="n">
        <v>26.8</v>
      </c>
      <c r="S353" s="25" t="n">
        <v>18.8</v>
      </c>
      <c r="T353" s="25" t="n">
        <v>658</v>
      </c>
      <c r="U353" s="27" t="s">
        <v>29</v>
      </c>
      <c r="V353" s="21"/>
      <c r="W353" s="16"/>
      <c r="X353" s="16"/>
      <c r="Y353" s="16"/>
    </row>
    <row r="354" customFormat="false" ht="15.75" hidden="false" customHeight="true" outlineLevel="0" collapsed="false">
      <c r="A354" s="9" t="s">
        <v>43</v>
      </c>
      <c r="B354" s="10" t="s">
        <v>44</v>
      </c>
      <c r="C354" s="11" t="s">
        <v>145</v>
      </c>
      <c r="D354" s="10" t="s">
        <v>28</v>
      </c>
      <c r="E354" s="10" t="s">
        <v>28</v>
      </c>
      <c r="F354" s="10"/>
      <c r="G354" s="10" t="n">
        <v>26</v>
      </c>
      <c r="H354" s="10" t="n">
        <v>4.7</v>
      </c>
      <c r="I354" s="12" t="n">
        <v>1</v>
      </c>
      <c r="J354" s="12" t="s">
        <v>36</v>
      </c>
      <c r="K354" s="13" t="n">
        <f aca="false">45.8</f>
        <v>45.8</v>
      </c>
      <c r="L354" s="13" t="n">
        <f aca="false">161.64</f>
        <v>161.64</v>
      </c>
      <c r="M354" s="12" t="n">
        <v>16</v>
      </c>
      <c r="N354" s="12" t="n">
        <v>36</v>
      </c>
      <c r="O354" s="12" t="n">
        <v>165.7</v>
      </c>
      <c r="P354" s="13" t="n">
        <f aca="false">30.68</f>
        <v>30.68</v>
      </c>
      <c r="Q354" s="13" t="n">
        <f aca="false">172.37</f>
        <v>172.37</v>
      </c>
      <c r="R354" s="12" t="n">
        <v>30.5</v>
      </c>
      <c r="S354" s="12" t="n">
        <v>18.2</v>
      </c>
      <c r="T354" s="12" t="n">
        <v>633</v>
      </c>
      <c r="U354" s="14" t="s">
        <v>29</v>
      </c>
      <c r="V354" s="15"/>
      <c r="W354" s="16" t="str">
        <f aca="false">A354</f>
        <v>JB</v>
      </c>
      <c r="X354" s="17" t="e">
        <f aca="false">ifs(C354="","",X354="",NOW(),TRUE(),X354)</f>
        <v>#VALUE!</v>
      </c>
      <c r="Y354" s="17" t="e">
        <f aca="false">ifs(COUNTA(K354:U357)&lt;44,"",Y354="",NOW(),TRUE(),Y354)</f>
        <v>#VALUE!</v>
      </c>
    </row>
    <row r="355" customFormat="false" ht="14.15" hidden="false" customHeight="false" outlineLevel="0" collapsed="false">
      <c r="A355" s="9"/>
      <c r="B355" s="10"/>
      <c r="C355" s="10"/>
      <c r="D355" s="10"/>
      <c r="E355" s="10"/>
      <c r="F355" s="10"/>
      <c r="G355" s="10"/>
      <c r="H355" s="10"/>
      <c r="I355" s="18" t="n">
        <v>2</v>
      </c>
      <c r="J355" s="18" t="s">
        <v>47</v>
      </c>
      <c r="K355" s="19" t="n">
        <f aca="false">44.85</f>
        <v>44.85</v>
      </c>
      <c r="L355" s="19" t="n">
        <f aca="false">124.28</f>
        <v>124.28</v>
      </c>
      <c r="M355" s="18" t="n">
        <v>16</v>
      </c>
      <c r="N355" s="18" t="n">
        <v>28</v>
      </c>
      <c r="O355" s="18" t="n">
        <v>136.7</v>
      </c>
      <c r="P355" s="19" t="n">
        <f aca="false">29.47</f>
        <v>29.47</v>
      </c>
      <c r="Q355" s="19" t="n">
        <f aca="false">157.65</f>
        <v>157.65</v>
      </c>
      <c r="R355" s="18" t="n">
        <v>22.8</v>
      </c>
      <c r="S355" s="18" t="n">
        <v>23.9</v>
      </c>
      <c r="T355" s="18" t="n">
        <v>501</v>
      </c>
      <c r="U355" s="20" t="s">
        <v>29</v>
      </c>
      <c r="V355" s="21"/>
      <c r="W355" s="16"/>
      <c r="X355" s="16"/>
      <c r="Y355" s="16"/>
    </row>
    <row r="356" customFormat="false" ht="14.15" hidden="false" customHeight="false" outlineLevel="0" collapsed="false">
      <c r="A356" s="9"/>
      <c r="B356" s="10"/>
      <c r="C356" s="10"/>
      <c r="D356" s="10"/>
      <c r="E356" s="10"/>
      <c r="F356" s="10"/>
      <c r="G356" s="10"/>
      <c r="H356" s="10"/>
      <c r="I356" s="22" t="n">
        <v>3</v>
      </c>
      <c r="J356" s="22" t="s">
        <v>49</v>
      </c>
      <c r="K356" s="23" t="n">
        <f aca="false">42.98</f>
        <v>42.98</v>
      </c>
      <c r="L356" s="23" t="n">
        <f aca="false">141.35</f>
        <v>141.35</v>
      </c>
      <c r="M356" s="22" t="n">
        <v>14</v>
      </c>
      <c r="N356" s="22" t="n">
        <v>30</v>
      </c>
      <c r="O356" s="22" t="n">
        <v>134</v>
      </c>
      <c r="P356" s="23" t="n">
        <f aca="false">28.29</f>
        <v>28.29</v>
      </c>
      <c r="Q356" s="23" t="n">
        <f aca="false">159.01</f>
        <v>159.01</v>
      </c>
      <c r="R356" s="22" t="n">
        <v>22.8</v>
      </c>
      <c r="S356" s="22" t="n">
        <v>20.4</v>
      </c>
      <c r="T356" s="22" t="n">
        <v>481</v>
      </c>
      <c r="U356" s="24" t="s">
        <v>29</v>
      </c>
      <c r="V356" s="15"/>
      <c r="W356" s="16"/>
      <c r="X356" s="16"/>
      <c r="Y356" s="16"/>
    </row>
    <row r="357" customFormat="false" ht="14.15" hidden="false" customHeight="false" outlineLevel="0" collapsed="false">
      <c r="A357" s="9"/>
      <c r="B357" s="10"/>
      <c r="C357" s="10"/>
      <c r="D357" s="10"/>
      <c r="E357" s="10"/>
      <c r="F357" s="10"/>
      <c r="G357" s="10"/>
      <c r="H357" s="10"/>
      <c r="I357" s="25" t="n">
        <v>4</v>
      </c>
      <c r="J357" s="25" t="s">
        <v>35</v>
      </c>
      <c r="K357" s="26" t="n">
        <f aca="false">43.85</f>
        <v>43.85</v>
      </c>
      <c r="L357" s="26" t="n">
        <f aca="false">150.28</f>
        <v>150.28</v>
      </c>
      <c r="M357" s="25" t="n">
        <v>12</v>
      </c>
      <c r="N357" s="25" t="n">
        <v>38</v>
      </c>
      <c r="O357" s="25" t="n">
        <v>158.2</v>
      </c>
      <c r="P357" s="26" t="n">
        <f aca="false">27.71</f>
        <v>27.71</v>
      </c>
      <c r="Q357" s="26" t="n">
        <f aca="false">176.8</f>
        <v>176.8</v>
      </c>
      <c r="R357" s="25" t="n">
        <v>26.5</v>
      </c>
      <c r="S357" s="25" t="n">
        <v>25.1</v>
      </c>
      <c r="T357" s="25" t="n">
        <v>513</v>
      </c>
      <c r="U357" s="27" t="s">
        <v>29</v>
      </c>
      <c r="V357" s="21"/>
      <c r="W357" s="16"/>
      <c r="X357" s="16"/>
      <c r="Y357" s="16"/>
    </row>
    <row r="358" customFormat="false" ht="15.75" hidden="false" customHeight="true" outlineLevel="0" collapsed="false">
      <c r="A358" s="9" t="s">
        <v>43</v>
      </c>
      <c r="B358" s="10" t="s">
        <v>44</v>
      </c>
      <c r="C358" s="11" t="s">
        <v>146</v>
      </c>
      <c r="D358" s="10" t="s">
        <v>28</v>
      </c>
      <c r="E358" s="10" t="s">
        <v>28</v>
      </c>
      <c r="F358" s="10"/>
      <c r="G358" s="10" t="n">
        <v>21</v>
      </c>
      <c r="H358" s="10" t="n">
        <v>6.5</v>
      </c>
      <c r="I358" s="12" t="n">
        <v>1</v>
      </c>
      <c r="J358" s="12" t="s">
        <v>49</v>
      </c>
      <c r="K358" s="13" t="n">
        <f aca="false">36.8</f>
        <v>36.8</v>
      </c>
      <c r="L358" s="13" t="n">
        <f aca="false">104.89</f>
        <v>104.89</v>
      </c>
      <c r="M358" s="12" t="n">
        <v>14</v>
      </c>
      <c r="N358" s="12" t="n">
        <v>26</v>
      </c>
      <c r="O358" s="12" t="n">
        <v>87.2</v>
      </c>
      <c r="P358" s="13" t="n">
        <f aca="false">24.38</f>
        <v>24.38</v>
      </c>
      <c r="Q358" s="13" t="n">
        <f aca="false">134.76</f>
        <v>134.76</v>
      </c>
      <c r="R358" s="12" t="n">
        <v>13.1</v>
      </c>
      <c r="S358" s="12" t="n">
        <v>19.9</v>
      </c>
      <c r="T358" s="12" t="n">
        <v>363</v>
      </c>
      <c r="U358" s="14" t="s">
        <v>29</v>
      </c>
      <c r="V358" s="15"/>
      <c r="W358" s="16" t="str">
        <f aca="false">A358</f>
        <v>JB</v>
      </c>
      <c r="X358" s="17" t="e">
        <f aca="false">ifs(C358="","",X358="",NOW(),TRUE(),X358)</f>
        <v>#VALUE!</v>
      </c>
      <c r="Y358" s="17" t="e">
        <f aca="false">ifs(COUNTA(K358:U361)&lt;44,"",Y358="",NOW(),TRUE(),Y358)</f>
        <v>#VALUE!</v>
      </c>
    </row>
    <row r="359" customFormat="false" ht="14.15" hidden="false" customHeight="false" outlineLevel="0" collapsed="false">
      <c r="A359" s="9"/>
      <c r="B359" s="10"/>
      <c r="C359" s="10"/>
      <c r="D359" s="10"/>
      <c r="E359" s="10"/>
      <c r="F359" s="10"/>
      <c r="G359" s="10"/>
      <c r="H359" s="10"/>
      <c r="I359" s="18" t="n">
        <v>2</v>
      </c>
      <c r="J359" s="18" t="s">
        <v>49</v>
      </c>
      <c r="K359" s="19" t="n">
        <f aca="false">35.67</f>
        <v>35.67</v>
      </c>
      <c r="L359" s="19" t="n">
        <f aca="false">133.88</f>
        <v>133.88</v>
      </c>
      <c r="M359" s="18" t="n">
        <v>12</v>
      </c>
      <c r="N359" s="18" t="n">
        <v>34</v>
      </c>
      <c r="O359" s="18" t="n">
        <v>97.5</v>
      </c>
      <c r="P359" s="19" t="n">
        <f aca="false">23.38</f>
        <v>23.38</v>
      </c>
      <c r="Q359" s="19" t="n">
        <f aca="false">152.69</f>
        <v>152.69</v>
      </c>
      <c r="R359" s="18" t="n">
        <v>14.1</v>
      </c>
      <c r="S359" s="18" t="n">
        <v>20.7</v>
      </c>
      <c r="T359" s="18" t="n">
        <v>415</v>
      </c>
      <c r="U359" s="20" t="s">
        <v>58</v>
      </c>
      <c r="V359" s="21"/>
      <c r="W359" s="16"/>
      <c r="X359" s="16"/>
      <c r="Y359" s="16"/>
    </row>
    <row r="360" customFormat="false" ht="14.15" hidden="false" customHeight="false" outlineLevel="0" collapsed="false">
      <c r="A360" s="9"/>
      <c r="B360" s="10"/>
      <c r="C360" s="10"/>
      <c r="D360" s="10"/>
      <c r="E360" s="10"/>
      <c r="F360" s="10"/>
      <c r="G360" s="10"/>
      <c r="H360" s="10"/>
      <c r="I360" s="22" t="n">
        <v>3</v>
      </c>
      <c r="J360" s="22" t="s">
        <v>147</v>
      </c>
      <c r="K360" s="23" t="n">
        <f aca="false">39.01</f>
        <v>39.01</v>
      </c>
      <c r="L360" s="23" t="n">
        <f aca="false">43.69</f>
        <v>43.69</v>
      </c>
      <c r="M360" s="22" t="n">
        <v>14</v>
      </c>
      <c r="N360" s="22" t="n">
        <v>8</v>
      </c>
      <c r="O360" s="22" t="n">
        <v>32.8</v>
      </c>
      <c r="P360" s="23" t="n">
        <f aca="false">29.43</f>
        <v>29.43</v>
      </c>
      <c r="Q360" s="23" t="n">
        <f aca="false">111.21</f>
        <v>111.21</v>
      </c>
      <c r="R360" s="22" t="n">
        <v>13.1</v>
      </c>
      <c r="S360" s="22"/>
      <c r="T360" s="22" t="n">
        <v>54</v>
      </c>
      <c r="U360" s="24" t="s">
        <v>58</v>
      </c>
      <c r="V360" s="15"/>
      <c r="W360" s="16"/>
      <c r="X360" s="16"/>
      <c r="Y360" s="16"/>
    </row>
    <row r="361" customFormat="false" ht="14.15" hidden="false" customHeight="false" outlineLevel="0" collapsed="false">
      <c r="A361" s="9"/>
      <c r="B361" s="10"/>
      <c r="C361" s="10"/>
      <c r="D361" s="10"/>
      <c r="E361" s="10"/>
      <c r="F361" s="10"/>
      <c r="G361" s="10"/>
      <c r="H361" s="10"/>
      <c r="I361" s="25" t="n">
        <v>4</v>
      </c>
      <c r="J361" s="25" t="s">
        <v>111</v>
      </c>
      <c r="K361" s="26" t="n">
        <f aca="false">36.73</f>
        <v>36.73</v>
      </c>
      <c r="L361" s="26" t="n">
        <f aca="false">58.15</f>
        <v>58.15</v>
      </c>
      <c r="M361" s="25" t="n">
        <v>10</v>
      </c>
      <c r="N361" s="25" t="n">
        <v>12</v>
      </c>
      <c r="O361" s="25" t="n">
        <v>34.7</v>
      </c>
      <c r="P361" s="26" t="n">
        <f aca="false">23.43</f>
        <v>23.43</v>
      </c>
      <c r="Q361" s="26" t="n">
        <f aca="false">95.24</f>
        <v>95.24</v>
      </c>
      <c r="R361" s="25" t="n">
        <v>7.9</v>
      </c>
      <c r="S361" s="25"/>
      <c r="T361" s="25" t="n">
        <v>72</v>
      </c>
      <c r="U361" s="27" t="s">
        <v>58</v>
      </c>
      <c r="V361" s="21"/>
      <c r="W361" s="16"/>
      <c r="X361" s="16"/>
      <c r="Y361" s="16"/>
    </row>
    <row r="362" customFormat="false" ht="15.75" hidden="false" customHeight="true" outlineLevel="0" collapsed="false">
      <c r="A362" s="9" t="s">
        <v>43</v>
      </c>
      <c r="B362" s="10" t="s">
        <v>44</v>
      </c>
      <c r="C362" s="11" t="s">
        <v>148</v>
      </c>
      <c r="D362" s="10" t="s">
        <v>28</v>
      </c>
      <c r="E362" s="10" t="s">
        <v>28</v>
      </c>
      <c r="F362" s="10"/>
      <c r="G362" s="10" t="n">
        <v>6</v>
      </c>
      <c r="H362" s="10" t="n">
        <v>1.7</v>
      </c>
      <c r="I362" s="12" t="n">
        <v>1</v>
      </c>
      <c r="J362" s="12" t="s">
        <v>47</v>
      </c>
      <c r="K362" s="13" t="n">
        <f aca="false">43.55</f>
        <v>43.55</v>
      </c>
      <c r="L362" s="13" t="n">
        <f aca="false">135.45</f>
        <v>135.45</v>
      </c>
      <c r="M362" s="12" t="n">
        <v>14</v>
      </c>
      <c r="N362" s="12" t="n">
        <v>34</v>
      </c>
      <c r="O362" s="12" t="n">
        <v>130.7</v>
      </c>
      <c r="P362" s="13" t="n">
        <f aca="false">27.83</f>
        <v>27.83</v>
      </c>
      <c r="Q362" s="13" t="n">
        <f aca="false">163.04</f>
        <v>163.04</v>
      </c>
      <c r="R362" s="12" t="n">
        <v>23.6</v>
      </c>
      <c r="S362" s="12" t="n">
        <v>24.4</v>
      </c>
      <c r="T362" s="12" t="n">
        <v>460</v>
      </c>
      <c r="U362" s="14" t="s">
        <v>29</v>
      </c>
      <c r="V362" s="15"/>
      <c r="W362" s="16" t="str">
        <f aca="false">A362</f>
        <v>JB</v>
      </c>
      <c r="X362" s="17" t="e">
        <f aca="false">ifs(C362="","",X362="",NOW(),TRUE(),X362)</f>
        <v>#VALUE!</v>
      </c>
      <c r="Y362" s="17" t="e">
        <f aca="false">ifs(COUNTA(K362:U365)&lt;44,"",Y362="",NOW(),TRUE(),Y362)</f>
        <v>#VALUE!</v>
      </c>
    </row>
    <row r="363" customFormat="false" ht="14.15" hidden="false" customHeight="false" outlineLevel="0" collapsed="false">
      <c r="A363" s="9"/>
      <c r="B363" s="10"/>
      <c r="C363" s="10"/>
      <c r="D363" s="10"/>
      <c r="E363" s="10"/>
      <c r="F363" s="10"/>
      <c r="G363" s="10"/>
      <c r="H363" s="10"/>
      <c r="I363" s="18" t="n">
        <v>2</v>
      </c>
      <c r="J363" s="18" t="s">
        <v>35</v>
      </c>
      <c r="K363" s="19" t="n">
        <f aca="false">43.64</f>
        <v>43.64</v>
      </c>
      <c r="L363" s="19" t="n">
        <f aca="false">170.85</f>
        <v>170.85</v>
      </c>
      <c r="M363" s="18" t="n">
        <v>16</v>
      </c>
      <c r="N363" s="18" t="n">
        <v>38</v>
      </c>
      <c r="O363" s="18" t="n">
        <v>169.4</v>
      </c>
      <c r="P363" s="19" t="n">
        <f aca="false">27.23</f>
        <v>27.23</v>
      </c>
      <c r="Q363" s="19" t="n">
        <f aca="false">188.37</f>
        <v>188.37</v>
      </c>
      <c r="R363" s="18" t="n">
        <v>25.9</v>
      </c>
      <c r="S363" s="18" t="n">
        <v>21.6</v>
      </c>
      <c r="T363" s="18" t="n">
        <v>609</v>
      </c>
      <c r="U363" s="20" t="s">
        <v>29</v>
      </c>
      <c r="V363" s="21"/>
      <c r="W363" s="16"/>
      <c r="X363" s="16"/>
      <c r="Y363" s="16"/>
    </row>
    <row r="364" customFormat="false" ht="14.15" hidden="false" customHeight="false" outlineLevel="0" collapsed="false">
      <c r="A364" s="9"/>
      <c r="B364" s="10"/>
      <c r="C364" s="10"/>
      <c r="D364" s="10"/>
      <c r="E364" s="10"/>
      <c r="F364" s="10"/>
      <c r="G364" s="10"/>
      <c r="H364" s="10"/>
      <c r="I364" s="22" t="n">
        <v>3</v>
      </c>
      <c r="J364" s="22" t="s">
        <v>50</v>
      </c>
      <c r="K364" s="23" t="n">
        <f aca="false">42.48</f>
        <v>42.48</v>
      </c>
      <c r="L364" s="23" t="n">
        <f aca="false">178.38</f>
        <v>178.38</v>
      </c>
      <c r="M364" s="22" t="n">
        <v>12</v>
      </c>
      <c r="N364" s="22" t="n">
        <v>36</v>
      </c>
      <c r="O364" s="22" t="n">
        <v>166.4</v>
      </c>
      <c r="P364" s="23" t="n">
        <f aca="false">27.38</f>
        <v>27.38</v>
      </c>
      <c r="Q364" s="23" t="n">
        <f aca="false">186</f>
        <v>186</v>
      </c>
      <c r="R364" s="22" t="n">
        <v>27.7</v>
      </c>
      <c r="S364" s="22" t="n">
        <v>25.4</v>
      </c>
      <c r="T364" s="22" t="n">
        <v>538</v>
      </c>
      <c r="U364" s="24" t="s">
        <v>29</v>
      </c>
      <c r="V364" s="15"/>
      <c r="W364" s="16"/>
      <c r="X364" s="16"/>
      <c r="Y364" s="16"/>
    </row>
    <row r="365" customFormat="false" ht="14.15" hidden="false" customHeight="false" outlineLevel="0" collapsed="false">
      <c r="A365" s="9"/>
      <c r="B365" s="10"/>
      <c r="C365" s="10"/>
      <c r="D365" s="10"/>
      <c r="E365" s="10"/>
      <c r="F365" s="10"/>
      <c r="G365" s="10"/>
      <c r="H365" s="10"/>
      <c r="I365" s="25" t="n">
        <v>4</v>
      </c>
      <c r="J365" s="25" t="s">
        <v>33</v>
      </c>
      <c r="K365" s="26" t="n">
        <f aca="false">39.32</f>
        <v>39.32</v>
      </c>
      <c r="L365" s="26" t="n">
        <f aca="false">135.06</f>
        <v>135.06</v>
      </c>
      <c r="M365" s="25" t="n">
        <v>12</v>
      </c>
      <c r="N365" s="25" t="n">
        <v>32</v>
      </c>
      <c r="O365" s="25" t="n">
        <v>112.2</v>
      </c>
      <c r="P365" s="26" t="n">
        <f aca="false">26.09</f>
        <v>26.09</v>
      </c>
      <c r="Q365" s="26" t="n">
        <f aca="false">167.53</f>
        <v>167.53</v>
      </c>
      <c r="R365" s="25" t="n">
        <v>20.3</v>
      </c>
      <c r="S365" s="25" t="n">
        <v>22.9</v>
      </c>
      <c r="T365" s="25" t="n">
        <v>416</v>
      </c>
      <c r="U365" s="27" t="s">
        <v>29</v>
      </c>
      <c r="V365" s="21"/>
      <c r="W365" s="16"/>
      <c r="X365" s="16"/>
      <c r="Y365" s="16"/>
    </row>
    <row r="366" customFormat="false" ht="15.75" hidden="false" customHeight="true" outlineLevel="0" collapsed="false">
      <c r="A366" s="9" t="s">
        <v>43</v>
      </c>
      <c r="B366" s="10" t="s">
        <v>44</v>
      </c>
      <c r="C366" s="11" t="s">
        <v>149</v>
      </c>
      <c r="D366" s="10" t="s">
        <v>28</v>
      </c>
      <c r="E366" s="10" t="s">
        <v>28</v>
      </c>
      <c r="F366" s="10"/>
      <c r="G366" s="10" t="n">
        <v>22</v>
      </c>
      <c r="H366" s="10" t="n">
        <v>6.2</v>
      </c>
      <c r="I366" s="12" t="n">
        <v>1</v>
      </c>
      <c r="J366" s="12" t="s">
        <v>49</v>
      </c>
      <c r="K366" s="13" t="n">
        <f aca="false">42.11</f>
        <v>42.11</v>
      </c>
      <c r="L366" s="13" t="n">
        <f aca="false">103.08</f>
        <v>103.08</v>
      </c>
      <c r="M366" s="12" t="n">
        <v>14</v>
      </c>
      <c r="N366" s="12" t="n">
        <v>24</v>
      </c>
      <c r="O366" s="12" t="n">
        <v>97.9</v>
      </c>
      <c r="P366" s="13" t="n">
        <f aca="false">27.96</f>
        <v>27.96</v>
      </c>
      <c r="Q366" s="13" t="n">
        <f aca="false">120.7</f>
        <v>120.7</v>
      </c>
      <c r="R366" s="12" t="n">
        <v>13.2</v>
      </c>
      <c r="S366" s="12" t="n">
        <v>27.9</v>
      </c>
      <c r="T366" s="12" t="n">
        <v>309</v>
      </c>
      <c r="U366" s="14" t="s">
        <v>97</v>
      </c>
      <c r="V366" s="15"/>
      <c r="W366" s="16" t="str">
        <f aca="false">A366</f>
        <v>JB</v>
      </c>
      <c r="X366" s="17" t="e">
        <f aca="false">ifs(C366="","",X366="",NOW(),TRUE(),X366)</f>
        <v>#VALUE!</v>
      </c>
      <c r="Y366" s="17" t="e">
        <f aca="false">ifs(COUNTA(K366:U369)&lt;44,"",Y366="",NOW(),TRUE(),Y366)</f>
        <v>#VALUE!</v>
      </c>
    </row>
    <row r="367" customFormat="false" ht="14.15" hidden="false" customHeight="false" outlineLevel="0" collapsed="false">
      <c r="A367" s="9"/>
      <c r="B367" s="10"/>
      <c r="C367" s="10"/>
      <c r="D367" s="10"/>
      <c r="E367" s="10"/>
      <c r="F367" s="10"/>
      <c r="G367" s="10"/>
      <c r="H367" s="10"/>
      <c r="I367" s="18" t="n">
        <v>2</v>
      </c>
      <c r="J367" s="18" t="s">
        <v>33</v>
      </c>
      <c r="K367" s="19" t="n">
        <f aca="false">48.75</f>
        <v>48.75</v>
      </c>
      <c r="L367" s="19" t="n">
        <f aca="false">144.83</f>
        <v>144.83</v>
      </c>
      <c r="M367" s="18" t="n">
        <v>16</v>
      </c>
      <c r="N367" s="18" t="n">
        <v>32</v>
      </c>
      <c r="O367" s="18" t="n">
        <v>137.6</v>
      </c>
      <c r="P367" s="19" t="n">
        <f aca="false">31.38</f>
        <v>31.38</v>
      </c>
      <c r="Q367" s="19" t="n">
        <f aca="false">153.14</f>
        <v>153.14</v>
      </c>
      <c r="R367" s="18" t="n">
        <v>22.2</v>
      </c>
      <c r="S367" s="18" t="n">
        <v>23.3</v>
      </c>
      <c r="T367" s="18" t="n">
        <v>469</v>
      </c>
      <c r="U367" s="20" t="s">
        <v>97</v>
      </c>
      <c r="V367" s="21"/>
      <c r="W367" s="16"/>
      <c r="X367" s="16"/>
      <c r="Y367" s="16"/>
    </row>
    <row r="368" customFormat="false" ht="14.15" hidden="false" customHeight="false" outlineLevel="0" collapsed="false">
      <c r="A368" s="9"/>
      <c r="B368" s="10"/>
      <c r="C368" s="10"/>
      <c r="D368" s="10"/>
      <c r="E368" s="10"/>
      <c r="F368" s="10"/>
      <c r="G368" s="10"/>
      <c r="H368" s="10"/>
      <c r="I368" s="22" t="n">
        <v>3</v>
      </c>
      <c r="J368" s="22" t="s">
        <v>33</v>
      </c>
      <c r="K368" s="23" t="n">
        <f aca="false">46.07</f>
        <v>46.07</v>
      </c>
      <c r="L368" s="23" t="n">
        <f aca="false">155.39</f>
        <v>155.39</v>
      </c>
      <c r="M368" s="22" t="n">
        <v>16</v>
      </c>
      <c r="N368" s="22" t="n">
        <v>34</v>
      </c>
      <c r="O368" s="22" t="n">
        <v>155.7</v>
      </c>
      <c r="P368" s="23" t="n">
        <f aca="false">26.56</f>
        <v>26.56</v>
      </c>
      <c r="Q368" s="23" t="n">
        <f aca="false">165.67</f>
        <v>165.67</v>
      </c>
      <c r="R368" s="22" t="n">
        <v>21.1</v>
      </c>
      <c r="S368" s="22" t="n">
        <v>22.5</v>
      </c>
      <c r="T368" s="22" t="n">
        <v>570</v>
      </c>
      <c r="U368" s="24" t="s">
        <v>97</v>
      </c>
      <c r="V368" s="15"/>
      <c r="W368" s="16"/>
      <c r="X368" s="16"/>
      <c r="Y368" s="16"/>
    </row>
    <row r="369" customFormat="false" ht="14.15" hidden="false" customHeight="false" outlineLevel="0" collapsed="false">
      <c r="A369" s="9"/>
      <c r="B369" s="10"/>
      <c r="C369" s="10"/>
      <c r="D369" s="10"/>
      <c r="E369" s="10"/>
      <c r="F369" s="10"/>
      <c r="G369" s="10"/>
      <c r="H369" s="10"/>
      <c r="I369" s="25" t="n">
        <v>4</v>
      </c>
      <c r="J369" s="25" t="s">
        <v>33</v>
      </c>
      <c r="K369" s="26" t="n">
        <f aca="false">44.85</f>
        <v>44.85</v>
      </c>
      <c r="L369" s="26" t="n">
        <f aca="false">138.8</f>
        <v>138.8</v>
      </c>
      <c r="M369" s="25" t="n">
        <v>14</v>
      </c>
      <c r="N369" s="25" t="n">
        <v>32</v>
      </c>
      <c r="O369" s="25" t="n">
        <v>151.9</v>
      </c>
      <c r="P369" s="26" t="n">
        <f aca="false">26.54</f>
        <v>26.54</v>
      </c>
      <c r="Q369" s="26" t="n">
        <f aca="false">162.83</f>
        <v>162.83</v>
      </c>
      <c r="R369" s="25" t="n">
        <v>19.4</v>
      </c>
      <c r="S369" s="25" t="n">
        <v>27.4</v>
      </c>
      <c r="T369" s="25" t="n">
        <v>476</v>
      </c>
      <c r="U369" s="27" t="s">
        <v>97</v>
      </c>
      <c r="V369" s="21"/>
      <c r="W369" s="16"/>
      <c r="X369" s="16"/>
      <c r="Y369" s="16"/>
    </row>
    <row r="370" customFormat="false" ht="15.75" hidden="false" customHeight="true" outlineLevel="0" collapsed="false">
      <c r="A370" s="9" t="s">
        <v>43</v>
      </c>
      <c r="B370" s="10" t="s">
        <v>44</v>
      </c>
      <c r="C370" s="11" t="s">
        <v>150</v>
      </c>
      <c r="D370" s="10" t="s">
        <v>28</v>
      </c>
      <c r="E370" s="10" t="s">
        <v>28</v>
      </c>
      <c r="F370" s="10"/>
      <c r="G370" s="10" t="n">
        <v>16</v>
      </c>
      <c r="H370" s="10" t="n">
        <v>4</v>
      </c>
      <c r="I370" s="12" t="n">
        <v>1</v>
      </c>
      <c r="J370" s="12" t="s">
        <v>50</v>
      </c>
      <c r="K370" s="13" t="n">
        <f aca="false">42.8</f>
        <v>42.8</v>
      </c>
      <c r="L370" s="13" t="n">
        <f aca="false">158.5</f>
        <v>158.5</v>
      </c>
      <c r="M370" s="12" t="n">
        <v>12</v>
      </c>
      <c r="N370" s="12" t="n">
        <v>40</v>
      </c>
      <c r="O370" s="12" t="n">
        <v>168.2</v>
      </c>
      <c r="P370" s="13" t="n">
        <f aca="false">25.16</f>
        <v>25.16</v>
      </c>
      <c r="Q370" s="13" t="n">
        <f aca="false">170.11</f>
        <v>170.11</v>
      </c>
      <c r="R370" s="12" t="n">
        <v>23</v>
      </c>
      <c r="S370" s="12" t="n">
        <v>27.4</v>
      </c>
      <c r="T370" s="12" t="n">
        <v>530</v>
      </c>
      <c r="U370" s="14" t="s">
        <v>58</v>
      </c>
      <c r="V370" s="15"/>
      <c r="W370" s="16" t="str">
        <f aca="false">A370</f>
        <v>JB</v>
      </c>
      <c r="X370" s="17" t="e">
        <f aca="false">ifs(C370="","",X370="",NOW(),TRUE(),X370)</f>
        <v>#VALUE!</v>
      </c>
      <c r="Y370" s="17" t="e">
        <f aca="false">ifs(COUNTA(K370:U373)&lt;44,"",Y370="",NOW(),TRUE(),Y370)</f>
        <v>#VALUE!</v>
      </c>
    </row>
    <row r="371" customFormat="false" ht="14.15" hidden="false" customHeight="false" outlineLevel="0" collapsed="false">
      <c r="A371" s="9"/>
      <c r="B371" s="10"/>
      <c r="C371" s="10"/>
      <c r="D371" s="10"/>
      <c r="E371" s="10"/>
      <c r="F371" s="10"/>
      <c r="G371" s="10"/>
      <c r="H371" s="10"/>
      <c r="I371" s="18" t="n">
        <v>2</v>
      </c>
      <c r="J371" s="18" t="s">
        <v>50</v>
      </c>
      <c r="K371" s="19" t="n">
        <f aca="false">42.88</f>
        <v>42.88</v>
      </c>
      <c r="L371" s="19" t="n">
        <f aca="false">148.45</f>
        <v>148.45</v>
      </c>
      <c r="M371" s="18" t="n">
        <v>12</v>
      </c>
      <c r="N371" s="18" t="n">
        <v>38</v>
      </c>
      <c r="O371" s="18" t="n">
        <v>154.5</v>
      </c>
      <c r="P371" s="19" t="n">
        <f aca="false">24.13</f>
        <v>24.13</v>
      </c>
      <c r="Q371" s="19" t="n">
        <f aca="false">150.35</f>
        <v>150.35</v>
      </c>
      <c r="R371" s="18" t="n">
        <v>20.7</v>
      </c>
      <c r="S371" s="18" t="n">
        <v>22.7</v>
      </c>
      <c r="T371" s="18" t="n">
        <v>494</v>
      </c>
      <c r="U371" s="20" t="s">
        <v>58</v>
      </c>
      <c r="V371" s="21"/>
      <c r="W371" s="16"/>
      <c r="X371" s="16"/>
      <c r="Y371" s="16"/>
    </row>
    <row r="372" customFormat="false" ht="14.15" hidden="false" customHeight="false" outlineLevel="0" collapsed="false">
      <c r="A372" s="9"/>
      <c r="B372" s="10"/>
      <c r="C372" s="10"/>
      <c r="D372" s="10"/>
      <c r="E372" s="10"/>
      <c r="F372" s="10"/>
      <c r="G372" s="10"/>
      <c r="H372" s="10"/>
      <c r="I372" s="22" t="n">
        <v>3</v>
      </c>
      <c r="J372" s="22" t="s">
        <v>49</v>
      </c>
      <c r="K372" s="23" t="n">
        <f aca="false">42.13</f>
        <v>42.13</v>
      </c>
      <c r="L372" s="23" t="n">
        <f aca="false">129.02</f>
        <v>129.02</v>
      </c>
      <c r="M372" s="22" t="n">
        <v>14</v>
      </c>
      <c r="N372" s="22" t="n">
        <v>34</v>
      </c>
      <c r="O372" s="22" t="n">
        <v>112</v>
      </c>
      <c r="P372" s="23" t="n">
        <f aca="false">24.52</f>
        <v>24.52</v>
      </c>
      <c r="Q372" s="23" t="n">
        <f aca="false">134.08</f>
        <v>134.08</v>
      </c>
      <c r="R372" s="22" t="n">
        <v>15.7</v>
      </c>
      <c r="S372" s="22" t="n">
        <v>22</v>
      </c>
      <c r="T372" s="22" t="n">
        <v>427</v>
      </c>
      <c r="U372" s="24" t="s">
        <v>58</v>
      </c>
      <c r="V372" s="15"/>
      <c r="W372" s="16"/>
      <c r="X372" s="16"/>
      <c r="Y372" s="16"/>
    </row>
    <row r="373" customFormat="false" ht="14.15" hidden="false" customHeight="false" outlineLevel="0" collapsed="false">
      <c r="A373" s="9"/>
      <c r="B373" s="10"/>
      <c r="C373" s="10"/>
      <c r="D373" s="10"/>
      <c r="E373" s="10"/>
      <c r="F373" s="10"/>
      <c r="G373" s="10"/>
      <c r="H373" s="10"/>
      <c r="I373" s="25" t="n">
        <v>4</v>
      </c>
      <c r="J373" s="25" t="s">
        <v>49</v>
      </c>
      <c r="K373" s="26" t="n">
        <f aca="false">45.84</f>
        <v>45.84</v>
      </c>
      <c r="L373" s="26" t="n">
        <f aca="false">128.1</f>
        <v>128.1</v>
      </c>
      <c r="M373" s="25" t="n">
        <v>18</v>
      </c>
      <c r="N373" s="25" t="n">
        <v>32</v>
      </c>
      <c r="O373" s="25" t="n">
        <v>152.5</v>
      </c>
      <c r="P373" s="26" t="n">
        <f aca="false">27.61</f>
        <v>27.61</v>
      </c>
      <c r="Q373" s="26" t="n">
        <f aca="false">144.04</f>
        <v>144.04</v>
      </c>
      <c r="R373" s="25" t="n">
        <v>19.5</v>
      </c>
      <c r="S373" s="25" t="n">
        <v>22.6</v>
      </c>
      <c r="T373" s="25" t="n">
        <v>600</v>
      </c>
      <c r="U373" s="27" t="s">
        <v>58</v>
      </c>
      <c r="V373" s="21"/>
      <c r="W373" s="16"/>
      <c r="X373" s="16"/>
      <c r="Y373" s="16"/>
    </row>
    <row r="374" customFormat="false" ht="15.75" hidden="false" customHeight="true" outlineLevel="0" collapsed="false">
      <c r="A374" s="9" t="s">
        <v>43</v>
      </c>
      <c r="B374" s="10" t="s">
        <v>44</v>
      </c>
      <c r="C374" s="11" t="s">
        <v>151</v>
      </c>
      <c r="D374" s="10" t="s">
        <v>28</v>
      </c>
      <c r="E374" s="10" t="s">
        <v>28</v>
      </c>
      <c r="F374" s="10"/>
      <c r="G374" s="10" t="n">
        <v>11</v>
      </c>
      <c r="H374" s="10" t="n">
        <v>1.9</v>
      </c>
      <c r="I374" s="12" t="n">
        <v>1</v>
      </c>
      <c r="J374" s="12" t="s">
        <v>47</v>
      </c>
      <c r="K374" s="13" t="n">
        <f aca="false">47.58</f>
        <v>47.58</v>
      </c>
      <c r="L374" s="13" t="n">
        <f aca="false">160.46</f>
        <v>160.46</v>
      </c>
      <c r="M374" s="12" t="n">
        <v>18</v>
      </c>
      <c r="N374" s="12" t="n">
        <v>36</v>
      </c>
      <c r="O374" s="12" t="n">
        <v>195.2</v>
      </c>
      <c r="P374" s="13" t="n">
        <f aca="false">30.11</f>
        <v>30.11</v>
      </c>
      <c r="Q374" s="13" t="n">
        <f aca="false">173.87</f>
        <v>173.87</v>
      </c>
      <c r="R374" s="12" t="n">
        <v>32</v>
      </c>
      <c r="S374" s="12" t="n">
        <v>22.8</v>
      </c>
      <c r="T374" s="12" t="n">
        <v>748</v>
      </c>
      <c r="U374" s="14" t="s">
        <v>29</v>
      </c>
      <c r="V374" s="15"/>
      <c r="W374" s="16" t="str">
        <f aca="false">A374</f>
        <v>JB</v>
      </c>
      <c r="X374" s="17" t="e">
        <f aca="false">ifs(C374="","",X374="",NOW(),TRUE(),X374)</f>
        <v>#VALUE!</v>
      </c>
      <c r="Y374" s="17" t="e">
        <f aca="false">ifs(COUNTA(K374:U377)&lt;44,"",Y374="",NOW(),TRUE(),Y374)</f>
        <v>#VALUE!</v>
      </c>
    </row>
    <row r="375" customFormat="false" ht="14.15" hidden="false" customHeight="false" outlineLevel="0" collapsed="false">
      <c r="A375" s="9"/>
      <c r="B375" s="10"/>
      <c r="C375" s="10"/>
      <c r="D375" s="10"/>
      <c r="E375" s="10"/>
      <c r="F375" s="10"/>
      <c r="G375" s="10"/>
      <c r="H375" s="10"/>
      <c r="I375" s="18" t="n">
        <v>2</v>
      </c>
      <c r="J375" s="18" t="s">
        <v>47</v>
      </c>
      <c r="K375" s="19" t="n">
        <f aca="false">44.25</f>
        <v>44.25</v>
      </c>
      <c r="L375" s="19" t="n">
        <f aca="false">148.37</f>
        <v>148.37</v>
      </c>
      <c r="M375" s="18" t="n">
        <v>14</v>
      </c>
      <c r="N375" s="18" t="n">
        <v>36</v>
      </c>
      <c r="O375" s="18" t="n">
        <v>150.2</v>
      </c>
      <c r="P375" s="19" t="n">
        <f aca="false">29.42</f>
        <v>29.42</v>
      </c>
      <c r="Q375" s="19" t="n">
        <f aca="false">165.88</f>
        <v>165.88</v>
      </c>
      <c r="R375" s="18" t="n">
        <v>26.2</v>
      </c>
      <c r="S375" s="18" t="n">
        <v>23.4</v>
      </c>
      <c r="T375" s="18" t="n">
        <v>548</v>
      </c>
      <c r="U375" s="20" t="s">
        <v>29</v>
      </c>
      <c r="V375" s="21"/>
      <c r="W375" s="16"/>
      <c r="X375" s="16"/>
      <c r="Y375" s="16"/>
    </row>
    <row r="376" customFormat="false" ht="14.15" hidden="false" customHeight="false" outlineLevel="0" collapsed="false">
      <c r="A376" s="9"/>
      <c r="B376" s="10"/>
      <c r="C376" s="10"/>
      <c r="D376" s="10"/>
      <c r="E376" s="10"/>
      <c r="F376" s="10"/>
      <c r="G376" s="10"/>
      <c r="H376" s="10"/>
      <c r="I376" s="22" t="n">
        <v>3</v>
      </c>
      <c r="J376" s="22" t="s">
        <v>35</v>
      </c>
      <c r="K376" s="23" t="n">
        <f aca="false">45.84</f>
        <v>45.84</v>
      </c>
      <c r="L376" s="23" t="n">
        <f aca="false">149.69</f>
        <v>149.69</v>
      </c>
      <c r="M376" s="22" t="n">
        <v>16</v>
      </c>
      <c r="N376" s="22" t="n">
        <v>34</v>
      </c>
      <c r="O376" s="22" t="n">
        <v>168.5</v>
      </c>
      <c r="P376" s="23" t="n">
        <f aca="false">29.36</f>
        <v>29.36</v>
      </c>
      <c r="Q376" s="23" t="n">
        <f aca="false">159.32</f>
        <v>159.32</v>
      </c>
      <c r="R376" s="22" t="n">
        <v>29.6</v>
      </c>
      <c r="S376" s="22" t="n">
        <v>21.2</v>
      </c>
      <c r="T376" s="22" t="n">
        <v>620</v>
      </c>
      <c r="U376" s="24" t="s">
        <v>29</v>
      </c>
      <c r="V376" s="15"/>
      <c r="W376" s="16"/>
      <c r="X376" s="16"/>
      <c r="Y376" s="16"/>
    </row>
    <row r="377" customFormat="false" ht="14.15" hidden="false" customHeight="false" outlineLevel="0" collapsed="false">
      <c r="A377" s="9"/>
      <c r="B377" s="10"/>
      <c r="C377" s="10"/>
      <c r="D377" s="10"/>
      <c r="E377" s="10"/>
      <c r="F377" s="10"/>
      <c r="G377" s="10"/>
      <c r="H377" s="10"/>
      <c r="I377" s="25" t="n">
        <v>4</v>
      </c>
      <c r="J377" s="25" t="s">
        <v>35</v>
      </c>
      <c r="K377" s="26" t="n">
        <f aca="false">42.64</f>
        <v>42.64</v>
      </c>
      <c r="L377" s="26" t="n">
        <f aca="false">121.74</f>
        <v>121.74</v>
      </c>
      <c r="M377" s="25" t="n">
        <v>14</v>
      </c>
      <c r="N377" s="25" t="n">
        <v>28</v>
      </c>
      <c r="O377" s="25" t="n">
        <v>108.2</v>
      </c>
      <c r="P377" s="26" t="n">
        <f aca="false">26.52</f>
        <v>26.52</v>
      </c>
      <c r="Q377" s="26" t="n">
        <f aca="false">143.62</f>
        <v>143.62</v>
      </c>
      <c r="R377" s="25" t="n">
        <v>21</v>
      </c>
      <c r="S377" s="25" t="n">
        <v>23</v>
      </c>
      <c r="T377" s="25" t="n">
        <v>383</v>
      </c>
      <c r="U377" s="27" t="s">
        <v>29</v>
      </c>
      <c r="V377" s="21"/>
      <c r="W377" s="16"/>
      <c r="X377" s="16"/>
      <c r="Y377" s="16"/>
    </row>
    <row r="378" customFormat="false" ht="15.75" hidden="false" customHeight="true" outlineLevel="0" collapsed="false">
      <c r="A378" s="9" t="s">
        <v>43</v>
      </c>
      <c r="B378" s="10" t="s">
        <v>44</v>
      </c>
      <c r="C378" s="11" t="s">
        <v>152</v>
      </c>
      <c r="D378" s="10" t="s">
        <v>28</v>
      </c>
      <c r="E378" s="10" t="s">
        <v>28</v>
      </c>
      <c r="F378" s="10"/>
      <c r="G378" s="10" t="n">
        <v>66</v>
      </c>
      <c r="H378" s="10" t="n">
        <v>13.5</v>
      </c>
      <c r="I378" s="12" t="n">
        <v>1</v>
      </c>
      <c r="J378" s="12" t="s">
        <v>33</v>
      </c>
      <c r="K378" s="13" t="n">
        <f aca="false">45.6</f>
        <v>45.6</v>
      </c>
      <c r="L378" s="13" t="n">
        <f aca="false">176.06</f>
        <v>176.06</v>
      </c>
      <c r="M378" s="12" t="n">
        <v>12</v>
      </c>
      <c r="N378" s="12" t="n">
        <v>48</v>
      </c>
      <c r="O378" s="12" t="n">
        <v>167.3</v>
      </c>
      <c r="P378" s="13" t="n">
        <f aca="false">29.31</f>
        <v>29.31</v>
      </c>
      <c r="Q378" s="13" t="n">
        <f aca="false">182.36</f>
        <v>182.36</v>
      </c>
      <c r="R378" s="12" t="n">
        <v>31.4</v>
      </c>
      <c r="S378" s="12" t="n">
        <v>24.3</v>
      </c>
      <c r="T378" s="12" t="n">
        <v>656</v>
      </c>
      <c r="U378" s="14" t="s">
        <v>58</v>
      </c>
      <c r="V378" s="15"/>
      <c r="W378" s="16" t="str">
        <f aca="false">A378</f>
        <v>JB</v>
      </c>
      <c r="X378" s="17" t="e">
        <f aca="false">ifs(C378="","",X378="",NOW(),TRUE(),X378)</f>
        <v>#VALUE!</v>
      </c>
      <c r="Y378" s="17" t="e">
        <f aca="false">ifs(COUNTA(K378:U381)&lt;44,"",Y378="",NOW(),TRUE(),Y378)</f>
        <v>#VALUE!</v>
      </c>
    </row>
    <row r="379" customFormat="false" ht="14.15" hidden="false" customHeight="false" outlineLevel="0" collapsed="false">
      <c r="A379" s="9"/>
      <c r="B379" s="10"/>
      <c r="C379" s="10"/>
      <c r="D379" s="10"/>
      <c r="E379" s="10"/>
      <c r="F379" s="10"/>
      <c r="G379" s="10"/>
      <c r="H379" s="10"/>
      <c r="I379" s="18" t="n">
        <v>2</v>
      </c>
      <c r="J379" s="18"/>
      <c r="K379" s="19" t="n">
        <f aca="false">45.93</f>
        <v>45.93</v>
      </c>
      <c r="L379" s="19" t="n">
        <f aca="false">185.81</f>
        <v>185.81</v>
      </c>
      <c r="M379" s="18" t="n">
        <v>14</v>
      </c>
      <c r="N379" s="18" t="n">
        <v>42</v>
      </c>
      <c r="O379" s="18" t="n">
        <v>172.7</v>
      </c>
      <c r="P379" s="19" t="n">
        <f aca="false">28.99</f>
        <v>28.99</v>
      </c>
      <c r="Q379" s="19" t="n">
        <f aca="false">192.91</f>
        <v>192.91</v>
      </c>
      <c r="R379" s="18" t="n">
        <v>32.9</v>
      </c>
      <c r="S379" s="18" t="n">
        <v>23.1</v>
      </c>
      <c r="T379" s="18" t="n">
        <v>645</v>
      </c>
      <c r="U379" s="20" t="s">
        <v>58</v>
      </c>
      <c r="V379" s="21"/>
      <c r="W379" s="16"/>
      <c r="X379" s="16"/>
      <c r="Y379" s="16"/>
    </row>
    <row r="380" customFormat="false" ht="14.15" hidden="false" customHeight="false" outlineLevel="0" collapsed="false">
      <c r="A380" s="9"/>
      <c r="B380" s="10"/>
      <c r="C380" s="10"/>
      <c r="D380" s="10"/>
      <c r="E380" s="10"/>
      <c r="F380" s="10"/>
      <c r="G380" s="10"/>
      <c r="H380" s="10"/>
      <c r="I380" s="22" t="n">
        <v>3</v>
      </c>
      <c r="J380" s="22" t="s">
        <v>35</v>
      </c>
      <c r="K380" s="23" t="n">
        <f aca="false">42.51</f>
        <v>42.51</v>
      </c>
      <c r="L380" s="23" t="n">
        <f aca="false">136.79</f>
        <v>136.79</v>
      </c>
      <c r="M380" s="22" t="n">
        <v>12</v>
      </c>
      <c r="N380" s="22" t="n">
        <v>30</v>
      </c>
      <c r="O380" s="22" t="n">
        <v>104</v>
      </c>
      <c r="P380" s="23" t="n">
        <f aca="false">28.49</f>
        <v>28.49</v>
      </c>
      <c r="Q380" s="23" t="n">
        <f aca="false">155.2</f>
        <v>155.2</v>
      </c>
      <c r="R380" s="22" t="n">
        <v>23.8</v>
      </c>
      <c r="S380" s="22" t="n">
        <v>21.8</v>
      </c>
      <c r="T380" s="22" t="n">
        <v>375</v>
      </c>
      <c r="U380" s="24" t="s">
        <v>58</v>
      </c>
      <c r="V380" s="15"/>
      <c r="W380" s="16"/>
      <c r="X380" s="16"/>
      <c r="Y380" s="16"/>
    </row>
    <row r="381" customFormat="false" ht="14.15" hidden="false" customHeight="false" outlineLevel="0" collapsed="false">
      <c r="A381" s="9"/>
      <c r="B381" s="10"/>
      <c r="C381" s="10"/>
      <c r="D381" s="10"/>
      <c r="E381" s="10"/>
      <c r="F381" s="10"/>
      <c r="G381" s="10"/>
      <c r="H381" s="10"/>
      <c r="I381" s="25" t="n">
        <v>4</v>
      </c>
      <c r="J381" s="25" t="s">
        <v>50</v>
      </c>
      <c r="K381" s="26" t="n">
        <f aca="false">46.3</f>
        <v>46.3</v>
      </c>
      <c r="L381" s="26" t="n">
        <f aca="false">147.38</f>
        <v>147.38</v>
      </c>
      <c r="M381" s="25" t="n">
        <v>14</v>
      </c>
      <c r="N381" s="25" t="n">
        <v>38</v>
      </c>
      <c r="O381" s="25" t="n">
        <v>141.4</v>
      </c>
      <c r="P381" s="26" t="n">
        <f aca="false">29.8</f>
        <v>29.8</v>
      </c>
      <c r="Q381" s="26" t="n">
        <f aca="false">156.02</f>
        <v>156.02</v>
      </c>
      <c r="R381" s="25" t="n">
        <v>24.8</v>
      </c>
      <c r="S381" s="25" t="n">
        <v>21.1</v>
      </c>
      <c r="T381" s="25" t="n">
        <v>546</v>
      </c>
      <c r="U381" s="27" t="s">
        <v>29</v>
      </c>
      <c r="V381" s="21"/>
      <c r="W381" s="16"/>
      <c r="X381" s="16"/>
      <c r="Y381" s="16"/>
    </row>
    <row r="382" customFormat="false" ht="15.75" hidden="false" customHeight="true" outlineLevel="0" collapsed="false">
      <c r="A382" s="9" t="s">
        <v>43</v>
      </c>
      <c r="B382" s="10" t="s">
        <v>44</v>
      </c>
      <c r="C382" s="11" t="s">
        <v>153</v>
      </c>
      <c r="D382" s="10" t="s">
        <v>28</v>
      </c>
      <c r="E382" s="10" t="s">
        <v>28</v>
      </c>
      <c r="F382" s="10"/>
      <c r="G382" s="10" t="n">
        <v>30</v>
      </c>
      <c r="H382" s="10" t="n">
        <v>12.8</v>
      </c>
      <c r="I382" s="12" t="n">
        <v>1</v>
      </c>
      <c r="J382" s="12" t="s">
        <v>49</v>
      </c>
      <c r="K382" s="13" t="n">
        <f aca="false">40.06</f>
        <v>40.06</v>
      </c>
      <c r="L382" s="13" t="n">
        <f aca="false">221.97</f>
        <v>221.97</v>
      </c>
      <c r="M382" s="12" t="n">
        <v>12</v>
      </c>
      <c r="N382" s="12" t="n">
        <v>24</v>
      </c>
      <c r="O382" s="12" t="n">
        <v>139.2</v>
      </c>
      <c r="P382" s="13" t="n">
        <f aca="false">27</f>
        <v>27</v>
      </c>
      <c r="Q382" s="13" t="n">
        <f aca="false">221.49</f>
        <v>221.49</v>
      </c>
      <c r="R382" s="12" t="n">
        <v>35.6</v>
      </c>
      <c r="S382" s="12" t="n">
        <v>40.3</v>
      </c>
      <c r="T382" s="12" t="n">
        <v>268</v>
      </c>
      <c r="U382" s="14" t="s">
        <v>58</v>
      </c>
      <c r="V382" s="15"/>
      <c r="W382" s="16" t="str">
        <f aca="false">A382</f>
        <v>JB</v>
      </c>
      <c r="X382" s="17" t="e">
        <f aca="false">ifs(C382="","",X382="",NOW(),TRUE(),X382)</f>
        <v>#VALUE!</v>
      </c>
      <c r="Y382" s="17" t="e">
        <f aca="false">ifs(COUNTA(K382:U385)&lt;44,"",Y382="",NOW(),TRUE(),Y382)</f>
        <v>#VALUE!</v>
      </c>
    </row>
    <row r="383" customFormat="false" ht="14.15" hidden="false" customHeight="false" outlineLevel="0" collapsed="false">
      <c r="A383" s="9"/>
      <c r="B383" s="10"/>
      <c r="C383" s="10"/>
      <c r="D383" s="10"/>
      <c r="E383" s="10"/>
      <c r="F383" s="10"/>
      <c r="G383" s="10"/>
      <c r="H383" s="10"/>
      <c r="I383" s="18" t="n">
        <v>2</v>
      </c>
      <c r="J383" s="18" t="s">
        <v>33</v>
      </c>
      <c r="K383" s="19" t="n">
        <f aca="false">44.55</f>
        <v>44.55</v>
      </c>
      <c r="L383" s="19" t="n">
        <f aca="false">130.91</f>
        <v>130.91</v>
      </c>
      <c r="M383" s="18" t="n">
        <v>12</v>
      </c>
      <c r="N383" s="18" t="n">
        <v>28</v>
      </c>
      <c r="O383" s="18" t="n">
        <v>130.2</v>
      </c>
      <c r="P383" s="19" t="n">
        <f aca="false">25.94</f>
        <v>25.94</v>
      </c>
      <c r="Q383" s="19" t="n">
        <f aca="false">144.23</f>
        <v>144.23</v>
      </c>
      <c r="R383" s="18" t="n">
        <v>15</v>
      </c>
      <c r="S383" s="18" t="n">
        <v>27.9</v>
      </c>
      <c r="T383" s="18" t="n">
        <v>305</v>
      </c>
      <c r="U383" s="20" t="s">
        <v>58</v>
      </c>
      <c r="V383" s="21"/>
      <c r="W383" s="16"/>
      <c r="X383" s="16"/>
      <c r="Y383" s="16"/>
    </row>
    <row r="384" customFormat="false" ht="14.15" hidden="false" customHeight="false" outlineLevel="0" collapsed="false">
      <c r="A384" s="9"/>
      <c r="B384" s="10"/>
      <c r="C384" s="10"/>
      <c r="D384" s="10"/>
      <c r="E384" s="10"/>
      <c r="F384" s="10"/>
      <c r="G384" s="10"/>
      <c r="H384" s="10"/>
      <c r="I384" s="22" t="n">
        <v>3</v>
      </c>
      <c r="J384" s="22" t="s">
        <v>35</v>
      </c>
      <c r="K384" s="23" t="n">
        <f aca="false">46.94</f>
        <v>46.94</v>
      </c>
      <c r="L384" s="23" t="n">
        <f aca="false">170.8</f>
        <v>170.8</v>
      </c>
      <c r="M384" s="22" t="n">
        <v>14</v>
      </c>
      <c r="N384" s="22" t="n">
        <v>38</v>
      </c>
      <c r="O384" s="22" t="n">
        <v>186.1</v>
      </c>
      <c r="P384" s="23" t="n">
        <f aca="false">27.96</f>
        <v>27.96</v>
      </c>
      <c r="Q384" s="23" t="n">
        <f aca="false">177.75</f>
        <v>177.75</v>
      </c>
      <c r="R384" s="22" t="n">
        <v>22.6</v>
      </c>
      <c r="S384" s="22" t="n">
        <v>29.5</v>
      </c>
      <c r="T384" s="22" t="n">
        <v>569</v>
      </c>
      <c r="U384" s="24" t="s">
        <v>58</v>
      </c>
      <c r="V384" s="15"/>
      <c r="W384" s="16"/>
      <c r="X384" s="16"/>
      <c r="Y384" s="16"/>
    </row>
    <row r="385" customFormat="false" ht="14.15" hidden="false" customHeight="false" outlineLevel="0" collapsed="false">
      <c r="A385" s="9"/>
      <c r="B385" s="10"/>
      <c r="C385" s="10"/>
      <c r="D385" s="10"/>
      <c r="E385" s="10"/>
      <c r="F385" s="10"/>
      <c r="G385" s="10"/>
      <c r="H385" s="10"/>
      <c r="I385" s="25" t="n">
        <v>4</v>
      </c>
      <c r="J385" s="25" t="s">
        <v>33</v>
      </c>
      <c r="K385" s="26" t="n">
        <f aca="false">43.94</f>
        <v>43.94</v>
      </c>
      <c r="L385" s="26" t="n">
        <f aca="false">110.62</f>
        <v>110.62</v>
      </c>
      <c r="M385" s="25" t="n">
        <v>12</v>
      </c>
      <c r="N385" s="25" t="n">
        <v>28</v>
      </c>
      <c r="O385" s="25" t="n">
        <v>116.9</v>
      </c>
      <c r="P385" s="26" t="n">
        <f aca="false">25.67</f>
        <v>25.67</v>
      </c>
      <c r="Q385" s="26" t="n">
        <f aca="false">134.59</f>
        <v>134.59</v>
      </c>
      <c r="R385" s="25" t="n">
        <v>14.6</v>
      </c>
      <c r="S385" s="25" t="n">
        <v>27.9</v>
      </c>
      <c r="T385" s="25" t="n">
        <v>365</v>
      </c>
      <c r="U385" s="27" t="s">
        <v>58</v>
      </c>
      <c r="V385" s="21"/>
      <c r="W385" s="16"/>
      <c r="X385" s="16"/>
      <c r="Y385" s="16"/>
    </row>
    <row r="386" customFormat="false" ht="15.75" hidden="false" customHeight="true" outlineLevel="0" collapsed="false">
      <c r="A386" s="9" t="s">
        <v>43</v>
      </c>
      <c r="B386" s="10" t="s">
        <v>44</v>
      </c>
      <c r="C386" s="11" t="s">
        <v>154</v>
      </c>
      <c r="D386" s="10" t="s">
        <v>28</v>
      </c>
      <c r="E386" s="10" t="s">
        <v>28</v>
      </c>
      <c r="F386" s="10"/>
      <c r="G386" s="10" t="n">
        <v>4</v>
      </c>
      <c r="H386" s="10" t="n">
        <v>0.9</v>
      </c>
      <c r="I386" s="12" t="n">
        <v>1</v>
      </c>
      <c r="J386" s="12" t="s">
        <v>33</v>
      </c>
      <c r="K386" s="13" t="n">
        <f aca="false">42.61</f>
        <v>42.61</v>
      </c>
      <c r="L386" s="13" t="n">
        <f aca="false">150.56</f>
        <v>150.56</v>
      </c>
      <c r="M386" s="12" t="n">
        <v>14</v>
      </c>
      <c r="N386" s="12" t="n">
        <v>36</v>
      </c>
      <c r="O386" s="12" t="n">
        <v>137.5</v>
      </c>
      <c r="P386" s="13" t="n">
        <f aca="false">27.22</f>
        <v>27.22</v>
      </c>
      <c r="Q386" s="13" t="n">
        <f aca="false">163.1</f>
        <v>163.1</v>
      </c>
      <c r="R386" s="12" t="n">
        <v>23.3</v>
      </c>
      <c r="S386" s="12" t="n">
        <v>20.2</v>
      </c>
      <c r="T386" s="12" t="n">
        <v>530</v>
      </c>
      <c r="U386" s="14" t="s">
        <v>29</v>
      </c>
      <c r="V386" s="15"/>
      <c r="W386" s="16" t="str">
        <f aca="false">A386</f>
        <v>JB</v>
      </c>
      <c r="X386" s="17" t="e">
        <f aca="false">ifs(C386="","",X386="",NOW(),TRUE(),X386)</f>
        <v>#VALUE!</v>
      </c>
      <c r="Y386" s="17" t="e">
        <f aca="false">ifs(COUNTA(K386:U389)&lt;44,"",Y386="",NOW(),TRUE(),Y386)</f>
        <v>#VALUE!</v>
      </c>
    </row>
    <row r="387" customFormat="false" ht="14.15" hidden="false" customHeight="false" outlineLevel="0" collapsed="false">
      <c r="A387" s="9"/>
      <c r="B387" s="10"/>
      <c r="C387" s="10"/>
      <c r="D387" s="10"/>
      <c r="E387" s="10"/>
      <c r="F387" s="10"/>
      <c r="G387" s="10"/>
      <c r="H387" s="10"/>
      <c r="I387" s="18" t="n">
        <v>2</v>
      </c>
      <c r="J387" s="18" t="s">
        <v>33</v>
      </c>
      <c r="K387" s="19" t="n">
        <f aca="false">43.23</f>
        <v>43.23</v>
      </c>
      <c r="L387" s="19" t="n">
        <f aca="false">167.81</f>
        <v>167.81</v>
      </c>
      <c r="M387" s="18" t="n">
        <v>14</v>
      </c>
      <c r="N387" s="18" t="n">
        <v>44</v>
      </c>
      <c r="O387" s="18" t="n">
        <v>162.3</v>
      </c>
      <c r="P387" s="19" t="n">
        <f aca="false">27.73</f>
        <v>27.73</v>
      </c>
      <c r="Q387" s="19" t="n">
        <f aca="false">195.33</f>
        <v>195.33</v>
      </c>
      <c r="R387" s="18" t="n">
        <v>30</v>
      </c>
      <c r="S387" s="18" t="n">
        <v>20.4</v>
      </c>
      <c r="T387" s="18" t="n">
        <v>615</v>
      </c>
      <c r="U387" s="20" t="s">
        <v>29</v>
      </c>
      <c r="V387" s="21"/>
      <c r="W387" s="16"/>
      <c r="X387" s="16"/>
      <c r="Y387" s="16"/>
    </row>
    <row r="388" customFormat="false" ht="14.15" hidden="false" customHeight="false" outlineLevel="0" collapsed="false">
      <c r="A388" s="9"/>
      <c r="B388" s="10"/>
      <c r="C388" s="10"/>
      <c r="D388" s="10"/>
      <c r="E388" s="10"/>
      <c r="F388" s="10"/>
      <c r="G388" s="10"/>
      <c r="H388" s="10"/>
      <c r="I388" s="22" t="n">
        <v>3</v>
      </c>
      <c r="J388" s="22" t="s">
        <v>35</v>
      </c>
      <c r="K388" s="23" t="n">
        <f aca="false">41.92</f>
        <v>41.92</v>
      </c>
      <c r="L388" s="23" t="n">
        <f aca="false">162.96</f>
        <v>162.96</v>
      </c>
      <c r="M388" s="22" t="n">
        <v>12</v>
      </c>
      <c r="N388" s="22" t="n">
        <v>36</v>
      </c>
      <c r="O388" s="22" t="n">
        <v>148.7</v>
      </c>
      <c r="P388" s="23" t="n">
        <f aca="false">26.48</f>
        <v>26.48</v>
      </c>
      <c r="Q388" s="23" t="n">
        <f aca="false">173.34</f>
        <v>173.34</v>
      </c>
      <c r="R388" s="22" t="n">
        <v>27.3</v>
      </c>
      <c r="S388" s="22" t="n">
        <v>15</v>
      </c>
      <c r="T388" s="22" t="n">
        <v>596</v>
      </c>
      <c r="U388" s="24" t="s">
        <v>29</v>
      </c>
      <c r="V388" s="15"/>
      <c r="W388" s="16"/>
      <c r="X388" s="16"/>
      <c r="Y388" s="16"/>
    </row>
    <row r="389" customFormat="false" ht="14.15" hidden="false" customHeight="false" outlineLevel="0" collapsed="false">
      <c r="A389" s="9"/>
      <c r="B389" s="10"/>
      <c r="C389" s="10"/>
      <c r="D389" s="10"/>
      <c r="E389" s="10"/>
      <c r="F389" s="10"/>
      <c r="G389" s="10"/>
      <c r="H389" s="10"/>
      <c r="I389" s="25" t="n">
        <v>4</v>
      </c>
      <c r="J389" s="25" t="s">
        <v>35</v>
      </c>
      <c r="K389" s="26" t="n">
        <f aca="false">40.94</f>
        <v>40.94</v>
      </c>
      <c r="L389" s="26" t="n">
        <f aca="false">139.59</f>
        <v>139.59</v>
      </c>
      <c r="M389" s="25" t="n">
        <v>12</v>
      </c>
      <c r="N389" s="25" t="n">
        <v>30</v>
      </c>
      <c r="O389" s="25" t="n">
        <v>113.8</v>
      </c>
      <c r="P389" s="26" t="n">
        <f aca="false">26.54</f>
        <v>26.54</v>
      </c>
      <c r="Q389" s="26" t="n">
        <f aca="false">155.06</f>
        <v>155.06</v>
      </c>
      <c r="R389" s="25" t="n">
        <v>20.7</v>
      </c>
      <c r="S389" s="25" t="n">
        <v>22</v>
      </c>
      <c r="T389" s="25" t="n">
        <v>407</v>
      </c>
      <c r="U389" s="27" t="s">
        <v>29</v>
      </c>
      <c r="V389" s="21"/>
      <c r="W389" s="16"/>
      <c r="X389" s="16"/>
      <c r="Y389" s="16"/>
    </row>
    <row r="390" customFormat="false" ht="15.75" hidden="false" customHeight="true" outlineLevel="0" collapsed="false">
      <c r="A390" s="9" t="s">
        <v>25</v>
      </c>
      <c r="B390" s="10" t="s">
        <v>26</v>
      </c>
      <c r="C390" s="11" t="s">
        <v>155</v>
      </c>
      <c r="D390" s="10" t="s">
        <v>28</v>
      </c>
      <c r="E390" s="10" t="s">
        <v>28</v>
      </c>
      <c r="F390" s="10"/>
      <c r="G390" s="10" t="n">
        <v>10</v>
      </c>
      <c r="H390" s="10" t="n">
        <v>2</v>
      </c>
      <c r="I390" s="12" t="n">
        <v>1</v>
      </c>
      <c r="J390" s="12"/>
      <c r="K390" s="13" t="n">
        <f aca="false">46.88</f>
        <v>46.88</v>
      </c>
      <c r="L390" s="13" t="n">
        <f aca="false">159.71</f>
        <v>159.71</v>
      </c>
      <c r="M390" s="12" t="n">
        <v>18</v>
      </c>
      <c r="N390" s="12" t="n">
        <v>38</v>
      </c>
      <c r="O390" s="12" t="n">
        <v>190.75</v>
      </c>
      <c r="P390" s="13" t="n">
        <f aca="false">28.21</f>
        <v>28.21</v>
      </c>
      <c r="Q390" s="13" t="n">
        <f aca="false">169.54</f>
        <v>169.54</v>
      </c>
      <c r="R390" s="12" t="n">
        <v>21.2</v>
      </c>
      <c r="S390" s="12" t="n">
        <v>25.95</v>
      </c>
      <c r="T390" s="12" t="n">
        <v>777</v>
      </c>
      <c r="U390" s="14" t="s">
        <v>29</v>
      </c>
      <c r="V390" s="15"/>
      <c r="W390" s="16" t="str">
        <f aca="false">A390</f>
        <v>KL</v>
      </c>
      <c r="X390" s="17" t="e">
        <f aca="false">ifs(C390="","",X390="",NOW(),TRUE(),X390)</f>
        <v>#VALUE!</v>
      </c>
      <c r="Y390" s="17" t="e">
        <f aca="false">ifs(COUNTA(K390:U393)&lt;44,"",Y390="",NOW(),TRUE(),Y390)</f>
        <v>#VALUE!</v>
      </c>
    </row>
    <row r="391" customFormat="false" ht="14.15" hidden="false" customHeight="false" outlineLevel="0" collapsed="false">
      <c r="A391" s="9"/>
      <c r="B391" s="10"/>
      <c r="C391" s="10"/>
      <c r="D391" s="10"/>
      <c r="E391" s="10"/>
      <c r="F391" s="10"/>
      <c r="G391" s="10"/>
      <c r="H391" s="10"/>
      <c r="I391" s="18" t="n">
        <v>2</v>
      </c>
      <c r="J391" s="18"/>
      <c r="K391" s="19" t="n">
        <f aca="false">43.45</f>
        <v>43.45</v>
      </c>
      <c r="L391" s="19" t="n">
        <f aca="false">152.71</f>
        <v>152.71</v>
      </c>
      <c r="M391" s="18" t="n">
        <v>16</v>
      </c>
      <c r="N391" s="18" t="n">
        <v>34</v>
      </c>
      <c r="O391" s="18" t="n">
        <v>159.85</v>
      </c>
      <c r="P391" s="19" t="n">
        <f aca="false">25.24</f>
        <v>25.24</v>
      </c>
      <c r="Q391" s="19" t="n">
        <f aca="false">162</f>
        <v>162</v>
      </c>
      <c r="R391" s="18" t="n">
        <v>17.15</v>
      </c>
      <c r="S391" s="18" t="n">
        <v>24.8</v>
      </c>
      <c r="T391" s="18" t="n">
        <v>604</v>
      </c>
      <c r="U391" s="20" t="s">
        <v>29</v>
      </c>
      <c r="V391" s="21"/>
      <c r="W391" s="16"/>
      <c r="X391" s="16"/>
      <c r="Y391" s="16"/>
    </row>
    <row r="392" customFormat="false" ht="14.15" hidden="false" customHeight="false" outlineLevel="0" collapsed="false">
      <c r="A392" s="9"/>
      <c r="B392" s="10"/>
      <c r="C392" s="10"/>
      <c r="D392" s="10"/>
      <c r="E392" s="10"/>
      <c r="F392" s="10"/>
      <c r="G392" s="10"/>
      <c r="H392" s="10"/>
      <c r="I392" s="22" t="n">
        <v>3</v>
      </c>
      <c r="J392" s="22"/>
      <c r="K392" s="23" t="n">
        <f aca="false">42.86</f>
        <v>42.86</v>
      </c>
      <c r="L392" s="23" t="n">
        <f aca="false">153.02</f>
        <v>153.02</v>
      </c>
      <c r="M392" s="22" t="n">
        <v>16</v>
      </c>
      <c r="N392" s="22" t="n">
        <v>36</v>
      </c>
      <c r="O392" s="22" t="n">
        <v>154.05</v>
      </c>
      <c r="P392" s="23" t="n">
        <f aca="false">25.64</f>
        <v>25.64</v>
      </c>
      <c r="Q392" s="23" t="n">
        <f aca="false">171.45</f>
        <v>171.45</v>
      </c>
      <c r="R392" s="22" t="n">
        <v>17.15</v>
      </c>
      <c r="S392" s="22" t="n">
        <v>23.65</v>
      </c>
      <c r="T392" s="22" t="n">
        <v>583</v>
      </c>
      <c r="U392" s="24" t="s">
        <v>29</v>
      </c>
      <c r="V392" s="15"/>
      <c r="W392" s="16"/>
      <c r="X392" s="16"/>
      <c r="Y392" s="16"/>
    </row>
    <row r="393" customFormat="false" ht="14.15" hidden="false" customHeight="false" outlineLevel="0" collapsed="false">
      <c r="A393" s="9"/>
      <c r="B393" s="10"/>
      <c r="C393" s="10"/>
      <c r="D393" s="10"/>
      <c r="E393" s="10"/>
      <c r="F393" s="10"/>
      <c r="G393" s="10"/>
      <c r="H393" s="10"/>
      <c r="I393" s="25" t="n">
        <v>4</v>
      </c>
      <c r="J393" s="25" t="s">
        <v>49</v>
      </c>
      <c r="K393" s="26" t="n">
        <f aca="false">42.54</f>
        <v>42.54</v>
      </c>
      <c r="L393" s="26" t="n">
        <f aca="false">133.55</f>
        <v>133.55</v>
      </c>
      <c r="M393" s="25" t="n">
        <v>16</v>
      </c>
      <c r="N393" s="25" t="n">
        <v>30</v>
      </c>
      <c r="O393" s="25" t="n">
        <v>130.85</v>
      </c>
      <c r="P393" s="26" t="n">
        <f aca="false">25.74</f>
        <v>25.74</v>
      </c>
      <c r="Q393" s="26" t="n">
        <f aca="false">154.32</f>
        <v>154.32</v>
      </c>
      <c r="R393" s="25" t="n">
        <v>14.9</v>
      </c>
      <c r="S393" s="25" t="n">
        <v>23.85</v>
      </c>
      <c r="T393" s="25" t="n">
        <v>502</v>
      </c>
      <c r="U393" s="27" t="s">
        <v>97</v>
      </c>
      <c r="V393" s="21"/>
      <c r="W393" s="16"/>
      <c r="X393" s="16"/>
      <c r="Y393" s="16"/>
    </row>
    <row r="394" customFormat="false" ht="15.75" hidden="false" customHeight="true" outlineLevel="0" collapsed="false">
      <c r="A394" s="9" t="s">
        <v>25</v>
      </c>
      <c r="B394" s="10" t="s">
        <v>26</v>
      </c>
      <c r="C394" s="11" t="s">
        <v>156</v>
      </c>
      <c r="D394" s="10" t="s">
        <v>28</v>
      </c>
      <c r="E394" s="10" t="s">
        <v>28</v>
      </c>
      <c r="F394" s="10"/>
      <c r="G394" s="10" t="n">
        <v>6</v>
      </c>
      <c r="H394" s="10" t="n">
        <v>1.8</v>
      </c>
      <c r="I394" s="12" t="n">
        <v>1</v>
      </c>
      <c r="J394" s="12"/>
      <c r="K394" s="13" t="n">
        <f aca="false">49.07</f>
        <v>49.07</v>
      </c>
      <c r="L394" s="13" t="n">
        <f aca="false">177.84</f>
        <v>177.84</v>
      </c>
      <c r="M394" s="12" t="n">
        <v>14</v>
      </c>
      <c r="N394" s="12" t="n">
        <v>43</v>
      </c>
      <c r="O394" s="12" t="n">
        <v>222.65</v>
      </c>
      <c r="P394" s="13" t="n">
        <f aca="false">27.4</f>
        <v>27.4</v>
      </c>
      <c r="Q394" s="13" t="n">
        <f aca="false">192.94</f>
        <v>192.94</v>
      </c>
      <c r="R394" s="12" t="n">
        <v>27.15</v>
      </c>
      <c r="S394" s="12" t="n">
        <v>36.4</v>
      </c>
      <c r="T394" s="12" t="n">
        <v>573</v>
      </c>
      <c r="U394" s="14" t="s">
        <v>29</v>
      </c>
      <c r="V394" s="15"/>
      <c r="W394" s="16" t="str">
        <f aca="false">A394</f>
        <v>KL</v>
      </c>
      <c r="X394" s="17" t="e">
        <f aca="false">ifs(C394="","",X394="",NOW(),TRUE(),X394)</f>
        <v>#VALUE!</v>
      </c>
      <c r="Y394" s="17" t="e">
        <f aca="false">ifs(COUNTA(K394:U397)&lt;44,"",Y394="",NOW(),TRUE(),Y394)</f>
        <v>#VALUE!</v>
      </c>
    </row>
    <row r="395" customFormat="false" ht="14.15" hidden="false" customHeight="false" outlineLevel="0" collapsed="false">
      <c r="A395" s="9"/>
      <c r="B395" s="10"/>
      <c r="C395" s="10"/>
      <c r="D395" s="10"/>
      <c r="E395" s="10"/>
      <c r="F395" s="10"/>
      <c r="G395" s="10"/>
      <c r="H395" s="10"/>
      <c r="I395" s="18" t="n">
        <v>2</v>
      </c>
      <c r="J395" s="18"/>
      <c r="K395" s="19" t="n">
        <f aca="false">47.29</f>
        <v>47.29</v>
      </c>
      <c r="L395" s="19" t="n">
        <f aca="false">127.06</f>
        <v>127.06</v>
      </c>
      <c r="M395" s="18" t="n">
        <v>14</v>
      </c>
      <c r="N395" s="18" t="n">
        <v>28</v>
      </c>
      <c r="O395" s="18" t="n">
        <v>136.85</v>
      </c>
      <c r="P395" s="19" t="n">
        <f aca="false">26.32</f>
        <v>26.32</v>
      </c>
      <c r="Q395" s="19" t="n">
        <f aca="false">132.76</f>
        <v>132.76</v>
      </c>
      <c r="R395" s="18" t="n">
        <v>18.6</v>
      </c>
      <c r="S395" s="18" t="n">
        <v>31.65</v>
      </c>
      <c r="T395" s="18" t="n">
        <v>382</v>
      </c>
      <c r="U395" s="20" t="s">
        <v>29</v>
      </c>
      <c r="V395" s="21"/>
      <c r="W395" s="16"/>
      <c r="X395" s="16"/>
      <c r="Y395" s="16"/>
    </row>
    <row r="396" customFormat="false" ht="14.15" hidden="false" customHeight="false" outlineLevel="0" collapsed="false">
      <c r="A396" s="9"/>
      <c r="B396" s="10"/>
      <c r="C396" s="10"/>
      <c r="D396" s="10"/>
      <c r="E396" s="10"/>
      <c r="F396" s="10"/>
      <c r="G396" s="10"/>
      <c r="H396" s="10"/>
      <c r="I396" s="22" t="n">
        <v>3</v>
      </c>
      <c r="J396" s="22" t="s">
        <v>46</v>
      </c>
      <c r="K396" s="23" t="n">
        <f aca="false">46.36</f>
        <v>46.36</v>
      </c>
      <c r="L396" s="23" t="n">
        <f aca="false">110.12</f>
        <v>110.12</v>
      </c>
      <c r="M396" s="22" t="n">
        <v>16</v>
      </c>
      <c r="N396" s="22" t="n">
        <v>28</v>
      </c>
      <c r="O396" s="22" t="n">
        <v>121.25</v>
      </c>
      <c r="P396" s="23" t="n">
        <f aca="false">25.93</f>
        <v>25.93</v>
      </c>
      <c r="Q396" s="23" t="n">
        <f aca="false">130.78</f>
        <v>130.78</v>
      </c>
      <c r="R396" s="22" t="n">
        <v>14.3</v>
      </c>
      <c r="S396" s="22" t="n">
        <v>24.35</v>
      </c>
      <c r="T396" s="22" t="n">
        <v>424</v>
      </c>
      <c r="U396" s="24" t="s">
        <v>29</v>
      </c>
      <c r="V396" s="15"/>
      <c r="W396" s="16"/>
      <c r="X396" s="16"/>
      <c r="Y396" s="16"/>
    </row>
    <row r="397" customFormat="false" ht="14.15" hidden="false" customHeight="false" outlineLevel="0" collapsed="false">
      <c r="A397" s="9"/>
      <c r="B397" s="10"/>
      <c r="C397" s="10"/>
      <c r="D397" s="10"/>
      <c r="E397" s="10"/>
      <c r="F397" s="10"/>
      <c r="G397" s="10"/>
      <c r="H397" s="10"/>
      <c r="I397" s="25" t="n">
        <v>4</v>
      </c>
      <c r="J397" s="25" t="s">
        <v>49</v>
      </c>
      <c r="K397" s="26" t="n">
        <f aca="false">43.2</f>
        <v>43.2</v>
      </c>
      <c r="L397" s="26" t="n">
        <f aca="false">103.55</f>
        <v>103.55</v>
      </c>
      <c r="M397" s="25" t="n">
        <v>14</v>
      </c>
      <c r="N397" s="25" t="n">
        <v>24</v>
      </c>
      <c r="O397" s="25" t="n">
        <v>109.25</v>
      </c>
      <c r="P397" s="26" t="n">
        <f aca="false">24.54</f>
        <v>24.54</v>
      </c>
      <c r="Q397" s="26" t="n">
        <f aca="false">134.15</f>
        <v>134.15</v>
      </c>
      <c r="R397" s="25" t="n">
        <v>13.35</v>
      </c>
      <c r="S397" s="25" t="n">
        <v>30.55</v>
      </c>
      <c r="T397" s="25" t="n">
        <v>312</v>
      </c>
      <c r="U397" s="27" t="s">
        <v>29</v>
      </c>
      <c r="V397" s="21"/>
      <c r="W397" s="16"/>
      <c r="X397" s="16"/>
      <c r="Y397" s="16"/>
    </row>
    <row r="398" customFormat="false" ht="15.75" hidden="false" customHeight="true" outlineLevel="0" collapsed="false">
      <c r="A398" s="9" t="s">
        <v>25</v>
      </c>
      <c r="B398" s="10" t="s">
        <v>26</v>
      </c>
      <c r="C398" s="11" t="s">
        <v>157</v>
      </c>
      <c r="D398" s="10" t="s">
        <v>28</v>
      </c>
      <c r="E398" s="10" t="s">
        <v>28</v>
      </c>
      <c r="F398" s="10"/>
      <c r="G398" s="10" t="n">
        <v>26</v>
      </c>
      <c r="H398" s="10" t="n">
        <v>6.25</v>
      </c>
      <c r="I398" s="12" t="n">
        <v>1</v>
      </c>
      <c r="J398" s="12" t="s">
        <v>47</v>
      </c>
      <c r="K398" s="13" t="n">
        <f aca="false">44.4</f>
        <v>44.4</v>
      </c>
      <c r="L398" s="13" t="n">
        <f aca="false">142.83</f>
        <v>142.83</v>
      </c>
      <c r="M398" s="12" t="n">
        <v>16</v>
      </c>
      <c r="N398" s="12" t="n">
        <v>32</v>
      </c>
      <c r="O398" s="12" t="n">
        <v>140.6</v>
      </c>
      <c r="P398" s="13" t="n">
        <f aca="false">28.44</f>
        <v>28.44</v>
      </c>
      <c r="Q398" s="13" t="n">
        <f aca="false">156.59</f>
        <v>156.59</v>
      </c>
      <c r="R398" s="12" t="n">
        <v>19</v>
      </c>
      <c r="S398" s="12" t="n">
        <v>24.35</v>
      </c>
      <c r="T398" s="12" t="n">
        <v>496</v>
      </c>
      <c r="U398" s="14" t="s">
        <v>29</v>
      </c>
      <c r="V398" s="15"/>
      <c r="W398" s="16" t="str">
        <f aca="false">A398</f>
        <v>KL</v>
      </c>
      <c r="X398" s="17" t="e">
        <f aca="false">ifs(C398="","",X398="",NOW(),TRUE(),X398)</f>
        <v>#VALUE!</v>
      </c>
      <c r="Y398" s="17" t="e">
        <f aca="false">ifs(COUNTA(K398:U401)&lt;44,"",Y398="",NOW(),TRUE(),Y398)</f>
        <v>#VALUE!</v>
      </c>
    </row>
    <row r="399" customFormat="false" ht="14.15" hidden="false" customHeight="false" outlineLevel="0" collapsed="false">
      <c r="A399" s="9"/>
      <c r="B399" s="10"/>
      <c r="C399" s="10"/>
      <c r="D399" s="10"/>
      <c r="E399" s="10"/>
      <c r="F399" s="10"/>
      <c r="G399" s="10"/>
      <c r="H399" s="10"/>
      <c r="I399" s="18" t="n">
        <v>2</v>
      </c>
      <c r="J399" s="18" t="s">
        <v>46</v>
      </c>
      <c r="K399" s="19" t="n">
        <f aca="false">42.92</f>
        <v>42.92</v>
      </c>
      <c r="L399" s="19" t="n">
        <f aca="false">131.13</f>
        <v>131.13</v>
      </c>
      <c r="M399" s="18" t="n">
        <v>14</v>
      </c>
      <c r="N399" s="18" t="n">
        <v>30</v>
      </c>
      <c r="O399" s="18" t="n">
        <v>129.4</v>
      </c>
      <c r="P399" s="19" t="n">
        <f aca="false">26.29</f>
        <v>26.29</v>
      </c>
      <c r="Q399" s="19" t="n">
        <f aca="false">163.2</f>
        <v>163.2</v>
      </c>
      <c r="R399" s="18" t="n">
        <v>18.65</v>
      </c>
      <c r="S399" s="18" t="n">
        <v>27.5</v>
      </c>
      <c r="T399" s="18" t="n">
        <v>416</v>
      </c>
      <c r="U399" s="20" t="s">
        <v>29</v>
      </c>
      <c r="V399" s="21"/>
      <c r="W399" s="16"/>
      <c r="X399" s="16"/>
      <c r="Y399" s="16"/>
    </row>
    <row r="400" customFormat="false" ht="14.15" hidden="false" customHeight="false" outlineLevel="0" collapsed="false">
      <c r="A400" s="9"/>
      <c r="B400" s="10"/>
      <c r="C400" s="10"/>
      <c r="D400" s="10"/>
      <c r="E400" s="10"/>
      <c r="F400" s="10"/>
      <c r="G400" s="10"/>
      <c r="H400" s="10"/>
      <c r="I400" s="22" t="n">
        <v>3</v>
      </c>
      <c r="J400" s="22" t="s">
        <v>35</v>
      </c>
      <c r="K400" s="23" t="n">
        <f aca="false">42.33</f>
        <v>42.33</v>
      </c>
      <c r="L400" s="23" t="n">
        <f aca="false">121.04</f>
        <v>121.04</v>
      </c>
      <c r="M400" s="22" t="n">
        <v>14</v>
      </c>
      <c r="N400" s="22" t="n">
        <v>25</v>
      </c>
      <c r="O400" s="22" t="n">
        <v>98.3</v>
      </c>
      <c r="P400" s="23" t="n">
        <f aca="false">26.56</f>
        <v>26.56</v>
      </c>
      <c r="Q400" s="23" t="n">
        <f aca="false">137.76</f>
        <v>137.76</v>
      </c>
      <c r="R400" s="22" t="n">
        <v>14.3</v>
      </c>
      <c r="S400" s="22" t="n">
        <v>26.8</v>
      </c>
      <c r="T400" s="22" t="n">
        <v>312</v>
      </c>
      <c r="U400" s="24" t="s">
        <v>29</v>
      </c>
      <c r="V400" s="15"/>
      <c r="W400" s="16"/>
      <c r="X400" s="16"/>
      <c r="Y400" s="16"/>
    </row>
    <row r="401" customFormat="false" ht="14.15" hidden="false" customHeight="false" outlineLevel="0" collapsed="false">
      <c r="A401" s="9"/>
      <c r="B401" s="10"/>
      <c r="C401" s="10"/>
      <c r="D401" s="10"/>
      <c r="E401" s="10"/>
      <c r="F401" s="10"/>
      <c r="G401" s="10"/>
      <c r="H401" s="10"/>
      <c r="I401" s="25" t="n">
        <v>4</v>
      </c>
      <c r="J401" s="25" t="s">
        <v>35</v>
      </c>
      <c r="K401" s="26" t="n">
        <f aca="false">39.75</f>
        <v>39.75</v>
      </c>
      <c r="L401" s="26" t="n">
        <f aca="false">116.93</f>
        <v>116.93</v>
      </c>
      <c r="M401" s="25" t="n">
        <v>14</v>
      </c>
      <c r="N401" s="25" t="n">
        <v>28</v>
      </c>
      <c r="O401" s="25" t="n">
        <v>86.4</v>
      </c>
      <c r="P401" s="26" t="n">
        <f aca="false">25.77</f>
        <v>25.77</v>
      </c>
      <c r="Q401" s="26" t="n">
        <f aca="false">142.96</f>
        <v>142.96</v>
      </c>
      <c r="R401" s="25" t="n">
        <v>13.75</v>
      </c>
      <c r="S401" s="25" t="n">
        <v>24.2</v>
      </c>
      <c r="T401" s="25" t="n">
        <v>300</v>
      </c>
      <c r="U401" s="27" t="s">
        <v>29</v>
      </c>
      <c r="V401" s="21"/>
      <c r="W401" s="16"/>
      <c r="X401" s="16"/>
      <c r="Y401" s="16"/>
    </row>
    <row r="402" customFormat="false" ht="15.75" hidden="false" customHeight="true" outlineLevel="0" collapsed="false">
      <c r="A402" s="9" t="s">
        <v>158</v>
      </c>
      <c r="B402" s="10" t="s">
        <v>26</v>
      </c>
      <c r="C402" s="11" t="s">
        <v>159</v>
      </c>
      <c r="D402" s="10" t="s">
        <v>28</v>
      </c>
      <c r="E402" s="10" t="s">
        <v>73</v>
      </c>
      <c r="F402" s="10"/>
      <c r="G402" s="10" t="n">
        <v>35</v>
      </c>
      <c r="H402" s="10" t="n">
        <v>6.25</v>
      </c>
      <c r="I402" s="12" t="n">
        <v>1</v>
      </c>
      <c r="J402" s="12" t="s">
        <v>35</v>
      </c>
      <c r="K402" s="13" t="n">
        <f aca="false">45.32</f>
        <v>45.32</v>
      </c>
      <c r="L402" s="13" t="n">
        <f aca="false">162.88</f>
        <v>162.88</v>
      </c>
      <c r="M402" s="12" t="n">
        <v>14</v>
      </c>
      <c r="N402" s="12" t="n">
        <v>38</v>
      </c>
      <c r="O402" s="12" t="n">
        <v>180.25</v>
      </c>
      <c r="P402" s="13" t="n">
        <f aca="false">26.54</f>
        <v>26.54</v>
      </c>
      <c r="Q402" s="13" t="n">
        <f aca="false">166.96</f>
        <v>166.96</v>
      </c>
      <c r="R402" s="12" t="n">
        <v>23.9</v>
      </c>
      <c r="S402" s="12" t="n">
        <v>30.9</v>
      </c>
      <c r="T402" s="12" t="n">
        <v>515</v>
      </c>
      <c r="U402" s="14" t="s">
        <v>29</v>
      </c>
      <c r="V402" s="15"/>
      <c r="W402" s="16" t="str">
        <f aca="false">A402</f>
        <v>AK</v>
      </c>
      <c r="X402" s="17" t="e">
        <f aca="false">ifs(C402="","",X402="",NOW(),TRUE(),X402)</f>
        <v>#VALUE!</v>
      </c>
      <c r="Y402" s="17" t="e">
        <f aca="false">ifs(COUNTA(K402:U405)&lt;44,"",Y402="",NOW(),TRUE(),Y402)</f>
        <v>#VALUE!</v>
      </c>
    </row>
    <row r="403" customFormat="false" ht="14.15" hidden="false" customHeight="false" outlineLevel="0" collapsed="false">
      <c r="A403" s="9"/>
      <c r="B403" s="10"/>
      <c r="C403" s="10"/>
      <c r="D403" s="10"/>
      <c r="E403" s="10"/>
      <c r="F403" s="10"/>
      <c r="G403" s="10"/>
      <c r="H403" s="10"/>
      <c r="I403" s="18" t="n">
        <v>2</v>
      </c>
      <c r="J403" s="18" t="s">
        <v>47</v>
      </c>
      <c r="K403" s="19" t="n">
        <f aca="false">45.53</f>
        <v>45.53</v>
      </c>
      <c r="L403" s="19" t="n">
        <f aca="false">166.26</f>
        <v>166.26</v>
      </c>
      <c r="M403" s="18" t="n">
        <v>14</v>
      </c>
      <c r="N403" s="18" t="n">
        <v>35</v>
      </c>
      <c r="O403" s="18" t="n">
        <v>175.05</v>
      </c>
      <c r="P403" s="19" t="n">
        <f aca="false">27.65</f>
        <v>27.65</v>
      </c>
      <c r="Q403" s="19" t="n">
        <f aca="false">161.91</f>
        <v>161.91</v>
      </c>
      <c r="R403" s="18" t="n">
        <v>19.05</v>
      </c>
      <c r="S403" s="18" t="n">
        <v>32.4</v>
      </c>
      <c r="T403" s="18" t="n">
        <v>491</v>
      </c>
      <c r="U403" s="20" t="s">
        <v>29</v>
      </c>
      <c r="V403" s="21"/>
      <c r="W403" s="16"/>
      <c r="X403" s="16"/>
      <c r="Y403" s="16"/>
    </row>
    <row r="404" customFormat="false" ht="14.15" hidden="false" customHeight="false" outlineLevel="0" collapsed="false">
      <c r="A404" s="9"/>
      <c r="B404" s="10"/>
      <c r="C404" s="10"/>
      <c r="D404" s="10"/>
      <c r="E404" s="10"/>
      <c r="F404" s="10"/>
      <c r="G404" s="10"/>
      <c r="H404" s="10"/>
      <c r="I404" s="22" t="n">
        <v>3</v>
      </c>
      <c r="J404" s="22"/>
      <c r="K404" s="23" t="n">
        <f aca="false">36.53</f>
        <v>36.53</v>
      </c>
      <c r="L404" s="23" t="n">
        <f aca="false">120.08</f>
        <v>120.08</v>
      </c>
      <c r="M404" s="22" t="n">
        <v>14</v>
      </c>
      <c r="N404" s="22" t="n">
        <v>32</v>
      </c>
      <c r="O404" s="22" t="n">
        <v>70.05</v>
      </c>
      <c r="P404" s="23" t="n">
        <f aca="false">23.67</f>
        <v>23.67</v>
      </c>
      <c r="Q404" s="23" t="n">
        <f aca="false">125.11</f>
        <v>125.11</v>
      </c>
      <c r="R404" s="22" t="n">
        <v>10.05</v>
      </c>
      <c r="S404" s="22" t="n">
        <v>14.3</v>
      </c>
      <c r="T404" s="22" t="n">
        <v>414</v>
      </c>
      <c r="U404" s="24" t="s">
        <v>29</v>
      </c>
      <c r="V404" s="15"/>
      <c r="W404" s="16"/>
      <c r="X404" s="16"/>
      <c r="Y404" s="16"/>
    </row>
    <row r="405" customFormat="false" ht="14.15" hidden="false" customHeight="false" outlineLevel="0" collapsed="false">
      <c r="A405" s="9"/>
      <c r="B405" s="10"/>
      <c r="C405" s="10"/>
      <c r="D405" s="10"/>
      <c r="E405" s="10"/>
      <c r="F405" s="10"/>
      <c r="G405" s="10"/>
      <c r="H405" s="10"/>
      <c r="I405" s="25" t="n">
        <v>4</v>
      </c>
      <c r="J405" s="25" t="s">
        <v>104</v>
      </c>
      <c r="K405" s="26" t="n">
        <f aca="false">35.59</f>
        <v>35.59</v>
      </c>
      <c r="L405" s="26" t="n">
        <f aca="false">96.93</f>
        <v>96.93</v>
      </c>
      <c r="M405" s="25" t="n">
        <v>10</v>
      </c>
      <c r="N405" s="25" t="n">
        <v>22</v>
      </c>
      <c r="O405" s="25" t="n">
        <v>54.5</v>
      </c>
      <c r="P405" s="26" t="n">
        <f aca="false">20.91</f>
        <v>20.91</v>
      </c>
      <c r="Q405" s="26" t="n">
        <f aca="false">107.2</f>
        <v>107.2</v>
      </c>
      <c r="R405" s="25" t="n">
        <v>7.35</v>
      </c>
      <c r="S405" s="25" t="n">
        <v>22.2</v>
      </c>
      <c r="T405" s="25" t="n">
        <v>214</v>
      </c>
      <c r="U405" s="27" t="s">
        <v>29</v>
      </c>
      <c r="V405" s="21"/>
      <c r="W405" s="16"/>
      <c r="X405" s="16"/>
      <c r="Y405" s="16"/>
    </row>
    <row r="406" customFormat="false" ht="15.75" hidden="false" customHeight="true" outlineLevel="0" collapsed="false">
      <c r="A406" s="9" t="s">
        <v>158</v>
      </c>
      <c r="B406" s="10" t="s">
        <v>26</v>
      </c>
      <c r="C406" s="11" t="s">
        <v>160</v>
      </c>
      <c r="D406" s="10" t="s">
        <v>28</v>
      </c>
      <c r="E406" s="10" t="s">
        <v>28</v>
      </c>
      <c r="F406" s="10"/>
      <c r="G406" s="10" t="n">
        <v>43</v>
      </c>
      <c r="H406" s="10" t="n">
        <v>7.5</v>
      </c>
      <c r="I406" s="12" t="n">
        <v>1</v>
      </c>
      <c r="J406" s="12" t="s">
        <v>49</v>
      </c>
      <c r="K406" s="13" t="n">
        <f aca="false">42.62</f>
        <v>42.62</v>
      </c>
      <c r="L406" s="13" t="n">
        <f aca="false">133.93</f>
        <v>133.93</v>
      </c>
      <c r="M406" s="12" t="n">
        <v>16</v>
      </c>
      <c r="N406" s="12" t="n">
        <v>28</v>
      </c>
      <c r="O406" s="12" t="n">
        <v>123.35</v>
      </c>
      <c r="P406" s="13" t="n">
        <f aca="false">26.99</f>
        <v>26.99</v>
      </c>
      <c r="Q406" s="13" t="n">
        <f aca="false">161.22</f>
        <v>161.22</v>
      </c>
      <c r="R406" s="12" t="n">
        <v>19</v>
      </c>
      <c r="S406" s="12" t="n">
        <v>25.65</v>
      </c>
      <c r="T406" s="12" t="n">
        <v>445</v>
      </c>
      <c r="U406" s="14" t="s">
        <v>29</v>
      </c>
      <c r="V406" s="15"/>
      <c r="W406" s="16" t="str">
        <f aca="false">A406</f>
        <v>AK</v>
      </c>
      <c r="X406" s="17" t="e">
        <f aca="false">ifs(C406="","",X406="",NOW(),TRUE(),X406)</f>
        <v>#VALUE!</v>
      </c>
      <c r="Y406" s="17" t="e">
        <f aca="false">ifs(COUNTA(K406:U409)&lt;44,"",Y406="",NOW(),TRUE(),Y406)</f>
        <v>#VALUE!</v>
      </c>
    </row>
    <row r="407" customFormat="false" ht="14.15" hidden="false" customHeight="false" outlineLevel="0" collapsed="false">
      <c r="A407" s="9"/>
      <c r="B407" s="10"/>
      <c r="C407" s="10"/>
      <c r="D407" s="10"/>
      <c r="E407" s="10"/>
      <c r="F407" s="10"/>
      <c r="G407" s="10"/>
      <c r="H407" s="10"/>
      <c r="I407" s="18" t="n">
        <v>2</v>
      </c>
      <c r="J407" s="18" t="s">
        <v>46</v>
      </c>
      <c r="K407" s="19" t="n">
        <f aca="false">42.1</f>
        <v>42.1</v>
      </c>
      <c r="L407" s="19" t="n">
        <f aca="false">120.6</f>
        <v>120.6</v>
      </c>
      <c r="M407" s="18" t="n">
        <v>16</v>
      </c>
      <c r="N407" s="18" t="n">
        <v>26</v>
      </c>
      <c r="O407" s="18" t="n">
        <v>101.2</v>
      </c>
      <c r="P407" s="19" t="n">
        <f aca="false">26.5</f>
        <v>26.5</v>
      </c>
      <c r="Q407" s="19" t="n">
        <f aca="false">137.33</f>
        <v>137.33</v>
      </c>
      <c r="R407" s="18" t="n">
        <v>15.1</v>
      </c>
      <c r="S407" s="18" t="n">
        <v>22.3</v>
      </c>
      <c r="T407" s="18" t="n">
        <v>402</v>
      </c>
      <c r="U407" s="20" t="s">
        <v>29</v>
      </c>
      <c r="V407" s="21"/>
      <c r="W407" s="16"/>
      <c r="X407" s="16"/>
      <c r="Y407" s="16"/>
    </row>
    <row r="408" customFormat="false" ht="14.15" hidden="false" customHeight="false" outlineLevel="0" collapsed="false">
      <c r="A408" s="9"/>
      <c r="B408" s="10"/>
      <c r="C408" s="10"/>
      <c r="D408" s="10"/>
      <c r="E408" s="10"/>
      <c r="F408" s="10"/>
      <c r="G408" s="10"/>
      <c r="H408" s="10"/>
      <c r="I408" s="22" t="n">
        <v>3</v>
      </c>
      <c r="J408" s="22"/>
      <c r="K408" s="23" t="n">
        <f aca="false">39.91</f>
        <v>39.91</v>
      </c>
      <c r="L408" s="23" t="n">
        <f aca="false">136.01</f>
        <v>136.01</v>
      </c>
      <c r="M408" s="22" t="n">
        <v>14</v>
      </c>
      <c r="N408" s="22" t="n">
        <v>32</v>
      </c>
      <c r="O408" s="22" t="n">
        <v>111.8</v>
      </c>
      <c r="P408" s="23" t="n">
        <f aca="false">23.44</f>
        <v>23.44</v>
      </c>
      <c r="Q408" s="23" t="n">
        <f aca="false">141.63</f>
        <v>141.63</v>
      </c>
      <c r="R408" s="22" t="n">
        <v>15.15</v>
      </c>
      <c r="S408" s="22" t="n">
        <v>23.6</v>
      </c>
      <c r="T408" s="22" t="n">
        <v>431</v>
      </c>
      <c r="U408" s="24" t="s">
        <v>29</v>
      </c>
      <c r="V408" s="15"/>
      <c r="W408" s="16"/>
      <c r="X408" s="16"/>
      <c r="Y408" s="16"/>
    </row>
    <row r="409" customFormat="false" ht="14.15" hidden="false" customHeight="false" outlineLevel="0" collapsed="false">
      <c r="A409" s="9"/>
      <c r="B409" s="10"/>
      <c r="C409" s="10"/>
      <c r="D409" s="10"/>
      <c r="E409" s="10"/>
      <c r="F409" s="10"/>
      <c r="G409" s="10"/>
      <c r="H409" s="10"/>
      <c r="I409" s="25" t="n">
        <v>4</v>
      </c>
      <c r="J409" s="25" t="s">
        <v>50</v>
      </c>
      <c r="K409" s="26" t="n">
        <f aca="false">37.61</f>
        <v>37.61</v>
      </c>
      <c r="L409" s="26" t="n">
        <f aca="false">106.89</f>
        <v>106.89</v>
      </c>
      <c r="M409" s="25" t="n">
        <v>14</v>
      </c>
      <c r="N409" s="25" t="n">
        <v>28</v>
      </c>
      <c r="O409" s="25" t="n">
        <v>76.85</v>
      </c>
      <c r="P409" s="26" t="n">
        <f aca="false">22.01</f>
        <v>22.01</v>
      </c>
      <c r="Q409" s="26" t="n">
        <f aca="false">107.6</f>
        <v>107.6</v>
      </c>
      <c r="R409" s="25" t="n">
        <v>8.85</v>
      </c>
      <c r="S409" s="25" t="n">
        <v>22.15</v>
      </c>
      <c r="T409" s="25" t="n">
        <v>308</v>
      </c>
      <c r="U409" s="27" t="s">
        <v>29</v>
      </c>
      <c r="V409" s="21"/>
      <c r="W409" s="16"/>
      <c r="X409" s="16"/>
      <c r="Y409" s="16"/>
    </row>
    <row r="410" customFormat="false" ht="15.75" hidden="false" customHeight="true" outlineLevel="0" collapsed="false">
      <c r="A410" s="9" t="s">
        <v>43</v>
      </c>
      <c r="B410" s="10" t="s">
        <v>44</v>
      </c>
      <c r="C410" s="11" t="s">
        <v>161</v>
      </c>
      <c r="D410" s="10" t="s">
        <v>28</v>
      </c>
      <c r="E410" s="10" t="s">
        <v>28</v>
      </c>
      <c r="F410" s="10"/>
      <c r="G410" s="10" t="n">
        <v>18</v>
      </c>
      <c r="H410" s="10" t="n">
        <v>5</v>
      </c>
      <c r="I410" s="12" t="n">
        <v>1</v>
      </c>
      <c r="J410" s="12" t="s">
        <v>35</v>
      </c>
      <c r="K410" s="13" t="n">
        <f aca="false">54.26</f>
        <v>54.26</v>
      </c>
      <c r="L410" s="13" t="n">
        <f aca="false">110.66</f>
        <v>110.66</v>
      </c>
      <c r="M410" s="12" t="n">
        <v>18</v>
      </c>
      <c r="N410" s="12" t="n">
        <v>22</v>
      </c>
      <c r="O410" s="12" t="n">
        <v>142.1</v>
      </c>
      <c r="P410" s="13" t="n">
        <f aca="false">33.77</f>
        <v>33.77</v>
      </c>
      <c r="Q410" s="13" t="n">
        <f aca="false">118.35</f>
        <v>118.35</v>
      </c>
      <c r="R410" s="12" t="n">
        <v>22.1</v>
      </c>
      <c r="S410" s="12" t="n">
        <v>29.3</v>
      </c>
      <c r="T410" s="12" t="n">
        <v>376</v>
      </c>
      <c r="U410" s="14" t="s">
        <v>58</v>
      </c>
      <c r="V410" s="15"/>
      <c r="W410" s="16" t="str">
        <f aca="false">A410</f>
        <v>JB</v>
      </c>
      <c r="X410" s="17" t="e">
        <f aca="false">ifs(C410="","",X410="",NOW(),TRUE(),X410)</f>
        <v>#VALUE!</v>
      </c>
      <c r="Y410" s="17" t="e">
        <f aca="false">ifs(COUNTA(K410:U413)&lt;44,"",Y410="",NOW(),TRUE(),Y410)</f>
        <v>#VALUE!</v>
      </c>
    </row>
    <row r="411" customFormat="false" ht="14.15" hidden="false" customHeight="false" outlineLevel="0" collapsed="false">
      <c r="A411" s="9"/>
      <c r="B411" s="10"/>
      <c r="C411" s="10"/>
      <c r="D411" s="10"/>
      <c r="E411" s="10"/>
      <c r="F411" s="10"/>
      <c r="G411" s="10"/>
      <c r="H411" s="10"/>
      <c r="I411" s="18" t="n">
        <v>2</v>
      </c>
      <c r="J411" s="18" t="s">
        <v>33</v>
      </c>
      <c r="K411" s="19" t="n">
        <f aca="false">49.78</f>
        <v>49.78</v>
      </c>
      <c r="L411" s="19" t="n">
        <f aca="false">96.07</f>
        <v>96.07</v>
      </c>
      <c r="M411" s="18" t="n">
        <v>13</v>
      </c>
      <c r="N411" s="18" t="n">
        <v>18</v>
      </c>
      <c r="O411" s="18" t="n">
        <v>93.2</v>
      </c>
      <c r="P411" s="19" t="n">
        <f aca="false">33.18</f>
        <v>33.18</v>
      </c>
      <c r="Q411" s="19" t="n">
        <f aca="false">112.74</f>
        <v>112.74</v>
      </c>
      <c r="R411" s="18" t="n">
        <v>20.5</v>
      </c>
      <c r="S411" s="18" t="n">
        <v>30.9</v>
      </c>
      <c r="T411" s="18" t="n">
        <v>238</v>
      </c>
      <c r="U411" s="20" t="s">
        <v>58</v>
      </c>
      <c r="V411" s="21"/>
      <c r="W411" s="16"/>
      <c r="X411" s="16"/>
      <c r="Y411" s="16"/>
    </row>
    <row r="412" customFormat="false" ht="14.15" hidden="false" customHeight="false" outlineLevel="0" collapsed="false">
      <c r="A412" s="9"/>
      <c r="B412" s="10"/>
      <c r="C412" s="10"/>
      <c r="D412" s="10"/>
      <c r="E412" s="10"/>
      <c r="F412" s="10"/>
      <c r="G412" s="10"/>
      <c r="H412" s="10"/>
      <c r="I412" s="22" t="n">
        <v>3</v>
      </c>
      <c r="J412" s="22" t="s">
        <v>50</v>
      </c>
      <c r="K412" s="23" t="n">
        <f aca="false">50.59</f>
        <v>50.59</v>
      </c>
      <c r="L412" s="23" t="n">
        <f aca="false">164.09</f>
        <v>164.09</v>
      </c>
      <c r="M412" s="22" t="n">
        <v>14</v>
      </c>
      <c r="N412" s="22" t="n">
        <v>40</v>
      </c>
      <c r="O412" s="22" t="n">
        <v>211</v>
      </c>
      <c r="P412" s="23" t="n">
        <f aca="false">27.28</f>
        <v>27.28</v>
      </c>
      <c r="Q412" s="23" t="n">
        <f aca="false">171.57</f>
        <v>171.57</v>
      </c>
      <c r="R412" s="22" t="n">
        <v>22.2</v>
      </c>
      <c r="S412" s="22" t="n">
        <v>28.8</v>
      </c>
      <c r="T412" s="22" t="n">
        <v>673</v>
      </c>
      <c r="U412" s="24" t="s">
        <v>58</v>
      </c>
      <c r="V412" s="15"/>
      <c r="W412" s="16"/>
      <c r="X412" s="16"/>
      <c r="Y412" s="16"/>
    </row>
    <row r="413" customFormat="false" ht="14.15" hidden="false" customHeight="false" outlineLevel="0" collapsed="false">
      <c r="A413" s="9"/>
      <c r="B413" s="10"/>
      <c r="C413" s="10"/>
      <c r="D413" s="10"/>
      <c r="E413" s="10"/>
      <c r="F413" s="10"/>
      <c r="G413" s="10"/>
      <c r="H413" s="10"/>
      <c r="I413" s="25" t="n">
        <v>4</v>
      </c>
      <c r="J413" s="25" t="s">
        <v>35</v>
      </c>
      <c r="K413" s="26" t="n">
        <f aca="false">51.71</f>
        <v>51.71</v>
      </c>
      <c r="L413" s="26" t="n">
        <f aca="false">183.55</f>
        <v>183.55</v>
      </c>
      <c r="M413" s="25" t="n">
        <v>14</v>
      </c>
      <c r="N413" s="25" t="n">
        <v>44</v>
      </c>
      <c r="O413" s="25" t="n">
        <v>247.4</v>
      </c>
      <c r="P413" s="26" t="n">
        <f aca="false">31.27</f>
        <v>31.27</v>
      </c>
      <c r="Q413" s="26" t="n">
        <f aca="false">188.99</f>
        <v>188.99</v>
      </c>
      <c r="R413" s="25" t="n">
        <v>30.8</v>
      </c>
      <c r="S413" s="25" t="n">
        <v>27</v>
      </c>
      <c r="T413" s="25" t="n">
        <v>744</v>
      </c>
      <c r="U413" s="27" t="s">
        <v>58</v>
      </c>
      <c r="V413" s="21"/>
      <c r="W413" s="16"/>
      <c r="X413" s="16"/>
      <c r="Y413" s="16"/>
    </row>
    <row r="414" customFormat="false" ht="15.75" hidden="false" customHeight="true" outlineLevel="0" collapsed="false">
      <c r="A414" s="9" t="s">
        <v>43</v>
      </c>
      <c r="B414" s="10" t="s">
        <v>44</v>
      </c>
      <c r="C414" s="11" t="s">
        <v>162</v>
      </c>
      <c r="D414" s="10" t="s">
        <v>28</v>
      </c>
      <c r="E414" s="10" t="s">
        <v>73</v>
      </c>
      <c r="F414" s="10"/>
      <c r="G414" s="10" t="n">
        <v>21</v>
      </c>
      <c r="H414" s="10" t="n">
        <v>4.9</v>
      </c>
      <c r="I414" s="12" t="n">
        <v>1</v>
      </c>
      <c r="J414" s="12" t="s">
        <v>50</v>
      </c>
      <c r="K414" s="13" t="n">
        <f aca="false">41.55</f>
        <v>41.55</v>
      </c>
      <c r="L414" s="13" t="n">
        <f aca="false">122.93</f>
        <v>122.93</v>
      </c>
      <c r="M414" s="12" t="n">
        <v>12</v>
      </c>
      <c r="N414" s="12" t="n">
        <v>28</v>
      </c>
      <c r="O414" s="12" t="n">
        <v>115.9</v>
      </c>
      <c r="P414" s="13" t="n">
        <f aca="false">29.93</f>
        <v>29.93</v>
      </c>
      <c r="Q414" s="13" t="n">
        <f aca="false">135.97</f>
        <v>135.97</v>
      </c>
      <c r="R414" s="12" t="n">
        <v>19.9</v>
      </c>
      <c r="S414" s="12" t="n">
        <v>22.6</v>
      </c>
      <c r="T414" s="12" t="n">
        <v>404</v>
      </c>
      <c r="U414" s="14" t="s">
        <v>29</v>
      </c>
      <c r="V414" s="15"/>
      <c r="W414" s="16" t="str">
        <f aca="false">A414</f>
        <v>JB</v>
      </c>
      <c r="X414" s="17" t="e">
        <f aca="false">ifs(C414="","",X414="",NOW(),TRUE(),X414)</f>
        <v>#VALUE!</v>
      </c>
      <c r="Y414" s="17" t="e">
        <f aca="false">ifs(COUNTA(K414:U417)&lt;44,"",Y414="",NOW(),TRUE(),Y414)</f>
        <v>#VALUE!</v>
      </c>
    </row>
    <row r="415" customFormat="false" ht="14.15" hidden="false" customHeight="false" outlineLevel="0" collapsed="false">
      <c r="A415" s="9"/>
      <c r="B415" s="10"/>
      <c r="C415" s="10"/>
      <c r="D415" s="10"/>
      <c r="E415" s="10"/>
      <c r="F415" s="10"/>
      <c r="G415" s="10"/>
      <c r="H415" s="10"/>
      <c r="I415" s="18" t="n">
        <v>2</v>
      </c>
      <c r="J415" s="18" t="s">
        <v>50</v>
      </c>
      <c r="K415" s="19" t="n">
        <f aca="false">44.89</f>
        <v>44.89</v>
      </c>
      <c r="L415" s="19" t="n">
        <f aca="false">140.33</f>
        <v>140.33</v>
      </c>
      <c r="M415" s="18" t="n">
        <v>14</v>
      </c>
      <c r="N415" s="18" t="n">
        <v>34</v>
      </c>
      <c r="O415" s="18" t="n">
        <v>150.7</v>
      </c>
      <c r="P415" s="19" t="n">
        <f aca="false">28.54</f>
        <v>28.54</v>
      </c>
      <c r="Q415" s="19" t="n">
        <f aca="false">147.49</f>
        <v>147.49</v>
      </c>
      <c r="R415" s="18" t="n">
        <v>23.4</v>
      </c>
      <c r="S415" s="18" t="n">
        <v>22.6</v>
      </c>
      <c r="T415" s="18" t="n">
        <v>511</v>
      </c>
      <c r="U415" s="20" t="s">
        <v>29</v>
      </c>
      <c r="V415" s="21"/>
      <c r="W415" s="16"/>
      <c r="X415" s="16"/>
      <c r="Y415" s="16"/>
    </row>
    <row r="416" customFormat="false" ht="13.8" hidden="false" customHeight="false" outlineLevel="0" collapsed="false">
      <c r="A416" s="9"/>
      <c r="B416" s="10"/>
      <c r="C416" s="10"/>
      <c r="D416" s="10"/>
      <c r="E416" s="10"/>
      <c r="F416" s="10"/>
      <c r="G416" s="10"/>
      <c r="H416" s="10"/>
      <c r="I416" s="22" t="n">
        <v>3</v>
      </c>
      <c r="J416" s="22"/>
      <c r="K416" s="23"/>
      <c r="L416" s="23"/>
      <c r="M416" s="22"/>
      <c r="N416" s="22"/>
      <c r="O416" s="22"/>
      <c r="P416" s="23"/>
      <c r="Q416" s="23"/>
      <c r="R416" s="22"/>
      <c r="S416" s="22"/>
      <c r="T416" s="22"/>
      <c r="U416" s="24"/>
      <c r="V416" s="15"/>
      <c r="W416" s="16"/>
      <c r="X416" s="16"/>
      <c r="Y416" s="16"/>
    </row>
    <row r="417" customFormat="false" ht="13.8" hidden="false" customHeight="false" outlineLevel="0" collapsed="false">
      <c r="A417" s="9"/>
      <c r="B417" s="10"/>
      <c r="C417" s="10"/>
      <c r="D417" s="10"/>
      <c r="E417" s="10"/>
      <c r="F417" s="10"/>
      <c r="G417" s="10"/>
      <c r="H417" s="10"/>
      <c r="I417" s="25" t="n">
        <v>4</v>
      </c>
      <c r="J417" s="25"/>
      <c r="K417" s="26"/>
      <c r="L417" s="26"/>
      <c r="M417" s="25"/>
      <c r="N417" s="25"/>
      <c r="O417" s="25"/>
      <c r="P417" s="26"/>
      <c r="Q417" s="26"/>
      <c r="R417" s="25"/>
      <c r="S417" s="25"/>
      <c r="T417" s="25"/>
      <c r="U417" s="27"/>
      <c r="V417" s="21"/>
      <c r="W417" s="16"/>
      <c r="X417" s="16"/>
      <c r="Y417" s="16"/>
    </row>
    <row r="418" customFormat="false" ht="15.75" hidden="false" customHeight="true" outlineLevel="0" collapsed="false">
      <c r="A418" s="9" t="s">
        <v>43</v>
      </c>
      <c r="B418" s="10" t="s">
        <v>44</v>
      </c>
      <c r="C418" s="11" t="s">
        <v>163</v>
      </c>
      <c r="D418" s="10" t="s">
        <v>28</v>
      </c>
      <c r="E418" s="10" t="s">
        <v>28</v>
      </c>
      <c r="F418" s="10"/>
      <c r="G418" s="10" t="n">
        <v>10</v>
      </c>
      <c r="H418" s="10" t="n">
        <v>1.9</v>
      </c>
      <c r="I418" s="12" t="n">
        <v>1</v>
      </c>
      <c r="J418" s="12" t="s">
        <v>103</v>
      </c>
      <c r="K418" s="13" t="n">
        <f aca="false">39.68</f>
        <v>39.68</v>
      </c>
      <c r="L418" s="13" t="n">
        <f aca="false">79.53</f>
        <v>79.53</v>
      </c>
      <c r="M418" s="12" t="n">
        <v>16</v>
      </c>
      <c r="N418" s="12" t="n">
        <v>18</v>
      </c>
      <c r="O418" s="12" t="n">
        <v>59.7</v>
      </c>
      <c r="P418" s="13" t="n">
        <f aca="false">26.71</f>
        <v>26.71</v>
      </c>
      <c r="Q418" s="13" t="n">
        <f aca="false">88.53</f>
        <v>88.53</v>
      </c>
      <c r="R418" s="12" t="n">
        <v>7.4</v>
      </c>
      <c r="S418" s="12" t="n">
        <v>17.8</v>
      </c>
      <c r="T418" s="12" t="n">
        <v>291</v>
      </c>
      <c r="U418" s="14" t="s">
        <v>29</v>
      </c>
      <c r="V418" s="15"/>
      <c r="W418" s="16" t="str">
        <f aca="false">A418</f>
        <v>JB</v>
      </c>
      <c r="X418" s="17" t="e">
        <f aca="false">ifs(C418="","",X418="",NOW(),TRUE(),X418)</f>
        <v>#VALUE!</v>
      </c>
      <c r="Y418" s="17" t="e">
        <f aca="false">ifs(COUNTA(K418:U421)&lt;44,"",Y418="",NOW(),TRUE(),Y418)</f>
        <v>#VALUE!</v>
      </c>
    </row>
    <row r="419" customFormat="false" ht="14.15" hidden="false" customHeight="false" outlineLevel="0" collapsed="false">
      <c r="A419" s="9"/>
      <c r="B419" s="10"/>
      <c r="C419" s="10"/>
      <c r="D419" s="10"/>
      <c r="E419" s="10"/>
      <c r="F419" s="10"/>
      <c r="G419" s="10"/>
      <c r="H419" s="10"/>
      <c r="I419" s="18" t="n">
        <v>2</v>
      </c>
      <c r="J419" s="18" t="s">
        <v>103</v>
      </c>
      <c r="K419" s="19" t="n">
        <f aca="false">37.94</f>
        <v>37.94</v>
      </c>
      <c r="L419" s="19" t="n">
        <f aca="false">81.67</f>
        <v>81.67</v>
      </c>
      <c r="M419" s="18" t="n">
        <v>12</v>
      </c>
      <c r="N419" s="18" t="n">
        <v>22</v>
      </c>
      <c r="O419" s="18" t="n">
        <v>48.5</v>
      </c>
      <c r="P419" s="19" t="n">
        <f aca="false">27.19</f>
        <v>27.19</v>
      </c>
      <c r="Q419" s="19" t="n">
        <f aca="false">105.28</f>
        <v>105.28</v>
      </c>
      <c r="R419" s="18" t="n">
        <v>9.8</v>
      </c>
      <c r="S419" s="18" t="n">
        <v>19.2</v>
      </c>
      <c r="T419" s="18" t="n">
        <v>219</v>
      </c>
      <c r="U419" s="20" t="s">
        <v>29</v>
      </c>
      <c r="V419" s="21"/>
      <c r="W419" s="16"/>
      <c r="X419" s="16"/>
      <c r="Y419" s="16"/>
    </row>
    <row r="420" customFormat="false" ht="14.15" hidden="false" customHeight="false" outlineLevel="0" collapsed="false">
      <c r="A420" s="9"/>
      <c r="B420" s="10"/>
      <c r="C420" s="10"/>
      <c r="D420" s="10"/>
      <c r="E420" s="10"/>
      <c r="F420" s="10"/>
      <c r="G420" s="10"/>
      <c r="H420" s="10"/>
      <c r="I420" s="22" t="n">
        <v>3</v>
      </c>
      <c r="J420" s="22" t="s">
        <v>103</v>
      </c>
      <c r="K420" s="23" t="n">
        <f aca="false">37.84</f>
        <v>37.84</v>
      </c>
      <c r="L420" s="23" t="n">
        <f aca="false">70.72</f>
        <v>70.72</v>
      </c>
      <c r="M420" s="22" t="n">
        <v>14</v>
      </c>
      <c r="N420" s="22" t="n">
        <v>16</v>
      </c>
      <c r="O420" s="22" t="n">
        <v>47.2</v>
      </c>
      <c r="P420" s="23" t="n">
        <f aca="false">24.98</f>
        <v>24.98</v>
      </c>
      <c r="Q420" s="23" t="n">
        <f aca="false">108.94</f>
        <v>108.94</v>
      </c>
      <c r="R420" s="22" t="n">
        <v>8.3</v>
      </c>
      <c r="S420" s="22" t="n">
        <v>19.2</v>
      </c>
      <c r="T420" s="22" t="n">
        <v>200</v>
      </c>
      <c r="U420" s="24" t="s">
        <v>58</v>
      </c>
      <c r="V420" s="15"/>
      <c r="W420" s="16"/>
      <c r="X420" s="16"/>
      <c r="Y420" s="16"/>
    </row>
    <row r="421" customFormat="false" ht="14.15" hidden="false" customHeight="false" outlineLevel="0" collapsed="false">
      <c r="A421" s="9"/>
      <c r="B421" s="10"/>
      <c r="C421" s="10"/>
      <c r="D421" s="10"/>
      <c r="E421" s="10"/>
      <c r="F421" s="10"/>
      <c r="G421" s="10"/>
      <c r="H421" s="10"/>
      <c r="I421" s="25" t="n">
        <v>4</v>
      </c>
      <c r="J421" s="25" t="s">
        <v>103</v>
      </c>
      <c r="K421" s="26" t="n">
        <f aca="false">37.77</f>
        <v>37.77</v>
      </c>
      <c r="L421" s="26" t="n">
        <f aca="false">83.82</f>
        <v>83.82</v>
      </c>
      <c r="M421" s="25" t="n">
        <v>14</v>
      </c>
      <c r="N421" s="25" t="n">
        <v>18</v>
      </c>
      <c r="O421" s="25" t="n">
        <v>59.3</v>
      </c>
      <c r="P421" s="26" t="n">
        <f aca="false">28.17</f>
        <v>28.17</v>
      </c>
      <c r="Q421" s="26" t="n">
        <f aca="false">104.89</f>
        <v>104.89</v>
      </c>
      <c r="R421" s="25" t="n">
        <v>11.4</v>
      </c>
      <c r="S421" s="25" t="n">
        <v>18.9</v>
      </c>
      <c r="T421" s="25" t="n">
        <v>256</v>
      </c>
      <c r="U421" s="27" t="s">
        <v>29</v>
      </c>
      <c r="V421" s="21"/>
      <c r="W421" s="16"/>
      <c r="X421" s="16"/>
      <c r="Y421" s="16"/>
    </row>
    <row r="422" customFormat="false" ht="15.75" hidden="false" customHeight="true" outlineLevel="0" collapsed="false">
      <c r="A422" s="9" t="s">
        <v>43</v>
      </c>
      <c r="B422" s="10" t="s">
        <v>44</v>
      </c>
      <c r="C422" s="11" t="s">
        <v>164</v>
      </c>
      <c r="D422" s="10" t="s">
        <v>28</v>
      </c>
      <c r="E422" s="10" t="s">
        <v>28</v>
      </c>
      <c r="F422" s="10"/>
      <c r="G422" s="10" t="n">
        <v>26</v>
      </c>
      <c r="H422" s="10" t="n">
        <v>6.8</v>
      </c>
      <c r="I422" s="12" t="n">
        <v>1</v>
      </c>
      <c r="J422" s="12" t="s">
        <v>49</v>
      </c>
      <c r="K422" s="13" t="n">
        <f aca="false">43.66</f>
        <v>43.66</v>
      </c>
      <c r="L422" s="13" t="n">
        <f aca="false">144.86</f>
        <v>144.86</v>
      </c>
      <c r="M422" s="12" t="n">
        <v>14</v>
      </c>
      <c r="N422" s="12" t="n">
        <v>34</v>
      </c>
      <c r="O422" s="12" t="n">
        <v>135.7</v>
      </c>
      <c r="P422" s="13" t="n">
        <f aca="false">28.38</f>
        <v>28.38</v>
      </c>
      <c r="Q422" s="13" t="n">
        <f aca="false">164.45</f>
        <v>164.45</v>
      </c>
      <c r="R422" s="12" t="n">
        <v>18.7</v>
      </c>
      <c r="S422" s="12" t="n">
        <v>21.6</v>
      </c>
      <c r="T422" s="12" t="n">
        <v>511</v>
      </c>
      <c r="U422" s="14" t="s">
        <v>29</v>
      </c>
      <c r="V422" s="15"/>
      <c r="W422" s="16" t="str">
        <f aca="false">A422</f>
        <v>JB</v>
      </c>
      <c r="X422" s="17" t="e">
        <f aca="false">ifs(C422="","",X422="",NOW(),TRUE(),X422)</f>
        <v>#VALUE!</v>
      </c>
      <c r="Y422" s="17" t="e">
        <f aca="false">ifs(COUNTA(K422:U425)&lt;44,"",Y422="",NOW(),TRUE(),Y422)</f>
        <v>#VALUE!</v>
      </c>
    </row>
    <row r="423" customFormat="false" ht="14.15" hidden="false" customHeight="false" outlineLevel="0" collapsed="false">
      <c r="A423" s="9"/>
      <c r="B423" s="10"/>
      <c r="C423" s="10"/>
      <c r="D423" s="10"/>
      <c r="E423" s="10"/>
      <c r="F423" s="10"/>
      <c r="G423" s="10"/>
      <c r="H423" s="10"/>
      <c r="I423" s="18" t="n">
        <v>2</v>
      </c>
      <c r="J423" s="18" t="s">
        <v>46</v>
      </c>
      <c r="K423" s="19" t="n">
        <f aca="false">41.76</f>
        <v>41.76</v>
      </c>
      <c r="L423" s="19" t="n">
        <f aca="false">125.78</f>
        <v>125.78</v>
      </c>
      <c r="M423" s="18" t="n">
        <v>16</v>
      </c>
      <c r="N423" s="18" t="n">
        <v>30</v>
      </c>
      <c r="O423" s="18" t="n">
        <v>111.7</v>
      </c>
      <c r="P423" s="19" t="n">
        <f aca="false">26.05</f>
        <v>26.05</v>
      </c>
      <c r="Q423" s="19" t="n">
        <f aca="false">160.38</f>
        <v>160.38</v>
      </c>
      <c r="R423" s="18" t="n">
        <v>14.8</v>
      </c>
      <c r="S423" s="18" t="n">
        <v>21.4</v>
      </c>
      <c r="T423" s="18" t="n">
        <v>443</v>
      </c>
      <c r="U423" s="20" t="s">
        <v>29</v>
      </c>
      <c r="V423" s="21"/>
      <c r="W423" s="16"/>
      <c r="X423" s="16"/>
      <c r="Y423" s="16"/>
    </row>
    <row r="424" customFormat="false" ht="14.15" hidden="false" customHeight="false" outlineLevel="0" collapsed="false">
      <c r="A424" s="9"/>
      <c r="B424" s="10"/>
      <c r="C424" s="10"/>
      <c r="D424" s="10"/>
      <c r="E424" s="10"/>
      <c r="F424" s="10"/>
      <c r="G424" s="10"/>
      <c r="H424" s="10"/>
      <c r="I424" s="22" t="n">
        <v>3</v>
      </c>
      <c r="J424" s="22" t="s">
        <v>57</v>
      </c>
      <c r="K424" s="23" t="n">
        <f aca="false">41.5</f>
        <v>41.5</v>
      </c>
      <c r="L424" s="23" t="n">
        <f aca="false">131.69</f>
        <v>131.69</v>
      </c>
      <c r="M424" s="22" t="n">
        <v>14</v>
      </c>
      <c r="N424" s="22" t="n">
        <v>30</v>
      </c>
      <c r="O424" s="22" t="n">
        <v>110.1</v>
      </c>
      <c r="P424" s="23" t="n">
        <f aca="false">29.44</f>
        <v>29.44</v>
      </c>
      <c r="Q424" s="23" t="n">
        <f aca="false">167.51</f>
        <v>167.51</v>
      </c>
      <c r="R424" s="22" t="n">
        <v>19.1</v>
      </c>
      <c r="S424" s="22" t="n">
        <v>23</v>
      </c>
      <c r="T424" s="22" t="n">
        <v>380</v>
      </c>
      <c r="U424" s="24" t="s">
        <v>29</v>
      </c>
      <c r="V424" s="15"/>
      <c r="W424" s="16"/>
      <c r="X424" s="16"/>
      <c r="Y424" s="16"/>
    </row>
    <row r="425" customFormat="false" ht="14.15" hidden="false" customHeight="false" outlineLevel="0" collapsed="false">
      <c r="A425" s="9"/>
      <c r="B425" s="10"/>
      <c r="C425" s="10"/>
      <c r="D425" s="10"/>
      <c r="E425" s="10"/>
      <c r="F425" s="10"/>
      <c r="G425" s="10"/>
      <c r="H425" s="10"/>
      <c r="I425" s="25" t="n">
        <v>4</v>
      </c>
      <c r="J425" s="25" t="s">
        <v>46</v>
      </c>
      <c r="K425" s="26" t="n">
        <f aca="false">40.95</f>
        <v>40.95</v>
      </c>
      <c r="L425" s="26" t="n">
        <f aca="false">135.02</f>
        <v>135.02</v>
      </c>
      <c r="M425" s="25" t="n">
        <v>16</v>
      </c>
      <c r="N425" s="25" t="n">
        <v>26</v>
      </c>
      <c r="O425" s="25" t="n">
        <v>106.8</v>
      </c>
      <c r="P425" s="26" t="n">
        <f aca="false">26.75</f>
        <v>26.75</v>
      </c>
      <c r="Q425" s="26" t="n">
        <f aca="false">172.93</f>
        <v>172.93</v>
      </c>
      <c r="R425" s="25" t="n">
        <v>13.5</v>
      </c>
      <c r="S425" s="25" t="n">
        <v>20.2</v>
      </c>
      <c r="T425" s="25" t="n">
        <v>453</v>
      </c>
      <c r="U425" s="27" t="s">
        <v>29</v>
      </c>
      <c r="V425" s="21"/>
      <c r="W425" s="16"/>
      <c r="X425" s="16"/>
      <c r="Y425" s="16"/>
    </row>
    <row r="426" customFormat="false" ht="15.75" hidden="false" customHeight="true" outlineLevel="0" collapsed="false">
      <c r="A426" s="9" t="s">
        <v>43</v>
      </c>
      <c r="B426" s="10" t="s">
        <v>44</v>
      </c>
      <c r="C426" s="11" t="s">
        <v>165</v>
      </c>
      <c r="D426" s="10" t="s">
        <v>28</v>
      </c>
      <c r="E426" s="10" t="s">
        <v>28</v>
      </c>
      <c r="F426" s="10"/>
      <c r="G426" s="10" t="n">
        <v>9</v>
      </c>
      <c r="H426" s="10" t="n">
        <v>2</v>
      </c>
      <c r="I426" s="12" t="n">
        <v>1</v>
      </c>
      <c r="J426" s="12" t="s">
        <v>49</v>
      </c>
      <c r="K426" s="13" t="n">
        <f aca="false">40.68</f>
        <v>40.68</v>
      </c>
      <c r="L426" s="13" t="n">
        <f aca="false">80.06</f>
        <v>80.06</v>
      </c>
      <c r="M426" s="12" t="n">
        <v>14</v>
      </c>
      <c r="N426" s="12" t="n">
        <v>20</v>
      </c>
      <c r="O426" s="12" t="n">
        <v>86.9</v>
      </c>
      <c r="P426" s="13" t="n">
        <f aca="false">27.05</f>
        <v>27.05</v>
      </c>
      <c r="Q426" s="13" t="n">
        <f aca="false">124.69</f>
        <v>124.69</v>
      </c>
      <c r="R426" s="12" t="n">
        <v>15.4</v>
      </c>
      <c r="S426" s="12" t="n">
        <v>21.3</v>
      </c>
      <c r="T426" s="12" t="n">
        <v>322</v>
      </c>
      <c r="U426" s="14" t="s">
        <v>58</v>
      </c>
      <c r="V426" s="15"/>
      <c r="W426" s="16" t="str">
        <f aca="false">A426</f>
        <v>JB</v>
      </c>
      <c r="X426" s="17" t="e">
        <f aca="false">ifs(C426="","",X426="",NOW(),TRUE(),X426)</f>
        <v>#VALUE!</v>
      </c>
      <c r="Y426" s="17" t="e">
        <f aca="false">ifs(COUNTA(K426:U429)&lt;44,"",Y426="",NOW(),TRUE(),Y426)</f>
        <v>#VALUE!</v>
      </c>
    </row>
    <row r="427" customFormat="false" ht="14.15" hidden="false" customHeight="false" outlineLevel="0" collapsed="false">
      <c r="A427" s="9"/>
      <c r="B427" s="10"/>
      <c r="C427" s="10"/>
      <c r="D427" s="10"/>
      <c r="E427" s="10"/>
      <c r="F427" s="10"/>
      <c r="G427" s="10"/>
      <c r="H427" s="10"/>
      <c r="I427" s="18" t="n">
        <v>2</v>
      </c>
      <c r="J427" s="18" t="s">
        <v>147</v>
      </c>
      <c r="K427" s="19" t="n">
        <f aca="false">36.81</f>
        <v>36.81</v>
      </c>
      <c r="L427" s="19" t="n">
        <f aca="false">86.01</f>
        <v>86.01</v>
      </c>
      <c r="M427" s="18" t="n">
        <v>10</v>
      </c>
      <c r="N427" s="18" t="n">
        <v>20</v>
      </c>
      <c r="O427" s="18" t="n">
        <v>48.9</v>
      </c>
      <c r="P427" s="19" t="n">
        <f aca="false">26.98</f>
        <v>26.98</v>
      </c>
      <c r="Q427" s="19" t="n">
        <f aca="false">100.12</f>
        <v>100.12</v>
      </c>
      <c r="R427" s="18" t="n">
        <v>11.6</v>
      </c>
      <c r="S427" s="18" t="n">
        <v>25.6</v>
      </c>
      <c r="T427" s="18" t="n">
        <v>146</v>
      </c>
      <c r="U427" s="20" t="s">
        <v>58</v>
      </c>
      <c r="V427" s="21"/>
      <c r="W427" s="16"/>
      <c r="X427" s="16"/>
      <c r="Y427" s="16"/>
    </row>
    <row r="428" customFormat="false" ht="14.15" hidden="false" customHeight="false" outlineLevel="0" collapsed="false">
      <c r="A428" s="9"/>
      <c r="B428" s="10"/>
      <c r="C428" s="10"/>
      <c r="D428" s="10"/>
      <c r="E428" s="10"/>
      <c r="F428" s="10"/>
      <c r="G428" s="10"/>
      <c r="H428" s="10"/>
      <c r="I428" s="22" t="n">
        <v>3</v>
      </c>
      <c r="J428" s="22" t="s">
        <v>49</v>
      </c>
      <c r="K428" s="23" t="n">
        <f aca="false">42.16</f>
        <v>42.16</v>
      </c>
      <c r="L428" s="23" t="n">
        <f aca="false">112.69</f>
        <v>112.69</v>
      </c>
      <c r="M428" s="22" t="n">
        <v>14</v>
      </c>
      <c r="N428" s="22" t="n">
        <v>28</v>
      </c>
      <c r="O428" s="22" t="n">
        <v>122.8</v>
      </c>
      <c r="P428" s="23" t="n">
        <f aca="false">26.81</f>
        <v>26.81</v>
      </c>
      <c r="Q428" s="23" t="n">
        <f aca="false">136.11</f>
        <v>136.11</v>
      </c>
      <c r="R428" s="22" t="n">
        <v>19.5</v>
      </c>
      <c r="S428" s="22" t="n">
        <v>23.9</v>
      </c>
      <c r="T428" s="22" t="n">
        <v>426</v>
      </c>
      <c r="U428" s="24" t="s">
        <v>29</v>
      </c>
      <c r="V428" s="15"/>
      <c r="W428" s="16"/>
      <c r="X428" s="16"/>
      <c r="Y428" s="16"/>
    </row>
    <row r="429" customFormat="false" ht="14.15" hidden="false" customHeight="false" outlineLevel="0" collapsed="false">
      <c r="A429" s="9"/>
      <c r="B429" s="10"/>
      <c r="C429" s="10"/>
      <c r="D429" s="10"/>
      <c r="E429" s="10"/>
      <c r="F429" s="10"/>
      <c r="G429" s="10"/>
      <c r="H429" s="10"/>
      <c r="I429" s="25" t="n">
        <v>4</v>
      </c>
      <c r="J429" s="25" t="s">
        <v>49</v>
      </c>
      <c r="K429" s="26" t="n">
        <f aca="false">42.62</f>
        <v>42.62</v>
      </c>
      <c r="L429" s="26" t="n">
        <f aca="false">110.76</f>
        <v>110.76</v>
      </c>
      <c r="M429" s="25" t="n">
        <v>16</v>
      </c>
      <c r="N429" s="25" t="n">
        <v>30</v>
      </c>
      <c r="O429" s="25" t="n">
        <v>122.9</v>
      </c>
      <c r="P429" s="26" t="n">
        <f aca="false">29.36</f>
        <v>29.36</v>
      </c>
      <c r="Q429" s="26" t="n">
        <f aca="false">129.38</f>
        <v>129.38</v>
      </c>
      <c r="R429" s="25" t="n">
        <v>24.9</v>
      </c>
      <c r="S429" s="25" t="n">
        <v>14.7</v>
      </c>
      <c r="T429" s="25" t="n">
        <v>474</v>
      </c>
      <c r="U429" s="27" t="s">
        <v>29</v>
      </c>
      <c r="V429" s="21"/>
      <c r="W429" s="16"/>
      <c r="X429" s="16"/>
      <c r="Y429" s="16"/>
    </row>
    <row r="430" customFormat="false" ht="15.75" hidden="false" customHeight="true" outlineLevel="0" collapsed="false">
      <c r="A430" s="9" t="s">
        <v>43</v>
      </c>
      <c r="B430" s="10" t="s">
        <v>44</v>
      </c>
      <c r="C430" s="11" t="s">
        <v>166</v>
      </c>
      <c r="D430" s="10" t="s">
        <v>28</v>
      </c>
      <c r="E430" s="10" t="s">
        <v>28</v>
      </c>
      <c r="F430" s="10"/>
      <c r="G430" s="10" t="n">
        <v>24</v>
      </c>
      <c r="H430" s="10" t="n">
        <v>6.2</v>
      </c>
      <c r="I430" s="12" t="n">
        <v>1</v>
      </c>
      <c r="J430" s="12" t="s">
        <v>147</v>
      </c>
      <c r="K430" s="13" t="n">
        <f aca="false">38.16</f>
        <v>38.16</v>
      </c>
      <c r="L430" s="13" t="n">
        <f aca="false">163.18</f>
        <v>163.18</v>
      </c>
      <c r="M430" s="12" t="n">
        <v>12</v>
      </c>
      <c r="N430" s="12" t="n">
        <v>36</v>
      </c>
      <c r="O430" s="12" t="n">
        <v>126.2</v>
      </c>
      <c r="P430" s="13" t="n">
        <f aca="false">26.22</f>
        <v>26.22</v>
      </c>
      <c r="Q430" s="13" t="n">
        <f aca="false">172.04</f>
        <v>172.04</v>
      </c>
      <c r="R430" s="12" t="n">
        <v>24.3</v>
      </c>
      <c r="S430" s="12" t="n">
        <v>25.5</v>
      </c>
      <c r="T430" s="12" t="n">
        <v>422</v>
      </c>
      <c r="U430" s="14" t="s">
        <v>29</v>
      </c>
      <c r="V430" s="15"/>
      <c r="W430" s="16" t="str">
        <f aca="false">A430</f>
        <v>JB</v>
      </c>
      <c r="X430" s="17" t="e">
        <f aca="false">ifs(C430="","",X430="",NOW(),TRUE(),X430)</f>
        <v>#VALUE!</v>
      </c>
      <c r="Y430" s="17" t="e">
        <f aca="false">ifs(COUNTA(K430:U433)&lt;44,"",Y430="",NOW(),TRUE(),Y430)</f>
        <v>#VALUE!</v>
      </c>
    </row>
    <row r="431" customFormat="false" ht="14.15" hidden="false" customHeight="false" outlineLevel="0" collapsed="false">
      <c r="A431" s="9"/>
      <c r="B431" s="10"/>
      <c r="C431" s="10"/>
      <c r="D431" s="10"/>
      <c r="E431" s="10"/>
      <c r="F431" s="10"/>
      <c r="G431" s="10"/>
      <c r="H431" s="10"/>
      <c r="I431" s="18" t="n">
        <v>2</v>
      </c>
      <c r="J431" s="18" t="s">
        <v>33</v>
      </c>
      <c r="K431" s="19" t="n">
        <f aca="false">37.38</f>
        <v>37.38</v>
      </c>
      <c r="L431" s="19" t="n">
        <f aca="false">144.75</f>
        <v>144.75</v>
      </c>
      <c r="M431" s="18" t="n">
        <v>14</v>
      </c>
      <c r="N431" s="18" t="n">
        <v>32</v>
      </c>
      <c r="O431" s="18" t="n">
        <v>121.8</v>
      </c>
      <c r="P431" s="19" t="n">
        <f aca="false">23.57</f>
        <v>23.57</v>
      </c>
      <c r="Q431" s="19" t="n">
        <f aca="false">176.96</f>
        <v>176.96</v>
      </c>
      <c r="R431" s="18" t="n">
        <v>19.4</v>
      </c>
      <c r="S431" s="18" t="n">
        <v>24.7</v>
      </c>
      <c r="T431" s="18" t="n">
        <v>393</v>
      </c>
      <c r="U431" s="20" t="s">
        <v>58</v>
      </c>
      <c r="V431" s="21"/>
      <c r="W431" s="16"/>
      <c r="X431" s="16"/>
      <c r="Y431" s="16"/>
    </row>
    <row r="432" customFormat="false" ht="14.15" hidden="false" customHeight="false" outlineLevel="0" collapsed="false">
      <c r="A432" s="9"/>
      <c r="B432" s="10"/>
      <c r="C432" s="10"/>
      <c r="D432" s="10"/>
      <c r="E432" s="10"/>
      <c r="F432" s="10"/>
      <c r="G432" s="10"/>
      <c r="H432" s="10"/>
      <c r="I432" s="22" t="n">
        <v>3</v>
      </c>
      <c r="J432" s="22" t="s">
        <v>49</v>
      </c>
      <c r="K432" s="23" t="n">
        <f aca="false">37.35</f>
        <v>37.35</v>
      </c>
      <c r="L432" s="23" t="n">
        <f aca="false">130.42</f>
        <v>130.42</v>
      </c>
      <c r="M432" s="22" t="n">
        <v>12</v>
      </c>
      <c r="N432" s="22" t="n">
        <v>36</v>
      </c>
      <c r="O432" s="22" t="n">
        <v>89.1</v>
      </c>
      <c r="P432" s="23" t="n">
        <f aca="false">24.7</f>
        <v>24.7</v>
      </c>
      <c r="Q432" s="23" t="n">
        <f aca="false">155.99</f>
        <v>155.99</v>
      </c>
      <c r="R432" s="22" t="n">
        <v>16</v>
      </c>
      <c r="S432" s="22" t="n">
        <v>20.9</v>
      </c>
      <c r="T432" s="22" t="n">
        <v>357</v>
      </c>
      <c r="U432" s="24" t="s">
        <v>29</v>
      </c>
      <c r="V432" s="15"/>
      <c r="W432" s="16"/>
      <c r="X432" s="16"/>
      <c r="Y432" s="16"/>
    </row>
    <row r="433" customFormat="false" ht="14.15" hidden="false" customHeight="false" outlineLevel="0" collapsed="false">
      <c r="A433" s="9"/>
      <c r="B433" s="10"/>
      <c r="C433" s="10"/>
      <c r="D433" s="10"/>
      <c r="E433" s="10"/>
      <c r="F433" s="10"/>
      <c r="G433" s="10"/>
      <c r="H433" s="10"/>
      <c r="I433" s="25" t="n">
        <v>4</v>
      </c>
      <c r="J433" s="25" t="s">
        <v>46</v>
      </c>
      <c r="K433" s="26" t="n">
        <f aca="false">38.89</f>
        <v>38.89</v>
      </c>
      <c r="L433" s="26" t="n">
        <f aca="false">77.17</f>
        <v>77.17</v>
      </c>
      <c r="M433" s="25" t="n">
        <v>14</v>
      </c>
      <c r="N433" s="25" t="n">
        <v>20</v>
      </c>
      <c r="O433" s="25" t="n">
        <v>72.2</v>
      </c>
      <c r="P433" s="26" t="n">
        <f aca="false">26.4</f>
        <v>26.4</v>
      </c>
      <c r="Q433" s="26" t="n">
        <f aca="false">118.12</f>
        <v>118.12</v>
      </c>
      <c r="R433" s="25" t="n">
        <v>13.9</v>
      </c>
      <c r="S433" s="25" t="n">
        <v>22.3</v>
      </c>
      <c r="T433" s="25" t="n">
        <v>260</v>
      </c>
      <c r="U433" s="27" t="s">
        <v>29</v>
      </c>
      <c r="V433" s="21"/>
      <c r="W433" s="16"/>
      <c r="X433" s="16"/>
      <c r="Y433" s="16"/>
    </row>
    <row r="434" customFormat="false" ht="15.75" hidden="false" customHeight="true" outlineLevel="0" collapsed="false">
      <c r="A434" s="9" t="s">
        <v>43</v>
      </c>
      <c r="B434" s="10" t="s">
        <v>44</v>
      </c>
      <c r="C434" s="11" t="s">
        <v>167</v>
      </c>
      <c r="D434" s="10" t="s">
        <v>28</v>
      </c>
      <c r="E434" s="10" t="s">
        <v>28</v>
      </c>
      <c r="F434" s="10"/>
      <c r="G434" s="10" t="n">
        <v>6</v>
      </c>
      <c r="H434" s="10" t="n">
        <v>1.4</v>
      </c>
      <c r="I434" s="12" t="n">
        <v>1</v>
      </c>
      <c r="J434" s="12" t="s">
        <v>49</v>
      </c>
      <c r="K434" s="13" t="n">
        <f aca="false">46.15</f>
        <v>46.15</v>
      </c>
      <c r="L434" s="13" t="n">
        <f aca="false">165.89</f>
        <v>165.89</v>
      </c>
      <c r="M434" s="12" t="n">
        <v>16</v>
      </c>
      <c r="N434" s="12" t="n">
        <v>34</v>
      </c>
      <c r="O434" s="12" t="n">
        <v>195.5</v>
      </c>
      <c r="P434" s="13" t="n">
        <f aca="false">30.75</f>
        <v>30.75</v>
      </c>
      <c r="Q434" s="13" t="n">
        <f aca="false">183.65</f>
        <v>183.65</v>
      </c>
      <c r="R434" s="12" t="n">
        <v>26.2</v>
      </c>
      <c r="S434" s="12" t="n">
        <v>21.3</v>
      </c>
      <c r="T434" s="12" t="n">
        <v>748</v>
      </c>
      <c r="U434" s="14" t="s">
        <v>97</v>
      </c>
      <c r="V434" s="15"/>
      <c r="W434" s="16" t="str">
        <f aca="false">A434</f>
        <v>JB</v>
      </c>
      <c r="X434" s="17" t="e">
        <f aca="false">ifs(C434="","",X434="",NOW(),TRUE(),X434)</f>
        <v>#VALUE!</v>
      </c>
      <c r="Y434" s="17" t="e">
        <f aca="false">ifs(COUNTA(K434:U437)&lt;44,"",Y434="",NOW(),TRUE(),Y434)</f>
        <v>#VALUE!</v>
      </c>
    </row>
    <row r="435" customFormat="false" ht="14.15" hidden="false" customHeight="false" outlineLevel="0" collapsed="false">
      <c r="A435" s="9"/>
      <c r="B435" s="10"/>
      <c r="C435" s="10"/>
      <c r="D435" s="10"/>
      <c r="E435" s="10"/>
      <c r="F435" s="10"/>
      <c r="G435" s="10"/>
      <c r="H435" s="10"/>
      <c r="I435" s="18" t="n">
        <v>2</v>
      </c>
      <c r="J435" s="18" t="s">
        <v>49</v>
      </c>
      <c r="K435" s="19" t="n">
        <f aca="false">43.96</f>
        <v>43.96</v>
      </c>
      <c r="L435" s="19" t="n">
        <f aca="false">90.87</f>
        <v>90.87</v>
      </c>
      <c r="M435" s="18" t="n">
        <v>16</v>
      </c>
      <c r="N435" s="18" t="n">
        <v>20</v>
      </c>
      <c r="O435" s="18" t="n">
        <v>94.7</v>
      </c>
      <c r="P435" s="19" t="n">
        <f aca="false">29.53</f>
        <v>29.53</v>
      </c>
      <c r="Q435" s="19" t="n">
        <f aca="false">132.92</f>
        <v>132.92</v>
      </c>
      <c r="R435" s="18" t="n">
        <v>14.4</v>
      </c>
      <c r="S435" s="18" t="n">
        <v>23.3</v>
      </c>
      <c r="T435" s="18" t="n">
        <v>336</v>
      </c>
      <c r="U435" s="20" t="s">
        <v>97</v>
      </c>
      <c r="V435" s="21"/>
      <c r="W435" s="16"/>
      <c r="X435" s="16"/>
      <c r="Y435" s="16"/>
    </row>
    <row r="436" customFormat="false" ht="14.15" hidden="false" customHeight="false" outlineLevel="0" collapsed="false">
      <c r="A436" s="9"/>
      <c r="B436" s="10"/>
      <c r="C436" s="10"/>
      <c r="D436" s="10"/>
      <c r="E436" s="10"/>
      <c r="F436" s="10"/>
      <c r="G436" s="10"/>
      <c r="H436" s="10"/>
      <c r="I436" s="22" t="n">
        <v>3</v>
      </c>
      <c r="J436" s="22" t="s">
        <v>46</v>
      </c>
      <c r="K436" s="23" t="n">
        <f aca="false">38.09</f>
        <v>38.09</v>
      </c>
      <c r="L436" s="23" t="n">
        <f aca="false">83.91</f>
        <v>83.91</v>
      </c>
      <c r="M436" s="22" t="n">
        <v>12</v>
      </c>
      <c r="N436" s="22" t="n">
        <v>20</v>
      </c>
      <c r="O436" s="22" t="n">
        <v>44.8</v>
      </c>
      <c r="P436" s="23" t="n">
        <f aca="false">26.42</f>
        <v>26.42</v>
      </c>
      <c r="Q436" s="23" t="n">
        <f aca="false">93.66</f>
        <v>93.66</v>
      </c>
      <c r="R436" s="22" t="n">
        <v>8</v>
      </c>
      <c r="S436" s="22" t="n">
        <v>21.5</v>
      </c>
      <c r="T436" s="22" t="n">
        <v>170</v>
      </c>
      <c r="U436" s="24" t="s">
        <v>58</v>
      </c>
      <c r="V436" s="15"/>
      <c r="W436" s="16"/>
      <c r="X436" s="16"/>
      <c r="Y436" s="16"/>
    </row>
    <row r="437" customFormat="false" ht="14.15" hidden="false" customHeight="false" outlineLevel="0" collapsed="false">
      <c r="A437" s="9"/>
      <c r="B437" s="10"/>
      <c r="C437" s="10"/>
      <c r="D437" s="10"/>
      <c r="E437" s="10"/>
      <c r="F437" s="10"/>
      <c r="G437" s="10"/>
      <c r="H437" s="10"/>
      <c r="I437" s="25" t="n">
        <v>4</v>
      </c>
      <c r="J437" s="25" t="s">
        <v>46</v>
      </c>
      <c r="K437" s="26" t="n">
        <f aca="false">36.67</f>
        <v>36.67</v>
      </c>
      <c r="L437" s="26" t="n">
        <f aca="false">81.26</f>
        <v>81.26</v>
      </c>
      <c r="M437" s="25" t="n">
        <v>12</v>
      </c>
      <c r="N437" s="25" t="n">
        <v>24</v>
      </c>
      <c r="O437" s="25" t="n">
        <v>56.1</v>
      </c>
      <c r="P437" s="26" t="n">
        <f aca="false">25.81</f>
        <v>25.81</v>
      </c>
      <c r="Q437" s="26" t="n">
        <f aca="false">126.24</f>
        <v>126.24</v>
      </c>
      <c r="R437" s="25" t="n">
        <v>9.3</v>
      </c>
      <c r="S437" s="25" t="n">
        <v>20.6</v>
      </c>
      <c r="T437" s="25" t="n">
        <v>218</v>
      </c>
      <c r="U437" s="27" t="s">
        <v>58</v>
      </c>
      <c r="V437" s="21"/>
      <c r="W437" s="16"/>
      <c r="X437" s="16"/>
      <c r="Y437" s="16"/>
    </row>
    <row r="438" customFormat="false" ht="15.75" hidden="false" customHeight="true" outlineLevel="0" collapsed="false">
      <c r="A438" s="9" t="s">
        <v>43</v>
      </c>
      <c r="B438" s="10" t="s">
        <v>44</v>
      </c>
      <c r="C438" s="11" t="s">
        <v>168</v>
      </c>
      <c r="D438" s="10" t="s">
        <v>28</v>
      </c>
      <c r="E438" s="10" t="s">
        <v>28</v>
      </c>
      <c r="F438" s="10"/>
      <c r="G438" s="10" t="n">
        <v>1</v>
      </c>
      <c r="H438" s="10" t="n">
        <v>0.3</v>
      </c>
      <c r="I438" s="12" t="n">
        <v>1</v>
      </c>
      <c r="J438" s="12" t="s">
        <v>35</v>
      </c>
      <c r="K438" s="13" t="n">
        <f aca="false">41.99</f>
        <v>41.99</v>
      </c>
      <c r="L438" s="13" t="n">
        <f aca="false">168.33</f>
        <v>168.33</v>
      </c>
      <c r="M438" s="12" t="n">
        <v>16</v>
      </c>
      <c r="N438" s="12" t="n">
        <v>42</v>
      </c>
      <c r="O438" s="12" t="n">
        <v>174.1</v>
      </c>
      <c r="P438" s="13" t="n">
        <f aca="false">27.54</f>
        <v>27.54</v>
      </c>
      <c r="Q438" s="13" t="n">
        <f aca="false">170.37</f>
        <v>170.37</v>
      </c>
      <c r="R438" s="12" t="n">
        <v>20.3</v>
      </c>
      <c r="S438" s="12" t="n">
        <v>22.1</v>
      </c>
      <c r="T438" s="12" t="n">
        <v>675</v>
      </c>
      <c r="U438" s="14" t="s">
        <v>29</v>
      </c>
      <c r="V438" s="15"/>
      <c r="W438" s="16" t="str">
        <f aca="false">A438</f>
        <v>JB</v>
      </c>
      <c r="X438" s="17" t="e">
        <f aca="false">ifs(C438="","",X438="",NOW(),TRUE(),X438)</f>
        <v>#VALUE!</v>
      </c>
      <c r="Y438" s="17" t="e">
        <f aca="false">ifs(COUNTA(K438:U441)&lt;44,"",Y438="",NOW(),TRUE(),Y438)</f>
        <v>#VALUE!</v>
      </c>
    </row>
    <row r="439" customFormat="false" ht="13.8" hidden="false" customHeight="false" outlineLevel="0" collapsed="false">
      <c r="A439" s="9"/>
      <c r="B439" s="10"/>
      <c r="C439" s="10"/>
      <c r="D439" s="10"/>
      <c r="E439" s="10"/>
      <c r="F439" s="10"/>
      <c r="G439" s="10"/>
      <c r="H439" s="10"/>
      <c r="I439" s="18" t="n">
        <v>2</v>
      </c>
      <c r="J439" s="18"/>
      <c r="K439" s="19"/>
      <c r="L439" s="19"/>
      <c r="M439" s="18"/>
      <c r="N439" s="18"/>
      <c r="O439" s="18"/>
      <c r="P439" s="19"/>
      <c r="Q439" s="19"/>
      <c r="R439" s="18"/>
      <c r="S439" s="18"/>
      <c r="T439" s="18"/>
      <c r="U439" s="20"/>
      <c r="V439" s="21"/>
      <c r="W439" s="16"/>
      <c r="X439" s="16"/>
      <c r="Y439" s="16"/>
    </row>
    <row r="440" customFormat="false" ht="13.8" hidden="false" customHeight="false" outlineLevel="0" collapsed="false">
      <c r="A440" s="9"/>
      <c r="B440" s="10"/>
      <c r="C440" s="10"/>
      <c r="D440" s="10"/>
      <c r="E440" s="10"/>
      <c r="F440" s="10"/>
      <c r="G440" s="10"/>
      <c r="H440" s="10"/>
      <c r="I440" s="22" t="n">
        <v>3</v>
      </c>
      <c r="J440" s="22"/>
      <c r="K440" s="23"/>
      <c r="L440" s="23"/>
      <c r="M440" s="22"/>
      <c r="N440" s="22"/>
      <c r="O440" s="22"/>
      <c r="P440" s="23"/>
      <c r="Q440" s="23"/>
      <c r="R440" s="22"/>
      <c r="S440" s="22"/>
      <c r="T440" s="22"/>
      <c r="U440" s="24"/>
      <c r="V440" s="15"/>
      <c r="W440" s="16"/>
      <c r="X440" s="16"/>
      <c r="Y440" s="16"/>
    </row>
    <row r="441" customFormat="false" ht="13.8" hidden="false" customHeight="false" outlineLevel="0" collapsed="false">
      <c r="A441" s="9"/>
      <c r="B441" s="10"/>
      <c r="C441" s="10"/>
      <c r="D441" s="10"/>
      <c r="E441" s="10"/>
      <c r="F441" s="10"/>
      <c r="G441" s="10"/>
      <c r="H441" s="10"/>
      <c r="I441" s="25" t="n">
        <v>4</v>
      </c>
      <c r="J441" s="25"/>
      <c r="K441" s="26"/>
      <c r="L441" s="26"/>
      <c r="M441" s="25"/>
      <c r="N441" s="25"/>
      <c r="O441" s="25"/>
      <c r="P441" s="26"/>
      <c r="Q441" s="26"/>
      <c r="R441" s="25"/>
      <c r="S441" s="25"/>
      <c r="T441" s="25"/>
      <c r="U441" s="27"/>
      <c r="V441" s="21"/>
      <c r="W441" s="16"/>
      <c r="X441" s="16"/>
      <c r="Y441" s="16"/>
    </row>
    <row r="442" customFormat="false" ht="15.75" hidden="false" customHeight="true" outlineLevel="0" collapsed="false">
      <c r="A442" s="9" t="s">
        <v>43</v>
      </c>
      <c r="B442" s="10" t="s">
        <v>44</v>
      </c>
      <c r="C442" s="11" t="s">
        <v>169</v>
      </c>
      <c r="D442" s="10" t="s">
        <v>28</v>
      </c>
      <c r="E442" s="10" t="s">
        <v>28</v>
      </c>
      <c r="F442" s="10"/>
      <c r="G442" s="10" t="n">
        <v>23</v>
      </c>
      <c r="H442" s="10" t="n">
        <v>7</v>
      </c>
      <c r="I442" s="12" t="n">
        <v>1</v>
      </c>
      <c r="J442" s="12" t="s">
        <v>111</v>
      </c>
      <c r="K442" s="13" t="n">
        <f aca="false">42.11</f>
        <v>42.11</v>
      </c>
      <c r="L442" s="13" t="n">
        <f aca="false">115.62</f>
        <v>115.62</v>
      </c>
      <c r="M442" s="12" t="n">
        <v>14</v>
      </c>
      <c r="N442" s="12" t="n">
        <v>22</v>
      </c>
      <c r="O442" s="12" t="n">
        <v>102.4</v>
      </c>
      <c r="P442" s="13" t="n">
        <f aca="false">27.73</f>
        <v>27.73</v>
      </c>
      <c r="Q442" s="13" t="n">
        <f aca="false">121.57</f>
        <v>121.57</v>
      </c>
      <c r="R442" s="12" t="n">
        <v>13.9</v>
      </c>
      <c r="S442" s="12" t="n">
        <v>27.3</v>
      </c>
      <c r="T442" s="12" t="n">
        <v>337</v>
      </c>
      <c r="U442" s="14" t="s">
        <v>29</v>
      </c>
      <c r="V442" s="15"/>
      <c r="W442" s="16" t="str">
        <f aca="false">A442</f>
        <v>JB</v>
      </c>
      <c r="X442" s="17" t="e">
        <f aca="false">ifs(C442="","",X442="",NOW(),TRUE(),X442)</f>
        <v>#VALUE!</v>
      </c>
      <c r="Y442" s="17" t="e">
        <f aca="false">ifs(COUNTA(K442:U445)&lt;44,"",Y442="",NOW(),TRUE(),Y442)</f>
        <v>#VALUE!</v>
      </c>
    </row>
    <row r="443" customFormat="false" ht="14.15" hidden="false" customHeight="false" outlineLevel="0" collapsed="false">
      <c r="A443" s="9"/>
      <c r="B443" s="10"/>
      <c r="C443" s="10"/>
      <c r="D443" s="10"/>
      <c r="E443" s="10"/>
      <c r="F443" s="10"/>
      <c r="G443" s="10"/>
      <c r="H443" s="10"/>
      <c r="I443" s="18" t="n">
        <v>2</v>
      </c>
      <c r="J443" s="18" t="s">
        <v>47</v>
      </c>
      <c r="K443" s="19" t="n">
        <f aca="false">40.14</f>
        <v>40.14</v>
      </c>
      <c r="L443" s="19" t="n">
        <f aca="false">80.54</f>
        <v>80.54</v>
      </c>
      <c r="M443" s="18" t="n">
        <v>13</v>
      </c>
      <c r="N443" s="18" t="n">
        <v>18</v>
      </c>
      <c r="O443" s="18" t="n">
        <v>66.8</v>
      </c>
      <c r="P443" s="19" t="n">
        <f aca="false">26.12</f>
        <v>26.12</v>
      </c>
      <c r="Q443" s="19" t="n">
        <f aca="false">82.96</f>
        <v>82.96</v>
      </c>
      <c r="R443" s="18" t="n">
        <v>8.4</v>
      </c>
      <c r="S443" s="18" t="n">
        <v>24.8</v>
      </c>
      <c r="T443" s="18" t="n">
        <v>229</v>
      </c>
      <c r="U443" s="20" t="s">
        <v>29</v>
      </c>
      <c r="V443" s="21"/>
      <c r="W443" s="16"/>
      <c r="X443" s="16"/>
      <c r="Y443" s="16"/>
    </row>
    <row r="444" customFormat="false" ht="14.15" hidden="false" customHeight="false" outlineLevel="0" collapsed="false">
      <c r="A444" s="9"/>
      <c r="B444" s="10"/>
      <c r="C444" s="10"/>
      <c r="D444" s="10"/>
      <c r="E444" s="10"/>
      <c r="F444" s="10"/>
      <c r="G444" s="10"/>
      <c r="H444" s="10"/>
      <c r="I444" s="22" t="n">
        <v>3</v>
      </c>
      <c r="J444" s="22" t="s">
        <v>111</v>
      </c>
      <c r="K444" s="23" t="n">
        <f aca="false">38.86</f>
        <v>38.86</v>
      </c>
      <c r="L444" s="23" t="n">
        <f aca="false">95.28</f>
        <v>95.28</v>
      </c>
      <c r="M444" s="22" t="n">
        <v>12</v>
      </c>
      <c r="N444" s="22" t="n">
        <v>22</v>
      </c>
      <c r="O444" s="22" t="n">
        <v>66</v>
      </c>
      <c r="P444" s="23" t="n">
        <f aca="false">25.01</f>
        <v>25.01</v>
      </c>
      <c r="Q444" s="23" t="n">
        <f aca="false">98.64</f>
        <v>98.64</v>
      </c>
      <c r="R444" s="22" t="n">
        <v>9.8</v>
      </c>
      <c r="S444" s="22" t="n">
        <v>26.8</v>
      </c>
      <c r="T444" s="22" t="n">
        <v>208</v>
      </c>
      <c r="U444" s="24" t="s">
        <v>29</v>
      </c>
      <c r="V444" s="15"/>
      <c r="W444" s="16"/>
      <c r="X444" s="16"/>
      <c r="Y444" s="16"/>
    </row>
    <row r="445" customFormat="false" ht="14.15" hidden="false" customHeight="false" outlineLevel="0" collapsed="false">
      <c r="A445" s="9"/>
      <c r="B445" s="10"/>
      <c r="C445" s="10"/>
      <c r="D445" s="10"/>
      <c r="E445" s="10"/>
      <c r="F445" s="10"/>
      <c r="G445" s="10"/>
      <c r="H445" s="10"/>
      <c r="I445" s="25" t="n">
        <v>4</v>
      </c>
      <c r="J445" s="25"/>
      <c r="K445" s="26" t="n">
        <f aca="false">40.9</f>
        <v>40.9</v>
      </c>
      <c r="L445" s="26" t="n">
        <f aca="false">120.92</f>
        <v>120.92</v>
      </c>
      <c r="M445" s="25" t="n">
        <v>12</v>
      </c>
      <c r="N445" s="25" t="n">
        <v>24</v>
      </c>
      <c r="O445" s="25" t="n">
        <v>110.4</v>
      </c>
      <c r="P445" s="26" t="n">
        <f aca="false">25.54</f>
        <v>25.54</v>
      </c>
      <c r="Q445" s="26" t="n">
        <f aca="false">133.17</f>
        <v>133.17</v>
      </c>
      <c r="R445" s="25" t="n">
        <v>15.5</v>
      </c>
      <c r="S445" s="25" t="n">
        <v>29.2</v>
      </c>
      <c r="T445" s="25" t="n">
        <v>346</v>
      </c>
      <c r="U445" s="27" t="s">
        <v>29</v>
      </c>
      <c r="V445" s="21"/>
      <c r="W445" s="16"/>
      <c r="X445" s="16"/>
      <c r="Y445" s="16"/>
    </row>
    <row r="446" customFormat="false" ht="15.75" hidden="false" customHeight="true" outlineLevel="0" collapsed="false">
      <c r="A446" s="9" t="s">
        <v>43</v>
      </c>
      <c r="B446" s="10" t="s">
        <v>44</v>
      </c>
      <c r="C446" s="11" t="s">
        <v>170</v>
      </c>
      <c r="D446" s="10" t="s">
        <v>28</v>
      </c>
      <c r="E446" s="10" t="s">
        <v>73</v>
      </c>
      <c r="F446" s="10"/>
      <c r="G446" s="10" t="n">
        <v>2</v>
      </c>
      <c r="H446" s="10" t="n">
        <v>0.4</v>
      </c>
      <c r="I446" s="12" t="n">
        <v>1</v>
      </c>
      <c r="J446" s="12" t="s">
        <v>47</v>
      </c>
      <c r="K446" s="13" t="n">
        <f aca="false">43.07</f>
        <v>43.07</v>
      </c>
      <c r="L446" s="13" t="n">
        <f aca="false">120.72</f>
        <v>120.72</v>
      </c>
      <c r="M446" s="12" t="n">
        <v>14</v>
      </c>
      <c r="N446" s="12" t="n">
        <v>28</v>
      </c>
      <c r="O446" s="12" t="n">
        <v>110.8</v>
      </c>
      <c r="P446" s="13" t="n">
        <f aca="false">26.45</f>
        <v>26.45</v>
      </c>
      <c r="Q446" s="13" t="n">
        <f aca="false">124.1</f>
        <v>124.1</v>
      </c>
      <c r="R446" s="12" t="n">
        <v>17.5</v>
      </c>
      <c r="S446" s="12" t="n">
        <v>21.8</v>
      </c>
      <c r="T446" s="12" t="n">
        <v>398</v>
      </c>
      <c r="U446" s="14" t="s">
        <v>29</v>
      </c>
      <c r="V446" s="15"/>
      <c r="W446" s="16" t="str">
        <f aca="false">A446</f>
        <v>JB</v>
      </c>
      <c r="X446" s="17" t="e">
        <f aca="false">ifs(C446="","",X446="",NOW(),TRUE(),X446)</f>
        <v>#VALUE!</v>
      </c>
      <c r="Y446" s="17" t="e">
        <f aca="false">ifs(COUNTA(K446:U449)&lt;44,"",Y446="",NOW(),TRUE(),Y446)</f>
        <v>#VALUE!</v>
      </c>
    </row>
    <row r="447" customFormat="false" ht="13.8" hidden="false" customHeight="false" outlineLevel="0" collapsed="false">
      <c r="A447" s="9"/>
      <c r="B447" s="10"/>
      <c r="C447" s="10"/>
      <c r="D447" s="10"/>
      <c r="E447" s="10"/>
      <c r="F447" s="10"/>
      <c r="G447" s="10"/>
      <c r="H447" s="10"/>
      <c r="I447" s="18" t="n">
        <v>2</v>
      </c>
      <c r="J447" s="18"/>
      <c r="K447" s="19"/>
      <c r="L447" s="19"/>
      <c r="M447" s="18"/>
      <c r="N447" s="18"/>
      <c r="O447" s="18"/>
      <c r="P447" s="19"/>
      <c r="Q447" s="19"/>
      <c r="R447" s="18"/>
      <c r="S447" s="18"/>
      <c r="T447" s="18"/>
      <c r="U447" s="20"/>
      <c r="V447" s="21"/>
      <c r="W447" s="16"/>
      <c r="X447" s="16"/>
      <c r="Y447" s="16"/>
    </row>
    <row r="448" customFormat="false" ht="13.8" hidden="false" customHeight="false" outlineLevel="0" collapsed="false">
      <c r="A448" s="9"/>
      <c r="B448" s="10"/>
      <c r="C448" s="10"/>
      <c r="D448" s="10"/>
      <c r="E448" s="10"/>
      <c r="F448" s="10"/>
      <c r="G448" s="10"/>
      <c r="H448" s="10"/>
      <c r="I448" s="22" t="n">
        <v>3</v>
      </c>
      <c r="J448" s="22"/>
      <c r="K448" s="23"/>
      <c r="L448" s="23"/>
      <c r="M448" s="22"/>
      <c r="N448" s="22"/>
      <c r="O448" s="22"/>
      <c r="P448" s="23"/>
      <c r="Q448" s="23"/>
      <c r="R448" s="22"/>
      <c r="S448" s="22"/>
      <c r="T448" s="22"/>
      <c r="U448" s="24"/>
      <c r="V448" s="15"/>
      <c r="W448" s="16"/>
      <c r="X448" s="16"/>
      <c r="Y448" s="16"/>
    </row>
    <row r="449" customFormat="false" ht="13.8" hidden="false" customHeight="false" outlineLevel="0" collapsed="false">
      <c r="A449" s="9"/>
      <c r="B449" s="10"/>
      <c r="C449" s="10"/>
      <c r="D449" s="10"/>
      <c r="E449" s="10"/>
      <c r="F449" s="10"/>
      <c r="G449" s="10"/>
      <c r="H449" s="10"/>
      <c r="I449" s="25" t="n">
        <v>4</v>
      </c>
      <c r="J449" s="25"/>
      <c r="K449" s="26"/>
      <c r="L449" s="26"/>
      <c r="M449" s="25"/>
      <c r="N449" s="25"/>
      <c r="O449" s="25"/>
      <c r="P449" s="26"/>
      <c r="Q449" s="26"/>
      <c r="R449" s="25"/>
      <c r="S449" s="25"/>
      <c r="T449" s="25"/>
      <c r="U449" s="27"/>
      <c r="V449" s="21"/>
      <c r="W449" s="16"/>
      <c r="X449" s="16"/>
      <c r="Y449" s="16"/>
    </row>
    <row r="450" customFormat="false" ht="15.75" hidden="false" customHeight="true" outlineLevel="0" collapsed="false">
      <c r="A450" s="9" t="s">
        <v>43</v>
      </c>
      <c r="B450" s="10" t="s">
        <v>44</v>
      </c>
      <c r="C450" s="11" t="s">
        <v>171</v>
      </c>
      <c r="D450" s="10" t="s">
        <v>28</v>
      </c>
      <c r="E450" s="10" t="s">
        <v>28</v>
      </c>
      <c r="F450" s="10"/>
      <c r="G450" s="10" t="n">
        <v>0</v>
      </c>
      <c r="H450" s="10"/>
      <c r="I450" s="12" t="n">
        <v>1</v>
      </c>
      <c r="J450" s="12" t="s">
        <v>46</v>
      </c>
      <c r="K450" s="13" t="n">
        <f aca="false">36.45</f>
        <v>36.45</v>
      </c>
      <c r="L450" s="13" t="n">
        <f aca="false">81.5</f>
        <v>81.5</v>
      </c>
      <c r="M450" s="12" t="n">
        <v>12</v>
      </c>
      <c r="N450" s="12" t="n">
        <v>22</v>
      </c>
      <c r="O450" s="12" t="n">
        <v>45.7</v>
      </c>
      <c r="P450" s="13" t="n">
        <f aca="false">24.19</f>
        <v>24.19</v>
      </c>
      <c r="Q450" s="13" t="n">
        <f aca="false">77.25</f>
        <v>77.25</v>
      </c>
      <c r="R450" s="12" t="n">
        <v>7.7</v>
      </c>
      <c r="S450" s="12" t="n">
        <v>17.8</v>
      </c>
      <c r="T450" s="12" t="n">
        <v>202</v>
      </c>
      <c r="U450" s="14" t="s">
        <v>58</v>
      </c>
      <c r="V450" s="15"/>
      <c r="W450" s="16" t="str">
        <f aca="false">A450</f>
        <v>JB</v>
      </c>
      <c r="X450" s="17" t="e">
        <f aca="false">ifs(C450="","",X450="",NOW(),TRUE(),X450)</f>
        <v>#VALUE!</v>
      </c>
      <c r="Y450" s="17" t="e">
        <f aca="false">ifs(COUNTA(K450:U453)&lt;44,"",Y450="",NOW(),TRUE(),Y450)</f>
        <v>#VALUE!</v>
      </c>
    </row>
    <row r="451" customFormat="false" ht="14.15" hidden="false" customHeight="false" outlineLevel="0" collapsed="false">
      <c r="A451" s="9"/>
      <c r="B451" s="10"/>
      <c r="C451" s="10"/>
      <c r="D451" s="10"/>
      <c r="E451" s="10"/>
      <c r="F451" s="10"/>
      <c r="G451" s="10"/>
      <c r="H451" s="10"/>
      <c r="I451" s="18" t="n">
        <v>2</v>
      </c>
      <c r="J451" s="18" t="s">
        <v>33</v>
      </c>
      <c r="K451" s="19" t="n">
        <f aca="false">38.97</f>
        <v>38.97</v>
      </c>
      <c r="L451" s="19" t="n">
        <f aca="false">105.93</f>
        <v>105.93</v>
      </c>
      <c r="M451" s="18" t="n">
        <v>12</v>
      </c>
      <c r="N451" s="18" t="n">
        <v>26</v>
      </c>
      <c r="O451" s="18" t="n">
        <v>81.1</v>
      </c>
      <c r="P451" s="19" t="n">
        <f aca="false">23.16</f>
        <v>23.16</v>
      </c>
      <c r="Q451" s="19" t="n">
        <f aca="false">115.8</f>
        <v>115.8</v>
      </c>
      <c r="R451" s="18" t="n">
        <v>12.4</v>
      </c>
      <c r="S451" s="18" t="n">
        <v>19.3</v>
      </c>
      <c r="T451" s="18" t="n">
        <v>349</v>
      </c>
      <c r="U451" s="20" t="s">
        <v>58</v>
      </c>
      <c r="V451" s="21"/>
      <c r="W451" s="16"/>
      <c r="X451" s="16"/>
      <c r="Y451" s="16"/>
    </row>
    <row r="452" customFormat="false" ht="14.15" hidden="false" customHeight="false" outlineLevel="0" collapsed="false">
      <c r="A452" s="9"/>
      <c r="B452" s="10"/>
      <c r="C452" s="10"/>
      <c r="D452" s="10"/>
      <c r="E452" s="10"/>
      <c r="F452" s="10"/>
      <c r="G452" s="10"/>
      <c r="H452" s="10"/>
      <c r="I452" s="22" t="n">
        <v>3</v>
      </c>
      <c r="J452" s="22" t="s">
        <v>35</v>
      </c>
      <c r="K452" s="23" t="n">
        <f aca="false">36.98</f>
        <v>36.98</v>
      </c>
      <c r="L452" s="23" t="n">
        <f aca="false">71.86</f>
        <v>71.86</v>
      </c>
      <c r="M452" s="22" t="n">
        <v>12</v>
      </c>
      <c r="N452" s="22" t="n">
        <v>18</v>
      </c>
      <c r="O452" s="22" t="n">
        <v>39.5</v>
      </c>
      <c r="P452" s="23" t="n">
        <f aca="false">22</f>
        <v>22</v>
      </c>
      <c r="Q452" s="23" t="n">
        <f aca="false">65.66</f>
        <v>65.66</v>
      </c>
      <c r="R452" s="22" t="n">
        <v>5.7</v>
      </c>
      <c r="S452" s="22" t="n">
        <v>18.4</v>
      </c>
      <c r="T452" s="22" t="n">
        <v>176</v>
      </c>
      <c r="U452" s="24" t="s">
        <v>58</v>
      </c>
      <c r="V452" s="15"/>
      <c r="W452" s="16"/>
      <c r="X452" s="16"/>
      <c r="Y452" s="16"/>
    </row>
    <row r="453" customFormat="false" ht="14.15" hidden="false" customHeight="false" outlineLevel="0" collapsed="false">
      <c r="A453" s="9"/>
      <c r="B453" s="10"/>
      <c r="C453" s="10"/>
      <c r="D453" s="10"/>
      <c r="E453" s="10"/>
      <c r="F453" s="10"/>
      <c r="G453" s="10"/>
      <c r="H453" s="10"/>
      <c r="I453" s="25" t="n">
        <v>4</v>
      </c>
      <c r="J453" s="25" t="s">
        <v>50</v>
      </c>
      <c r="K453" s="26" t="n">
        <f aca="false">38.02</f>
        <v>38.02</v>
      </c>
      <c r="L453" s="26" t="n">
        <f aca="false">86.8</f>
        <v>86.8</v>
      </c>
      <c r="M453" s="25" t="n">
        <v>14</v>
      </c>
      <c r="N453" s="25" t="n">
        <v>22</v>
      </c>
      <c r="O453" s="25" t="n">
        <v>53.3</v>
      </c>
      <c r="P453" s="26" t="n">
        <f aca="false">24.05</f>
        <v>24.05</v>
      </c>
      <c r="Q453" s="26" t="n">
        <f aca="false">86.07</f>
        <v>86.07</v>
      </c>
      <c r="R453" s="25" t="n">
        <v>9.6</v>
      </c>
      <c r="S453" s="25" t="n">
        <v>18.5</v>
      </c>
      <c r="T453" s="25" t="n">
        <v>241</v>
      </c>
      <c r="U453" s="27" t="s">
        <v>58</v>
      </c>
      <c r="V453" s="21"/>
      <c r="W453" s="16"/>
      <c r="X453" s="16"/>
      <c r="Y453" s="16"/>
    </row>
    <row r="454" customFormat="false" ht="15.75" hidden="false" customHeight="true" outlineLevel="0" collapsed="false">
      <c r="A454" s="9" t="s">
        <v>43</v>
      </c>
      <c r="B454" s="10" t="s">
        <v>44</v>
      </c>
      <c r="C454" s="11" t="s">
        <v>172</v>
      </c>
      <c r="D454" s="10" t="s">
        <v>28</v>
      </c>
      <c r="E454" s="10" t="s">
        <v>28</v>
      </c>
      <c r="F454" s="10"/>
      <c r="G454" s="10" t="n">
        <v>44</v>
      </c>
      <c r="H454" s="10" t="n">
        <v>15</v>
      </c>
      <c r="I454" s="12" t="n">
        <v>1</v>
      </c>
      <c r="J454" s="12" t="s">
        <v>35</v>
      </c>
      <c r="K454" s="13" t="n">
        <f aca="false">41.54</f>
        <v>41.54</v>
      </c>
      <c r="L454" s="13" t="n">
        <f aca="false">183.15</f>
        <v>183.15</v>
      </c>
      <c r="M454" s="12" t="n">
        <v>11</v>
      </c>
      <c r="N454" s="12" t="n">
        <v>36</v>
      </c>
      <c r="O454" s="12" t="n">
        <v>163.5</v>
      </c>
      <c r="P454" s="13" t="n">
        <f aca="false">27.09</f>
        <v>27.09</v>
      </c>
      <c r="Q454" s="13" t="n">
        <f aca="false">185.64</f>
        <v>185.64</v>
      </c>
      <c r="R454" s="12" t="n">
        <v>27.3</v>
      </c>
      <c r="S454" s="12" t="n">
        <v>30.5</v>
      </c>
      <c r="T454" s="12" t="n">
        <v>433</v>
      </c>
      <c r="U454" s="14" t="s">
        <v>58</v>
      </c>
      <c r="V454" s="15"/>
      <c r="W454" s="16" t="str">
        <f aca="false">A454</f>
        <v>JB</v>
      </c>
      <c r="X454" s="17" t="e">
        <f aca="false">ifs(C454="","",X454="",NOW(),TRUE(),X454)</f>
        <v>#VALUE!</v>
      </c>
      <c r="Y454" s="17" t="e">
        <f aca="false">ifs(COUNTA(K454:U457)&lt;44,"",Y454="",NOW(),TRUE(),Y454)</f>
        <v>#VALUE!</v>
      </c>
    </row>
    <row r="455" customFormat="false" ht="14.15" hidden="false" customHeight="false" outlineLevel="0" collapsed="false">
      <c r="A455" s="9"/>
      <c r="B455" s="10"/>
      <c r="C455" s="10"/>
      <c r="D455" s="10"/>
      <c r="E455" s="10"/>
      <c r="F455" s="10"/>
      <c r="G455" s="10"/>
      <c r="H455" s="10"/>
      <c r="I455" s="18" t="n">
        <v>2</v>
      </c>
      <c r="J455" s="18" t="s">
        <v>50</v>
      </c>
      <c r="K455" s="19" t="n">
        <f aca="false">49.02</f>
        <v>49.02</v>
      </c>
      <c r="L455" s="19" t="n">
        <f aca="false">185.31</f>
        <v>185.31</v>
      </c>
      <c r="M455" s="18" t="n">
        <v>14</v>
      </c>
      <c r="N455" s="18" t="n">
        <v>46</v>
      </c>
      <c r="O455" s="18" t="n">
        <v>221.4</v>
      </c>
      <c r="P455" s="19" t="n">
        <f aca="false">29.02</f>
        <v>29.02</v>
      </c>
      <c r="Q455" s="19" t="n">
        <f aca="false">200.46</f>
        <v>200.46</v>
      </c>
      <c r="R455" s="18" t="n">
        <v>27.7</v>
      </c>
      <c r="S455" s="18" t="n">
        <v>24.5</v>
      </c>
      <c r="T455" s="18" t="n">
        <v>749</v>
      </c>
      <c r="U455" s="20" t="s">
        <v>58</v>
      </c>
      <c r="V455" s="21"/>
      <c r="W455" s="16"/>
      <c r="X455" s="16"/>
      <c r="Y455" s="16"/>
    </row>
    <row r="456" customFormat="false" ht="14.15" hidden="false" customHeight="false" outlineLevel="0" collapsed="false">
      <c r="A456" s="9"/>
      <c r="B456" s="10"/>
      <c r="C456" s="10"/>
      <c r="D456" s="10"/>
      <c r="E456" s="10"/>
      <c r="F456" s="10"/>
      <c r="G456" s="10"/>
      <c r="H456" s="10"/>
      <c r="I456" s="22" t="n">
        <v>3</v>
      </c>
      <c r="J456" s="22" t="s">
        <v>35</v>
      </c>
      <c r="K456" s="23" t="n">
        <f aca="false">48.9</f>
        <v>48.9</v>
      </c>
      <c r="L456" s="23" t="n">
        <f aca="false">199.23</f>
        <v>199.23</v>
      </c>
      <c r="M456" s="22" t="n">
        <v>12</v>
      </c>
      <c r="N456" s="22" t="n">
        <v>48</v>
      </c>
      <c r="O456" s="22" t="n">
        <v>237.3</v>
      </c>
      <c r="P456" s="23" t="n">
        <f aca="false">28.78</f>
        <v>28.78</v>
      </c>
      <c r="Q456" s="23" t="n">
        <f aca="false">204.82</f>
        <v>204.82</v>
      </c>
      <c r="R456" s="22" t="n">
        <v>31.1</v>
      </c>
      <c r="S456" s="22" t="n">
        <v>29.6</v>
      </c>
      <c r="T456" s="22" t="n">
        <v>706</v>
      </c>
      <c r="U456" s="24" t="s">
        <v>58</v>
      </c>
      <c r="V456" s="15"/>
      <c r="W456" s="16"/>
      <c r="X456" s="16"/>
      <c r="Y456" s="16"/>
    </row>
    <row r="457" customFormat="false" ht="13.8" hidden="false" customHeight="false" outlineLevel="0" collapsed="false">
      <c r="A457" s="9"/>
      <c r="B457" s="10"/>
      <c r="C457" s="10"/>
      <c r="D457" s="10"/>
      <c r="E457" s="10"/>
      <c r="F457" s="10"/>
      <c r="G457" s="10"/>
      <c r="H457" s="10"/>
      <c r="I457" s="25" t="n">
        <v>4</v>
      </c>
      <c r="J457" s="25"/>
      <c r="K457" s="26"/>
      <c r="L457" s="26"/>
      <c r="M457" s="25"/>
      <c r="N457" s="25"/>
      <c r="O457" s="25"/>
      <c r="P457" s="26"/>
      <c r="Q457" s="26"/>
      <c r="R457" s="25"/>
      <c r="S457" s="25"/>
      <c r="T457" s="25"/>
      <c r="U457" s="27"/>
      <c r="V457" s="21"/>
      <c r="W457" s="16"/>
      <c r="X457" s="16"/>
      <c r="Y457" s="16"/>
    </row>
    <row r="458" customFormat="false" ht="15.75" hidden="false" customHeight="true" outlineLevel="0" collapsed="false">
      <c r="A458" s="9" t="s">
        <v>43</v>
      </c>
      <c r="B458" s="10" t="s">
        <v>44</v>
      </c>
      <c r="C458" s="11" t="s">
        <v>173</v>
      </c>
      <c r="D458" s="10" t="s">
        <v>28</v>
      </c>
      <c r="E458" s="10" t="s">
        <v>28</v>
      </c>
      <c r="F458" s="10"/>
      <c r="G458" s="10" t="n">
        <v>19</v>
      </c>
      <c r="H458" s="10" t="n">
        <v>2.9</v>
      </c>
      <c r="I458" s="12" t="n">
        <v>1</v>
      </c>
      <c r="J458" s="12" t="s">
        <v>35</v>
      </c>
      <c r="K458" s="13" t="n">
        <f aca="false">41.45</f>
        <v>41.45</v>
      </c>
      <c r="L458" s="13" t="n">
        <f aca="false">113.23</f>
        <v>113.23</v>
      </c>
      <c r="M458" s="12" t="n">
        <v>14</v>
      </c>
      <c r="N458" s="12" t="n">
        <v>24</v>
      </c>
      <c r="O458" s="12" t="n">
        <v>100.8</v>
      </c>
      <c r="P458" s="13" t="n">
        <f aca="false">25.95</f>
        <v>25.95</v>
      </c>
      <c r="Q458" s="13" t="n">
        <f aca="false">134.04</f>
        <v>134.04</v>
      </c>
      <c r="R458" s="12" t="n">
        <v>18.7</v>
      </c>
      <c r="S458" s="12" t="n">
        <v>20.1</v>
      </c>
      <c r="T458" s="12" t="n">
        <v>405</v>
      </c>
      <c r="U458" s="14" t="s">
        <v>97</v>
      </c>
      <c r="V458" s="15"/>
      <c r="W458" s="16" t="str">
        <f aca="false">A458</f>
        <v>JB</v>
      </c>
      <c r="X458" s="17" t="e">
        <f aca="false">ifs(C458="","",X458="",NOW(),TRUE(),X458)</f>
        <v>#VALUE!</v>
      </c>
      <c r="Y458" s="17" t="e">
        <f aca="false">ifs(COUNTA(K458:U461)&lt;44,"",Y458="",NOW(),TRUE(),Y458)</f>
        <v>#VALUE!</v>
      </c>
    </row>
    <row r="459" customFormat="false" ht="14.15" hidden="false" customHeight="false" outlineLevel="0" collapsed="false">
      <c r="A459" s="9"/>
      <c r="B459" s="10"/>
      <c r="C459" s="10"/>
      <c r="D459" s="10"/>
      <c r="E459" s="10"/>
      <c r="F459" s="10"/>
      <c r="G459" s="10"/>
      <c r="H459" s="10"/>
      <c r="I459" s="18" t="n">
        <v>2</v>
      </c>
      <c r="J459" s="18"/>
      <c r="K459" s="19" t="n">
        <f aca="false">45.09</f>
        <v>45.09</v>
      </c>
      <c r="L459" s="19" t="n">
        <f aca="false">147.01</f>
        <v>147.01</v>
      </c>
      <c r="M459" s="18" t="n">
        <v>16</v>
      </c>
      <c r="N459" s="18" t="n">
        <v>36</v>
      </c>
      <c r="O459" s="18" t="n">
        <v>155.6</v>
      </c>
      <c r="P459" s="19" t="n">
        <f aca="false">28.95</f>
        <v>28.95</v>
      </c>
      <c r="Q459" s="19" t="n">
        <f aca="false">158.45</f>
        <v>158.45</v>
      </c>
      <c r="R459" s="18" t="n">
        <v>26.8</v>
      </c>
      <c r="S459" s="18" t="n">
        <v>20.6</v>
      </c>
      <c r="T459" s="18" t="n">
        <v>587</v>
      </c>
      <c r="U459" s="20" t="s">
        <v>97</v>
      </c>
      <c r="V459" s="21"/>
      <c r="W459" s="16"/>
      <c r="X459" s="16"/>
      <c r="Y459" s="16"/>
    </row>
    <row r="460" customFormat="false" ht="14.15" hidden="false" customHeight="false" outlineLevel="0" collapsed="false">
      <c r="A460" s="9"/>
      <c r="B460" s="10"/>
      <c r="C460" s="10"/>
      <c r="D460" s="10"/>
      <c r="E460" s="10"/>
      <c r="F460" s="10"/>
      <c r="G460" s="10"/>
      <c r="H460" s="10"/>
      <c r="I460" s="22" t="n">
        <v>3</v>
      </c>
      <c r="J460" s="22" t="s">
        <v>35</v>
      </c>
      <c r="K460" s="23" t="n">
        <f aca="false">41.36</f>
        <v>41.36</v>
      </c>
      <c r="L460" s="23" t="n">
        <f aca="false">116.76</f>
        <v>116.76</v>
      </c>
      <c r="M460" s="22" t="n">
        <v>15</v>
      </c>
      <c r="N460" s="22" t="n">
        <v>24</v>
      </c>
      <c r="O460" s="22" t="n">
        <v>98</v>
      </c>
      <c r="P460" s="23" t="n">
        <f aca="false">28.19</f>
        <v>28.19</v>
      </c>
      <c r="Q460" s="23" t="n">
        <f aca="false">127.62</f>
        <v>127.62</v>
      </c>
      <c r="R460" s="22" t="n">
        <v>17.2</v>
      </c>
      <c r="S460" s="22" t="n">
        <v>22.6</v>
      </c>
      <c r="T460" s="22" t="n">
        <v>342</v>
      </c>
      <c r="U460" s="24" t="s">
        <v>97</v>
      </c>
      <c r="V460" s="15"/>
      <c r="W460" s="16"/>
      <c r="X460" s="16"/>
      <c r="Y460" s="16"/>
    </row>
    <row r="461" customFormat="false" ht="14.15" hidden="false" customHeight="false" outlineLevel="0" collapsed="false">
      <c r="A461" s="9"/>
      <c r="B461" s="10"/>
      <c r="C461" s="10"/>
      <c r="D461" s="10"/>
      <c r="E461" s="10"/>
      <c r="F461" s="10"/>
      <c r="G461" s="10"/>
      <c r="H461" s="10"/>
      <c r="I461" s="25" t="n">
        <v>4</v>
      </c>
      <c r="J461" s="25"/>
      <c r="K461" s="26" t="n">
        <f aca="false">41.65</f>
        <v>41.65</v>
      </c>
      <c r="L461" s="26" t="n">
        <f aca="false">119.77</f>
        <v>119.77</v>
      </c>
      <c r="M461" s="25" t="n">
        <v>14</v>
      </c>
      <c r="N461" s="25" t="n">
        <v>27</v>
      </c>
      <c r="O461" s="25" t="n">
        <v>92.5</v>
      </c>
      <c r="P461" s="26" t="n">
        <f aca="false">29.19</f>
        <v>29.19</v>
      </c>
      <c r="Q461" s="26" t="n">
        <f aca="false">132.23</f>
        <v>132.23</v>
      </c>
      <c r="R461" s="25" t="n">
        <v>19.1</v>
      </c>
      <c r="S461" s="25" t="n">
        <v>19.1</v>
      </c>
      <c r="T461" s="25" t="n">
        <v>374</v>
      </c>
      <c r="U461" s="27" t="s">
        <v>97</v>
      </c>
      <c r="V461" s="21"/>
      <c r="W461" s="16"/>
      <c r="X461" s="16"/>
      <c r="Y461" s="16"/>
    </row>
    <row r="462" customFormat="false" ht="15.75" hidden="false" customHeight="true" outlineLevel="0" collapsed="false">
      <c r="A462" s="9" t="s">
        <v>25</v>
      </c>
      <c r="B462" s="10" t="s">
        <v>26</v>
      </c>
      <c r="C462" s="11" t="s">
        <v>174</v>
      </c>
      <c r="D462" s="10" t="s">
        <v>28</v>
      </c>
      <c r="E462" s="10" t="s">
        <v>28</v>
      </c>
      <c r="F462" s="10"/>
      <c r="G462" s="10" t="n">
        <v>81</v>
      </c>
      <c r="H462" s="10" t="n">
        <v>16.25</v>
      </c>
      <c r="I462" s="12" t="n">
        <v>1</v>
      </c>
      <c r="J462" s="12" t="s">
        <v>47</v>
      </c>
      <c r="K462" s="13" t="n">
        <f aca="false">44.9</f>
        <v>44.9</v>
      </c>
      <c r="L462" s="13" t="n">
        <f aca="false">166.18</f>
        <v>166.18</v>
      </c>
      <c r="M462" s="12" t="n">
        <v>16</v>
      </c>
      <c r="N462" s="12" t="n">
        <v>33</v>
      </c>
      <c r="O462" s="12" t="n">
        <v>162.1</v>
      </c>
      <c r="P462" s="13" t="n">
        <f aca="false">27.26</f>
        <v>27.26</v>
      </c>
      <c r="Q462" s="13" t="n">
        <f aca="false">170.99</f>
        <v>170.99</v>
      </c>
      <c r="R462" s="12" t="n">
        <v>19.3</v>
      </c>
      <c r="S462" s="12" t="n">
        <v>28.35</v>
      </c>
      <c r="T462" s="12" t="n">
        <v>528</v>
      </c>
      <c r="U462" s="14" t="s">
        <v>29</v>
      </c>
      <c r="V462" s="15"/>
      <c r="W462" s="16" t="str">
        <f aca="false">A462</f>
        <v>KL</v>
      </c>
      <c r="X462" s="17" t="e">
        <f aca="false">ifs(C462="","",X462="",NOW(),TRUE(),X462)</f>
        <v>#VALUE!</v>
      </c>
      <c r="Y462" s="17"/>
    </row>
    <row r="463" customFormat="false" ht="14.15" hidden="false" customHeight="false" outlineLevel="0" collapsed="false">
      <c r="A463" s="9"/>
      <c r="B463" s="10"/>
      <c r="C463" s="10"/>
      <c r="D463" s="10"/>
      <c r="E463" s="10"/>
      <c r="F463" s="10"/>
      <c r="G463" s="10"/>
      <c r="H463" s="10"/>
      <c r="I463" s="18" t="n">
        <v>2</v>
      </c>
      <c r="J463" s="18"/>
      <c r="K463" s="19" t="n">
        <f aca="false">41.21</f>
        <v>41.21</v>
      </c>
      <c r="L463" s="19" t="n">
        <f aca="false">162.46</f>
        <v>162.46</v>
      </c>
      <c r="M463" s="18" t="n">
        <v>12</v>
      </c>
      <c r="N463" s="18" t="n">
        <v>37</v>
      </c>
      <c r="O463" s="18" t="n">
        <v>137.1</v>
      </c>
      <c r="P463" s="19" t="n">
        <f aca="false">26.67</f>
        <v>26.67</v>
      </c>
      <c r="Q463" s="19" t="n">
        <f aca="false">166.48</f>
        <v>166.48</v>
      </c>
      <c r="R463" s="18" t="n">
        <v>18.95</v>
      </c>
      <c r="S463" s="18" t="n">
        <v>28.35</v>
      </c>
      <c r="T463" s="18" t="n">
        <v>434</v>
      </c>
      <c r="U463" s="20" t="s">
        <v>29</v>
      </c>
      <c r="V463" s="21"/>
      <c r="W463" s="16"/>
      <c r="X463" s="16"/>
      <c r="Y463" s="16"/>
    </row>
    <row r="464" customFormat="false" ht="14.15" hidden="false" customHeight="false" outlineLevel="0" collapsed="false">
      <c r="A464" s="9"/>
      <c r="B464" s="10"/>
      <c r="C464" s="10"/>
      <c r="D464" s="10"/>
      <c r="E464" s="10"/>
      <c r="F464" s="10"/>
      <c r="G464" s="10"/>
      <c r="H464" s="10"/>
      <c r="I464" s="22" t="n">
        <v>3</v>
      </c>
      <c r="J464" s="22" t="s">
        <v>47</v>
      </c>
      <c r="K464" s="23" t="n">
        <f aca="false">41.45</f>
        <v>41.45</v>
      </c>
      <c r="L464" s="23" t="n">
        <f aca="false">158.65</f>
        <v>158.65</v>
      </c>
      <c r="M464" s="22" t="n">
        <v>14</v>
      </c>
      <c r="N464" s="22" t="n">
        <v>36</v>
      </c>
      <c r="O464" s="22" t="n">
        <v>116.9</v>
      </c>
      <c r="P464" s="23" t="n">
        <f aca="false">24.76</f>
        <v>24.76</v>
      </c>
      <c r="Q464" s="23" t="n">
        <f aca="false">158.97</f>
        <v>158.97</v>
      </c>
      <c r="R464" s="22" t="n">
        <v>14.9</v>
      </c>
      <c r="S464" s="22" t="n">
        <v>26.8</v>
      </c>
      <c r="T464" s="22" t="n">
        <v>400</v>
      </c>
      <c r="U464" s="24" t="s">
        <v>29</v>
      </c>
      <c r="V464" s="15"/>
      <c r="W464" s="16"/>
      <c r="X464" s="16"/>
      <c r="Y464" s="16"/>
    </row>
    <row r="465" customFormat="false" ht="14.15" hidden="false" customHeight="false" outlineLevel="0" collapsed="false">
      <c r="A465" s="9"/>
      <c r="B465" s="10"/>
      <c r="C465" s="10"/>
      <c r="D465" s="10"/>
      <c r="E465" s="10"/>
      <c r="F465" s="10"/>
      <c r="G465" s="10"/>
      <c r="H465" s="10"/>
      <c r="I465" s="25" t="n">
        <v>4</v>
      </c>
      <c r="J465" s="25"/>
      <c r="K465" s="26" t="n">
        <f aca="false">38.35</f>
        <v>38.35</v>
      </c>
      <c r="L465" s="26" t="n">
        <f aca="false">144.31</f>
        <v>144.31</v>
      </c>
      <c r="M465" s="25" t="n">
        <v>12</v>
      </c>
      <c r="N465" s="25" t="n">
        <v>32</v>
      </c>
      <c r="O465" s="25" t="n">
        <v>101.75</v>
      </c>
      <c r="P465" s="26" t="n">
        <f aca="false">24.44</f>
        <v>24.44</v>
      </c>
      <c r="Q465" s="26" t="n">
        <f aca="false">148.15</f>
        <v>148.15</v>
      </c>
      <c r="R465" s="25" t="n">
        <v>12.5</v>
      </c>
      <c r="S465" s="25" t="n">
        <v>24.95</v>
      </c>
      <c r="T465" s="25" t="n">
        <v>364</v>
      </c>
      <c r="U465" s="27" t="s">
        <v>29</v>
      </c>
      <c r="V465" s="21"/>
      <c r="W465" s="16"/>
      <c r="X465" s="16"/>
      <c r="Y465" s="16"/>
    </row>
    <row r="466" customFormat="false" ht="15.75" hidden="false" customHeight="true" outlineLevel="0" collapsed="false">
      <c r="A466" s="9" t="s">
        <v>25</v>
      </c>
      <c r="B466" s="10" t="s">
        <v>26</v>
      </c>
      <c r="C466" s="11" t="s">
        <v>175</v>
      </c>
      <c r="D466" s="10" t="s">
        <v>28</v>
      </c>
      <c r="E466" s="10" t="s">
        <v>28</v>
      </c>
      <c r="F466" s="10"/>
      <c r="G466" s="10" t="n">
        <v>22</v>
      </c>
      <c r="H466" s="10" t="n">
        <v>4.35</v>
      </c>
      <c r="I466" s="12" t="n">
        <v>1</v>
      </c>
      <c r="J466" s="12" t="s">
        <v>49</v>
      </c>
      <c r="K466" s="13" t="n">
        <f aca="false">40.65</f>
        <v>40.65</v>
      </c>
      <c r="L466" s="13" t="n">
        <f aca="false">104.32</f>
        <v>104.32</v>
      </c>
      <c r="M466" s="12" t="n">
        <v>18</v>
      </c>
      <c r="N466" s="12" t="n">
        <v>20</v>
      </c>
      <c r="O466" s="12" t="n">
        <v>91.7</v>
      </c>
      <c r="P466" s="13" t="n">
        <f aca="false">25.54</f>
        <v>25.54</v>
      </c>
      <c r="Q466" s="13" t="n">
        <f aca="false">136.64</f>
        <v>136.64</v>
      </c>
      <c r="R466" s="12" t="n">
        <v>15.85</v>
      </c>
      <c r="S466" s="12" t="n">
        <v>17.95</v>
      </c>
      <c r="T466" s="12" t="n">
        <v>426</v>
      </c>
      <c r="U466" s="14" t="s">
        <v>97</v>
      </c>
      <c r="V466" s="15"/>
      <c r="W466" s="16" t="str">
        <f aca="false">A466</f>
        <v>KL</v>
      </c>
      <c r="X466" s="17" t="e">
        <f aca="false">ifs(C466="","",X466="",NOW(),TRUE(),X466)</f>
        <v>#VALUE!</v>
      </c>
      <c r="Y466" s="17" t="e">
        <f aca="false">ifs(COUNTA(K466:U469)&lt;44,"",Y466="",NOW(),TRUE(),Y466)</f>
        <v>#VALUE!</v>
      </c>
    </row>
    <row r="467" customFormat="false" ht="14.15" hidden="false" customHeight="false" outlineLevel="0" collapsed="false">
      <c r="A467" s="9"/>
      <c r="B467" s="10"/>
      <c r="C467" s="10"/>
      <c r="D467" s="10"/>
      <c r="E467" s="10"/>
      <c r="F467" s="10"/>
      <c r="G467" s="10"/>
      <c r="H467" s="10"/>
      <c r="I467" s="18" t="n">
        <v>2</v>
      </c>
      <c r="J467" s="18" t="s">
        <v>49</v>
      </c>
      <c r="K467" s="19" t="n">
        <f aca="false">39.56</f>
        <v>39.56</v>
      </c>
      <c r="L467" s="19" t="n">
        <f aca="false">91.71</f>
        <v>91.71</v>
      </c>
      <c r="M467" s="18" t="n">
        <v>16</v>
      </c>
      <c r="N467" s="18" t="n">
        <v>22</v>
      </c>
      <c r="O467" s="18" t="n">
        <v>89.6</v>
      </c>
      <c r="P467" s="19" t="n">
        <f aca="false">21.42</f>
        <v>21.42</v>
      </c>
      <c r="Q467" s="19" t="n">
        <f aca="false">130.15</f>
        <v>130.15</v>
      </c>
      <c r="R467" s="18" t="n">
        <v>11.65</v>
      </c>
      <c r="S467" s="18" t="n">
        <v>22.25</v>
      </c>
      <c r="T467" s="18" t="n">
        <v>362</v>
      </c>
      <c r="U467" s="20" t="s">
        <v>29</v>
      </c>
      <c r="V467" s="21"/>
      <c r="W467" s="16"/>
      <c r="X467" s="16"/>
      <c r="Y467" s="16"/>
    </row>
    <row r="468" customFormat="false" ht="14.15" hidden="false" customHeight="false" outlineLevel="0" collapsed="false">
      <c r="A468" s="9"/>
      <c r="B468" s="10"/>
      <c r="C468" s="10"/>
      <c r="D468" s="10"/>
      <c r="E468" s="10"/>
      <c r="F468" s="10"/>
      <c r="G468" s="10"/>
      <c r="H468" s="10"/>
      <c r="I468" s="22" t="n">
        <v>3</v>
      </c>
      <c r="J468" s="22" t="s">
        <v>36</v>
      </c>
      <c r="K468" s="23" t="n">
        <f aca="false">39.89</f>
        <v>39.89</v>
      </c>
      <c r="L468" s="23" t="n">
        <f aca="false">108.13</f>
        <v>108.13</v>
      </c>
      <c r="M468" s="22" t="n">
        <v>18</v>
      </c>
      <c r="N468" s="22" t="n">
        <v>26</v>
      </c>
      <c r="O468" s="22" t="n">
        <v>80.05</v>
      </c>
      <c r="P468" s="23" t="n">
        <f aca="false">22.68</f>
        <v>22.68</v>
      </c>
      <c r="Q468" s="23" t="n">
        <f aca="false">109.6</f>
        <v>109.6</v>
      </c>
      <c r="R468" s="22" t="n">
        <v>9.35</v>
      </c>
      <c r="S468" s="22" t="n">
        <v>17.65</v>
      </c>
      <c r="T468" s="22" t="n">
        <v>410</v>
      </c>
      <c r="U468" s="24" t="s">
        <v>29</v>
      </c>
      <c r="V468" s="15"/>
      <c r="W468" s="16"/>
      <c r="X468" s="16"/>
      <c r="Y468" s="16"/>
    </row>
    <row r="469" customFormat="false" ht="14.15" hidden="false" customHeight="false" outlineLevel="0" collapsed="false">
      <c r="A469" s="9"/>
      <c r="B469" s="10"/>
      <c r="C469" s="10"/>
      <c r="D469" s="10"/>
      <c r="E469" s="10"/>
      <c r="F469" s="10"/>
      <c r="G469" s="10"/>
      <c r="H469" s="10"/>
      <c r="I469" s="25" t="n">
        <v>4</v>
      </c>
      <c r="J469" s="25" t="s">
        <v>50</v>
      </c>
      <c r="K469" s="26" t="n">
        <f aca="false">39.64</f>
        <v>39.64</v>
      </c>
      <c r="L469" s="26" t="n">
        <f aca="false">93.09</f>
        <v>93.09</v>
      </c>
      <c r="M469" s="25" t="n">
        <v>13</v>
      </c>
      <c r="N469" s="25" t="n">
        <v>20</v>
      </c>
      <c r="O469" s="25" t="n">
        <v>59.65</v>
      </c>
      <c r="P469" s="26" t="n">
        <f aca="false">24.03</f>
        <v>24.03</v>
      </c>
      <c r="Q469" s="26" t="n">
        <f aca="false">101.01</f>
        <v>101.01</v>
      </c>
      <c r="R469" s="25" t="n">
        <v>8.15</v>
      </c>
      <c r="S469" s="25" t="n">
        <v>21.35</v>
      </c>
      <c r="T469" s="25" t="n">
        <v>243</v>
      </c>
      <c r="U469" s="27" t="s">
        <v>29</v>
      </c>
      <c r="V469" s="21"/>
      <c r="W469" s="16"/>
      <c r="X469" s="16"/>
      <c r="Y469" s="16"/>
    </row>
    <row r="470" customFormat="false" ht="15.75" hidden="false" customHeight="true" outlineLevel="0" collapsed="false">
      <c r="A470" s="9" t="s">
        <v>25</v>
      </c>
      <c r="B470" s="10" t="s">
        <v>176</v>
      </c>
      <c r="C470" s="11" t="s">
        <v>177</v>
      </c>
      <c r="D470" s="10" t="s">
        <v>28</v>
      </c>
      <c r="E470" s="10" t="s">
        <v>28</v>
      </c>
      <c r="F470" s="10"/>
      <c r="G470" s="10" t="n">
        <v>8</v>
      </c>
      <c r="H470" s="10" t="n">
        <v>1.65</v>
      </c>
      <c r="I470" s="12" t="n">
        <v>1</v>
      </c>
      <c r="J470" s="12"/>
      <c r="K470" s="13" t="n">
        <f aca="false">45.99</f>
        <v>45.99</v>
      </c>
      <c r="L470" s="13" t="n">
        <f aca="false">176.75</f>
        <v>176.75</v>
      </c>
      <c r="M470" s="12" t="n">
        <v>16</v>
      </c>
      <c r="N470" s="12" t="n">
        <v>40</v>
      </c>
      <c r="O470" s="12" t="n">
        <v>209.5</v>
      </c>
      <c r="P470" s="13" t="n">
        <f aca="false">30.66</f>
        <v>30.66</v>
      </c>
      <c r="Q470" s="13" t="n">
        <f aca="false">193.46</f>
        <v>193.46</v>
      </c>
      <c r="R470" s="12" t="n">
        <v>36.49</v>
      </c>
      <c r="S470" s="12" t="n">
        <v>25.23</v>
      </c>
      <c r="T470" s="12" t="n">
        <v>607</v>
      </c>
      <c r="U470" s="14" t="s">
        <v>29</v>
      </c>
      <c r="V470" s="15"/>
      <c r="W470" s="16" t="str">
        <f aca="false">A470</f>
        <v>KL</v>
      </c>
      <c r="X470" s="17" t="e">
        <f aca="false">ifs(C470="","",X470="",NOW(),TRUE(),X470)</f>
        <v>#VALUE!</v>
      </c>
      <c r="Y470" s="17" t="e">
        <f aca="false">ifs(COUNTA(K470:U473)&lt;44,"",Y470="",NOW(),TRUE(),Y470)</f>
        <v>#VALUE!</v>
      </c>
    </row>
    <row r="471" customFormat="false" ht="14.15" hidden="false" customHeight="false" outlineLevel="0" collapsed="false">
      <c r="A471" s="9"/>
      <c r="B471" s="10"/>
      <c r="C471" s="10"/>
      <c r="D471" s="10"/>
      <c r="E471" s="10"/>
      <c r="F471" s="10"/>
      <c r="G471" s="10"/>
      <c r="H471" s="10"/>
      <c r="I471" s="18" t="n">
        <v>2</v>
      </c>
      <c r="J471" s="18"/>
      <c r="K471" s="19" t="n">
        <f aca="false">42.73</f>
        <v>42.73</v>
      </c>
      <c r="L471" s="19" t="n">
        <f aca="false">158.67</f>
        <v>158.67</v>
      </c>
      <c r="M471" s="18" t="n">
        <v>14</v>
      </c>
      <c r="N471" s="18" t="n">
        <v>30</v>
      </c>
      <c r="O471" s="18" t="n">
        <v>163</v>
      </c>
      <c r="P471" s="19" t="n">
        <f aca="false">26.8</f>
        <v>26.8</v>
      </c>
      <c r="Q471" s="19" t="n">
        <f aca="false">176.15</f>
        <v>176.15</v>
      </c>
      <c r="R471" s="18" t="n">
        <v>24.07</v>
      </c>
      <c r="S471" s="18" t="n">
        <v>16.56</v>
      </c>
      <c r="T471" s="18" t="n">
        <v>510</v>
      </c>
      <c r="U471" s="20" t="s">
        <v>29</v>
      </c>
      <c r="V471" s="21"/>
      <c r="W471" s="16"/>
      <c r="X471" s="16"/>
      <c r="Y471" s="16"/>
    </row>
    <row r="472" customFormat="false" ht="14.15" hidden="false" customHeight="false" outlineLevel="0" collapsed="false">
      <c r="A472" s="9"/>
      <c r="B472" s="10"/>
      <c r="C472" s="10"/>
      <c r="D472" s="10"/>
      <c r="E472" s="10"/>
      <c r="F472" s="10"/>
      <c r="G472" s="10"/>
      <c r="H472" s="10"/>
      <c r="I472" s="22" t="n">
        <v>3</v>
      </c>
      <c r="J472" s="22"/>
      <c r="K472" s="23" t="n">
        <f aca="false">44.68</f>
        <v>44.68</v>
      </c>
      <c r="L472" s="23" t="n">
        <f aca="false">140.28</f>
        <v>140.28</v>
      </c>
      <c r="M472" s="22" t="n">
        <v>16</v>
      </c>
      <c r="N472" s="22" t="n">
        <v>34</v>
      </c>
      <c r="O472" s="22" t="n">
        <v>147.27</v>
      </c>
      <c r="P472" s="23" t="n">
        <f aca="false">27.31</f>
        <v>27.31</v>
      </c>
      <c r="Q472" s="23" t="n">
        <f aca="false">166.17</f>
        <v>166.17</v>
      </c>
      <c r="R472" s="22" t="n">
        <v>25.71</v>
      </c>
      <c r="S472" s="22" t="n">
        <v>27.16</v>
      </c>
      <c r="T472" s="22" t="n">
        <v>446</v>
      </c>
      <c r="U472" s="24" t="s">
        <v>29</v>
      </c>
      <c r="V472" s="15"/>
      <c r="W472" s="16"/>
      <c r="X472" s="16"/>
      <c r="Y472" s="16"/>
    </row>
    <row r="473" customFormat="false" ht="14.15" hidden="false" customHeight="false" outlineLevel="0" collapsed="false">
      <c r="A473" s="9"/>
      <c r="B473" s="10"/>
      <c r="C473" s="10"/>
      <c r="D473" s="10"/>
      <c r="E473" s="10"/>
      <c r="F473" s="10"/>
      <c r="G473" s="10"/>
      <c r="H473" s="10"/>
      <c r="I473" s="25" t="n">
        <v>4</v>
      </c>
      <c r="J473" s="25"/>
      <c r="K473" s="26" t="n">
        <f aca="false">43.47</f>
        <v>43.47</v>
      </c>
      <c r="L473" s="26" t="n">
        <f aca="false">176.25</f>
        <v>176.25</v>
      </c>
      <c r="M473" s="25" t="n">
        <v>14</v>
      </c>
      <c r="N473" s="25" t="n">
        <v>40</v>
      </c>
      <c r="O473" s="25" t="n">
        <v>181.72</v>
      </c>
      <c r="P473" s="26" t="n">
        <f aca="false">27.36</f>
        <v>27.36</v>
      </c>
      <c r="Q473" s="26" t="n">
        <f aca="false">184.51</f>
        <v>184.51</v>
      </c>
      <c r="R473" s="25" t="n">
        <v>25.98</v>
      </c>
      <c r="S473" s="25" t="n">
        <v>29.15</v>
      </c>
      <c r="T473" s="25" t="n">
        <v>532</v>
      </c>
      <c r="U473" s="27" t="s">
        <v>29</v>
      </c>
      <c r="V473" s="21"/>
      <c r="W473" s="16"/>
      <c r="X473" s="16"/>
      <c r="Y473" s="16"/>
    </row>
    <row r="474" customFormat="false" ht="15.75" hidden="false" customHeight="true" outlineLevel="0" collapsed="false">
      <c r="A474" s="9" t="s">
        <v>43</v>
      </c>
      <c r="B474" s="10" t="s">
        <v>44</v>
      </c>
      <c r="C474" s="11" t="s">
        <v>178</v>
      </c>
      <c r="D474" s="10" t="s">
        <v>28</v>
      </c>
      <c r="E474" s="10" t="s">
        <v>28</v>
      </c>
      <c r="F474" s="10"/>
      <c r="G474" s="10" t="n">
        <v>29</v>
      </c>
      <c r="H474" s="10" t="n">
        <v>7.2</v>
      </c>
      <c r="I474" s="12" t="n">
        <v>1</v>
      </c>
      <c r="J474" s="12" t="s">
        <v>49</v>
      </c>
      <c r="K474" s="13" t="n">
        <f aca="false">40.6</f>
        <v>40.6</v>
      </c>
      <c r="L474" s="13" t="n">
        <f aca="false">130.78</f>
        <v>130.78</v>
      </c>
      <c r="M474" s="12" t="n">
        <v>14</v>
      </c>
      <c r="N474" s="12" t="n">
        <v>28</v>
      </c>
      <c r="O474" s="12" t="n">
        <v>106.4</v>
      </c>
      <c r="P474" s="13" t="n">
        <f aca="false">28.44</f>
        <v>28.44</v>
      </c>
      <c r="Q474" s="13" t="n">
        <f aca="false">147.68</f>
        <v>147.68</v>
      </c>
      <c r="R474" s="12" t="n">
        <v>18</v>
      </c>
      <c r="S474" s="12" t="n">
        <v>21.1</v>
      </c>
      <c r="T474" s="12" t="n">
        <v>410</v>
      </c>
      <c r="U474" s="14" t="s">
        <v>97</v>
      </c>
      <c r="V474" s="15"/>
      <c r="W474" s="16" t="str">
        <f aca="false">A474</f>
        <v>JB</v>
      </c>
      <c r="X474" s="17" t="e">
        <f aca="false">ifs(C474="","",X474="",NOW(),TRUE(),X474)</f>
        <v>#VALUE!</v>
      </c>
      <c r="Y474" s="17" t="e">
        <f aca="false">ifs(COUNTA(K474:U477)&lt;44,"",Y474="",NOW(),TRUE(),Y474)</f>
        <v>#VALUE!</v>
      </c>
    </row>
    <row r="475" customFormat="false" ht="14.15" hidden="false" customHeight="false" outlineLevel="0" collapsed="false">
      <c r="A475" s="9"/>
      <c r="B475" s="10"/>
      <c r="C475" s="10"/>
      <c r="D475" s="10"/>
      <c r="E475" s="10"/>
      <c r="F475" s="10"/>
      <c r="G475" s="10"/>
      <c r="H475" s="10"/>
      <c r="I475" s="18" t="n">
        <v>2</v>
      </c>
      <c r="J475" s="18" t="s">
        <v>49</v>
      </c>
      <c r="K475" s="19" t="n">
        <f aca="false">36.89</f>
        <v>36.89</v>
      </c>
      <c r="L475" s="19" t="n">
        <f aca="false">153.7</f>
        <v>153.7</v>
      </c>
      <c r="M475" s="18" t="n">
        <v>12</v>
      </c>
      <c r="N475" s="18" t="n">
        <v>36</v>
      </c>
      <c r="O475" s="18" t="n">
        <v>121.5</v>
      </c>
      <c r="P475" s="19" t="n">
        <f aca="false">25.5</f>
        <v>25.5</v>
      </c>
      <c r="Q475" s="19" t="n">
        <f aca="false">173.9</f>
        <v>173.9</v>
      </c>
      <c r="R475" s="18" t="n">
        <v>20.7</v>
      </c>
      <c r="S475" s="18" t="n">
        <v>21.4</v>
      </c>
      <c r="T475" s="18" t="n">
        <v>472</v>
      </c>
      <c r="U475" s="20" t="s">
        <v>97</v>
      </c>
      <c r="V475" s="21"/>
      <c r="W475" s="16"/>
      <c r="X475" s="16"/>
      <c r="Y475" s="16"/>
    </row>
    <row r="476" customFormat="false" ht="14.15" hidden="false" customHeight="false" outlineLevel="0" collapsed="false">
      <c r="A476" s="9"/>
      <c r="B476" s="10"/>
      <c r="C476" s="10"/>
      <c r="D476" s="10"/>
      <c r="E476" s="10"/>
      <c r="F476" s="10"/>
      <c r="G476" s="10"/>
      <c r="H476" s="10"/>
      <c r="I476" s="22" t="n">
        <v>3</v>
      </c>
      <c r="J476" s="22" t="s">
        <v>46</v>
      </c>
      <c r="K476" s="23" t="n">
        <f aca="false">38.77</f>
        <v>38.77</v>
      </c>
      <c r="L476" s="23" t="n">
        <f aca="false">99.75</f>
        <v>99.75</v>
      </c>
      <c r="M476" s="22" t="n">
        <v>12</v>
      </c>
      <c r="N476" s="22" t="n">
        <v>22</v>
      </c>
      <c r="O476" s="22" t="n">
        <v>72.2</v>
      </c>
      <c r="P476" s="23" t="n">
        <f aca="false">25.56</f>
        <v>25.56</v>
      </c>
      <c r="Q476" s="23" t="n">
        <f aca="false">138.47</f>
        <v>138.47</v>
      </c>
      <c r="R476" s="22" t="n">
        <v>13.7</v>
      </c>
      <c r="S476" s="22" t="n">
        <v>22.5</v>
      </c>
      <c r="T476" s="22" t="n">
        <v>256</v>
      </c>
      <c r="U476" s="24" t="s">
        <v>97</v>
      </c>
      <c r="V476" s="15"/>
      <c r="W476" s="16"/>
      <c r="X476" s="16"/>
      <c r="Y476" s="16"/>
    </row>
    <row r="477" customFormat="false" ht="14.15" hidden="false" customHeight="false" outlineLevel="0" collapsed="false">
      <c r="A477" s="9"/>
      <c r="B477" s="10"/>
      <c r="C477" s="10"/>
      <c r="D477" s="10"/>
      <c r="E477" s="10"/>
      <c r="F477" s="10"/>
      <c r="G477" s="10"/>
      <c r="H477" s="10"/>
      <c r="I477" s="25" t="n">
        <v>4</v>
      </c>
      <c r="J477" s="25" t="s">
        <v>49</v>
      </c>
      <c r="K477" s="26" t="n">
        <f aca="false">40.81</f>
        <v>40.81</v>
      </c>
      <c r="L477" s="26" t="n">
        <f aca="false">115.11</f>
        <v>115.11</v>
      </c>
      <c r="M477" s="25" t="n">
        <v>14</v>
      </c>
      <c r="N477" s="25" t="n">
        <v>28</v>
      </c>
      <c r="O477" s="25" t="n">
        <v>97.1</v>
      </c>
      <c r="P477" s="26" t="n">
        <f aca="false">26.55</f>
        <v>26.55</v>
      </c>
      <c r="Q477" s="26" t="n">
        <f aca="false">128.2</f>
        <v>128.2</v>
      </c>
      <c r="R477" s="25" t="n">
        <v>14.3</v>
      </c>
      <c r="S477" s="25" t="n">
        <v>20.9</v>
      </c>
      <c r="T477" s="25" t="n">
        <v>372</v>
      </c>
      <c r="U477" s="27" t="s">
        <v>97</v>
      </c>
      <c r="V477" s="21"/>
      <c r="W477" s="16"/>
      <c r="X477" s="16"/>
      <c r="Y477" s="16"/>
    </row>
    <row r="478" customFormat="false" ht="15.75" hidden="false" customHeight="true" outlineLevel="0" collapsed="false">
      <c r="A478" s="9" t="s">
        <v>43</v>
      </c>
      <c r="B478" s="10" t="s">
        <v>44</v>
      </c>
      <c r="C478" s="11" t="s">
        <v>179</v>
      </c>
      <c r="D478" s="10" t="s">
        <v>28</v>
      </c>
      <c r="E478" s="10" t="s">
        <v>28</v>
      </c>
      <c r="F478" s="10"/>
      <c r="G478" s="10" t="n">
        <v>8</v>
      </c>
      <c r="H478" s="10" t="n">
        <v>1.8</v>
      </c>
      <c r="I478" s="12" t="n">
        <v>1</v>
      </c>
      <c r="J478" s="12" t="s">
        <v>46</v>
      </c>
      <c r="K478" s="13" t="n">
        <f aca="false">41.23</f>
        <v>41.23</v>
      </c>
      <c r="L478" s="13" t="n">
        <f aca="false">107.46</f>
        <v>107.46</v>
      </c>
      <c r="M478" s="12" t="n">
        <v>14</v>
      </c>
      <c r="N478" s="12" t="n">
        <v>32</v>
      </c>
      <c r="O478" s="12" t="n">
        <v>110.9</v>
      </c>
      <c r="P478" s="13" t="n">
        <f aca="false">25.45</f>
        <v>25.45</v>
      </c>
      <c r="Q478" s="13" t="n">
        <f aca="false">139.48</f>
        <v>139.48</v>
      </c>
      <c r="R478" s="12" t="n">
        <v>16.7</v>
      </c>
      <c r="S478" s="12" t="n">
        <v>20.3</v>
      </c>
      <c r="T478" s="12" t="n">
        <v>438</v>
      </c>
      <c r="U478" s="14" t="s">
        <v>58</v>
      </c>
      <c r="V478" s="15"/>
      <c r="W478" s="16" t="str">
        <f aca="false">A478</f>
        <v>JB</v>
      </c>
      <c r="X478" s="17" t="e">
        <f aca="false">ifs(C478="","",X478="",NOW(),TRUE(),X478)</f>
        <v>#VALUE!</v>
      </c>
      <c r="Y478" s="17" t="e">
        <f aca="false">ifs(COUNTA(K478:U481)&lt;44,"",Y478="",NOW(),TRUE(),Y478)</f>
        <v>#VALUE!</v>
      </c>
    </row>
    <row r="479" customFormat="false" ht="14.15" hidden="false" customHeight="false" outlineLevel="0" collapsed="false">
      <c r="A479" s="9"/>
      <c r="B479" s="10"/>
      <c r="C479" s="10"/>
      <c r="D479" s="10"/>
      <c r="E479" s="10"/>
      <c r="F479" s="10"/>
      <c r="G479" s="10"/>
      <c r="H479" s="10"/>
      <c r="I479" s="18" t="n">
        <v>2</v>
      </c>
      <c r="J479" s="18" t="s">
        <v>49</v>
      </c>
      <c r="K479" s="19" t="n">
        <f aca="false">41.43</f>
        <v>41.43</v>
      </c>
      <c r="L479" s="19" t="n">
        <f aca="false">74.49</f>
        <v>74.49</v>
      </c>
      <c r="M479" s="18" t="n">
        <v>16</v>
      </c>
      <c r="N479" s="18" t="n">
        <v>16</v>
      </c>
      <c r="O479" s="18" t="n">
        <v>74.9</v>
      </c>
      <c r="P479" s="19" t="n">
        <f aca="false">27.32</f>
        <v>27.32</v>
      </c>
      <c r="Q479" s="19" t="n">
        <f aca="false">105.32</f>
        <v>105.32</v>
      </c>
      <c r="R479" s="18" t="n">
        <v>12.7</v>
      </c>
      <c r="S479" s="18" t="n">
        <v>21.9</v>
      </c>
      <c r="T479" s="18" t="n">
        <v>295</v>
      </c>
      <c r="U479" s="20" t="s">
        <v>29</v>
      </c>
      <c r="V479" s="21"/>
      <c r="W479" s="16"/>
      <c r="X479" s="16"/>
      <c r="Y479" s="16"/>
    </row>
    <row r="480" customFormat="false" ht="14.15" hidden="false" customHeight="false" outlineLevel="0" collapsed="false">
      <c r="A480" s="9"/>
      <c r="B480" s="10"/>
      <c r="C480" s="10"/>
      <c r="D480" s="10"/>
      <c r="E480" s="10"/>
      <c r="F480" s="10"/>
      <c r="G480" s="10"/>
      <c r="H480" s="10"/>
      <c r="I480" s="22" t="n">
        <v>3</v>
      </c>
      <c r="J480" s="22" t="s">
        <v>46</v>
      </c>
      <c r="K480" s="23" t="n">
        <f aca="false">40.28</f>
        <v>40.28</v>
      </c>
      <c r="L480" s="23" t="n">
        <f aca="false">93.14</f>
        <v>93.14</v>
      </c>
      <c r="M480" s="22" t="n">
        <v>14</v>
      </c>
      <c r="N480" s="22" t="n">
        <v>26</v>
      </c>
      <c r="O480" s="22" t="n">
        <v>81.3</v>
      </c>
      <c r="P480" s="23" t="n">
        <f aca="false">25.53</f>
        <v>25.53</v>
      </c>
      <c r="Q480" s="23" t="n">
        <f aca="false">125.63</f>
        <v>125.63</v>
      </c>
      <c r="R480" s="22" t="n">
        <v>14.2</v>
      </c>
      <c r="S480" s="22" t="n">
        <v>19.7</v>
      </c>
      <c r="T480" s="22" t="n">
        <v>335</v>
      </c>
      <c r="U480" s="24" t="s">
        <v>29</v>
      </c>
      <c r="V480" s="15"/>
      <c r="W480" s="16"/>
      <c r="X480" s="16"/>
      <c r="Y480" s="16"/>
    </row>
    <row r="481" customFormat="false" ht="14.15" hidden="false" customHeight="false" outlineLevel="0" collapsed="false">
      <c r="A481" s="9"/>
      <c r="B481" s="10"/>
      <c r="C481" s="10"/>
      <c r="D481" s="10"/>
      <c r="E481" s="10"/>
      <c r="F481" s="10"/>
      <c r="G481" s="10"/>
      <c r="H481" s="10"/>
      <c r="I481" s="25" t="n">
        <v>4</v>
      </c>
      <c r="J481" s="25" t="s">
        <v>46</v>
      </c>
      <c r="K481" s="26" t="n">
        <f aca="false">42.6</f>
        <v>42.6</v>
      </c>
      <c r="L481" s="26" t="n">
        <f aca="false">110.06</f>
        <v>110.06</v>
      </c>
      <c r="M481" s="25" t="n">
        <v>16</v>
      </c>
      <c r="N481" s="25" t="n">
        <v>30</v>
      </c>
      <c r="O481" s="25" t="n">
        <v>110.9</v>
      </c>
      <c r="P481" s="26" t="n">
        <f aca="false">26.86</f>
        <v>26.86</v>
      </c>
      <c r="Q481" s="26" t="n">
        <f aca="false">137.28</f>
        <v>137.28</v>
      </c>
      <c r="R481" s="25" t="n">
        <v>17.6</v>
      </c>
      <c r="S481" s="25" t="n">
        <v>20</v>
      </c>
      <c r="T481" s="25" t="n">
        <v>454</v>
      </c>
      <c r="U481" s="27" t="s">
        <v>29</v>
      </c>
      <c r="V481" s="21"/>
      <c r="W481" s="16"/>
      <c r="X481" s="16"/>
      <c r="Y481" s="16"/>
    </row>
    <row r="482" customFormat="false" ht="15.75" hidden="false" customHeight="true" outlineLevel="0" collapsed="false">
      <c r="A482" s="9" t="s">
        <v>180</v>
      </c>
      <c r="B482" s="10" t="s">
        <v>26</v>
      </c>
      <c r="C482" s="11" t="s">
        <v>181</v>
      </c>
      <c r="D482" s="10" t="s">
        <v>28</v>
      </c>
      <c r="E482" s="10" t="s">
        <v>28</v>
      </c>
      <c r="F482" s="10"/>
      <c r="G482" s="10" t="n">
        <v>12</v>
      </c>
      <c r="H482" s="10" t="n">
        <v>2.3</v>
      </c>
      <c r="I482" s="12" t="n">
        <v>1</v>
      </c>
      <c r="J482" s="12"/>
      <c r="K482" s="13" t="n">
        <f aca="false">41.96</f>
        <v>41.96</v>
      </c>
      <c r="L482" s="13" t="n">
        <f aca="false">140.78</f>
        <v>140.78</v>
      </c>
      <c r="M482" s="12" t="n">
        <v>14</v>
      </c>
      <c r="N482" s="12" t="n">
        <v>32</v>
      </c>
      <c r="O482" s="12" t="n">
        <v>125.55</v>
      </c>
      <c r="P482" s="13" t="n">
        <f aca="false">27.39</f>
        <v>27.39</v>
      </c>
      <c r="Q482" s="13" t="n">
        <f aca="false">162</f>
        <v>162</v>
      </c>
      <c r="R482" s="12" t="n">
        <v>20</v>
      </c>
      <c r="S482" s="12" t="n">
        <v>23.55</v>
      </c>
      <c r="T482" s="12" t="n">
        <v>454</v>
      </c>
      <c r="U482" s="14" t="s">
        <v>32</v>
      </c>
      <c r="V482" s="15"/>
      <c r="W482" s="16" t="str">
        <f aca="false">A482</f>
        <v>SH</v>
      </c>
      <c r="X482" s="17" t="e">
        <f aca="false">ifs(C482="","",X482="",NOW(),TRUE(),X482)</f>
        <v>#VALUE!</v>
      </c>
      <c r="Y482" s="17" t="e">
        <f aca="false">ifs(COUNTA(K482:U485)&lt;44,"",Y482="",NOW(),TRUE(),Y482)</f>
        <v>#VALUE!</v>
      </c>
    </row>
    <row r="483" customFormat="false" ht="14.15" hidden="false" customHeight="false" outlineLevel="0" collapsed="false">
      <c r="A483" s="9"/>
      <c r="B483" s="10"/>
      <c r="C483" s="10"/>
      <c r="D483" s="10"/>
      <c r="E483" s="10"/>
      <c r="F483" s="10"/>
      <c r="G483" s="10"/>
      <c r="H483" s="10"/>
      <c r="I483" s="18" t="n">
        <v>2</v>
      </c>
      <c r="J483" s="18"/>
      <c r="K483" s="19" t="n">
        <f aca="false">40.78</f>
        <v>40.78</v>
      </c>
      <c r="L483" s="19" t="n">
        <f aca="false">136.87</f>
        <v>136.87</v>
      </c>
      <c r="M483" s="18" t="n">
        <v>14</v>
      </c>
      <c r="N483" s="18" t="n">
        <v>31</v>
      </c>
      <c r="O483" s="18" t="n">
        <v>105.45</v>
      </c>
      <c r="P483" s="19" t="n">
        <f aca="false">27.17</f>
        <v>27.17</v>
      </c>
      <c r="Q483" s="19" t="n">
        <f aca="false">149.53</f>
        <v>149.53</v>
      </c>
      <c r="R483" s="18" t="n">
        <v>14.45</v>
      </c>
      <c r="S483" s="18" t="n">
        <v>22.9</v>
      </c>
      <c r="T483" s="18" t="n">
        <v>415</v>
      </c>
      <c r="U483" s="20" t="s">
        <v>32</v>
      </c>
      <c r="V483" s="21"/>
      <c r="W483" s="16"/>
      <c r="X483" s="16"/>
      <c r="Y483" s="16"/>
    </row>
    <row r="484" customFormat="false" ht="14.15" hidden="false" customHeight="false" outlineLevel="0" collapsed="false">
      <c r="A484" s="9"/>
      <c r="B484" s="10"/>
      <c r="C484" s="10"/>
      <c r="D484" s="10"/>
      <c r="E484" s="10"/>
      <c r="F484" s="10"/>
      <c r="G484" s="10"/>
      <c r="H484" s="10"/>
      <c r="I484" s="22" t="n">
        <v>3</v>
      </c>
      <c r="J484" s="22"/>
      <c r="K484" s="23" t="n">
        <v>38.09</v>
      </c>
      <c r="L484" s="23" t="n">
        <f aca="false">139.67</f>
        <v>139.67</v>
      </c>
      <c r="M484" s="22" t="n">
        <v>12</v>
      </c>
      <c r="N484" s="22" t="n">
        <v>32</v>
      </c>
      <c r="O484" s="22" t="n">
        <v>98.25</v>
      </c>
      <c r="P484" s="23" t="n">
        <f aca="false">25.63</f>
        <v>25.63</v>
      </c>
      <c r="Q484" s="23" t="n">
        <f aca="false">148.47</f>
        <v>148.47</v>
      </c>
      <c r="R484" s="22" t="n">
        <v>13.05</v>
      </c>
      <c r="S484" s="22" t="n">
        <v>23.2</v>
      </c>
      <c r="T484" s="22" t="n">
        <v>380</v>
      </c>
      <c r="U484" s="24" t="s">
        <v>32</v>
      </c>
      <c r="V484" s="15"/>
      <c r="W484" s="16"/>
      <c r="X484" s="16"/>
      <c r="Y484" s="16"/>
    </row>
    <row r="485" customFormat="false" ht="14.15" hidden="false" customHeight="false" outlineLevel="0" collapsed="false">
      <c r="A485" s="9"/>
      <c r="B485" s="10"/>
      <c r="C485" s="10"/>
      <c r="D485" s="10"/>
      <c r="E485" s="10"/>
      <c r="F485" s="10"/>
      <c r="G485" s="10"/>
      <c r="H485" s="10"/>
      <c r="I485" s="25" t="n">
        <v>4</v>
      </c>
      <c r="J485" s="25"/>
      <c r="K485" s="26" t="n">
        <f aca="false">38.45</f>
        <v>38.45</v>
      </c>
      <c r="L485" s="26" t="n">
        <f aca="false">134.07</f>
        <v>134.07</v>
      </c>
      <c r="M485" s="25" t="n">
        <v>10</v>
      </c>
      <c r="N485" s="25" t="n">
        <v>35</v>
      </c>
      <c r="O485" s="25" t="n">
        <v>89.85</v>
      </c>
      <c r="P485" s="26" t="n">
        <f aca="false">24.75</f>
        <v>24.75</v>
      </c>
      <c r="Q485" s="26" t="n">
        <f aca="false">144.92</f>
        <v>144.92</v>
      </c>
      <c r="R485" s="25" t="n">
        <v>12.95</v>
      </c>
      <c r="S485" s="25" t="n">
        <v>22.45</v>
      </c>
      <c r="T485" s="25" t="n">
        <v>348</v>
      </c>
      <c r="U485" s="27" t="s">
        <v>32</v>
      </c>
      <c r="V485" s="21"/>
      <c r="W485" s="16"/>
      <c r="X485" s="16"/>
      <c r="Y485" s="16"/>
    </row>
    <row r="486" customFormat="false" ht="15.75" hidden="false" customHeight="true" outlineLevel="0" collapsed="false">
      <c r="A486" s="9" t="s">
        <v>180</v>
      </c>
      <c r="B486" s="10" t="s">
        <v>26</v>
      </c>
      <c r="C486" s="11" t="s">
        <v>182</v>
      </c>
      <c r="D486" s="10" t="s">
        <v>28</v>
      </c>
      <c r="E486" s="10" t="s">
        <v>28</v>
      </c>
      <c r="F486" s="10"/>
      <c r="G486" s="10" t="n">
        <v>24</v>
      </c>
      <c r="H486" s="10" t="n">
        <v>3.95</v>
      </c>
      <c r="I486" s="12" t="n">
        <v>1</v>
      </c>
      <c r="J486" s="12"/>
      <c r="K486" s="13" t="n">
        <f aca="false">46.03</f>
        <v>46.03</v>
      </c>
      <c r="L486" s="13" t="n">
        <f aca="false">196.15</f>
        <v>196.15</v>
      </c>
      <c r="M486" s="12" t="n">
        <v>14</v>
      </c>
      <c r="N486" s="12" t="n">
        <v>51</v>
      </c>
      <c r="O486" s="12" t="n">
        <v>219.3</v>
      </c>
      <c r="P486" s="13" t="n">
        <f aca="false">27.71</f>
        <v>27.71</v>
      </c>
      <c r="Q486" s="13" t="n">
        <f aca="false">223.49</f>
        <v>223.49</v>
      </c>
      <c r="R486" s="12" t="n">
        <v>31.9</v>
      </c>
      <c r="S486" s="12" t="n">
        <v>27.2</v>
      </c>
      <c r="T486" s="12" t="n">
        <v>690</v>
      </c>
      <c r="U486" s="14" t="s">
        <v>29</v>
      </c>
      <c r="V486" s="15"/>
      <c r="W486" s="16" t="str">
        <f aca="false">A486</f>
        <v>SH</v>
      </c>
      <c r="X486" s="17" t="e">
        <f aca="false">ifs(C486="","",X486="",NOW(),TRUE(),X486)</f>
        <v>#VALUE!</v>
      </c>
      <c r="Y486" s="17" t="e">
        <f aca="false">ifs(COUNTA(K486:U489)&lt;44,"",Y486="",NOW(),TRUE(),Y486)</f>
        <v>#VALUE!</v>
      </c>
    </row>
    <row r="487" customFormat="false" ht="14.15" hidden="false" customHeight="false" outlineLevel="0" collapsed="false">
      <c r="A487" s="9"/>
      <c r="B487" s="10"/>
      <c r="C487" s="10"/>
      <c r="D487" s="10"/>
      <c r="E487" s="10"/>
      <c r="F487" s="10"/>
      <c r="G487" s="10"/>
      <c r="H487" s="10"/>
      <c r="I487" s="18" t="n">
        <v>2</v>
      </c>
      <c r="J487" s="18"/>
      <c r="K487" s="19" t="n">
        <f aca="false">45.43</f>
        <v>45.43</v>
      </c>
      <c r="L487" s="19" t="n">
        <f aca="false">201.46</f>
        <v>201.46</v>
      </c>
      <c r="M487" s="18" t="n">
        <v>14</v>
      </c>
      <c r="N487" s="18" t="n">
        <v>51</v>
      </c>
      <c r="O487" s="18" t="n">
        <v>212.7</v>
      </c>
      <c r="P487" s="19" t="n">
        <f aca="false">26.98</f>
        <v>26.98</v>
      </c>
      <c r="Q487" s="19" t="n">
        <f aca="false">220.24</f>
        <v>220.24</v>
      </c>
      <c r="R487" s="18" t="n">
        <v>31.75</v>
      </c>
      <c r="S487" s="18" t="n">
        <v>26.25</v>
      </c>
      <c r="T487" s="18" t="n">
        <v>705</v>
      </c>
      <c r="U487" s="20" t="s">
        <v>29</v>
      </c>
      <c r="V487" s="21"/>
      <c r="W487" s="16"/>
      <c r="X487" s="16"/>
      <c r="Y487" s="16"/>
    </row>
    <row r="488" customFormat="false" ht="14.15" hidden="false" customHeight="false" outlineLevel="0" collapsed="false">
      <c r="A488" s="9"/>
      <c r="B488" s="10"/>
      <c r="C488" s="10"/>
      <c r="D488" s="10"/>
      <c r="E488" s="10"/>
      <c r="F488" s="10"/>
      <c r="G488" s="10"/>
      <c r="H488" s="10"/>
      <c r="I488" s="22" t="n">
        <v>3</v>
      </c>
      <c r="J488" s="22" t="s">
        <v>47</v>
      </c>
      <c r="K488" s="23" t="n">
        <f aca="false">39.68</f>
        <v>39.68</v>
      </c>
      <c r="L488" s="23" t="n">
        <f aca="false">153.19</f>
        <v>153.19</v>
      </c>
      <c r="M488" s="22" t="n">
        <v>12</v>
      </c>
      <c r="N488" s="22" t="n">
        <v>32</v>
      </c>
      <c r="O488" s="22" t="n">
        <v>116.3</v>
      </c>
      <c r="P488" s="23" t="n">
        <f aca="false">24.5</f>
        <v>24.5</v>
      </c>
      <c r="Q488" s="23" t="n">
        <f aca="false">184.86</f>
        <v>184.86</v>
      </c>
      <c r="R488" s="22" t="n">
        <v>21.75</v>
      </c>
      <c r="S488" s="22" t="n">
        <v>23.75</v>
      </c>
      <c r="T488" s="22" t="n">
        <v>416</v>
      </c>
      <c r="U488" s="24" t="s">
        <v>29</v>
      </c>
      <c r="V488" s="15"/>
      <c r="W488" s="16"/>
      <c r="X488" s="16"/>
      <c r="Y488" s="16"/>
    </row>
    <row r="489" customFormat="false" ht="14.15" hidden="false" customHeight="false" outlineLevel="0" collapsed="false">
      <c r="A489" s="9"/>
      <c r="B489" s="10"/>
      <c r="C489" s="10"/>
      <c r="D489" s="10"/>
      <c r="E489" s="10"/>
      <c r="F489" s="10"/>
      <c r="G489" s="10"/>
      <c r="H489" s="10"/>
      <c r="I489" s="25" t="n">
        <v>4</v>
      </c>
      <c r="J489" s="25"/>
      <c r="K489" s="26" t="n">
        <f aca="false">42.42</f>
        <v>42.42</v>
      </c>
      <c r="L489" s="26" t="n">
        <f aca="false">162.09</f>
        <v>162.09</v>
      </c>
      <c r="M489" s="25" t="n">
        <v>16</v>
      </c>
      <c r="N489" s="25" t="n">
        <v>38</v>
      </c>
      <c r="O489" s="25" t="n">
        <v>148.3</v>
      </c>
      <c r="P489" s="26" t="n">
        <f aca="false">28.22</f>
        <v>28.22</v>
      </c>
      <c r="Q489" s="26" t="n">
        <f aca="false">178.17</f>
        <v>178.17</v>
      </c>
      <c r="R489" s="25" t="n">
        <v>23.9</v>
      </c>
      <c r="S489" s="25" t="n">
        <v>22.4</v>
      </c>
      <c r="T489" s="25" t="n">
        <v>581</v>
      </c>
      <c r="U489" s="27" t="s">
        <v>29</v>
      </c>
      <c r="V489" s="21"/>
      <c r="W489" s="16"/>
      <c r="X489" s="16"/>
      <c r="Y489" s="16"/>
    </row>
    <row r="490" customFormat="false" ht="15.75" hidden="false" customHeight="true" outlineLevel="0" collapsed="false">
      <c r="A490" s="9" t="s">
        <v>180</v>
      </c>
      <c r="B490" s="10" t="s">
        <v>26</v>
      </c>
      <c r="C490" s="11" t="s">
        <v>183</v>
      </c>
      <c r="D490" s="10" t="s">
        <v>28</v>
      </c>
      <c r="E490" s="10" t="s">
        <v>28</v>
      </c>
      <c r="F490" s="10"/>
      <c r="G490" s="10" t="n">
        <v>8</v>
      </c>
      <c r="H490" s="10" t="n">
        <v>2.4</v>
      </c>
      <c r="I490" s="12" t="n">
        <v>1</v>
      </c>
      <c r="J490" s="12" t="s">
        <v>33</v>
      </c>
      <c r="K490" s="13" t="n">
        <f aca="false">40.34</f>
        <v>40.34</v>
      </c>
      <c r="L490" s="13" t="n">
        <f aca="false">94.77</f>
        <v>94.77</v>
      </c>
      <c r="M490" s="12" t="n">
        <v>16</v>
      </c>
      <c r="N490" s="12" t="n">
        <v>23</v>
      </c>
      <c r="O490" s="12" t="n">
        <v>84.55</v>
      </c>
      <c r="P490" s="13" t="n">
        <f aca="false">24.4</f>
        <v>24.4</v>
      </c>
      <c r="Q490" s="13" t="n">
        <f aca="false">124.93</f>
        <v>124.93</v>
      </c>
      <c r="R490" s="12" t="n">
        <v>10.95</v>
      </c>
      <c r="S490" s="12" t="n">
        <v>22.6</v>
      </c>
      <c r="T490" s="12" t="n">
        <v>328</v>
      </c>
      <c r="U490" s="14" t="s">
        <v>29</v>
      </c>
      <c r="V490" s="15"/>
      <c r="W490" s="16" t="str">
        <f aca="false">A490</f>
        <v>SH</v>
      </c>
      <c r="X490" s="17" t="e">
        <f aca="false">ifs(C490="","",X490="",NOW(),TRUE(),X490)</f>
        <v>#VALUE!</v>
      </c>
      <c r="Y490" s="17" t="e">
        <f aca="false">ifs(COUNTA(K490:U493)&lt;44,"",Y490="",NOW(),TRUE(),Y490)</f>
        <v>#VALUE!</v>
      </c>
    </row>
    <row r="491" customFormat="false" ht="14.15" hidden="false" customHeight="false" outlineLevel="0" collapsed="false">
      <c r="A491" s="9"/>
      <c r="B491" s="10"/>
      <c r="C491" s="10"/>
      <c r="D491" s="10"/>
      <c r="E491" s="10"/>
      <c r="F491" s="10"/>
      <c r="G491" s="10"/>
      <c r="H491" s="10"/>
      <c r="I491" s="18" t="n">
        <v>2</v>
      </c>
      <c r="J491" s="18" t="s">
        <v>33</v>
      </c>
      <c r="K491" s="19" t="n">
        <f aca="false">38.82</f>
        <v>38.82</v>
      </c>
      <c r="L491" s="19" t="n">
        <f aca="false">80.26</f>
        <v>80.26</v>
      </c>
      <c r="M491" s="18" t="n">
        <v>12</v>
      </c>
      <c r="N491" s="18" t="n">
        <v>16</v>
      </c>
      <c r="O491" s="18" t="n">
        <v>58.55</v>
      </c>
      <c r="P491" s="19" t="n">
        <f aca="false">22.61</f>
        <v>22.61</v>
      </c>
      <c r="Q491" s="19" t="n">
        <f aca="false">91.45</f>
        <v>91.45</v>
      </c>
      <c r="R491" s="18" t="n">
        <v>7.05</v>
      </c>
      <c r="S491" s="18" t="n">
        <v>27.6</v>
      </c>
      <c r="T491" s="18" t="n">
        <v>192</v>
      </c>
      <c r="U491" s="20" t="s">
        <v>29</v>
      </c>
      <c r="V491" s="21"/>
      <c r="W491" s="16"/>
      <c r="X491" s="16"/>
      <c r="Y491" s="16"/>
    </row>
    <row r="492" customFormat="false" ht="14.15" hidden="false" customHeight="false" outlineLevel="0" collapsed="false">
      <c r="A492" s="9"/>
      <c r="B492" s="10"/>
      <c r="C492" s="10"/>
      <c r="D492" s="10"/>
      <c r="E492" s="10"/>
      <c r="F492" s="10"/>
      <c r="G492" s="10"/>
      <c r="H492" s="10"/>
      <c r="I492" s="22" t="n">
        <v>3</v>
      </c>
      <c r="J492" s="22" t="s">
        <v>33</v>
      </c>
      <c r="K492" s="23" t="n">
        <f aca="false">37.59</f>
        <v>37.59</v>
      </c>
      <c r="L492" s="23" t="n">
        <f aca="false">69.09</f>
        <v>69.09</v>
      </c>
      <c r="M492" s="22" t="n">
        <v>14</v>
      </c>
      <c r="N492" s="22" t="n">
        <v>20</v>
      </c>
      <c r="O492" s="22" t="n">
        <v>72.15</v>
      </c>
      <c r="P492" s="23" t="n">
        <f aca="false">20.64</f>
        <v>20.64</v>
      </c>
      <c r="Q492" s="23" t="n">
        <f aca="false">96.66</f>
        <v>96.66</v>
      </c>
      <c r="R492" s="22" t="n">
        <v>9.45</v>
      </c>
      <c r="S492" s="22" t="n">
        <v>27.9</v>
      </c>
      <c r="T492" s="22" t="n">
        <v>238</v>
      </c>
      <c r="U492" s="24" t="s">
        <v>29</v>
      </c>
      <c r="V492" s="15"/>
      <c r="W492" s="16"/>
      <c r="X492" s="16"/>
      <c r="Y492" s="16"/>
    </row>
    <row r="493" customFormat="false" ht="14.15" hidden="false" customHeight="false" outlineLevel="0" collapsed="false">
      <c r="A493" s="9"/>
      <c r="B493" s="10"/>
      <c r="C493" s="10"/>
      <c r="D493" s="10"/>
      <c r="E493" s="10"/>
      <c r="F493" s="10"/>
      <c r="G493" s="10"/>
      <c r="H493" s="10"/>
      <c r="I493" s="25" t="n">
        <v>4</v>
      </c>
      <c r="J493" s="25" t="s">
        <v>33</v>
      </c>
      <c r="K493" s="26" t="n">
        <f aca="false">41.08</f>
        <v>41.08</v>
      </c>
      <c r="L493" s="26" t="n">
        <f aca="false">75.18</f>
        <v>75.18</v>
      </c>
      <c r="M493" s="25" t="n">
        <v>14</v>
      </c>
      <c r="N493" s="25" t="n">
        <v>17</v>
      </c>
      <c r="O493" s="25" t="n">
        <v>67.65</v>
      </c>
      <c r="P493" s="26" t="n">
        <f aca="false">23.27</f>
        <v>23.27</v>
      </c>
      <c r="Q493" s="26" t="n">
        <f aca="false">91.73</f>
        <v>91.73</v>
      </c>
      <c r="R493" s="25" t="n">
        <v>8.55</v>
      </c>
      <c r="S493" s="25" t="n">
        <v>27.45</v>
      </c>
      <c r="T493" s="25" t="n">
        <v>223</v>
      </c>
      <c r="U493" s="27" t="s">
        <v>29</v>
      </c>
      <c r="V493" s="21"/>
      <c r="W493" s="16"/>
      <c r="X493" s="16"/>
      <c r="Y493" s="16"/>
    </row>
    <row r="494" customFormat="false" ht="15.75" hidden="false" customHeight="true" outlineLevel="0" collapsed="false">
      <c r="A494" s="9" t="s">
        <v>180</v>
      </c>
      <c r="B494" s="10" t="s">
        <v>26</v>
      </c>
      <c r="C494" s="11" t="s">
        <v>184</v>
      </c>
      <c r="D494" s="10" t="s">
        <v>28</v>
      </c>
      <c r="E494" s="10" t="s">
        <v>28</v>
      </c>
      <c r="F494" s="10"/>
      <c r="G494" s="10" t="n">
        <v>13</v>
      </c>
      <c r="H494" s="10" t="n">
        <v>3</v>
      </c>
      <c r="I494" s="12" t="n">
        <v>1</v>
      </c>
      <c r="J494" s="12"/>
      <c r="K494" s="13" t="n">
        <f aca="false">40.19</f>
        <v>40.19</v>
      </c>
      <c r="L494" s="13" t="n">
        <f aca="false">176.3</f>
        <v>176.3</v>
      </c>
      <c r="M494" s="12" t="n">
        <v>14</v>
      </c>
      <c r="N494" s="12" t="n">
        <v>45</v>
      </c>
      <c r="O494" s="12" t="n">
        <v>183.65</v>
      </c>
      <c r="P494" s="13" t="n">
        <f aca="false">23.07</f>
        <v>23.07</v>
      </c>
      <c r="Q494" s="13" t="n">
        <f aca="false">186.02</f>
        <v>186.02</v>
      </c>
      <c r="R494" s="12" t="n">
        <v>22</v>
      </c>
      <c r="S494" s="12" t="n">
        <v>28.1</v>
      </c>
      <c r="T494" s="12" t="n">
        <v>576</v>
      </c>
      <c r="U494" s="14" t="s">
        <v>29</v>
      </c>
      <c r="V494" s="15"/>
      <c r="W494" s="16" t="str">
        <f aca="false">A494</f>
        <v>SH</v>
      </c>
      <c r="X494" s="17" t="e">
        <f aca="false">ifs(C494="","",X494="",NOW(),TRUE(),X494)</f>
        <v>#VALUE!</v>
      </c>
      <c r="Y494" s="17" t="e">
        <f aca="false">ifs(COUNTA(K494:U497)&lt;44,"",Y494="",NOW(),TRUE(),Y494)</f>
        <v>#VALUE!</v>
      </c>
    </row>
    <row r="495" customFormat="false" ht="14.15" hidden="false" customHeight="false" outlineLevel="0" collapsed="false">
      <c r="A495" s="9"/>
      <c r="B495" s="10"/>
      <c r="C495" s="10"/>
      <c r="D495" s="10"/>
      <c r="E495" s="10"/>
      <c r="F495" s="10"/>
      <c r="G495" s="10"/>
      <c r="H495" s="10"/>
      <c r="I495" s="18" t="n">
        <v>2</v>
      </c>
      <c r="J495" s="18"/>
      <c r="K495" s="19" t="n">
        <f aca="false">41.09</f>
        <v>41.09</v>
      </c>
      <c r="L495" s="19" t="n">
        <f aca="false">142.6</f>
        <v>142.6</v>
      </c>
      <c r="M495" s="18" t="n">
        <v>14</v>
      </c>
      <c r="N495" s="18" t="n">
        <v>40</v>
      </c>
      <c r="O495" s="18" t="n">
        <v>139.85</v>
      </c>
      <c r="P495" s="19" t="n">
        <f aca="false">20.86</f>
        <v>20.86</v>
      </c>
      <c r="Q495" s="19" t="n">
        <f aca="false">164.18</f>
        <v>164.18</v>
      </c>
      <c r="R495" s="18" t="n">
        <v>16.1</v>
      </c>
      <c r="S495" s="18" t="n">
        <v>21.7</v>
      </c>
      <c r="T495" s="18" t="n">
        <v>557</v>
      </c>
      <c r="U495" s="20" t="s">
        <v>29</v>
      </c>
      <c r="V495" s="21"/>
      <c r="W495" s="16"/>
      <c r="X495" s="16"/>
      <c r="Y495" s="16"/>
    </row>
    <row r="496" customFormat="false" ht="14.15" hidden="false" customHeight="false" outlineLevel="0" collapsed="false">
      <c r="A496" s="9"/>
      <c r="B496" s="10"/>
      <c r="C496" s="10"/>
      <c r="D496" s="10"/>
      <c r="E496" s="10"/>
      <c r="F496" s="10"/>
      <c r="G496" s="10"/>
      <c r="H496" s="10"/>
      <c r="I496" s="22" t="n">
        <v>3</v>
      </c>
      <c r="J496" s="22"/>
      <c r="K496" s="23" t="n">
        <f aca="false">38.04</f>
        <v>38.04</v>
      </c>
      <c r="L496" s="23" t="n">
        <f aca="false">138.04</f>
        <v>138.04</v>
      </c>
      <c r="M496" s="22" t="n">
        <v>14</v>
      </c>
      <c r="N496" s="22" t="n">
        <v>39</v>
      </c>
      <c r="O496" s="22" t="n">
        <v>121.5</v>
      </c>
      <c r="P496" s="23" t="n">
        <f aca="false">21.35</f>
        <v>21.35</v>
      </c>
      <c r="Q496" s="23" t="n">
        <f aca="false">158.8</f>
        <v>158.8</v>
      </c>
      <c r="R496" s="22" t="n">
        <v>15.05</v>
      </c>
      <c r="S496" s="22" t="n">
        <v>21.85</v>
      </c>
      <c r="T496" s="22" t="n">
        <v>512</v>
      </c>
      <c r="U496" s="24" t="s">
        <v>29</v>
      </c>
      <c r="V496" s="15"/>
      <c r="W496" s="16"/>
      <c r="X496" s="16"/>
      <c r="Y496" s="16"/>
    </row>
    <row r="497" customFormat="false" ht="14.15" hidden="false" customHeight="false" outlineLevel="0" collapsed="false">
      <c r="A497" s="9"/>
      <c r="B497" s="10"/>
      <c r="C497" s="10"/>
      <c r="D497" s="10"/>
      <c r="E497" s="10"/>
      <c r="F497" s="10"/>
      <c r="G497" s="10"/>
      <c r="H497" s="10"/>
      <c r="I497" s="25" t="n">
        <v>4</v>
      </c>
      <c r="J497" s="25"/>
      <c r="K497" s="26" t="n">
        <f aca="false">38.33</f>
        <v>38.33</v>
      </c>
      <c r="L497" s="26" t="n">
        <f aca="false">105.7</f>
        <v>105.7</v>
      </c>
      <c r="M497" s="25" t="n">
        <v>14</v>
      </c>
      <c r="N497" s="25" t="n">
        <v>27</v>
      </c>
      <c r="O497" s="25" t="n">
        <v>92.45</v>
      </c>
      <c r="P497" s="26" t="n">
        <f aca="false">20.53</f>
        <v>20.53</v>
      </c>
      <c r="Q497" s="26" t="n">
        <f aca="false">118.99</f>
        <v>118.99</v>
      </c>
      <c r="R497" s="25" t="n">
        <v>10.5</v>
      </c>
      <c r="S497" s="25" t="n">
        <v>21.4</v>
      </c>
      <c r="T497" s="25" t="n">
        <v>382</v>
      </c>
      <c r="U497" s="27" t="s">
        <v>29</v>
      </c>
      <c r="V497" s="21"/>
      <c r="W497" s="16"/>
      <c r="X497" s="16"/>
      <c r="Y497" s="16"/>
    </row>
    <row r="498" customFormat="false" ht="15.75" hidden="false" customHeight="true" outlineLevel="0" collapsed="false">
      <c r="A498" s="9" t="s">
        <v>180</v>
      </c>
      <c r="B498" s="10" t="s">
        <v>26</v>
      </c>
      <c r="C498" s="11" t="s">
        <v>185</v>
      </c>
      <c r="D498" s="10" t="s">
        <v>28</v>
      </c>
      <c r="E498" s="10" t="s">
        <v>28</v>
      </c>
      <c r="F498" s="10"/>
      <c r="G498" s="10" t="n">
        <v>11</v>
      </c>
      <c r="H498" s="10" t="n">
        <v>3</v>
      </c>
      <c r="I498" s="12" t="n">
        <v>1</v>
      </c>
      <c r="J498" s="12" t="s">
        <v>47</v>
      </c>
      <c r="K498" s="13" t="n">
        <f aca="false">48.41</f>
        <v>48.41</v>
      </c>
      <c r="L498" s="13" t="n">
        <f aca="false">161.12</f>
        <v>161.12</v>
      </c>
      <c r="M498" s="12" t="n">
        <v>16</v>
      </c>
      <c r="N498" s="12" t="n">
        <v>41</v>
      </c>
      <c r="O498" s="12" t="n">
        <v>207.95</v>
      </c>
      <c r="P498" s="13" t="n">
        <f aca="false">27.83</f>
        <v>27.83</v>
      </c>
      <c r="Q498" s="13" t="n">
        <f aca="false">168.37</f>
        <v>168.37</v>
      </c>
      <c r="R498" s="12" t="n">
        <v>28.3</v>
      </c>
      <c r="S498" s="12" t="n">
        <v>26.9</v>
      </c>
      <c r="T498" s="12" t="n">
        <v>661</v>
      </c>
      <c r="U498" s="14" t="s">
        <v>29</v>
      </c>
      <c r="V498" s="15"/>
      <c r="W498" s="16" t="str">
        <f aca="false">A498</f>
        <v>SH</v>
      </c>
      <c r="X498" s="17" t="e">
        <f aca="false">ifs(C498="","",X498="",NOW(),TRUE(),X498)</f>
        <v>#VALUE!</v>
      </c>
      <c r="Y498" s="17" t="e">
        <f aca="false">ifs(COUNTA(K498:U501)&lt;44,"",Y498="",NOW(),TRUE(),Y498)</f>
        <v>#VALUE!</v>
      </c>
    </row>
    <row r="499" customFormat="false" ht="14.15" hidden="false" customHeight="false" outlineLevel="0" collapsed="false">
      <c r="A499" s="9"/>
      <c r="B499" s="10"/>
      <c r="C499" s="10"/>
      <c r="D499" s="10"/>
      <c r="E499" s="10"/>
      <c r="F499" s="10"/>
      <c r="G499" s="10"/>
      <c r="H499" s="10"/>
      <c r="I499" s="18" t="n">
        <v>2</v>
      </c>
      <c r="J499" s="18" t="s">
        <v>47</v>
      </c>
      <c r="K499" s="19" t="n">
        <f aca="false">43.2</f>
        <v>43.2</v>
      </c>
      <c r="L499" s="19" t="n">
        <f aca="false">143.93</f>
        <v>143.93</v>
      </c>
      <c r="M499" s="18" t="n">
        <v>14</v>
      </c>
      <c r="N499" s="18" t="n">
        <v>35</v>
      </c>
      <c r="O499" s="18" t="n">
        <v>165.65</v>
      </c>
      <c r="P499" s="19" t="n">
        <f aca="false">24.49</f>
        <v>24.49</v>
      </c>
      <c r="Q499" s="19" t="n">
        <f aca="false">152.56</f>
        <v>152.56</v>
      </c>
      <c r="R499" s="18" t="n">
        <v>24.1</v>
      </c>
      <c r="S499" s="18" t="n">
        <v>27.25</v>
      </c>
      <c r="T499" s="18" t="n">
        <v>527</v>
      </c>
      <c r="U499" s="20" t="s">
        <v>29</v>
      </c>
      <c r="V499" s="21"/>
      <c r="W499" s="16"/>
      <c r="X499" s="16"/>
      <c r="Y499" s="16"/>
    </row>
    <row r="500" customFormat="false" ht="14.15" hidden="false" customHeight="false" outlineLevel="0" collapsed="false">
      <c r="A500" s="9"/>
      <c r="B500" s="10"/>
      <c r="C500" s="10"/>
      <c r="D500" s="10"/>
      <c r="E500" s="10"/>
      <c r="F500" s="10"/>
      <c r="G500" s="10"/>
      <c r="H500" s="10"/>
      <c r="I500" s="22" t="n">
        <v>3</v>
      </c>
      <c r="J500" s="22"/>
      <c r="K500" s="23" t="n">
        <f aca="false">44.12</f>
        <v>44.12</v>
      </c>
      <c r="L500" s="23" t="n">
        <f aca="false">131.3</f>
        <v>131.3</v>
      </c>
      <c r="M500" s="22" t="n">
        <v>16</v>
      </c>
      <c r="N500" s="22" t="n">
        <v>38</v>
      </c>
      <c r="O500" s="22" t="n">
        <v>159.5</v>
      </c>
      <c r="P500" s="23" t="n">
        <f aca="false">26.08</f>
        <v>26.08</v>
      </c>
      <c r="Q500" s="23" t="n">
        <f aca="false">141.41</f>
        <v>141.41</v>
      </c>
      <c r="R500" s="22" t="n">
        <v>22.95</v>
      </c>
      <c r="S500" s="22" t="n">
        <v>21.8</v>
      </c>
      <c r="T500" s="22" t="n">
        <v>569</v>
      </c>
      <c r="U500" s="24" t="s">
        <v>29</v>
      </c>
      <c r="V500" s="15"/>
      <c r="W500" s="16"/>
      <c r="X500" s="16"/>
      <c r="Y500" s="16"/>
    </row>
    <row r="501" customFormat="false" ht="14.15" hidden="false" customHeight="false" outlineLevel="0" collapsed="false">
      <c r="A501" s="9"/>
      <c r="B501" s="10"/>
      <c r="C501" s="10"/>
      <c r="D501" s="10"/>
      <c r="E501" s="10"/>
      <c r="F501" s="10"/>
      <c r="G501" s="10"/>
      <c r="H501" s="10"/>
      <c r="I501" s="25" t="n">
        <v>4</v>
      </c>
      <c r="J501" s="25" t="s">
        <v>47</v>
      </c>
      <c r="K501" s="26" t="n">
        <f aca="false">48.89</f>
        <v>48.89</v>
      </c>
      <c r="L501" s="26" t="n">
        <f aca="false">130.71</f>
        <v>130.71</v>
      </c>
      <c r="M501" s="25" t="n">
        <v>18</v>
      </c>
      <c r="N501" s="25" t="n">
        <v>31</v>
      </c>
      <c r="O501" s="25" t="n">
        <v>166.1</v>
      </c>
      <c r="P501" s="26" t="n">
        <f aca="false">28.87</f>
        <v>28.87</v>
      </c>
      <c r="Q501" s="26" t="n">
        <f aca="false">142.13</f>
        <v>142.13</v>
      </c>
      <c r="R501" s="25" t="n">
        <v>23</v>
      </c>
      <c r="S501" s="25" t="n">
        <v>26</v>
      </c>
      <c r="T501" s="25" t="n">
        <v>563</v>
      </c>
      <c r="U501" s="27" t="s">
        <v>29</v>
      </c>
      <c r="V501" s="21"/>
      <c r="W501" s="16"/>
      <c r="X501" s="16"/>
      <c r="Y501" s="16"/>
    </row>
    <row r="502" customFormat="false" ht="15.75" hidden="false" customHeight="true" outlineLevel="0" collapsed="false">
      <c r="A502" s="9" t="s">
        <v>180</v>
      </c>
      <c r="B502" s="10" t="s">
        <v>26</v>
      </c>
      <c r="C502" s="11" t="s">
        <v>186</v>
      </c>
      <c r="D502" s="10" t="s">
        <v>28</v>
      </c>
      <c r="E502" s="10" t="s">
        <v>28</v>
      </c>
      <c r="F502" s="10"/>
      <c r="G502" s="10" t="n">
        <v>10</v>
      </c>
      <c r="H502" s="10" t="n">
        <v>1.8</v>
      </c>
      <c r="I502" s="12" t="n">
        <v>1</v>
      </c>
      <c r="J502" s="12" t="s">
        <v>33</v>
      </c>
      <c r="K502" s="13" t="n">
        <f aca="false">47.41</f>
        <v>47.41</v>
      </c>
      <c r="L502" s="13" t="n">
        <f aca="false">138.24</f>
        <v>138.24</v>
      </c>
      <c r="M502" s="12" t="n">
        <v>14</v>
      </c>
      <c r="N502" s="12" t="n">
        <v>32</v>
      </c>
      <c r="O502" s="12" t="n">
        <v>152.65</v>
      </c>
      <c r="P502" s="13" t="n">
        <f aca="false">24.41</f>
        <v>24.41</v>
      </c>
      <c r="Q502" s="13" t="n">
        <f aca="false">150.41</f>
        <v>150.41</v>
      </c>
      <c r="R502" s="12" t="n">
        <v>21.05</v>
      </c>
      <c r="S502" s="12" t="n">
        <v>30.4</v>
      </c>
      <c r="T502" s="12" t="n">
        <v>452</v>
      </c>
      <c r="U502" s="14" t="s">
        <v>29</v>
      </c>
      <c r="V502" s="15"/>
      <c r="W502" s="16" t="str">
        <f aca="false">A502</f>
        <v>SH</v>
      </c>
      <c r="X502" s="17" t="e">
        <f aca="false">ifs(C502="","",X502="",NOW(),TRUE(),X502)</f>
        <v>#VALUE!</v>
      </c>
      <c r="Y502" s="17" t="e">
        <f aca="false">ifs(COUNTA(K502:U505)&lt;44,"",Y502="",NOW(),TRUE(),Y502)</f>
        <v>#VALUE!</v>
      </c>
    </row>
    <row r="503" customFormat="false" ht="14.15" hidden="false" customHeight="false" outlineLevel="0" collapsed="false">
      <c r="A503" s="9"/>
      <c r="B503" s="10"/>
      <c r="C503" s="10"/>
      <c r="D503" s="10"/>
      <c r="E503" s="10"/>
      <c r="F503" s="10"/>
      <c r="G503" s="10"/>
      <c r="H503" s="10"/>
      <c r="I503" s="18" t="n">
        <v>2</v>
      </c>
      <c r="J503" s="18" t="s">
        <v>33</v>
      </c>
      <c r="K503" s="19" t="n">
        <f aca="false">43.82</f>
        <v>43.82</v>
      </c>
      <c r="L503" s="19" t="n">
        <f aca="false">119.11</f>
        <v>119.11</v>
      </c>
      <c r="M503" s="18" t="n">
        <v>14</v>
      </c>
      <c r="N503" s="18" t="n">
        <v>34</v>
      </c>
      <c r="O503" s="18" t="n">
        <v>111.9</v>
      </c>
      <c r="P503" s="19" t="n">
        <f aca="false">26.3</f>
        <v>26.3</v>
      </c>
      <c r="Q503" s="19" t="n">
        <f aca="false">142.16</f>
        <v>142.16</v>
      </c>
      <c r="R503" s="18" t="n">
        <v>14.45</v>
      </c>
      <c r="S503" s="18" t="n">
        <v>24.9</v>
      </c>
      <c r="T503" s="18" t="n">
        <v>388</v>
      </c>
      <c r="U503" s="20" t="s">
        <v>29</v>
      </c>
      <c r="V503" s="21"/>
      <c r="W503" s="16"/>
      <c r="X503" s="16"/>
      <c r="Y503" s="16"/>
    </row>
    <row r="504" customFormat="false" ht="14.15" hidden="false" customHeight="false" outlineLevel="0" collapsed="false">
      <c r="A504" s="9"/>
      <c r="B504" s="10"/>
      <c r="C504" s="10"/>
      <c r="D504" s="10"/>
      <c r="E504" s="10"/>
      <c r="F504" s="10"/>
      <c r="G504" s="10"/>
      <c r="H504" s="10"/>
      <c r="I504" s="22" t="n">
        <v>3</v>
      </c>
      <c r="J504" s="22" t="s">
        <v>33</v>
      </c>
      <c r="K504" s="23" t="n">
        <f aca="false">46.51</f>
        <v>46.51</v>
      </c>
      <c r="L504" s="23" t="n">
        <f aca="false">129.4</f>
        <v>129.4</v>
      </c>
      <c r="M504" s="22" t="n">
        <v>16</v>
      </c>
      <c r="N504" s="22" t="n">
        <v>34</v>
      </c>
      <c r="O504" s="22" t="n">
        <v>144.6</v>
      </c>
      <c r="P504" s="23" t="n">
        <f aca="false">26.12</f>
        <v>26.12</v>
      </c>
      <c r="Q504" s="23" t="n">
        <f aca="false">153.42</f>
        <v>153.42</v>
      </c>
      <c r="R504" s="22" t="n">
        <v>17.5</v>
      </c>
      <c r="S504" s="22" t="n">
        <v>25.55</v>
      </c>
      <c r="T504" s="22" t="n">
        <v>448</v>
      </c>
      <c r="U504" s="24" t="s">
        <v>29</v>
      </c>
      <c r="V504" s="15"/>
      <c r="W504" s="16"/>
      <c r="X504" s="16"/>
      <c r="Y504" s="16"/>
    </row>
    <row r="505" customFormat="false" ht="14.15" hidden="false" customHeight="false" outlineLevel="0" collapsed="false">
      <c r="A505" s="9"/>
      <c r="B505" s="10"/>
      <c r="C505" s="10"/>
      <c r="D505" s="10"/>
      <c r="E505" s="10"/>
      <c r="F505" s="10"/>
      <c r="G505" s="10"/>
      <c r="H505" s="10"/>
      <c r="I505" s="25" t="n">
        <v>4</v>
      </c>
      <c r="J505" s="25" t="s">
        <v>33</v>
      </c>
      <c r="K505" s="26" t="n">
        <f aca="false">47.2</f>
        <v>47.2</v>
      </c>
      <c r="L505" s="26" t="n">
        <f aca="false">132.12</f>
        <v>132.12</v>
      </c>
      <c r="M505" s="25" t="n">
        <v>16</v>
      </c>
      <c r="N505" s="25" t="n">
        <v>33</v>
      </c>
      <c r="O505" s="25" t="n">
        <v>144.6</v>
      </c>
      <c r="P505" s="26" t="n">
        <f aca="false">27.46</f>
        <v>27.46</v>
      </c>
      <c r="Q505" s="26" t="n">
        <f aca="false">145.79</f>
        <v>145.79</v>
      </c>
      <c r="R505" s="25" t="n">
        <v>18.2</v>
      </c>
      <c r="S505" s="25" t="n">
        <v>27.65</v>
      </c>
      <c r="T505" s="25" t="n">
        <v>473</v>
      </c>
      <c r="U505" s="27" t="s">
        <v>29</v>
      </c>
      <c r="V505" s="21"/>
      <c r="W505" s="16"/>
      <c r="X505" s="16"/>
      <c r="Y505" s="16"/>
    </row>
    <row r="506" customFormat="false" ht="15.75" hidden="false" customHeight="true" outlineLevel="0" collapsed="false">
      <c r="A506" s="9" t="s">
        <v>180</v>
      </c>
      <c r="B506" s="10" t="s">
        <v>26</v>
      </c>
      <c r="C506" s="11" t="s">
        <v>187</v>
      </c>
      <c r="D506" s="10" t="s">
        <v>28</v>
      </c>
      <c r="E506" s="10" t="s">
        <v>28</v>
      </c>
      <c r="F506" s="10"/>
      <c r="G506" s="10" t="n">
        <v>9</v>
      </c>
      <c r="H506" s="10" t="n">
        <v>1.8</v>
      </c>
      <c r="I506" s="12" t="n">
        <v>1</v>
      </c>
      <c r="J506" s="12"/>
      <c r="K506" s="13" t="n">
        <f aca="false">43.71</f>
        <v>43.71</v>
      </c>
      <c r="L506" s="13" t="n">
        <f aca="false">149.51</f>
        <v>149.51</v>
      </c>
      <c r="M506" s="12" t="n">
        <v>14</v>
      </c>
      <c r="N506" s="12" t="n">
        <v>37</v>
      </c>
      <c r="O506" s="12" t="n">
        <v>169.35</v>
      </c>
      <c r="P506" s="13" t="n">
        <f aca="false">27.95</f>
        <v>27.95</v>
      </c>
      <c r="Q506" s="13" t="n">
        <f aca="false">173.65</f>
        <v>173.65</v>
      </c>
      <c r="R506" s="12" t="n">
        <v>28.5</v>
      </c>
      <c r="S506" s="12" t="n">
        <v>27.35</v>
      </c>
      <c r="T506" s="12" t="n">
        <v>522</v>
      </c>
      <c r="U506" s="14" t="s">
        <v>97</v>
      </c>
      <c r="V506" s="15"/>
      <c r="W506" s="16" t="str">
        <f aca="false">A506</f>
        <v>SH</v>
      </c>
      <c r="X506" s="17" t="e">
        <f aca="false">ifs(C506="","",X506="",NOW(),TRUE(),X506)</f>
        <v>#VALUE!</v>
      </c>
      <c r="Y506" s="17" t="e">
        <f aca="false">ifs(COUNTA(K506:U509)&lt;44,"",Y506="",NOW(),TRUE(),Y506)</f>
        <v>#VALUE!</v>
      </c>
    </row>
    <row r="507" customFormat="false" ht="14.15" hidden="false" customHeight="false" outlineLevel="0" collapsed="false">
      <c r="A507" s="9"/>
      <c r="B507" s="10"/>
      <c r="C507" s="10"/>
      <c r="D507" s="10"/>
      <c r="E507" s="10"/>
      <c r="F507" s="10"/>
      <c r="G507" s="10"/>
      <c r="H507" s="10"/>
      <c r="I507" s="18" t="n">
        <v>2</v>
      </c>
      <c r="J507" s="18" t="s">
        <v>47</v>
      </c>
      <c r="K507" s="19" t="n">
        <f aca="false">42.14</f>
        <v>42.14</v>
      </c>
      <c r="L507" s="19" t="n">
        <f aca="false">142.38</f>
        <v>142.38</v>
      </c>
      <c r="M507" s="18" t="n">
        <v>12</v>
      </c>
      <c r="N507" s="18" t="n">
        <v>34</v>
      </c>
      <c r="O507" s="18" t="n">
        <v>144.7</v>
      </c>
      <c r="P507" s="19" t="n">
        <f aca="false">25.15</f>
        <v>25.15</v>
      </c>
      <c r="Q507" s="19" t="n">
        <f aca="false">165.4</f>
        <v>165.4</v>
      </c>
      <c r="R507" s="18" t="n">
        <v>24.8</v>
      </c>
      <c r="S507" s="18" t="n">
        <v>28.3</v>
      </c>
      <c r="T507" s="18" t="n">
        <v>419</v>
      </c>
      <c r="U507" s="20" t="s">
        <v>29</v>
      </c>
      <c r="V507" s="21"/>
      <c r="W507" s="16"/>
      <c r="X507" s="16"/>
      <c r="Y507" s="16"/>
    </row>
    <row r="508" customFormat="false" ht="14.15" hidden="false" customHeight="false" outlineLevel="0" collapsed="false">
      <c r="A508" s="9"/>
      <c r="B508" s="10"/>
      <c r="C508" s="10"/>
      <c r="D508" s="10"/>
      <c r="E508" s="10"/>
      <c r="F508" s="10"/>
      <c r="G508" s="10"/>
      <c r="H508" s="10"/>
      <c r="I508" s="22" t="n">
        <v>3</v>
      </c>
      <c r="J508" s="22"/>
      <c r="K508" s="23" t="n">
        <v>41.25</v>
      </c>
      <c r="L508" s="23" t="n">
        <f aca="false">137.05</f>
        <v>137.05</v>
      </c>
      <c r="M508" s="22" t="n">
        <v>12</v>
      </c>
      <c r="N508" s="22" t="n">
        <v>31</v>
      </c>
      <c r="O508" s="22" t="n">
        <v>126.2</v>
      </c>
      <c r="P508" s="23" t="n">
        <f aca="false">26.48</f>
        <v>26.48</v>
      </c>
      <c r="Q508" s="23" t="n">
        <f aca="false">151.86</f>
        <v>151.86</v>
      </c>
      <c r="R508" s="22" t="n">
        <v>22.7</v>
      </c>
      <c r="S508" s="22" t="n">
        <v>26.6</v>
      </c>
      <c r="T508" s="22" t="n">
        <v>387</v>
      </c>
      <c r="U508" s="24" t="s">
        <v>97</v>
      </c>
      <c r="V508" s="15"/>
      <c r="W508" s="16"/>
      <c r="X508" s="16"/>
      <c r="Y508" s="16"/>
    </row>
    <row r="509" customFormat="false" ht="14.15" hidden="false" customHeight="false" outlineLevel="0" collapsed="false">
      <c r="A509" s="9"/>
      <c r="B509" s="10"/>
      <c r="C509" s="10"/>
      <c r="D509" s="10"/>
      <c r="E509" s="10"/>
      <c r="F509" s="10"/>
      <c r="G509" s="10"/>
      <c r="H509" s="10"/>
      <c r="I509" s="25" t="n">
        <v>4</v>
      </c>
      <c r="J509" s="25"/>
      <c r="K509" s="26" t="n">
        <f aca="false">43.03</f>
        <v>43.03</v>
      </c>
      <c r="L509" s="26" t="n">
        <f aca="false">117.18</f>
        <v>117.18</v>
      </c>
      <c r="M509" s="25" t="n">
        <v>14</v>
      </c>
      <c r="N509" s="25" t="n">
        <v>28</v>
      </c>
      <c r="O509" s="28" t="n">
        <v>123.7</v>
      </c>
      <c r="P509" s="26" t="n">
        <f aca="false">26.77</f>
        <v>26.77</v>
      </c>
      <c r="Q509" s="26" t="n">
        <f aca="false">142.78</f>
        <v>142.78</v>
      </c>
      <c r="R509" s="25" t="n">
        <v>21.7</v>
      </c>
      <c r="S509" s="25" t="n">
        <v>26.3</v>
      </c>
      <c r="T509" s="25" t="n">
        <v>389</v>
      </c>
      <c r="U509" s="27" t="s">
        <v>29</v>
      </c>
      <c r="V509" s="21"/>
      <c r="W509" s="16"/>
      <c r="X509" s="16"/>
      <c r="Y509" s="16"/>
    </row>
    <row r="510" customFormat="false" ht="15.75" hidden="false" customHeight="true" outlineLevel="0" collapsed="false">
      <c r="A510" s="9" t="s">
        <v>180</v>
      </c>
      <c r="B510" s="10" t="s">
        <v>176</v>
      </c>
      <c r="C510" s="11" t="s">
        <v>188</v>
      </c>
      <c r="D510" s="10" t="s">
        <v>28</v>
      </c>
      <c r="E510" s="10" t="s">
        <v>28</v>
      </c>
      <c r="F510" s="10"/>
      <c r="G510" s="10" t="n">
        <v>4</v>
      </c>
      <c r="H510" s="10" t="n">
        <v>0.62</v>
      </c>
      <c r="I510" s="12" t="n">
        <v>1</v>
      </c>
      <c r="J510" s="12" t="s">
        <v>120</v>
      </c>
      <c r="K510" s="13" t="n">
        <f aca="false">49.54</f>
        <v>49.54</v>
      </c>
      <c r="L510" s="13" t="n">
        <f aca="false">180.79</f>
        <v>180.79</v>
      </c>
      <c r="M510" s="12" t="n">
        <v>16</v>
      </c>
      <c r="N510" s="12" t="n">
        <v>42</v>
      </c>
      <c r="O510" s="12" t="n">
        <v>217.05</v>
      </c>
      <c r="P510" s="13" t="n">
        <f aca="false">27.88</f>
        <v>27.88</v>
      </c>
      <c r="Q510" s="13" t="n">
        <f aca="false">201.6</f>
        <v>201.6</v>
      </c>
      <c r="R510" s="12" t="n">
        <v>32.57</v>
      </c>
      <c r="S510" s="12" t="n">
        <v>24.24</v>
      </c>
      <c r="T510" s="12" t="n">
        <v>753</v>
      </c>
      <c r="U510" s="14" t="s">
        <v>97</v>
      </c>
      <c r="V510" s="15"/>
      <c r="W510" s="16" t="str">
        <f aca="false">A510</f>
        <v>SH</v>
      </c>
      <c r="X510" s="17" t="e">
        <f aca="false">ifs(C510="","",X510="",NOW(),TRUE(),X510)</f>
        <v>#VALUE!</v>
      </c>
      <c r="Y510" s="17" t="e">
        <f aca="false">ifs(COUNTA(K510:U513)&lt;44,"",Y510="",NOW(),TRUE(),Y510)</f>
        <v>#VALUE!</v>
      </c>
    </row>
    <row r="511" customFormat="false" ht="14.15" hidden="false" customHeight="false" outlineLevel="0" collapsed="false">
      <c r="A511" s="9"/>
      <c r="B511" s="10"/>
      <c r="C511" s="10"/>
      <c r="D511" s="10"/>
      <c r="E511" s="10"/>
      <c r="F511" s="10"/>
      <c r="G511" s="10"/>
      <c r="H511" s="10"/>
      <c r="I511" s="18" t="n">
        <v>2</v>
      </c>
      <c r="J511" s="18" t="s">
        <v>46</v>
      </c>
      <c r="K511" s="19" t="n">
        <f aca="false">49.93</f>
        <v>49.93</v>
      </c>
      <c r="L511" s="19" t="n">
        <f aca="false">177.05</f>
        <v>177.05</v>
      </c>
      <c r="M511" s="18" t="n">
        <v>18</v>
      </c>
      <c r="N511" s="18" t="n">
        <v>45</v>
      </c>
      <c r="O511" s="18" t="n">
        <v>206.01</v>
      </c>
      <c r="P511" s="19" t="n">
        <f aca="false">29.04</f>
        <v>29.04</v>
      </c>
      <c r="Q511" s="19" t="n">
        <f aca="false">198.05</f>
        <v>198.05</v>
      </c>
      <c r="R511" s="18" t="n">
        <v>31.23</v>
      </c>
      <c r="S511" s="18" t="n">
        <v>23.7</v>
      </c>
      <c r="T511" s="18" t="n">
        <v>732</v>
      </c>
      <c r="U511" s="20" t="s">
        <v>97</v>
      </c>
      <c r="V511" s="21"/>
      <c r="W511" s="16"/>
      <c r="X511" s="16"/>
      <c r="Y511" s="16"/>
    </row>
    <row r="512" customFormat="false" ht="14.15" hidden="false" customHeight="false" outlineLevel="0" collapsed="false">
      <c r="A512" s="9"/>
      <c r="B512" s="10"/>
      <c r="C512" s="10"/>
      <c r="D512" s="10"/>
      <c r="E512" s="10"/>
      <c r="F512" s="10"/>
      <c r="G512" s="10"/>
      <c r="H512" s="10"/>
      <c r="I512" s="22" t="n">
        <v>3</v>
      </c>
      <c r="J512" s="22" t="s">
        <v>49</v>
      </c>
      <c r="K512" s="23" t="n">
        <f aca="false">46.08</f>
        <v>46.08</v>
      </c>
      <c r="L512" s="23" t="n">
        <f aca="false">156.03</f>
        <v>156.03</v>
      </c>
      <c r="M512" s="22" t="n">
        <v>14</v>
      </c>
      <c r="N512" s="22" t="n">
        <v>43</v>
      </c>
      <c r="O512" s="22" t="n">
        <v>164.71</v>
      </c>
      <c r="P512" s="23" t="n">
        <f aca="false">26.8</f>
        <v>26.8</v>
      </c>
      <c r="Q512" s="23" t="n">
        <f aca="false">178.37</f>
        <v>178.37</v>
      </c>
      <c r="R512" s="22" t="n">
        <v>24.06</v>
      </c>
      <c r="S512" s="22" t="n">
        <v>22.49</v>
      </c>
      <c r="T512" s="22" t="n">
        <v>588</v>
      </c>
      <c r="U512" s="24" t="s">
        <v>97</v>
      </c>
      <c r="V512" s="15"/>
      <c r="W512" s="16"/>
      <c r="X512" s="16"/>
      <c r="Y512" s="16"/>
    </row>
    <row r="513" customFormat="false" ht="14.15" hidden="false" customHeight="false" outlineLevel="0" collapsed="false">
      <c r="A513" s="9"/>
      <c r="B513" s="10"/>
      <c r="C513" s="10"/>
      <c r="D513" s="10"/>
      <c r="E513" s="10"/>
      <c r="F513" s="10"/>
      <c r="G513" s="10"/>
      <c r="H513" s="10"/>
      <c r="I513" s="25" t="n">
        <v>4</v>
      </c>
      <c r="J513" s="25" t="s">
        <v>49</v>
      </c>
      <c r="K513" s="26" t="n">
        <f aca="false">42.93</f>
        <v>42.93</v>
      </c>
      <c r="L513" s="26" t="n">
        <f aca="false">161.3</f>
        <v>161.3</v>
      </c>
      <c r="M513" s="25" t="n">
        <v>14</v>
      </c>
      <c r="N513" s="25" t="n">
        <v>42</v>
      </c>
      <c r="O513" s="25" t="n">
        <v>138.02</v>
      </c>
      <c r="P513" s="26" t="n">
        <f aca="false">27.03</f>
        <v>27.03</v>
      </c>
      <c r="Q513" s="26" t="n">
        <f aca="false">182.91</f>
        <v>182.91</v>
      </c>
      <c r="R513" s="25" t="n">
        <v>23.07</v>
      </c>
      <c r="S513" s="25" t="n">
        <v>20.87</v>
      </c>
      <c r="T513" s="25" t="n">
        <v>543</v>
      </c>
      <c r="U513" s="27" t="s">
        <v>97</v>
      </c>
      <c r="V513" s="21"/>
      <c r="W513" s="16"/>
      <c r="X513" s="16"/>
      <c r="Y513" s="16"/>
    </row>
    <row r="514" customFormat="false" ht="15.75" hidden="false" customHeight="true" outlineLevel="0" collapsed="false">
      <c r="A514" s="9" t="s">
        <v>158</v>
      </c>
      <c r="B514" s="10" t="s">
        <v>44</v>
      </c>
      <c r="C514" s="11" t="s">
        <v>189</v>
      </c>
      <c r="D514" s="10" t="s">
        <v>28</v>
      </c>
      <c r="E514" s="10" t="s">
        <v>28</v>
      </c>
      <c r="F514" s="10"/>
      <c r="G514" s="10" t="n">
        <v>21</v>
      </c>
      <c r="H514" s="10" t="n">
        <v>6.3</v>
      </c>
      <c r="I514" s="12" t="n">
        <v>1</v>
      </c>
      <c r="J514" s="12" t="s">
        <v>50</v>
      </c>
      <c r="K514" s="13" t="n">
        <f aca="false">44.81</f>
        <v>44.81</v>
      </c>
      <c r="L514" s="13" t="n">
        <f aca="false">158.11</f>
        <v>158.11</v>
      </c>
      <c r="M514" s="12" t="n">
        <v>16</v>
      </c>
      <c r="N514" s="12" t="n">
        <v>36</v>
      </c>
      <c r="O514" s="12" t="n">
        <v>171.5</v>
      </c>
      <c r="P514" s="13" t="n">
        <f aca="false">26.46</f>
        <v>26.46</v>
      </c>
      <c r="Q514" s="13" t="n">
        <f aca="false">168.43</f>
        <v>168.43</v>
      </c>
      <c r="R514" s="12" t="n">
        <v>21.7</v>
      </c>
      <c r="S514" s="12" t="n">
        <v>26.5</v>
      </c>
      <c r="T514" s="12" t="n">
        <v>585</v>
      </c>
      <c r="U514" s="14" t="s">
        <v>29</v>
      </c>
      <c r="V514" s="15"/>
      <c r="W514" s="16" t="str">
        <f aca="false">A514</f>
        <v>AK</v>
      </c>
      <c r="X514" s="17" t="e">
        <f aca="false">ifs(C514="","",X514="",NOW(),TRUE(),X514)</f>
        <v>#VALUE!</v>
      </c>
      <c r="Y514" s="17" t="e">
        <f aca="false">ifs(COUNTA(K514:U517)&lt;44,"",Y514="",NOW(),TRUE(),Y514)</f>
        <v>#VALUE!</v>
      </c>
    </row>
    <row r="515" customFormat="false" ht="14.15" hidden="false" customHeight="false" outlineLevel="0" collapsed="false">
      <c r="A515" s="9"/>
      <c r="B515" s="10"/>
      <c r="C515" s="10"/>
      <c r="D515" s="10"/>
      <c r="E515" s="10"/>
      <c r="F515" s="10"/>
      <c r="G515" s="10"/>
      <c r="H515" s="10"/>
      <c r="I515" s="18" t="n">
        <v>2</v>
      </c>
      <c r="J515" s="18" t="s">
        <v>47</v>
      </c>
      <c r="K515" s="19" t="n">
        <f aca="false">43.23</f>
        <v>43.23</v>
      </c>
      <c r="L515" s="19" t="n">
        <f aca="false">162.21</f>
        <v>162.21</v>
      </c>
      <c r="M515" s="18" t="n">
        <v>14</v>
      </c>
      <c r="N515" s="18" t="n">
        <v>37</v>
      </c>
      <c r="O515" s="18" t="n">
        <v>171</v>
      </c>
      <c r="P515" s="19" t="n">
        <f aca="false">26.05</f>
        <v>26.05</v>
      </c>
      <c r="Q515" s="19" t="n">
        <f aca="false">175.72</f>
        <v>175.72</v>
      </c>
      <c r="R515" s="18" t="n">
        <v>23.3</v>
      </c>
      <c r="S515" s="18" t="n">
        <v>26.6</v>
      </c>
      <c r="T515" s="18" t="n">
        <v>570</v>
      </c>
      <c r="U515" s="20" t="s">
        <v>29</v>
      </c>
      <c r="V515" s="21"/>
      <c r="W515" s="16"/>
      <c r="X515" s="16"/>
      <c r="Y515" s="16"/>
    </row>
    <row r="516" customFormat="false" ht="14.15" hidden="false" customHeight="false" outlineLevel="0" collapsed="false">
      <c r="A516" s="9"/>
      <c r="B516" s="10"/>
      <c r="C516" s="10"/>
      <c r="D516" s="10"/>
      <c r="E516" s="10"/>
      <c r="F516" s="10"/>
      <c r="G516" s="10"/>
      <c r="H516" s="10"/>
      <c r="I516" s="22" t="n">
        <v>3</v>
      </c>
      <c r="J516" s="22" t="s">
        <v>50</v>
      </c>
      <c r="K516" s="23" t="n">
        <f aca="false">41.68</f>
        <v>41.68</v>
      </c>
      <c r="L516" s="23" t="n">
        <f aca="false">156.15</f>
        <v>156.15</v>
      </c>
      <c r="M516" s="22" t="n">
        <v>14</v>
      </c>
      <c r="N516" s="22" t="n">
        <v>32</v>
      </c>
      <c r="O516" s="22" t="n">
        <v>151</v>
      </c>
      <c r="P516" s="23" t="n">
        <f aca="false">25.78</f>
        <v>25.78</v>
      </c>
      <c r="Q516" s="23" t="n">
        <f aca="false">168.79</f>
        <v>168.79</v>
      </c>
      <c r="R516" s="22" t="n">
        <v>20.1</v>
      </c>
      <c r="S516" s="22" t="n">
        <v>24.7</v>
      </c>
      <c r="T516" s="22" t="n">
        <v>522</v>
      </c>
      <c r="U516" s="24" t="s">
        <v>29</v>
      </c>
      <c r="V516" s="15"/>
      <c r="W516" s="16"/>
      <c r="X516" s="16"/>
      <c r="Y516" s="16"/>
    </row>
    <row r="517" customFormat="false" ht="14.15" hidden="false" customHeight="false" outlineLevel="0" collapsed="false">
      <c r="A517" s="9"/>
      <c r="B517" s="10"/>
      <c r="C517" s="10"/>
      <c r="D517" s="10"/>
      <c r="E517" s="10"/>
      <c r="F517" s="10"/>
      <c r="G517" s="10"/>
      <c r="H517" s="10"/>
      <c r="I517" s="25" t="n">
        <v>4</v>
      </c>
      <c r="J517" s="25" t="s">
        <v>190</v>
      </c>
      <c r="K517" s="26" t="n">
        <f aca="false">43.31</f>
        <v>43.31</v>
      </c>
      <c r="L517" s="26" t="n">
        <f aca="false">129.77</f>
        <v>129.77</v>
      </c>
      <c r="M517" s="25" t="n">
        <v>14</v>
      </c>
      <c r="N517" s="25" t="n">
        <v>23</v>
      </c>
      <c r="O517" s="25" t="n">
        <v>111.4</v>
      </c>
      <c r="P517" s="26" t="n">
        <f aca="false">26.58</f>
        <v>26.58</v>
      </c>
      <c r="Q517" s="26" t="n">
        <f aca="false">140.5</f>
        <v>140.5</v>
      </c>
      <c r="R517" s="25" t="n">
        <v>13.8</v>
      </c>
      <c r="S517" s="25" t="n">
        <v>24.6</v>
      </c>
      <c r="T517" s="25" t="n">
        <v>365</v>
      </c>
      <c r="U517" s="27" t="s">
        <v>29</v>
      </c>
      <c r="V517" s="21"/>
      <c r="W517" s="16"/>
      <c r="X517" s="16"/>
      <c r="Y517" s="16"/>
    </row>
    <row r="518" customFormat="false" ht="15.75" hidden="false" customHeight="true" outlineLevel="0" collapsed="false">
      <c r="A518" s="9" t="s">
        <v>158</v>
      </c>
      <c r="B518" s="10" t="s">
        <v>44</v>
      </c>
      <c r="C518" s="11" t="s">
        <v>191</v>
      </c>
      <c r="D518" s="10" t="s">
        <v>28</v>
      </c>
      <c r="E518" s="10" t="s">
        <v>28</v>
      </c>
      <c r="F518" s="10"/>
      <c r="G518" s="10" t="n">
        <v>14</v>
      </c>
      <c r="H518" s="10" t="n">
        <v>3.9</v>
      </c>
      <c r="I518" s="12" t="n">
        <v>1</v>
      </c>
      <c r="J518" s="12" t="s">
        <v>47</v>
      </c>
      <c r="K518" s="13" t="n">
        <f aca="false">40.81</f>
        <v>40.81</v>
      </c>
      <c r="L518" s="13" t="n">
        <f aca="false">178.95</f>
        <v>178.95</v>
      </c>
      <c r="M518" s="12" t="n">
        <v>14</v>
      </c>
      <c r="N518" s="12" t="n">
        <v>41</v>
      </c>
      <c r="O518" s="12" t="n">
        <v>171</v>
      </c>
      <c r="P518" s="13" t="n">
        <f aca="false">25.33</f>
        <v>25.33</v>
      </c>
      <c r="Q518" s="13" t="n">
        <f aca="false">181.57</f>
        <v>181.57</v>
      </c>
      <c r="R518" s="12" t="n">
        <v>21.5</v>
      </c>
      <c r="S518" s="12" t="n">
        <v>23</v>
      </c>
      <c r="T518" s="12" t="n">
        <v>650</v>
      </c>
      <c r="U518" s="14" t="s">
        <v>29</v>
      </c>
      <c r="V518" s="15"/>
      <c r="W518" s="16" t="str">
        <f aca="false">A518</f>
        <v>AK</v>
      </c>
      <c r="X518" s="17" t="e">
        <f aca="false">ifs(C518="","",X518="",NOW(),TRUE(),X518)</f>
        <v>#VALUE!</v>
      </c>
      <c r="Y518" s="17" t="e">
        <f aca="false">ifs(COUNTA(K518:U521)&lt;44,"",Y518="",NOW(),TRUE(),Y518)</f>
        <v>#VALUE!</v>
      </c>
    </row>
    <row r="519" customFormat="false" ht="14.15" hidden="false" customHeight="false" outlineLevel="0" collapsed="false">
      <c r="A519" s="9"/>
      <c r="B519" s="10"/>
      <c r="C519" s="10"/>
      <c r="D519" s="10"/>
      <c r="E519" s="10"/>
      <c r="F519" s="10"/>
      <c r="G519" s="10"/>
      <c r="H519" s="10"/>
      <c r="I519" s="18" t="n">
        <v>2</v>
      </c>
      <c r="J519" s="18" t="s">
        <v>49</v>
      </c>
      <c r="K519" s="19" t="n">
        <f aca="false">40.26</f>
        <v>40.26</v>
      </c>
      <c r="L519" s="19" t="n">
        <f aca="false">145.56</f>
        <v>145.56</v>
      </c>
      <c r="M519" s="18" t="n">
        <v>14</v>
      </c>
      <c r="N519" s="18" t="n">
        <v>22</v>
      </c>
      <c r="O519" s="18" t="n">
        <v>156.8</v>
      </c>
      <c r="P519" s="19" t="n">
        <f aca="false">24.73</f>
        <v>24.73</v>
      </c>
      <c r="Q519" s="19" t="n">
        <f aca="false">180.43</f>
        <v>180.43</v>
      </c>
      <c r="R519" s="18" t="n">
        <v>21.3</v>
      </c>
      <c r="S519" s="18" t="n">
        <v>25.3</v>
      </c>
      <c r="T519" s="18" t="n">
        <v>545</v>
      </c>
      <c r="U519" s="20" t="s">
        <v>29</v>
      </c>
      <c r="V519" s="21"/>
      <c r="W519" s="16"/>
      <c r="X519" s="16"/>
      <c r="Y519" s="16"/>
    </row>
    <row r="520" customFormat="false" ht="14.15" hidden="false" customHeight="false" outlineLevel="0" collapsed="false">
      <c r="A520" s="9"/>
      <c r="B520" s="10"/>
      <c r="C520" s="10"/>
      <c r="D520" s="10"/>
      <c r="E520" s="10"/>
      <c r="F520" s="10"/>
      <c r="G520" s="10"/>
      <c r="H520" s="10"/>
      <c r="I520" s="22" t="n">
        <v>3</v>
      </c>
      <c r="J520" s="22" t="s">
        <v>46</v>
      </c>
      <c r="K520" s="23" t="n">
        <f aca="false">40.18</f>
        <v>40.18</v>
      </c>
      <c r="L520" s="23" t="n">
        <f aca="false">151.38</f>
        <v>151.38</v>
      </c>
      <c r="M520" s="22" t="n">
        <v>12</v>
      </c>
      <c r="N520" s="22" t="n">
        <v>36</v>
      </c>
      <c r="O520" s="22" t="n">
        <v>141.2</v>
      </c>
      <c r="P520" s="23" t="n">
        <f aca="false">23.87</f>
        <v>23.87</v>
      </c>
      <c r="Q520" s="23" t="n">
        <f aca="false">173.65</f>
        <v>173.65</v>
      </c>
      <c r="R520" s="22" t="n">
        <v>17.9</v>
      </c>
      <c r="S520" s="22" t="n">
        <v>23.4</v>
      </c>
      <c r="T520" s="22" t="n">
        <v>478</v>
      </c>
      <c r="U520" s="24" t="s">
        <v>29</v>
      </c>
      <c r="V520" s="15"/>
      <c r="W520" s="16"/>
      <c r="X520" s="16"/>
      <c r="Y520" s="16"/>
    </row>
    <row r="521" customFormat="false" ht="14.15" hidden="false" customHeight="false" outlineLevel="0" collapsed="false">
      <c r="A521" s="9"/>
      <c r="B521" s="10"/>
      <c r="C521" s="10"/>
      <c r="D521" s="10"/>
      <c r="E521" s="10"/>
      <c r="F521" s="10"/>
      <c r="G521" s="10"/>
      <c r="H521" s="10"/>
      <c r="I521" s="25" t="n">
        <v>4</v>
      </c>
      <c r="J521" s="25" t="s">
        <v>46</v>
      </c>
      <c r="K521" s="26" t="n">
        <f aca="false">40.79</f>
        <v>40.79</v>
      </c>
      <c r="L521" s="26" t="n">
        <f aca="false">130.74</f>
        <v>130.74</v>
      </c>
      <c r="M521" s="25" t="n">
        <v>14</v>
      </c>
      <c r="N521" s="25" t="n">
        <v>25</v>
      </c>
      <c r="O521" s="25" t="n">
        <v>114.8</v>
      </c>
      <c r="P521" s="26" t="n">
        <f aca="false">26.3</f>
        <v>26.3</v>
      </c>
      <c r="Q521" s="26" t="n">
        <f aca="false">158.39</f>
        <v>158.39</v>
      </c>
      <c r="R521" s="25" t="n">
        <v>15.4</v>
      </c>
      <c r="S521" s="25" t="n">
        <v>22.2</v>
      </c>
      <c r="T521" s="25" t="n">
        <v>414</v>
      </c>
      <c r="U521" s="27" t="s">
        <v>29</v>
      </c>
      <c r="V521" s="21"/>
      <c r="W521" s="16"/>
      <c r="X521" s="16"/>
      <c r="Y521" s="16"/>
    </row>
    <row r="522" customFormat="false" ht="15.75" hidden="false" customHeight="true" outlineLevel="0" collapsed="false">
      <c r="A522" s="9" t="s">
        <v>158</v>
      </c>
      <c r="B522" s="10" t="s">
        <v>44</v>
      </c>
      <c r="C522" s="11" t="s">
        <v>192</v>
      </c>
      <c r="D522" s="10" t="s">
        <v>28</v>
      </c>
      <c r="E522" s="10" t="s">
        <v>28</v>
      </c>
      <c r="F522" s="10"/>
      <c r="G522" s="10" t="n">
        <v>58</v>
      </c>
      <c r="H522" s="10" t="n">
        <v>15.4</v>
      </c>
      <c r="I522" s="12" t="n">
        <v>1</v>
      </c>
      <c r="J522" s="12" t="s">
        <v>35</v>
      </c>
      <c r="K522" s="13" t="n">
        <f aca="false">43.75</f>
        <v>43.75</v>
      </c>
      <c r="L522" s="13" t="n">
        <f aca="false">180.89</f>
        <v>180.89</v>
      </c>
      <c r="M522" s="12" t="n">
        <v>16</v>
      </c>
      <c r="N522" s="12" t="n">
        <v>43</v>
      </c>
      <c r="O522" s="12" t="n">
        <v>184.2</v>
      </c>
      <c r="P522" s="13" t="n">
        <f aca="false">25.43</f>
        <v>25.43</v>
      </c>
      <c r="Q522" s="13" t="n">
        <f aca="false">198.4</f>
        <v>198.4</v>
      </c>
      <c r="R522" s="12" t="n">
        <v>20.6</v>
      </c>
      <c r="S522" s="12" t="n">
        <v>25.4</v>
      </c>
      <c r="T522" s="12" t="n">
        <v>565</v>
      </c>
      <c r="U522" s="14" t="s">
        <v>29</v>
      </c>
      <c r="V522" s="15"/>
      <c r="W522" s="16" t="str">
        <f aca="false">A522</f>
        <v>AK</v>
      </c>
      <c r="X522" s="17" t="e">
        <f aca="false">ifs(C522="","",X522="",NOW(),TRUE(),X522)</f>
        <v>#VALUE!</v>
      </c>
      <c r="Y522" s="17" t="e">
        <f aca="false">ifs(COUNTA(K522:U525)&lt;44,"",Y522="",NOW(),TRUE(),Y522)</f>
        <v>#VALUE!</v>
      </c>
    </row>
    <row r="523" customFormat="false" ht="14.15" hidden="false" customHeight="false" outlineLevel="0" collapsed="false">
      <c r="A523" s="9"/>
      <c r="B523" s="10"/>
      <c r="C523" s="10"/>
      <c r="D523" s="10"/>
      <c r="E523" s="10"/>
      <c r="F523" s="10"/>
      <c r="G523" s="10"/>
      <c r="H523" s="10"/>
      <c r="I523" s="18" t="n">
        <v>2</v>
      </c>
      <c r="J523" s="18" t="s">
        <v>33</v>
      </c>
      <c r="K523" s="19" t="n">
        <f aca="false">43.15</f>
        <v>43.15</v>
      </c>
      <c r="L523" s="19" t="n">
        <f aca="false">171.34</f>
        <v>171.34</v>
      </c>
      <c r="M523" s="18" t="n">
        <v>16</v>
      </c>
      <c r="N523" s="18" t="n">
        <v>42</v>
      </c>
      <c r="O523" s="18" t="n">
        <v>181.8</v>
      </c>
      <c r="P523" s="19" t="n">
        <f aca="false">24.5</f>
        <v>24.5</v>
      </c>
      <c r="Q523" s="19" t="n">
        <f aca="false">195.7</f>
        <v>195.7</v>
      </c>
      <c r="R523" s="18" t="n">
        <v>19.4</v>
      </c>
      <c r="S523" s="18" t="n">
        <v>25.6</v>
      </c>
      <c r="T523" s="18" t="n">
        <v>626</v>
      </c>
      <c r="U523" s="20" t="s">
        <v>29</v>
      </c>
      <c r="V523" s="21"/>
      <c r="W523" s="16"/>
      <c r="X523" s="16"/>
      <c r="Y523" s="16"/>
    </row>
    <row r="524" customFormat="false" ht="14.15" hidden="false" customHeight="false" outlineLevel="0" collapsed="false">
      <c r="A524" s="9"/>
      <c r="B524" s="10"/>
      <c r="C524" s="10"/>
      <c r="D524" s="10"/>
      <c r="E524" s="10"/>
      <c r="F524" s="10"/>
      <c r="G524" s="10"/>
      <c r="H524" s="10"/>
      <c r="I524" s="22" t="n">
        <v>3</v>
      </c>
      <c r="J524" s="22"/>
      <c r="K524" s="23" t="n">
        <f aca="false">40.61</f>
        <v>40.61</v>
      </c>
      <c r="L524" s="23" t="n">
        <f aca="false">167.47</f>
        <v>167.47</v>
      </c>
      <c r="M524" s="22" t="n">
        <v>14</v>
      </c>
      <c r="N524" s="22" t="n">
        <v>40</v>
      </c>
      <c r="O524" s="22" t="n">
        <v>154.9</v>
      </c>
      <c r="P524" s="23" t="n">
        <f aca="false">25.16</f>
        <v>25.16</v>
      </c>
      <c r="Q524" s="23" t="n">
        <f aca="false">185.24</f>
        <v>185.24</v>
      </c>
      <c r="R524" s="22" t="n">
        <v>15.2</v>
      </c>
      <c r="S524" s="22" t="n">
        <v>24.4</v>
      </c>
      <c r="T524" s="22" t="n">
        <v>545</v>
      </c>
      <c r="U524" s="24" t="s">
        <v>29</v>
      </c>
      <c r="V524" s="15"/>
      <c r="W524" s="16"/>
      <c r="X524" s="16"/>
      <c r="Y524" s="16"/>
    </row>
    <row r="525" customFormat="false" ht="14.15" hidden="false" customHeight="false" outlineLevel="0" collapsed="false">
      <c r="A525" s="9"/>
      <c r="B525" s="10"/>
      <c r="C525" s="10"/>
      <c r="D525" s="10"/>
      <c r="E525" s="10"/>
      <c r="F525" s="10"/>
      <c r="G525" s="10"/>
      <c r="H525" s="10"/>
      <c r="I525" s="25" t="n">
        <v>4</v>
      </c>
      <c r="J525" s="25"/>
      <c r="K525" s="26" t="n">
        <f aca="false">41.27</f>
        <v>41.27</v>
      </c>
      <c r="L525" s="26" t="n">
        <f aca="false">176.19</f>
        <v>176.19</v>
      </c>
      <c r="M525" s="25" t="n">
        <v>12</v>
      </c>
      <c r="N525" s="25" t="n">
        <v>41</v>
      </c>
      <c r="O525" s="25" t="n">
        <v>157.5</v>
      </c>
      <c r="P525" s="26" t="n">
        <f aca="false">23.19</f>
        <v>23.19</v>
      </c>
      <c r="Q525" s="26" t="n">
        <f aca="false">185.17</f>
        <v>185.17</v>
      </c>
      <c r="R525" s="25" t="n">
        <v>15.8</v>
      </c>
      <c r="S525" s="25" t="n">
        <v>26.9</v>
      </c>
      <c r="T525" s="25" t="n">
        <v>501</v>
      </c>
      <c r="U525" s="27" t="s">
        <v>29</v>
      </c>
      <c r="V525" s="21"/>
      <c r="W525" s="16"/>
      <c r="X525" s="16"/>
      <c r="Y525" s="16"/>
    </row>
    <row r="526" customFormat="false" ht="15.75" hidden="false" customHeight="true" outlineLevel="0" collapsed="false">
      <c r="A526" s="9" t="s">
        <v>158</v>
      </c>
      <c r="B526" s="10" t="s">
        <v>44</v>
      </c>
      <c r="C526" s="11" t="s">
        <v>193</v>
      </c>
      <c r="D526" s="10" t="s">
        <v>28</v>
      </c>
      <c r="E526" s="10" t="s">
        <v>28</v>
      </c>
      <c r="F526" s="10"/>
      <c r="G526" s="10" t="n">
        <v>15</v>
      </c>
      <c r="H526" s="10" t="n">
        <v>2.1</v>
      </c>
      <c r="I526" s="12" t="n">
        <v>1</v>
      </c>
      <c r="J526" s="12" t="s">
        <v>46</v>
      </c>
      <c r="K526" s="13" t="n">
        <f aca="false">46.93</f>
        <v>46.93</v>
      </c>
      <c r="L526" s="13" t="n">
        <f aca="false">135.46</f>
        <v>135.46</v>
      </c>
      <c r="M526" s="12" t="n">
        <v>20</v>
      </c>
      <c r="N526" s="12" t="n">
        <v>30</v>
      </c>
      <c r="O526" s="12" t="n">
        <v>142.1</v>
      </c>
      <c r="P526" s="13" t="n">
        <f aca="false">27.48</f>
        <v>27.48</v>
      </c>
      <c r="Q526" s="13" t="n">
        <f aca="false">167.82</f>
        <v>167.82</v>
      </c>
      <c r="R526" s="12" t="n">
        <v>17.6</v>
      </c>
      <c r="S526" s="12" t="n">
        <v>19.4</v>
      </c>
      <c r="T526" s="12" t="n">
        <v>586</v>
      </c>
      <c r="U526" s="14" t="s">
        <v>97</v>
      </c>
      <c r="V526" s="15"/>
      <c r="W526" s="16" t="str">
        <f aca="false">A526</f>
        <v>AK</v>
      </c>
      <c r="X526" s="17" t="e">
        <f aca="false">ifs(C526="","",X526="",NOW(),TRUE(),X526)</f>
        <v>#VALUE!</v>
      </c>
      <c r="Y526" s="17" t="e">
        <f aca="false">ifs(COUNTA(K526:U529)&lt;44,"",Y526="",NOW(),TRUE(),Y526)</f>
        <v>#VALUE!</v>
      </c>
    </row>
    <row r="527" customFormat="false" ht="14.15" hidden="false" customHeight="false" outlineLevel="0" collapsed="false">
      <c r="A527" s="9"/>
      <c r="B527" s="10"/>
      <c r="C527" s="10"/>
      <c r="D527" s="10"/>
      <c r="E527" s="10"/>
      <c r="F527" s="10"/>
      <c r="G527" s="10"/>
      <c r="H527" s="10"/>
      <c r="I527" s="18" t="n">
        <v>2</v>
      </c>
      <c r="J527" s="18" t="s">
        <v>46</v>
      </c>
      <c r="K527" s="19" t="n">
        <f aca="false">44.29</f>
        <v>44.29</v>
      </c>
      <c r="L527" s="19" t="n">
        <f aca="false">131.79</f>
        <v>131.79</v>
      </c>
      <c r="M527" s="18" t="n">
        <v>20</v>
      </c>
      <c r="N527" s="18" t="n">
        <v>28</v>
      </c>
      <c r="O527" s="18" t="n">
        <v>114.5</v>
      </c>
      <c r="P527" s="19" t="n">
        <f aca="false">26.91</f>
        <v>26.91</v>
      </c>
      <c r="Q527" s="19" t="n">
        <f aca="false">155.08</f>
        <v>155.08</v>
      </c>
      <c r="R527" s="18" t="n">
        <v>14.2</v>
      </c>
      <c r="S527" s="18" t="n">
        <v>18.7</v>
      </c>
      <c r="T527" s="18" t="n">
        <v>510</v>
      </c>
      <c r="U527" s="20" t="s">
        <v>97</v>
      </c>
      <c r="V527" s="21"/>
      <c r="W527" s="16"/>
      <c r="X527" s="16"/>
      <c r="Y527" s="16"/>
    </row>
    <row r="528" customFormat="false" ht="14.15" hidden="false" customHeight="false" outlineLevel="0" collapsed="false">
      <c r="A528" s="9"/>
      <c r="B528" s="10"/>
      <c r="C528" s="10"/>
      <c r="D528" s="10"/>
      <c r="E528" s="10"/>
      <c r="F528" s="10"/>
      <c r="G528" s="10"/>
      <c r="H528" s="10"/>
      <c r="I528" s="22" t="n">
        <v>3</v>
      </c>
      <c r="J528" s="22" t="s">
        <v>49</v>
      </c>
      <c r="K528" s="23" t="n">
        <f aca="false">42.29</f>
        <v>42.29</v>
      </c>
      <c r="L528" s="23" t="n">
        <f aca="false">118.77</f>
        <v>118.77</v>
      </c>
      <c r="M528" s="22" t="n">
        <v>16</v>
      </c>
      <c r="N528" s="22" t="n">
        <v>30</v>
      </c>
      <c r="O528" s="22" t="n">
        <v>99.4</v>
      </c>
      <c r="P528" s="23" t="n">
        <f aca="false">26</f>
        <v>26</v>
      </c>
      <c r="Q528" s="23" t="n">
        <f aca="false">143.72</f>
        <v>143.72</v>
      </c>
      <c r="R528" s="22" t="n">
        <v>12.7</v>
      </c>
      <c r="S528" s="22" t="n">
        <v>19.7</v>
      </c>
      <c r="T528" s="22" t="n">
        <v>436</v>
      </c>
      <c r="U528" s="24" t="s">
        <v>97</v>
      </c>
      <c r="V528" s="15"/>
      <c r="W528" s="16"/>
      <c r="X528" s="16"/>
      <c r="Y528" s="16"/>
    </row>
    <row r="529" customFormat="false" ht="14.15" hidden="false" customHeight="false" outlineLevel="0" collapsed="false">
      <c r="A529" s="9"/>
      <c r="B529" s="10"/>
      <c r="C529" s="10"/>
      <c r="D529" s="10"/>
      <c r="E529" s="10"/>
      <c r="F529" s="10"/>
      <c r="G529" s="10"/>
      <c r="H529" s="10"/>
      <c r="I529" s="25" t="n">
        <v>4</v>
      </c>
      <c r="J529" s="25" t="s">
        <v>46</v>
      </c>
      <c r="K529" s="26" t="n">
        <f aca="false">44.89</f>
        <v>44.89</v>
      </c>
      <c r="L529" s="26" t="n">
        <f aca="false">149.29</f>
        <v>149.29</v>
      </c>
      <c r="M529" s="25" t="n">
        <v>18</v>
      </c>
      <c r="N529" s="25" t="n">
        <v>36</v>
      </c>
      <c r="O529" s="25" t="n">
        <v>131.5</v>
      </c>
      <c r="P529" s="26" t="n">
        <f aca="false">29.47</f>
        <v>29.47</v>
      </c>
      <c r="Q529" s="26" t="n">
        <f aca="false">166.25</f>
        <v>166.25</v>
      </c>
      <c r="R529" s="25" t="n">
        <v>17</v>
      </c>
      <c r="S529" s="25" t="n">
        <v>19.2</v>
      </c>
      <c r="T529" s="25" t="n">
        <v>586</v>
      </c>
      <c r="U529" s="27" t="s">
        <v>97</v>
      </c>
      <c r="V529" s="21"/>
      <c r="W529" s="16"/>
      <c r="X529" s="16"/>
      <c r="Y529" s="16"/>
    </row>
    <row r="530" customFormat="false" ht="15.75" hidden="false" customHeight="true" outlineLevel="0" collapsed="false">
      <c r="A530" s="9" t="s">
        <v>194</v>
      </c>
      <c r="B530" s="10" t="s">
        <v>176</v>
      </c>
      <c r="C530" s="11" t="s">
        <v>195</v>
      </c>
      <c r="D530" s="10" t="s">
        <v>28</v>
      </c>
      <c r="E530" s="10" t="s">
        <v>28</v>
      </c>
      <c r="F530" s="10"/>
      <c r="G530" s="10" t="n">
        <v>45</v>
      </c>
      <c r="H530" s="10" t="n">
        <v>11.08</v>
      </c>
      <c r="I530" s="12" t="n">
        <v>1</v>
      </c>
      <c r="J530" s="12" t="s">
        <v>47</v>
      </c>
      <c r="K530" s="13" t="n">
        <f aca="false">43.71</f>
        <v>43.71</v>
      </c>
      <c r="L530" s="13" t="n">
        <f aca="false">123.05</f>
        <v>123.05</v>
      </c>
      <c r="M530" s="12" t="n">
        <v>14</v>
      </c>
      <c r="N530" s="12" t="n">
        <v>33</v>
      </c>
      <c r="O530" s="12" t="n">
        <v>119.26</v>
      </c>
      <c r="P530" s="13" t="n">
        <f aca="false">26.52</f>
        <v>26.52</v>
      </c>
      <c r="Q530" s="13" t="n">
        <f aca="false">153.84</f>
        <v>153.84</v>
      </c>
      <c r="R530" s="12" t="n">
        <v>15.57</v>
      </c>
      <c r="S530" s="12" t="n">
        <v>27.75</v>
      </c>
      <c r="T530" s="12" t="n">
        <v>372</v>
      </c>
      <c r="U530" s="14" t="s">
        <v>97</v>
      </c>
      <c r="V530" s="15"/>
      <c r="W530" s="16" t="str">
        <f aca="false">A530</f>
        <v>NN</v>
      </c>
      <c r="X530" s="17" t="e">
        <f aca="false">ifs(C530="","",X530="",NOW(),TRUE(),X530)</f>
        <v>#VALUE!</v>
      </c>
      <c r="Y530" s="17" t="e">
        <f aca="false">ifs(COUNTA(K530:U533)&lt;44,"",Y530="",NOW(),TRUE(),Y530)</f>
        <v>#VALUE!</v>
      </c>
    </row>
    <row r="531" customFormat="false" ht="14.15" hidden="false" customHeight="false" outlineLevel="0" collapsed="false">
      <c r="A531" s="9"/>
      <c r="B531" s="10"/>
      <c r="C531" s="10"/>
      <c r="D531" s="10"/>
      <c r="E531" s="10"/>
      <c r="F531" s="10"/>
      <c r="G531" s="10"/>
      <c r="H531" s="10"/>
      <c r="I531" s="18" t="n">
        <v>2</v>
      </c>
      <c r="J531" s="18" t="s">
        <v>47</v>
      </c>
      <c r="K531" s="19" t="n">
        <f aca="false">43.14</f>
        <v>43.14</v>
      </c>
      <c r="L531" s="19" t="n">
        <f aca="false">112.31</f>
        <v>112.31</v>
      </c>
      <c r="M531" s="18" t="n">
        <v>14</v>
      </c>
      <c r="N531" s="18" t="n">
        <v>37</v>
      </c>
      <c r="O531" s="18" t="n">
        <v>102.89</v>
      </c>
      <c r="P531" s="19" t="n">
        <f aca="false">25.04</f>
        <v>25.04</v>
      </c>
      <c r="Q531" s="19" t="n">
        <f aca="false">144</f>
        <v>144</v>
      </c>
      <c r="R531" s="18" t="n">
        <v>12.45</v>
      </c>
      <c r="S531" s="18" t="n">
        <v>26.43</v>
      </c>
      <c r="T531" s="18" t="n">
        <v>346</v>
      </c>
      <c r="U531" s="20" t="s">
        <v>97</v>
      </c>
      <c r="V531" s="21"/>
      <c r="W531" s="16"/>
      <c r="X531" s="16"/>
      <c r="Y531" s="16"/>
    </row>
    <row r="532" customFormat="false" ht="14.15" hidden="false" customHeight="false" outlineLevel="0" collapsed="false">
      <c r="A532" s="9"/>
      <c r="B532" s="10"/>
      <c r="C532" s="10"/>
      <c r="D532" s="10"/>
      <c r="E532" s="10"/>
      <c r="F532" s="10"/>
      <c r="G532" s="10"/>
      <c r="H532" s="10"/>
      <c r="I532" s="22" t="n">
        <v>3</v>
      </c>
      <c r="J532" s="22"/>
      <c r="K532" s="23" t="n">
        <f aca="false">44.53</f>
        <v>44.53</v>
      </c>
      <c r="L532" s="23" t="n">
        <f aca="false">166.61</f>
        <v>166.61</v>
      </c>
      <c r="M532" s="22" t="n">
        <v>16</v>
      </c>
      <c r="N532" s="22" t="n">
        <v>40</v>
      </c>
      <c r="O532" s="22" t="n">
        <v>167.72</v>
      </c>
      <c r="P532" s="23" t="n">
        <f aca="false">27.3</f>
        <v>27.3</v>
      </c>
      <c r="Q532" s="23" t="n">
        <f aca="false">169.47</f>
        <v>169.47</v>
      </c>
      <c r="R532" s="22" t="n">
        <v>19.41</v>
      </c>
      <c r="S532" s="22" t="n">
        <v>25.85</v>
      </c>
      <c r="T532" s="22" t="n">
        <v>587</v>
      </c>
      <c r="U532" s="24" t="s">
        <v>97</v>
      </c>
      <c r="V532" s="15"/>
      <c r="W532" s="16"/>
      <c r="X532" s="16"/>
      <c r="Y532" s="16"/>
    </row>
    <row r="533" customFormat="false" ht="14.15" hidden="false" customHeight="false" outlineLevel="0" collapsed="false">
      <c r="A533" s="9"/>
      <c r="B533" s="10"/>
      <c r="C533" s="10"/>
      <c r="D533" s="10"/>
      <c r="E533" s="10"/>
      <c r="F533" s="10"/>
      <c r="G533" s="10"/>
      <c r="H533" s="10"/>
      <c r="I533" s="25" t="n">
        <v>4</v>
      </c>
      <c r="J533" s="25"/>
      <c r="K533" s="26" t="n">
        <f aca="false">46.84</f>
        <v>46.84</v>
      </c>
      <c r="L533" s="26" t="n">
        <f aca="false">158.76</f>
        <v>158.76</v>
      </c>
      <c r="M533" s="25" t="n">
        <v>16</v>
      </c>
      <c r="N533" s="25" t="n">
        <v>40</v>
      </c>
      <c r="O533" s="25" t="n">
        <v>172.37</v>
      </c>
      <c r="P533" s="26" t="n">
        <f aca="false">27.25</f>
        <v>27.25</v>
      </c>
      <c r="Q533" s="26" t="n">
        <f aca="false">161.82</f>
        <v>161.82</v>
      </c>
      <c r="R533" s="25" t="n">
        <v>19.81</v>
      </c>
      <c r="S533" s="25" t="n">
        <v>25.74</v>
      </c>
      <c r="T533" s="25" t="n">
        <v>592</v>
      </c>
      <c r="U533" s="27" t="s">
        <v>97</v>
      </c>
      <c r="V533" s="21"/>
      <c r="W533" s="16"/>
      <c r="X533" s="16"/>
      <c r="Y533" s="16"/>
    </row>
    <row r="534" customFormat="false" ht="15.75" hidden="false" customHeight="true" outlineLevel="0" collapsed="false">
      <c r="A534" s="9" t="s">
        <v>194</v>
      </c>
      <c r="B534" s="10" t="s">
        <v>176</v>
      </c>
      <c r="C534" s="11" t="s">
        <v>196</v>
      </c>
      <c r="D534" s="10" t="s">
        <v>28</v>
      </c>
      <c r="E534" s="10" t="s">
        <v>28</v>
      </c>
      <c r="F534" s="10"/>
      <c r="G534" s="10" t="n">
        <v>15</v>
      </c>
      <c r="H534" s="10" t="n">
        <v>3.89</v>
      </c>
      <c r="I534" s="12" t="n">
        <v>1</v>
      </c>
      <c r="J534" s="12"/>
      <c r="K534" s="13" t="n">
        <f aca="false">44.73</f>
        <v>44.73</v>
      </c>
      <c r="L534" s="13" t="n">
        <f aca="false">149.31</f>
        <v>149.31</v>
      </c>
      <c r="M534" s="12" t="n">
        <v>14</v>
      </c>
      <c r="N534" s="12" t="n">
        <v>37</v>
      </c>
      <c r="O534" s="12" t="n">
        <v>154.69</v>
      </c>
      <c r="P534" s="13" t="n">
        <f aca="false">25.63</f>
        <v>25.63</v>
      </c>
      <c r="Q534" s="13" t="n">
        <f aca="false">153.29</f>
        <v>153.29</v>
      </c>
      <c r="R534" s="12" t="n">
        <v>18.97</v>
      </c>
      <c r="S534" s="12" t="n">
        <v>29.01</v>
      </c>
      <c r="T534" s="12" t="n">
        <v>475</v>
      </c>
      <c r="U534" s="14" t="s">
        <v>197</v>
      </c>
      <c r="V534" s="15"/>
      <c r="W534" s="16" t="str">
        <f aca="false">A534</f>
        <v>NN</v>
      </c>
      <c r="X534" s="17" t="e">
        <f aca="false">ifs(C534="","",X534="",NOW(),TRUE(),X534)</f>
        <v>#VALUE!</v>
      </c>
      <c r="Y534" s="17" t="e">
        <f aca="false">ifs(COUNTA(K534:U537)&lt;44,"",Y534="",NOW(),TRUE(),Y534)</f>
        <v>#VALUE!</v>
      </c>
    </row>
    <row r="535" customFormat="false" ht="14.15" hidden="false" customHeight="false" outlineLevel="0" collapsed="false">
      <c r="A535" s="9"/>
      <c r="B535" s="10"/>
      <c r="C535" s="10"/>
      <c r="D535" s="10"/>
      <c r="E535" s="10"/>
      <c r="F535" s="10"/>
      <c r="G535" s="10"/>
      <c r="H535" s="10"/>
      <c r="I535" s="18" t="n">
        <v>2</v>
      </c>
      <c r="J535" s="18"/>
      <c r="K535" s="19" t="n">
        <f aca="false">46.18</f>
        <v>46.18</v>
      </c>
      <c r="L535" s="19" t="n">
        <f aca="false">150.59</f>
        <v>150.59</v>
      </c>
      <c r="M535" s="18" t="n">
        <v>14</v>
      </c>
      <c r="N535" s="18" t="n">
        <v>37</v>
      </c>
      <c r="O535" s="18" t="n">
        <v>152.34</v>
      </c>
      <c r="P535" s="19" t="n">
        <f aca="false">25.3</f>
        <v>25.3</v>
      </c>
      <c r="Q535" s="19" t="n">
        <f aca="false">158.45</f>
        <v>158.45</v>
      </c>
      <c r="R535" s="18" t="n">
        <v>18.67</v>
      </c>
      <c r="S535" s="18" t="n">
        <v>27.38</v>
      </c>
      <c r="T535" s="18" t="n">
        <v>489</v>
      </c>
      <c r="U535" s="20" t="s">
        <v>41</v>
      </c>
      <c r="V535" s="21"/>
      <c r="W535" s="16"/>
      <c r="X535" s="16"/>
      <c r="Y535" s="16"/>
    </row>
    <row r="536" customFormat="false" ht="14.15" hidden="false" customHeight="false" outlineLevel="0" collapsed="false">
      <c r="A536" s="9"/>
      <c r="B536" s="10"/>
      <c r="C536" s="10"/>
      <c r="D536" s="10"/>
      <c r="E536" s="10"/>
      <c r="F536" s="10"/>
      <c r="G536" s="10"/>
      <c r="H536" s="10"/>
      <c r="I536" s="22" t="n">
        <v>3</v>
      </c>
      <c r="J536" s="22"/>
      <c r="K536" s="23" t="n">
        <f aca="false">46.29</f>
        <v>46.29</v>
      </c>
      <c r="L536" s="23" t="n">
        <f aca="false">151.54</f>
        <v>151.54</v>
      </c>
      <c r="M536" s="22" t="n">
        <v>14</v>
      </c>
      <c r="N536" s="22" t="n">
        <v>39</v>
      </c>
      <c r="O536" s="22" t="n">
        <v>164.86</v>
      </c>
      <c r="P536" s="23" t="n">
        <f aca="false">26.18</f>
        <v>26.18</v>
      </c>
      <c r="Q536" s="23" t="n">
        <f aca="false">155.8</f>
        <v>155.8</v>
      </c>
      <c r="R536" s="22" t="n">
        <v>20.92</v>
      </c>
      <c r="S536" s="22" t="n">
        <v>28.96</v>
      </c>
      <c r="T536" s="22" t="n">
        <v>499</v>
      </c>
      <c r="U536" s="24" t="s">
        <v>97</v>
      </c>
      <c r="V536" s="15"/>
      <c r="W536" s="16"/>
      <c r="X536" s="16"/>
      <c r="Y536" s="16"/>
    </row>
    <row r="537" customFormat="false" ht="14.15" hidden="false" customHeight="false" outlineLevel="0" collapsed="false">
      <c r="A537" s="9"/>
      <c r="B537" s="10"/>
      <c r="C537" s="10"/>
      <c r="D537" s="10"/>
      <c r="E537" s="10"/>
      <c r="F537" s="10"/>
      <c r="G537" s="10"/>
      <c r="H537" s="10"/>
      <c r="I537" s="25" t="n">
        <v>4</v>
      </c>
      <c r="J537" s="25"/>
      <c r="K537" s="26" t="n">
        <f aca="false">44.18</f>
        <v>44.18</v>
      </c>
      <c r="L537" s="26" t="n">
        <f aca="false">115.68</f>
        <v>115.68</v>
      </c>
      <c r="M537" s="25" t="n">
        <v>12</v>
      </c>
      <c r="N537" s="25" t="n">
        <v>30</v>
      </c>
      <c r="O537" s="25" t="n">
        <v>109.29</v>
      </c>
      <c r="P537" s="26" t="n">
        <f aca="false">22.65</f>
        <v>22.65</v>
      </c>
      <c r="Q537" s="26" t="n">
        <f aca="false">127.65</f>
        <v>127.65</v>
      </c>
      <c r="R537" s="25" t="n">
        <v>13.87</v>
      </c>
      <c r="S537" s="25" t="n">
        <v>30.53</v>
      </c>
      <c r="T537" s="25" t="n">
        <v>307</v>
      </c>
      <c r="U537" s="27" t="s">
        <v>41</v>
      </c>
      <c r="V537" s="21"/>
      <c r="W537" s="16"/>
      <c r="X537" s="16"/>
      <c r="Y537" s="16"/>
    </row>
    <row r="538" customFormat="false" ht="15.75" hidden="false" customHeight="true" outlineLevel="0" collapsed="false">
      <c r="A538" s="9" t="s">
        <v>158</v>
      </c>
      <c r="B538" s="10" t="s">
        <v>26</v>
      </c>
      <c r="C538" s="11" t="s">
        <v>198</v>
      </c>
      <c r="D538" s="10" t="s">
        <v>28</v>
      </c>
      <c r="E538" s="10" t="s">
        <v>28</v>
      </c>
      <c r="F538" s="10"/>
      <c r="G538" s="10" t="n">
        <v>12</v>
      </c>
      <c r="H538" s="10" t="n">
        <v>2.6</v>
      </c>
      <c r="I538" s="12" t="n">
        <v>1</v>
      </c>
      <c r="J538" s="12" t="s">
        <v>57</v>
      </c>
      <c r="K538" s="13" t="n">
        <f aca="false">47.2</f>
        <v>47.2</v>
      </c>
      <c r="L538" s="13" t="n">
        <f aca="false">152.62</f>
        <v>152.62</v>
      </c>
      <c r="M538" s="12" t="n">
        <v>18</v>
      </c>
      <c r="N538" s="12" t="n">
        <v>34</v>
      </c>
      <c r="O538" s="12" t="n">
        <v>172.7</v>
      </c>
      <c r="P538" s="13" t="n">
        <f aca="false">28.22</f>
        <v>28.22</v>
      </c>
      <c r="Q538" s="13" t="n">
        <f aca="false">173.14</f>
        <v>173.14</v>
      </c>
      <c r="R538" s="12" t="n">
        <v>23</v>
      </c>
      <c r="S538" s="12" t="n">
        <v>26.6</v>
      </c>
      <c r="T538" s="12" t="n">
        <v>575</v>
      </c>
      <c r="U538" s="14" t="s">
        <v>97</v>
      </c>
      <c r="V538" s="15"/>
      <c r="W538" s="16" t="str">
        <f aca="false">A538</f>
        <v>AK</v>
      </c>
      <c r="X538" s="17" t="e">
        <f aca="false">ifs(C538="","",X538="",NOW(),TRUE(),X538)</f>
        <v>#VALUE!</v>
      </c>
      <c r="Y538" s="17" t="e">
        <f aca="false">ifs(COUNTA(K538:U541)&lt;44,"",Y538="",NOW(),TRUE(),Y538)</f>
        <v>#VALUE!</v>
      </c>
    </row>
    <row r="539" customFormat="false" ht="14.15" hidden="false" customHeight="false" outlineLevel="0" collapsed="false">
      <c r="A539" s="9"/>
      <c r="B539" s="10"/>
      <c r="C539" s="10"/>
      <c r="D539" s="10"/>
      <c r="E539" s="10"/>
      <c r="F539" s="10"/>
      <c r="G539" s="10"/>
      <c r="H539" s="10"/>
      <c r="I539" s="18" t="n">
        <v>2</v>
      </c>
      <c r="J539" s="18" t="s">
        <v>46</v>
      </c>
      <c r="K539" s="19" t="n">
        <f aca="false">45.43</f>
        <v>45.43</v>
      </c>
      <c r="L539" s="19" t="n">
        <f aca="false">151.11</f>
        <v>151.11</v>
      </c>
      <c r="M539" s="18" t="n">
        <v>18</v>
      </c>
      <c r="N539" s="18" t="n">
        <v>33</v>
      </c>
      <c r="O539" s="18" t="n">
        <v>165.7</v>
      </c>
      <c r="P539" s="19" t="n">
        <f aca="false">28.88</f>
        <v>28.88</v>
      </c>
      <c r="Q539" s="19" t="n">
        <f aca="false">176.04</f>
        <v>176.04</v>
      </c>
      <c r="R539" s="18" t="n">
        <v>24.8</v>
      </c>
      <c r="S539" s="18" t="n">
        <v>27</v>
      </c>
      <c r="T539" s="18" t="n">
        <v>556</v>
      </c>
      <c r="U539" s="20" t="s">
        <v>97</v>
      </c>
      <c r="V539" s="21"/>
      <c r="W539" s="16"/>
      <c r="X539" s="16"/>
      <c r="Y539" s="16"/>
    </row>
    <row r="540" customFormat="false" ht="14.15" hidden="false" customHeight="false" outlineLevel="0" collapsed="false">
      <c r="A540" s="9"/>
      <c r="B540" s="10"/>
      <c r="C540" s="10"/>
      <c r="D540" s="10"/>
      <c r="E540" s="10"/>
      <c r="F540" s="10"/>
      <c r="G540" s="10"/>
      <c r="H540" s="10"/>
      <c r="I540" s="22" t="n">
        <v>3</v>
      </c>
      <c r="J540" s="22" t="s">
        <v>46</v>
      </c>
      <c r="K540" s="23" t="n">
        <f aca="false">40.64</f>
        <v>40.64</v>
      </c>
      <c r="L540" s="23" t="n">
        <f aca="false">115.9</f>
        <v>115.9</v>
      </c>
      <c r="M540" s="22" t="n">
        <v>14</v>
      </c>
      <c r="N540" s="22" t="n">
        <v>28</v>
      </c>
      <c r="O540" s="22" t="n">
        <v>87.3</v>
      </c>
      <c r="P540" s="23" t="n">
        <f aca="false">25.69</f>
        <v>25.69</v>
      </c>
      <c r="Q540" s="23" t="n">
        <f aca="false">131.3</f>
        <v>131.3</v>
      </c>
      <c r="R540" s="22" t="n">
        <v>11.7</v>
      </c>
      <c r="S540" s="22" t="n">
        <v>25.45</v>
      </c>
      <c r="T540" s="22" t="n">
        <v>303</v>
      </c>
      <c r="U540" s="24" t="s">
        <v>97</v>
      </c>
      <c r="V540" s="15"/>
      <c r="W540" s="16"/>
      <c r="X540" s="16"/>
      <c r="Y540" s="16"/>
    </row>
    <row r="541" customFormat="false" ht="14.15" hidden="false" customHeight="false" outlineLevel="0" collapsed="false">
      <c r="A541" s="9"/>
      <c r="B541" s="10"/>
      <c r="C541" s="10"/>
      <c r="D541" s="10"/>
      <c r="E541" s="10"/>
      <c r="F541" s="10"/>
      <c r="G541" s="10"/>
      <c r="H541" s="10"/>
      <c r="I541" s="25" t="n">
        <v>4</v>
      </c>
      <c r="J541" s="25" t="s">
        <v>35</v>
      </c>
      <c r="K541" s="26" t="n">
        <f aca="false">42.62</f>
        <v>42.62</v>
      </c>
      <c r="L541" s="26" t="n">
        <f aca="false">59.44</f>
        <v>59.44</v>
      </c>
      <c r="M541" s="25" t="n">
        <v>18</v>
      </c>
      <c r="N541" s="25" t="n">
        <v>13</v>
      </c>
      <c r="O541" s="25" t="n">
        <v>54.5</v>
      </c>
      <c r="P541" s="26" t="n">
        <f aca="false">29.34</f>
        <v>29.34</v>
      </c>
      <c r="Q541" s="26" t="n">
        <f aca="false">61.16</f>
        <v>61.16</v>
      </c>
      <c r="R541" s="25" t="n">
        <v>7.55</v>
      </c>
      <c r="S541" s="25" t="n">
        <v>31.9</v>
      </c>
      <c r="T541" s="25" t="n">
        <v>148</v>
      </c>
      <c r="U541" s="27" t="s">
        <v>97</v>
      </c>
      <c r="V541" s="21"/>
      <c r="W541" s="16"/>
      <c r="X541" s="16"/>
      <c r="Y541" s="16"/>
    </row>
    <row r="542" customFormat="false" ht="15.75" hidden="false" customHeight="true" outlineLevel="0" collapsed="false">
      <c r="A542" s="9" t="s">
        <v>194</v>
      </c>
      <c r="B542" s="10" t="s">
        <v>176</v>
      </c>
      <c r="C542" s="11" t="s">
        <v>199</v>
      </c>
      <c r="D542" s="10" t="s">
        <v>28</v>
      </c>
      <c r="E542" s="10" t="s">
        <v>28</v>
      </c>
      <c r="F542" s="10"/>
      <c r="G542" s="10" t="n">
        <v>11</v>
      </c>
      <c r="H542" s="10" t="n">
        <v>2.97</v>
      </c>
      <c r="I542" s="12" t="n">
        <v>1</v>
      </c>
      <c r="J542" s="12"/>
      <c r="K542" s="13" t="n">
        <f aca="false">41.98</f>
        <v>41.98</v>
      </c>
      <c r="L542" s="13" t="n">
        <f aca="false">142.08</f>
        <v>142.08</v>
      </c>
      <c r="M542" s="12" t="n">
        <v>16</v>
      </c>
      <c r="N542" s="12" t="n">
        <v>35</v>
      </c>
      <c r="O542" s="12" t="n">
        <v>131.54</v>
      </c>
      <c r="P542" s="13" t="n">
        <f aca="false">24.73</f>
        <v>24.73</v>
      </c>
      <c r="Q542" s="13" t="n">
        <f aca="false">153.41</f>
        <v>153.41</v>
      </c>
      <c r="R542" s="12" t="n">
        <v>14.88</v>
      </c>
      <c r="S542" s="12" t="n">
        <v>23.03</v>
      </c>
      <c r="T542" s="12" t="n">
        <v>508</v>
      </c>
      <c r="U542" s="14" t="s">
        <v>29</v>
      </c>
      <c r="V542" s="15"/>
      <c r="W542" s="16" t="str">
        <f aca="false">A542</f>
        <v>NN</v>
      </c>
      <c r="X542" s="17" t="e">
        <f aca="false">ifs(C542="","",X542="",NOW(),TRUE(),X542)</f>
        <v>#VALUE!</v>
      </c>
      <c r="Y542" s="17" t="e">
        <f aca="false">ifs(COUNTA(K542:U545)&lt;44,"",Y542="",NOW(),TRUE(),Y542)</f>
        <v>#VALUE!</v>
      </c>
    </row>
    <row r="543" customFormat="false" ht="14.15" hidden="false" customHeight="false" outlineLevel="0" collapsed="false">
      <c r="A543" s="9"/>
      <c r="B543" s="10"/>
      <c r="C543" s="10"/>
      <c r="D543" s="10"/>
      <c r="E543" s="10"/>
      <c r="F543" s="10"/>
      <c r="G543" s="10"/>
      <c r="H543" s="10"/>
      <c r="I543" s="18" t="n">
        <v>2</v>
      </c>
      <c r="J543" s="18"/>
      <c r="K543" s="19" t="n">
        <f aca="false">43.32</f>
        <v>43.32</v>
      </c>
      <c r="L543" s="19" t="n">
        <f aca="false">156.85</f>
        <v>156.85</v>
      </c>
      <c r="M543" s="18" t="n">
        <v>16</v>
      </c>
      <c r="N543" s="18" t="n">
        <v>35</v>
      </c>
      <c r="O543" s="18" t="n">
        <v>146.28</v>
      </c>
      <c r="P543" s="19" t="n">
        <f aca="false">25.38</f>
        <v>25.38</v>
      </c>
      <c r="Q543" s="19" t="n">
        <f aca="false">166.24</f>
        <v>166.24</v>
      </c>
      <c r="R543" s="18" t="n">
        <v>15.72</v>
      </c>
      <c r="S543" s="18" t="n">
        <v>24.76</v>
      </c>
      <c r="T543" s="18" t="n">
        <v>532</v>
      </c>
      <c r="U543" s="20" t="s">
        <v>29</v>
      </c>
      <c r="V543" s="21"/>
      <c r="W543" s="16"/>
      <c r="X543" s="16"/>
      <c r="Y543" s="16"/>
    </row>
    <row r="544" customFormat="false" ht="14.15" hidden="false" customHeight="false" outlineLevel="0" collapsed="false">
      <c r="A544" s="9"/>
      <c r="B544" s="10"/>
      <c r="C544" s="10"/>
      <c r="D544" s="10"/>
      <c r="E544" s="10"/>
      <c r="F544" s="10"/>
      <c r="G544" s="10"/>
      <c r="H544" s="10"/>
      <c r="I544" s="22" t="n">
        <v>3</v>
      </c>
      <c r="J544" s="22"/>
      <c r="K544" s="23" t="n">
        <f aca="false">40.34</f>
        <v>40.34</v>
      </c>
      <c r="L544" s="23" t="n">
        <f aca="false">123.75</f>
        <v>123.75</v>
      </c>
      <c r="M544" s="22" t="n">
        <v>12</v>
      </c>
      <c r="N544" s="22" t="n">
        <v>31</v>
      </c>
      <c r="O544" s="22" t="n">
        <v>105.74</v>
      </c>
      <c r="P544" s="23" t="n">
        <f aca="false">24.09</f>
        <v>24.09</v>
      </c>
      <c r="Q544" s="23" t="n">
        <f aca="false">138.63</f>
        <v>138.63</v>
      </c>
      <c r="R544" s="22" t="n">
        <v>13.23</v>
      </c>
      <c r="S544" s="22" t="n">
        <v>25.54</v>
      </c>
      <c r="T544" s="22" t="n">
        <v>372</v>
      </c>
      <c r="U544" s="24" t="s">
        <v>29</v>
      </c>
      <c r="V544" s="15"/>
      <c r="W544" s="16"/>
      <c r="X544" s="16"/>
      <c r="Y544" s="16"/>
    </row>
    <row r="545" customFormat="false" ht="14.15" hidden="false" customHeight="false" outlineLevel="0" collapsed="false">
      <c r="A545" s="9"/>
      <c r="B545" s="10"/>
      <c r="C545" s="10"/>
      <c r="D545" s="10"/>
      <c r="E545" s="10"/>
      <c r="F545" s="10"/>
      <c r="G545" s="10"/>
      <c r="H545" s="10"/>
      <c r="I545" s="25" t="n">
        <v>4</v>
      </c>
      <c r="J545" s="25"/>
      <c r="K545" s="26" t="n">
        <f aca="false">44.01</f>
        <v>44.01</v>
      </c>
      <c r="L545" s="26" t="n">
        <f aca="false">133.08</f>
        <v>133.08</v>
      </c>
      <c r="M545" s="25" t="n">
        <v>16</v>
      </c>
      <c r="N545" s="25" t="n">
        <v>31</v>
      </c>
      <c r="O545" s="25" t="n">
        <v>124.33</v>
      </c>
      <c r="P545" s="26" t="n">
        <f aca="false">25.83</f>
        <v>25.83</v>
      </c>
      <c r="Q545" s="26" t="n">
        <f aca="false">156.65</f>
        <v>156.65</v>
      </c>
      <c r="R545" s="25" t="n">
        <v>16.19</v>
      </c>
      <c r="S545" s="25" t="n">
        <v>22.4</v>
      </c>
      <c r="T545" s="25" t="n">
        <v>472</v>
      </c>
      <c r="U545" s="27" t="s">
        <v>29</v>
      </c>
      <c r="V545" s="21"/>
      <c r="W545" s="16"/>
      <c r="X545" s="16"/>
      <c r="Y545" s="16"/>
    </row>
    <row r="546" customFormat="false" ht="15.75" hidden="false" customHeight="true" outlineLevel="0" collapsed="false">
      <c r="A546" s="9" t="s">
        <v>194</v>
      </c>
      <c r="B546" s="10" t="s">
        <v>176</v>
      </c>
      <c r="C546" s="11" t="s">
        <v>200</v>
      </c>
      <c r="D546" s="10" t="s">
        <v>28</v>
      </c>
      <c r="E546" s="10" t="s">
        <v>28</v>
      </c>
      <c r="F546" s="10"/>
      <c r="G546" s="10" t="n">
        <v>7</v>
      </c>
      <c r="H546" s="10" t="n">
        <v>1.37</v>
      </c>
      <c r="I546" s="12" t="n">
        <v>1</v>
      </c>
      <c r="J546" s="12"/>
      <c r="K546" s="13" t="n">
        <f aca="false">46.17</f>
        <v>46.17</v>
      </c>
      <c r="L546" s="13" t="n">
        <f aca="false">189.42</f>
        <v>189.42</v>
      </c>
      <c r="M546" s="12" t="n">
        <v>14</v>
      </c>
      <c r="N546" s="12" t="n">
        <v>44</v>
      </c>
      <c r="O546" s="12" t="n">
        <v>178.06</v>
      </c>
      <c r="P546" s="13" t="n">
        <f aca="false">27.51</f>
        <v>27.51</v>
      </c>
      <c r="Q546" s="13" t="n">
        <f aca="false">199.53</f>
        <v>199.53</v>
      </c>
      <c r="R546" s="12" t="n">
        <v>26.95</v>
      </c>
      <c r="S546" s="12" t="n">
        <v>21.51</v>
      </c>
      <c r="T546" s="12" t="n">
        <v>624</v>
      </c>
      <c r="U546" s="14" t="s">
        <v>29</v>
      </c>
      <c r="V546" s="15"/>
      <c r="W546" s="16" t="str">
        <f aca="false">A546</f>
        <v>NN</v>
      </c>
      <c r="X546" s="17" t="e">
        <f aca="false">ifs(C546="","",X546="",NOW(),TRUE(),X546)</f>
        <v>#VALUE!</v>
      </c>
      <c r="Y546" s="17" t="e">
        <f aca="false">ifs(COUNTA(K546:U549)&lt;44,"",Y546="",NOW(),TRUE(),Y546)</f>
        <v>#VALUE!</v>
      </c>
    </row>
    <row r="547" customFormat="false" ht="14.15" hidden="false" customHeight="false" outlineLevel="0" collapsed="false">
      <c r="A547" s="9"/>
      <c r="B547" s="10"/>
      <c r="C547" s="10"/>
      <c r="D547" s="10"/>
      <c r="E547" s="10"/>
      <c r="F547" s="10"/>
      <c r="G547" s="10"/>
      <c r="H547" s="10"/>
      <c r="I547" s="18" t="n">
        <v>2</v>
      </c>
      <c r="J547" s="18"/>
      <c r="K547" s="19" t="n">
        <f aca="false">46.65</f>
        <v>46.65</v>
      </c>
      <c r="L547" s="19" t="n">
        <f aca="false">169.12</f>
        <v>169.12</v>
      </c>
      <c r="M547" s="18" t="n">
        <v>13</v>
      </c>
      <c r="N547" s="18" t="n">
        <v>46</v>
      </c>
      <c r="O547" s="18" t="n">
        <v>170.93</v>
      </c>
      <c r="P547" s="19" t="n">
        <f aca="false">28.67</f>
        <v>28.67</v>
      </c>
      <c r="Q547" s="19" t="n">
        <f aca="false">177.47</f>
        <v>177.47</v>
      </c>
      <c r="R547" s="18" t="n">
        <v>28.09</v>
      </c>
      <c r="S547" s="18" t="n">
        <v>23.77</v>
      </c>
      <c r="T547" s="18" t="n">
        <v>711</v>
      </c>
      <c r="U547" s="20" t="s">
        <v>29</v>
      </c>
      <c r="V547" s="21"/>
      <c r="W547" s="16"/>
      <c r="X547" s="16"/>
      <c r="Y547" s="16"/>
    </row>
    <row r="548" customFormat="false" ht="14.15" hidden="false" customHeight="false" outlineLevel="0" collapsed="false">
      <c r="A548" s="9"/>
      <c r="B548" s="10"/>
      <c r="C548" s="10"/>
      <c r="D548" s="10"/>
      <c r="E548" s="10"/>
      <c r="F548" s="10"/>
      <c r="G548" s="10"/>
      <c r="H548" s="10"/>
      <c r="I548" s="22" t="n">
        <v>3</v>
      </c>
      <c r="J548" s="22"/>
      <c r="K548" s="23" t="n">
        <f aca="false">47.37</f>
        <v>47.37</v>
      </c>
      <c r="L548" s="23" t="n">
        <f aca="false">204.19</f>
        <v>204.19</v>
      </c>
      <c r="M548" s="22" t="n">
        <v>16</v>
      </c>
      <c r="N548" s="22" t="n">
        <v>49</v>
      </c>
      <c r="O548" s="22" t="n">
        <v>221.17</v>
      </c>
      <c r="P548" s="23" t="n">
        <f aca="false">28.22</f>
        <v>28.22</v>
      </c>
      <c r="Q548" s="23" t="n">
        <f aca="false">205.52</f>
        <v>205.52</v>
      </c>
      <c r="R548" s="22" t="n">
        <v>31.18</v>
      </c>
      <c r="S548" s="22" t="n">
        <v>24.31</v>
      </c>
      <c r="T548" s="22" t="n">
        <v>784</v>
      </c>
      <c r="U548" s="24" t="s">
        <v>29</v>
      </c>
      <c r="V548" s="15"/>
      <c r="W548" s="16"/>
      <c r="X548" s="16"/>
      <c r="Y548" s="16"/>
    </row>
    <row r="549" customFormat="false" ht="14.15" hidden="false" customHeight="false" outlineLevel="0" collapsed="false">
      <c r="A549" s="9"/>
      <c r="B549" s="10"/>
      <c r="C549" s="10"/>
      <c r="D549" s="10"/>
      <c r="E549" s="10"/>
      <c r="F549" s="10"/>
      <c r="G549" s="10"/>
      <c r="H549" s="10"/>
      <c r="I549" s="25" t="n">
        <v>4</v>
      </c>
      <c r="J549" s="25"/>
      <c r="K549" s="26" t="n">
        <f aca="false">44.55</f>
        <v>44.55</v>
      </c>
      <c r="L549" s="26" t="n">
        <f aca="false">153.59</f>
        <v>153.59</v>
      </c>
      <c r="M549" s="25" t="n">
        <v>14</v>
      </c>
      <c r="N549" s="25" t="n">
        <v>43</v>
      </c>
      <c r="O549" s="25" t="n">
        <v>155.05</v>
      </c>
      <c r="P549" s="26" t="n">
        <f aca="false">26.96</f>
        <v>26.96</v>
      </c>
      <c r="Q549" s="26" t="n">
        <f aca="false">171.45</f>
        <v>171.45</v>
      </c>
      <c r="R549" s="25" t="n">
        <v>21.48</v>
      </c>
      <c r="S549" s="25" t="n">
        <v>24.14</v>
      </c>
      <c r="T549" s="25" t="n">
        <v>534</v>
      </c>
      <c r="U549" s="27" t="s">
        <v>29</v>
      </c>
      <c r="V549" s="21"/>
      <c r="W549" s="16"/>
      <c r="X549" s="16"/>
      <c r="Y549" s="16"/>
    </row>
    <row r="550" customFormat="false" ht="15.75" hidden="false" customHeight="true" outlineLevel="0" collapsed="false">
      <c r="A550" s="9" t="s">
        <v>194</v>
      </c>
      <c r="B550" s="10" t="s">
        <v>44</v>
      </c>
      <c r="C550" s="11" t="s">
        <v>201</v>
      </c>
      <c r="D550" s="10" t="s">
        <v>28</v>
      </c>
      <c r="E550" s="10" t="s">
        <v>28</v>
      </c>
      <c r="F550" s="10"/>
      <c r="G550" s="10" t="n">
        <v>5</v>
      </c>
      <c r="H550" s="10" t="n">
        <v>1.6</v>
      </c>
      <c r="I550" s="12" t="n">
        <v>1</v>
      </c>
      <c r="J550" s="12" t="s">
        <v>47</v>
      </c>
      <c r="K550" s="13" t="n">
        <f aca="false">49.93</f>
        <v>49.93</v>
      </c>
      <c r="L550" s="13" t="n">
        <f aca="false">149.38</f>
        <v>149.38</v>
      </c>
      <c r="M550" s="12" t="n">
        <v>16</v>
      </c>
      <c r="N550" s="12" t="n">
        <v>42</v>
      </c>
      <c r="O550" s="12" t="n">
        <v>206.4</v>
      </c>
      <c r="P550" s="13" t="n">
        <f aca="false">32.53</f>
        <v>32.53</v>
      </c>
      <c r="Q550" s="13" t="n">
        <f aca="false">179.61</f>
        <v>179.61</v>
      </c>
      <c r="R550" s="12" t="n">
        <v>37.2</v>
      </c>
      <c r="S550" s="12" t="n">
        <v>23.3</v>
      </c>
      <c r="T550" s="12" t="n">
        <v>711</v>
      </c>
      <c r="U550" s="14" t="s">
        <v>29</v>
      </c>
      <c r="V550" s="15"/>
      <c r="W550" s="16" t="str">
        <f aca="false">A550</f>
        <v>NN</v>
      </c>
      <c r="X550" s="17" t="e">
        <f aca="false">ifs(C550="","",X550="",NOW(),TRUE(),X550)</f>
        <v>#VALUE!</v>
      </c>
      <c r="Y550" s="17" t="e">
        <f aca="false">ifs(COUNTA(K550:U553)&lt;44,"",Y550="",NOW(),TRUE(),Y550)</f>
        <v>#VALUE!</v>
      </c>
    </row>
    <row r="551" customFormat="false" ht="14.15" hidden="false" customHeight="false" outlineLevel="0" collapsed="false">
      <c r="A551" s="9"/>
      <c r="B551" s="10"/>
      <c r="C551" s="10"/>
      <c r="D551" s="10"/>
      <c r="E551" s="10"/>
      <c r="F551" s="10"/>
      <c r="G551" s="10"/>
      <c r="H551" s="10"/>
      <c r="I551" s="18" t="n">
        <v>2</v>
      </c>
      <c r="J551" s="18"/>
      <c r="K551" s="19" t="n">
        <f aca="false">39.03</f>
        <v>39.03</v>
      </c>
      <c r="L551" s="19" t="n">
        <f aca="false">135.41</f>
        <v>135.41</v>
      </c>
      <c r="M551" s="18" t="n">
        <v>14</v>
      </c>
      <c r="N551" s="18" t="n">
        <v>36</v>
      </c>
      <c r="O551" s="18" t="n">
        <v>107.7</v>
      </c>
      <c r="P551" s="19" t="n">
        <f aca="false">25.79</f>
        <v>25.79</v>
      </c>
      <c r="Q551" s="19" t="n">
        <f aca="false">149.24</f>
        <v>149.24</v>
      </c>
      <c r="R551" s="18" t="n">
        <v>14.3</v>
      </c>
      <c r="S551" s="18" t="n">
        <v>20.1</v>
      </c>
      <c r="T551" s="18" t="n">
        <v>457</v>
      </c>
      <c r="U551" s="20" t="s">
        <v>58</v>
      </c>
      <c r="V551" s="21"/>
      <c r="W551" s="16"/>
      <c r="X551" s="16"/>
      <c r="Y551" s="16"/>
    </row>
    <row r="552" customFormat="false" ht="14.15" hidden="false" customHeight="false" outlineLevel="0" collapsed="false">
      <c r="A552" s="9"/>
      <c r="B552" s="10"/>
      <c r="C552" s="10"/>
      <c r="D552" s="10"/>
      <c r="E552" s="10"/>
      <c r="F552" s="10"/>
      <c r="G552" s="10"/>
      <c r="H552" s="10"/>
      <c r="I552" s="22" t="n">
        <v>3</v>
      </c>
      <c r="J552" s="22"/>
      <c r="K552" s="23" t="n">
        <f aca="false">38.56</f>
        <v>38.56</v>
      </c>
      <c r="L552" s="23" t="n">
        <f aca="false">155.3</f>
        <v>155.3</v>
      </c>
      <c r="M552" s="22" t="n">
        <v>12</v>
      </c>
      <c r="N552" s="22" t="n">
        <v>41</v>
      </c>
      <c r="O552" s="22" t="n">
        <v>144.3</v>
      </c>
      <c r="P552" s="23" t="n">
        <f aca="false">23.72</f>
        <v>23.72</v>
      </c>
      <c r="Q552" s="23" t="n">
        <f aca="false">171.15</f>
        <v>171.15</v>
      </c>
      <c r="R552" s="22" t="n">
        <v>17.4</v>
      </c>
      <c r="S552" s="22" t="n">
        <v>23.4</v>
      </c>
      <c r="T552" s="22" t="n">
        <v>509</v>
      </c>
      <c r="U552" s="24" t="s">
        <v>58</v>
      </c>
      <c r="V552" s="15"/>
      <c r="W552" s="16"/>
      <c r="X552" s="16"/>
      <c r="Y552" s="16"/>
    </row>
    <row r="553" customFormat="false" ht="14.15" hidden="false" customHeight="false" outlineLevel="0" collapsed="false">
      <c r="A553" s="9"/>
      <c r="B553" s="10"/>
      <c r="C553" s="10"/>
      <c r="D553" s="10"/>
      <c r="E553" s="10"/>
      <c r="F553" s="10"/>
      <c r="G553" s="10"/>
      <c r="H553" s="10"/>
      <c r="I553" s="25" t="n">
        <v>4</v>
      </c>
      <c r="J553" s="25"/>
      <c r="K553" s="26" t="n">
        <f aca="false">38.66</f>
        <v>38.66</v>
      </c>
      <c r="L553" s="26" t="n">
        <f aca="false">175.88</f>
        <v>175.88</v>
      </c>
      <c r="M553" s="25" t="n">
        <v>12</v>
      </c>
      <c r="N553" s="25" t="n">
        <v>41</v>
      </c>
      <c r="O553" s="25" t="n">
        <v>152.9</v>
      </c>
      <c r="P553" s="26" t="n">
        <f aca="false">22.91</f>
        <v>22.91</v>
      </c>
      <c r="Q553" s="26" t="n">
        <f aca="false">190.73</f>
        <v>190.73</v>
      </c>
      <c r="R553" s="25" t="n">
        <v>18.7</v>
      </c>
      <c r="S553" s="25" t="n">
        <v>24</v>
      </c>
      <c r="T553" s="25" t="n">
        <v>556</v>
      </c>
      <c r="U553" s="27" t="s">
        <v>58</v>
      </c>
      <c r="V553" s="21"/>
      <c r="W553" s="16"/>
      <c r="X553" s="16"/>
      <c r="Y553" s="16"/>
    </row>
    <row r="554" customFormat="false" ht="15.75" hidden="false" customHeight="true" outlineLevel="0" collapsed="false">
      <c r="A554" s="9" t="s">
        <v>194</v>
      </c>
      <c r="B554" s="10" t="s">
        <v>44</v>
      </c>
      <c r="C554" s="11" t="s">
        <v>202</v>
      </c>
      <c r="D554" s="10" t="s">
        <v>28</v>
      </c>
      <c r="E554" s="10" t="s">
        <v>28</v>
      </c>
      <c r="F554" s="10"/>
      <c r="G554" s="10" t="n">
        <v>2</v>
      </c>
      <c r="H554" s="10" t="n">
        <v>0.4</v>
      </c>
      <c r="I554" s="12" t="n">
        <v>1</v>
      </c>
      <c r="J554" s="12" t="s">
        <v>47</v>
      </c>
      <c r="K554" s="13" t="n">
        <f aca="false">41.17</f>
        <v>41.17</v>
      </c>
      <c r="L554" s="13" t="n">
        <f aca="false">116.67</f>
        <v>116.67</v>
      </c>
      <c r="M554" s="12" t="n">
        <v>12</v>
      </c>
      <c r="N554" s="12" t="n">
        <v>33</v>
      </c>
      <c r="O554" s="12" t="n">
        <v>97</v>
      </c>
      <c r="P554" s="13" t="n">
        <f aca="false">25.93</f>
        <v>25.93</v>
      </c>
      <c r="Q554" s="13" t="n">
        <f aca="false">151.98</f>
        <v>151.98</v>
      </c>
      <c r="R554" s="12" t="n">
        <v>15.2</v>
      </c>
      <c r="S554" s="12" t="n">
        <v>19.5</v>
      </c>
      <c r="T554" s="12" t="n">
        <v>396</v>
      </c>
      <c r="U554" s="14" t="s">
        <v>29</v>
      </c>
      <c r="V554" s="15"/>
      <c r="W554" s="16" t="str">
        <f aca="false">A554</f>
        <v>NN</v>
      </c>
      <c r="X554" s="17" t="e">
        <f aca="false">ifs(C554="","",X554="",NOW(),TRUE(),X554)</f>
        <v>#VALUE!</v>
      </c>
      <c r="Y554" s="17" t="e">
        <f aca="false">ifs(COUNTA(K554:U557)&lt;44,"",Y554="",NOW(),TRUE(),Y554)</f>
        <v>#VALUE!</v>
      </c>
    </row>
    <row r="555" customFormat="false" ht="14.15" hidden="false" customHeight="false" outlineLevel="0" collapsed="false">
      <c r="A555" s="9"/>
      <c r="B555" s="10"/>
      <c r="C555" s="10"/>
      <c r="D555" s="10"/>
      <c r="E555" s="10"/>
      <c r="F555" s="10"/>
      <c r="G555" s="10"/>
      <c r="H555" s="10"/>
      <c r="I555" s="18" t="n">
        <v>2</v>
      </c>
      <c r="J555" s="18"/>
      <c r="K555" s="19" t="n">
        <f aca="false">40.88</f>
        <v>40.88</v>
      </c>
      <c r="L555" s="19" t="n">
        <f aca="false">139.85</f>
        <v>139.85</v>
      </c>
      <c r="M555" s="18" t="n">
        <v>12</v>
      </c>
      <c r="N555" s="18" t="n">
        <v>37</v>
      </c>
      <c r="O555" s="18" t="n">
        <v>125.9</v>
      </c>
      <c r="P555" s="19" t="n">
        <f aca="false">25.53</f>
        <v>25.53</v>
      </c>
      <c r="Q555" s="19" t="n">
        <f aca="false">179.39</f>
        <v>179.39</v>
      </c>
      <c r="R555" s="18" t="n">
        <v>17.9</v>
      </c>
      <c r="S555" s="18" t="n">
        <v>22.9</v>
      </c>
      <c r="T555" s="18" t="n">
        <v>467</v>
      </c>
      <c r="U555" s="20" t="s">
        <v>29</v>
      </c>
      <c r="V555" s="21"/>
      <c r="W555" s="16"/>
      <c r="X555" s="16"/>
      <c r="Y555" s="16"/>
    </row>
    <row r="556" customFormat="false" ht="14.15" hidden="false" customHeight="false" outlineLevel="0" collapsed="false">
      <c r="A556" s="9"/>
      <c r="B556" s="10"/>
      <c r="C556" s="10"/>
      <c r="D556" s="10"/>
      <c r="E556" s="10"/>
      <c r="F556" s="10"/>
      <c r="G556" s="10"/>
      <c r="H556" s="10"/>
      <c r="I556" s="22" t="n">
        <v>3</v>
      </c>
      <c r="J556" s="22"/>
      <c r="K556" s="23" t="n">
        <f aca="false">44.28</f>
        <v>44.28</v>
      </c>
      <c r="L556" s="23" t="n">
        <f aca="false">154.69</f>
        <v>154.69</v>
      </c>
      <c r="M556" s="22" t="n">
        <v>14</v>
      </c>
      <c r="N556" s="22" t="n">
        <v>39</v>
      </c>
      <c r="O556" s="22" t="n">
        <v>166.9</v>
      </c>
      <c r="P556" s="23" t="n">
        <f aca="false">27.12</f>
        <v>27.12</v>
      </c>
      <c r="Q556" s="23" t="n">
        <f aca="false">172.14</f>
        <v>172.14</v>
      </c>
      <c r="R556" s="22" t="n">
        <v>21.8</v>
      </c>
      <c r="S556" s="22" t="n">
        <v>23</v>
      </c>
      <c r="T556" s="22" t="n">
        <v>598</v>
      </c>
      <c r="U556" s="24" t="s">
        <v>29</v>
      </c>
      <c r="V556" s="15"/>
      <c r="W556" s="16"/>
      <c r="X556" s="16"/>
      <c r="Y556" s="16"/>
    </row>
    <row r="557" customFormat="false" ht="14.15" hidden="false" customHeight="false" outlineLevel="0" collapsed="false">
      <c r="A557" s="9"/>
      <c r="B557" s="10"/>
      <c r="C557" s="10"/>
      <c r="D557" s="10"/>
      <c r="E557" s="10"/>
      <c r="F557" s="10"/>
      <c r="G557" s="10"/>
      <c r="H557" s="10"/>
      <c r="I557" s="25" t="n">
        <v>4</v>
      </c>
      <c r="J557" s="25"/>
      <c r="K557" s="26" t="n">
        <f aca="false">46.3</f>
        <v>46.3</v>
      </c>
      <c r="L557" s="26" t="n">
        <f aca="false">139.79</f>
        <v>139.79</v>
      </c>
      <c r="M557" s="25" t="n">
        <v>14</v>
      </c>
      <c r="N557" s="25" t="n">
        <v>35</v>
      </c>
      <c r="O557" s="25" t="n">
        <v>146.8</v>
      </c>
      <c r="P557" s="26" t="n">
        <f aca="false">25.97</f>
        <v>25.97</v>
      </c>
      <c r="Q557" s="26" t="n">
        <f aca="false">163.54</f>
        <v>163.54</v>
      </c>
      <c r="R557" s="25" t="n">
        <v>17.6</v>
      </c>
      <c r="S557" s="25" t="n">
        <v>16.7</v>
      </c>
      <c r="T557" s="25" t="n">
        <v>561</v>
      </c>
      <c r="U557" s="27" t="s">
        <v>29</v>
      </c>
      <c r="V557" s="21"/>
      <c r="W557" s="16"/>
      <c r="X557" s="16"/>
      <c r="Y557" s="16"/>
    </row>
    <row r="558" customFormat="false" ht="15.75" hidden="false" customHeight="true" outlineLevel="0" collapsed="false">
      <c r="A558" s="9" t="s">
        <v>194</v>
      </c>
      <c r="B558" s="10" t="s">
        <v>44</v>
      </c>
      <c r="C558" s="11" t="s">
        <v>203</v>
      </c>
      <c r="D558" s="10" t="s">
        <v>28</v>
      </c>
      <c r="E558" s="10" t="s">
        <v>28</v>
      </c>
      <c r="F558" s="10"/>
      <c r="G558" s="10" t="n">
        <v>19</v>
      </c>
      <c r="H558" s="10" t="n">
        <v>5.2</v>
      </c>
      <c r="I558" s="12" t="n">
        <v>1</v>
      </c>
      <c r="J558" s="12" t="s">
        <v>35</v>
      </c>
      <c r="K558" s="13" t="n">
        <f aca="false">38.15</f>
        <v>38.15</v>
      </c>
      <c r="L558" s="13" t="n">
        <f aca="false">129.72</f>
        <v>129.72</v>
      </c>
      <c r="M558" s="12" t="n">
        <v>12</v>
      </c>
      <c r="N558" s="12" t="n">
        <v>34</v>
      </c>
      <c r="O558" s="12" t="n">
        <v>88.1</v>
      </c>
      <c r="P558" s="13" t="n">
        <f aca="false">23.55</f>
        <v>23.55</v>
      </c>
      <c r="Q558" s="13" t="n">
        <f aca="false">143.37</f>
        <v>143.37</v>
      </c>
      <c r="R558" s="12" t="n">
        <v>12.7</v>
      </c>
      <c r="S558" s="12" t="n">
        <v>24.1</v>
      </c>
      <c r="T558" s="12" t="n">
        <v>292</v>
      </c>
      <c r="U558" s="14" t="s">
        <v>97</v>
      </c>
      <c r="V558" s="15"/>
      <c r="W558" s="16" t="str">
        <f aca="false">A558</f>
        <v>NN</v>
      </c>
      <c r="X558" s="17" t="e">
        <f aca="false">ifs(C558="","",X558="",NOW(),TRUE(),X558)</f>
        <v>#VALUE!</v>
      </c>
      <c r="Y558" s="17" t="e">
        <f aca="false">ifs(COUNTA(K558:U561)&lt;44,"",Y558="",NOW(),TRUE(),Y558)</f>
        <v>#VALUE!</v>
      </c>
    </row>
    <row r="559" customFormat="false" ht="14.15" hidden="false" customHeight="false" outlineLevel="0" collapsed="false">
      <c r="A559" s="9"/>
      <c r="B559" s="10"/>
      <c r="C559" s="10"/>
      <c r="D559" s="10"/>
      <c r="E559" s="10"/>
      <c r="F559" s="10"/>
      <c r="G559" s="10"/>
      <c r="H559" s="10"/>
      <c r="I559" s="18" t="n">
        <v>2</v>
      </c>
      <c r="J559" s="18"/>
      <c r="K559" s="19" t="n">
        <f aca="false">39.85</f>
        <v>39.85</v>
      </c>
      <c r="L559" s="19" t="n">
        <f aca="false">105.96</f>
        <v>105.96</v>
      </c>
      <c r="M559" s="18" t="n">
        <v>14</v>
      </c>
      <c r="N559" s="18" t="n">
        <v>28</v>
      </c>
      <c r="O559" s="18" t="n">
        <v>88.7</v>
      </c>
      <c r="P559" s="19" t="n">
        <f aca="false">25.09</f>
        <v>25.09</v>
      </c>
      <c r="Q559" s="19" t="n">
        <f aca="false">126.97</f>
        <v>126.97</v>
      </c>
      <c r="R559" s="18" t="n">
        <v>10.8</v>
      </c>
      <c r="S559" s="18" t="n">
        <v>21.3</v>
      </c>
      <c r="T559" s="18" t="n">
        <v>361</v>
      </c>
      <c r="U559" s="20" t="s">
        <v>97</v>
      </c>
      <c r="V559" s="21"/>
      <c r="W559" s="16"/>
      <c r="X559" s="16"/>
      <c r="Y559" s="16"/>
    </row>
    <row r="560" customFormat="false" ht="14.15" hidden="false" customHeight="false" outlineLevel="0" collapsed="false">
      <c r="A560" s="9"/>
      <c r="B560" s="10"/>
      <c r="C560" s="10"/>
      <c r="D560" s="10"/>
      <c r="E560" s="10"/>
      <c r="F560" s="10"/>
      <c r="G560" s="10"/>
      <c r="H560" s="10"/>
      <c r="I560" s="22" t="n">
        <v>3</v>
      </c>
      <c r="J560" s="22"/>
      <c r="K560" s="23" t="n">
        <f aca="false">38.96</f>
        <v>38.96</v>
      </c>
      <c r="L560" s="23" t="n">
        <f aca="false">80.02</f>
        <v>80.02</v>
      </c>
      <c r="M560" s="22" t="n">
        <v>12</v>
      </c>
      <c r="N560" s="22" t="n">
        <v>24</v>
      </c>
      <c r="O560" s="22" t="n">
        <v>61.8</v>
      </c>
      <c r="P560" s="23" t="n">
        <f aca="false">23.94</f>
        <v>23.94</v>
      </c>
      <c r="Q560" s="23" t="n">
        <f aca="false">106.53</f>
        <v>106.53</v>
      </c>
      <c r="R560" s="22" t="n">
        <v>7.4</v>
      </c>
      <c r="S560" s="22" t="n">
        <v>21</v>
      </c>
      <c r="T560" s="22" t="n">
        <v>271</v>
      </c>
      <c r="U560" s="24" t="s">
        <v>97</v>
      </c>
      <c r="V560" s="15"/>
      <c r="W560" s="16"/>
      <c r="X560" s="16"/>
      <c r="Y560" s="16"/>
    </row>
    <row r="561" customFormat="false" ht="14.15" hidden="false" customHeight="false" outlineLevel="0" collapsed="false">
      <c r="A561" s="9"/>
      <c r="B561" s="10"/>
      <c r="C561" s="10"/>
      <c r="D561" s="10"/>
      <c r="E561" s="10"/>
      <c r="F561" s="10"/>
      <c r="G561" s="10"/>
      <c r="H561" s="10"/>
      <c r="I561" s="25" t="n">
        <v>4</v>
      </c>
      <c r="J561" s="25"/>
      <c r="K561" s="26" t="n">
        <f aca="false">40.58</f>
        <v>40.58</v>
      </c>
      <c r="L561" s="26" t="n">
        <f aca="false">98.7</f>
        <v>98.7</v>
      </c>
      <c r="M561" s="25" t="n">
        <v>14</v>
      </c>
      <c r="N561" s="25" t="n">
        <v>30</v>
      </c>
      <c r="O561" s="25" t="n">
        <v>80</v>
      </c>
      <c r="P561" s="26" t="n">
        <f aca="false">27.17</f>
        <v>27.17</v>
      </c>
      <c r="Q561" s="26" t="n">
        <f aca="false">125.93</f>
        <v>125.93</v>
      </c>
      <c r="R561" s="25" t="n">
        <v>11</v>
      </c>
      <c r="S561" s="25" t="n">
        <v>17.2</v>
      </c>
      <c r="T561" s="25" t="n">
        <v>382</v>
      </c>
      <c r="U561" s="27" t="s">
        <v>97</v>
      </c>
      <c r="V561" s="21"/>
      <c r="W561" s="16"/>
      <c r="X561" s="16"/>
      <c r="Y561" s="16"/>
    </row>
    <row r="562" customFormat="false" ht="15.75" hidden="false" customHeight="true" outlineLevel="0" collapsed="false">
      <c r="A562" s="9" t="s">
        <v>194</v>
      </c>
      <c r="B562" s="10" t="s">
        <v>44</v>
      </c>
      <c r="C562" s="11" t="s">
        <v>204</v>
      </c>
      <c r="D562" s="10" t="s">
        <v>28</v>
      </c>
      <c r="E562" s="10" t="s">
        <v>28</v>
      </c>
      <c r="F562" s="10"/>
      <c r="G562" s="10" t="n">
        <v>8</v>
      </c>
      <c r="H562" s="10" t="n">
        <v>2.2</v>
      </c>
      <c r="I562" s="12" t="n">
        <v>1</v>
      </c>
      <c r="J562" s="12" t="s">
        <v>47</v>
      </c>
      <c r="K562" s="13" t="n">
        <f aca="false">46.9</f>
        <v>46.9</v>
      </c>
      <c r="L562" s="13" t="n">
        <f aca="false">149.9</f>
        <v>149.9</v>
      </c>
      <c r="M562" s="12" t="n">
        <v>18</v>
      </c>
      <c r="N562" s="12" t="n">
        <v>39</v>
      </c>
      <c r="O562" s="12" t="n">
        <v>183</v>
      </c>
      <c r="P562" s="13" t="n">
        <f aca="false">29.48</f>
        <v>29.48</v>
      </c>
      <c r="Q562" s="13" t="n">
        <f aca="false">176.18</f>
        <v>176.18</v>
      </c>
      <c r="R562" s="12" t="n">
        <v>29</v>
      </c>
      <c r="S562" s="12" t="n">
        <v>21.5</v>
      </c>
      <c r="T562" s="12" t="n">
        <v>712</v>
      </c>
      <c r="U562" s="14" t="s">
        <v>97</v>
      </c>
      <c r="V562" s="15"/>
      <c r="W562" s="16" t="str">
        <f aca="false">A562</f>
        <v>NN</v>
      </c>
      <c r="X562" s="17" t="e">
        <f aca="false">ifs(C562="","",X562="",NOW(),TRUE(),X562)</f>
        <v>#VALUE!</v>
      </c>
      <c r="Y562" s="17" t="e">
        <f aca="false">ifs(COUNTA(K562:U565)&lt;44,"",Y562="",NOW(),TRUE(),Y562)</f>
        <v>#VALUE!</v>
      </c>
    </row>
    <row r="563" customFormat="false" ht="14.15" hidden="false" customHeight="false" outlineLevel="0" collapsed="false">
      <c r="A563" s="9"/>
      <c r="B563" s="10"/>
      <c r="C563" s="10"/>
      <c r="D563" s="10"/>
      <c r="E563" s="10"/>
      <c r="F563" s="10"/>
      <c r="G563" s="10"/>
      <c r="H563" s="10"/>
      <c r="I563" s="18" t="n">
        <v>2</v>
      </c>
      <c r="J563" s="18" t="s">
        <v>47</v>
      </c>
      <c r="K563" s="19" t="n">
        <f aca="false">44.28</f>
        <v>44.28</v>
      </c>
      <c r="L563" s="19" t="n">
        <f aca="false">133.55</f>
        <v>133.55</v>
      </c>
      <c r="M563" s="18" t="n">
        <v>14</v>
      </c>
      <c r="N563" s="18" t="n">
        <v>34</v>
      </c>
      <c r="O563" s="18" t="n">
        <v>122.6</v>
      </c>
      <c r="P563" s="19" t="n">
        <f aca="false">27.83</f>
        <v>27.83</v>
      </c>
      <c r="Q563" s="19" t="n">
        <f aca="false">143.26</f>
        <v>143.26</v>
      </c>
      <c r="R563" s="18" t="n">
        <v>18.9</v>
      </c>
      <c r="S563" s="18" t="n">
        <v>22.1</v>
      </c>
      <c r="T563" s="18" t="n">
        <v>442</v>
      </c>
      <c r="U563" s="20" t="s">
        <v>97</v>
      </c>
      <c r="V563" s="21"/>
      <c r="W563" s="16"/>
      <c r="X563" s="16"/>
      <c r="Y563" s="16"/>
    </row>
    <row r="564" customFormat="false" ht="14.15" hidden="false" customHeight="false" outlineLevel="0" collapsed="false">
      <c r="A564" s="9"/>
      <c r="B564" s="10"/>
      <c r="C564" s="10"/>
      <c r="D564" s="10"/>
      <c r="E564" s="10"/>
      <c r="F564" s="10"/>
      <c r="G564" s="10"/>
      <c r="H564" s="10"/>
      <c r="I564" s="22" t="n">
        <v>3</v>
      </c>
      <c r="J564" s="22" t="s">
        <v>47</v>
      </c>
      <c r="K564" s="23" t="n">
        <f aca="false">43.92</f>
        <v>43.92</v>
      </c>
      <c r="L564" s="23" t="n">
        <f aca="false">167.58</f>
        <v>167.58</v>
      </c>
      <c r="M564" s="22" t="n">
        <v>14</v>
      </c>
      <c r="N564" s="22" t="n">
        <v>42</v>
      </c>
      <c r="O564" s="22" t="n">
        <v>185.7</v>
      </c>
      <c r="P564" s="23" t="n">
        <f aca="false">28.55</f>
        <v>28.55</v>
      </c>
      <c r="Q564" s="23" t="n">
        <f aca="false">185.51</f>
        <v>185.51</v>
      </c>
      <c r="R564" s="22" t="n">
        <v>33.7</v>
      </c>
      <c r="S564" s="22" t="n">
        <v>22.9</v>
      </c>
      <c r="T564" s="22" t="n">
        <v>645</v>
      </c>
      <c r="U564" s="24" t="s">
        <v>29</v>
      </c>
      <c r="V564" s="15"/>
      <c r="W564" s="16"/>
      <c r="X564" s="16"/>
      <c r="Y564" s="16"/>
    </row>
    <row r="565" customFormat="false" ht="14.15" hidden="false" customHeight="false" outlineLevel="0" collapsed="false">
      <c r="A565" s="9"/>
      <c r="B565" s="10"/>
      <c r="C565" s="10"/>
      <c r="D565" s="10"/>
      <c r="E565" s="10"/>
      <c r="F565" s="10"/>
      <c r="G565" s="10"/>
      <c r="H565" s="10"/>
      <c r="I565" s="25" t="n">
        <v>4</v>
      </c>
      <c r="J565" s="25"/>
      <c r="K565" s="26" t="n">
        <f aca="false">46.88</f>
        <v>46.88</v>
      </c>
      <c r="L565" s="26" t="n">
        <f aca="false">146.94</f>
        <v>146.94</v>
      </c>
      <c r="M565" s="25" t="n">
        <v>18</v>
      </c>
      <c r="N565" s="25" t="n">
        <v>38</v>
      </c>
      <c r="O565" s="25" t="n">
        <v>181.3</v>
      </c>
      <c r="P565" s="26" t="n">
        <f aca="false">30.52</f>
        <v>30.52</v>
      </c>
      <c r="Q565" s="26" t="n">
        <f aca="false">174.38</f>
        <v>174.38</v>
      </c>
      <c r="R565" s="25" t="n">
        <v>28.9</v>
      </c>
      <c r="S565" s="25" t="n">
        <v>21.7</v>
      </c>
      <c r="T565" s="25" t="n">
        <v>657</v>
      </c>
      <c r="U565" s="27" t="s">
        <v>29</v>
      </c>
      <c r="V565" s="21"/>
      <c r="W565" s="16"/>
      <c r="X565" s="16"/>
      <c r="Y565" s="16"/>
    </row>
    <row r="566" customFormat="false" ht="15.75" hidden="false" customHeight="true" outlineLevel="0" collapsed="false">
      <c r="A566" s="9" t="s">
        <v>43</v>
      </c>
      <c r="B566" s="10" t="s">
        <v>176</v>
      </c>
      <c r="C566" s="11" t="s">
        <v>205</v>
      </c>
      <c r="D566" s="10" t="s">
        <v>28</v>
      </c>
      <c r="E566" s="10" t="s">
        <v>28</v>
      </c>
      <c r="F566" s="10"/>
      <c r="G566" s="10" t="n">
        <v>96</v>
      </c>
      <c r="H566" s="10" t="n">
        <v>26.54</v>
      </c>
      <c r="I566" s="12" t="n">
        <v>1</v>
      </c>
      <c r="J566" s="12" t="s">
        <v>35</v>
      </c>
      <c r="K566" s="13" t="n">
        <f aca="false">44.48</f>
        <v>44.48</v>
      </c>
      <c r="L566" s="13" t="n">
        <f aca="false">146.56</f>
        <v>146.56</v>
      </c>
      <c r="M566" s="12" t="n">
        <v>14</v>
      </c>
      <c r="N566" s="12" t="n">
        <v>36</v>
      </c>
      <c r="O566" s="12" t="n">
        <v>146.13</v>
      </c>
      <c r="P566" s="13" t="n">
        <f aca="false">30</f>
        <v>30</v>
      </c>
      <c r="Q566" s="13" t="n">
        <f aca="false">154.34</f>
        <v>154.34</v>
      </c>
      <c r="R566" s="12" t="n">
        <v>22.29</v>
      </c>
      <c r="S566" s="12" t="n">
        <v>23.9</v>
      </c>
      <c r="T566" s="12" t="n">
        <v>527</v>
      </c>
      <c r="U566" s="14" t="s">
        <v>58</v>
      </c>
      <c r="V566" s="15"/>
      <c r="W566" s="16" t="str">
        <f aca="false">A566</f>
        <v>JB</v>
      </c>
      <c r="X566" s="17" t="e">
        <f aca="false">ifs(C566="","",X566="",NOW(),TRUE(),X566)</f>
        <v>#VALUE!</v>
      </c>
      <c r="Y566" s="17" t="e">
        <f aca="false">ifs(COUNTA(K566:U569)&lt;44,"",Y566="",NOW(),TRUE(),Y566)</f>
        <v>#VALUE!</v>
      </c>
    </row>
    <row r="567" customFormat="false" ht="14.15" hidden="false" customHeight="false" outlineLevel="0" collapsed="false">
      <c r="A567" s="9"/>
      <c r="B567" s="10"/>
      <c r="C567" s="10"/>
      <c r="D567" s="10"/>
      <c r="E567" s="10"/>
      <c r="F567" s="10"/>
      <c r="G567" s="10"/>
      <c r="H567" s="10"/>
      <c r="I567" s="18" t="n">
        <v>2</v>
      </c>
      <c r="J567" s="18"/>
      <c r="K567" s="19" t="n">
        <f aca="false">47.66</f>
        <v>47.66</v>
      </c>
      <c r="L567" s="19" t="n">
        <f aca="false">178.51</f>
        <v>178.51</v>
      </c>
      <c r="M567" s="18" t="n">
        <v>16</v>
      </c>
      <c r="N567" s="18" t="n">
        <v>42</v>
      </c>
      <c r="O567" s="18" t="n">
        <v>204.99</v>
      </c>
      <c r="P567" s="19" t="n">
        <f aca="false">29.89</f>
        <v>29.89</v>
      </c>
      <c r="Q567" s="19" t="n">
        <f aca="false">181.16</f>
        <v>181.16</v>
      </c>
      <c r="R567" s="18" t="n">
        <v>29.66</v>
      </c>
      <c r="S567" s="18" t="n">
        <v>27</v>
      </c>
      <c r="T567" s="18" t="n">
        <v>641</v>
      </c>
      <c r="U567" s="20" t="s">
        <v>29</v>
      </c>
      <c r="V567" s="21"/>
      <c r="W567" s="16"/>
      <c r="X567" s="16"/>
      <c r="Y567" s="16"/>
    </row>
    <row r="568" customFormat="false" ht="14.15" hidden="false" customHeight="false" outlineLevel="0" collapsed="false">
      <c r="A568" s="9"/>
      <c r="B568" s="10"/>
      <c r="C568" s="10"/>
      <c r="D568" s="10"/>
      <c r="E568" s="10"/>
      <c r="F568" s="10"/>
      <c r="G568" s="10"/>
      <c r="H568" s="10"/>
      <c r="I568" s="22" t="n">
        <v>3</v>
      </c>
      <c r="J568" s="22" t="s">
        <v>47</v>
      </c>
      <c r="K568" s="23" t="n">
        <f aca="false">49.05</f>
        <v>49.05</v>
      </c>
      <c r="L568" s="23" t="n">
        <f aca="false">169.54</f>
        <v>169.54</v>
      </c>
      <c r="M568" s="22" t="n">
        <v>16</v>
      </c>
      <c r="N568" s="22" t="n">
        <v>38</v>
      </c>
      <c r="O568" s="22" t="n">
        <v>200.41</v>
      </c>
      <c r="P568" s="23" t="n">
        <f aca="false">30.8</f>
        <v>30.8</v>
      </c>
      <c r="Q568" s="23" t="n">
        <f aca="false">173.27</f>
        <v>173.27</v>
      </c>
      <c r="R568" s="22" t="n">
        <v>30.44</v>
      </c>
      <c r="S568" s="22" t="n">
        <v>27.93</v>
      </c>
      <c r="T568" s="22" t="n">
        <v>599</v>
      </c>
      <c r="U568" s="24" t="s">
        <v>58</v>
      </c>
      <c r="V568" s="15"/>
      <c r="W568" s="16"/>
      <c r="X568" s="16"/>
      <c r="Y568" s="16"/>
    </row>
    <row r="569" customFormat="false" ht="14.15" hidden="false" customHeight="false" outlineLevel="0" collapsed="false">
      <c r="A569" s="9"/>
      <c r="B569" s="10"/>
      <c r="C569" s="10"/>
      <c r="D569" s="10"/>
      <c r="E569" s="10"/>
      <c r="F569" s="10"/>
      <c r="G569" s="10"/>
      <c r="H569" s="10"/>
      <c r="I569" s="25" t="n">
        <v>4</v>
      </c>
      <c r="J569" s="25" t="s">
        <v>36</v>
      </c>
      <c r="K569" s="26" t="n">
        <f aca="false">44.94</f>
        <v>44.94</v>
      </c>
      <c r="L569" s="26" t="n">
        <f aca="false">162.29</f>
        <v>162.29</v>
      </c>
      <c r="M569" s="25" t="n">
        <v>16</v>
      </c>
      <c r="N569" s="25" t="n">
        <v>39</v>
      </c>
      <c r="O569" s="25" t="n">
        <v>154.9</v>
      </c>
      <c r="P569" s="26" t="n">
        <f aca="false">29.47</f>
        <v>29.47</v>
      </c>
      <c r="Q569" s="26" t="n">
        <f aca="false">163.46</f>
        <v>163.46</v>
      </c>
      <c r="R569" s="25" t="n">
        <v>23.61</v>
      </c>
      <c r="S569" s="25" t="n">
        <v>23.72</v>
      </c>
      <c r="T569" s="25" t="n">
        <v>541</v>
      </c>
      <c r="U569" s="27" t="s">
        <v>58</v>
      </c>
      <c r="V569" s="21"/>
      <c r="W569" s="16"/>
      <c r="X569" s="16"/>
      <c r="Y569" s="16"/>
    </row>
    <row r="570" customFormat="false" ht="15.75" hidden="false" customHeight="true" outlineLevel="0" collapsed="false">
      <c r="A570" s="9" t="s">
        <v>43</v>
      </c>
      <c r="B570" s="10" t="s">
        <v>176</v>
      </c>
      <c r="C570" s="11" t="s">
        <v>206</v>
      </c>
      <c r="D570" s="10" t="s">
        <v>28</v>
      </c>
      <c r="E570" s="10" t="s">
        <v>28</v>
      </c>
      <c r="F570" s="10"/>
      <c r="G570" s="10" t="n">
        <v>14</v>
      </c>
      <c r="H570" s="10" t="n">
        <v>2.67</v>
      </c>
      <c r="I570" s="12" t="n">
        <v>1</v>
      </c>
      <c r="J570" s="12" t="s">
        <v>47</v>
      </c>
      <c r="K570" s="13" t="n">
        <f aca="false">35.06</f>
        <v>35.06</v>
      </c>
      <c r="L570" s="13" t="n">
        <f aca="false">104.61</f>
        <v>104.61</v>
      </c>
      <c r="M570" s="12" t="n">
        <v>12</v>
      </c>
      <c r="N570" s="12" t="n">
        <v>25</v>
      </c>
      <c r="O570" s="12" t="n">
        <v>51.75</v>
      </c>
      <c r="P570" s="13" t="n">
        <f aca="false">22.75</f>
        <v>22.75</v>
      </c>
      <c r="Q570" s="13" t="n">
        <f aca="false">109.14</f>
        <v>109.14</v>
      </c>
      <c r="R570" s="12" t="n">
        <v>9.76</v>
      </c>
      <c r="S570" s="12" t="n">
        <v>16.03</v>
      </c>
      <c r="T570" s="12" t="n">
        <v>249</v>
      </c>
      <c r="U570" s="14" t="s">
        <v>58</v>
      </c>
      <c r="V570" s="15"/>
      <c r="W570" s="16" t="str">
        <f aca="false">A570</f>
        <v>JB</v>
      </c>
      <c r="X570" s="17" t="e">
        <f aca="false">ifs(C570="","",X570="",NOW(),TRUE(),X570)</f>
        <v>#VALUE!</v>
      </c>
      <c r="Y570" s="17" t="e">
        <f aca="false">ifs(COUNTA(K570:U573)&lt;44,"",Y570="",NOW(),TRUE(),Y570)</f>
        <v>#VALUE!</v>
      </c>
    </row>
    <row r="571" customFormat="false" ht="14.15" hidden="false" customHeight="false" outlineLevel="0" collapsed="false">
      <c r="A571" s="9"/>
      <c r="B571" s="10"/>
      <c r="C571" s="10"/>
      <c r="D571" s="10"/>
      <c r="E571" s="10"/>
      <c r="F571" s="10"/>
      <c r="G571" s="10"/>
      <c r="H571" s="10"/>
      <c r="I571" s="18" t="n">
        <v>2</v>
      </c>
      <c r="J571" s="18" t="s">
        <v>111</v>
      </c>
      <c r="K571" s="19" t="n">
        <f aca="false">36.05</f>
        <v>36.05</v>
      </c>
      <c r="L571" s="19" t="n">
        <f aca="false">46.05</f>
        <v>46.05</v>
      </c>
      <c r="M571" s="18" t="n">
        <v>12</v>
      </c>
      <c r="N571" s="18" t="n">
        <v>9</v>
      </c>
      <c r="O571" s="18" t="n">
        <v>27.02</v>
      </c>
      <c r="P571" s="19" t="n">
        <f aca="false">26.05</f>
        <v>26.05</v>
      </c>
      <c r="Q571" s="19" t="n">
        <f aca="false">120.85</f>
        <v>120.85</v>
      </c>
      <c r="R571" s="18" t="n">
        <v>13.97</v>
      </c>
      <c r="S571" s="18"/>
      <c r="T571" s="18" t="n">
        <v>42</v>
      </c>
      <c r="U571" s="20" t="s">
        <v>58</v>
      </c>
      <c r="V571" s="21"/>
      <c r="W571" s="16"/>
      <c r="X571" s="16"/>
      <c r="Y571" s="16"/>
    </row>
    <row r="572" customFormat="false" ht="14.15" hidden="false" customHeight="false" outlineLevel="0" collapsed="false">
      <c r="A572" s="9"/>
      <c r="B572" s="10"/>
      <c r="C572" s="10"/>
      <c r="D572" s="10"/>
      <c r="E572" s="10"/>
      <c r="F572" s="10"/>
      <c r="G572" s="10"/>
      <c r="H572" s="10"/>
      <c r="I572" s="22" t="n">
        <v>3</v>
      </c>
      <c r="J572" s="22" t="s">
        <v>111</v>
      </c>
      <c r="K572" s="23" t="n">
        <f aca="false">36.5</f>
        <v>36.5</v>
      </c>
      <c r="L572" s="23" t="n">
        <f aca="false">59.18</f>
        <v>59.18</v>
      </c>
      <c r="M572" s="22" t="n">
        <v>12</v>
      </c>
      <c r="N572" s="22" t="n">
        <v>14</v>
      </c>
      <c r="O572" s="22" t="n">
        <v>43.82</v>
      </c>
      <c r="P572" s="23" t="n">
        <f aca="false">26.78</f>
        <v>26.78</v>
      </c>
      <c r="Q572" s="23" t="n">
        <f aca="false">100.22</f>
        <v>100.22</v>
      </c>
      <c r="R572" s="22" t="n">
        <v>12.82</v>
      </c>
      <c r="S572" s="22"/>
      <c r="T572" s="22" t="n">
        <v>99</v>
      </c>
      <c r="U572" s="24" t="s">
        <v>58</v>
      </c>
      <c r="V572" s="15"/>
      <c r="W572" s="16"/>
      <c r="X572" s="16"/>
      <c r="Y572" s="16"/>
    </row>
    <row r="573" customFormat="false" ht="14.15" hidden="false" customHeight="false" outlineLevel="0" collapsed="false">
      <c r="A573" s="9"/>
      <c r="B573" s="10"/>
      <c r="C573" s="10"/>
      <c r="D573" s="10"/>
      <c r="E573" s="10"/>
      <c r="F573" s="10"/>
      <c r="G573" s="10"/>
      <c r="H573" s="10"/>
      <c r="I573" s="25" t="n">
        <v>4</v>
      </c>
      <c r="J573" s="25" t="s">
        <v>49</v>
      </c>
      <c r="K573" s="26" t="n">
        <f aca="false">34.87</f>
        <v>34.87</v>
      </c>
      <c r="L573" s="26" t="n">
        <f aca="false">99.06</f>
        <v>99.06</v>
      </c>
      <c r="M573" s="25" t="n">
        <v>14</v>
      </c>
      <c r="N573" s="25" t="n">
        <v>22</v>
      </c>
      <c r="O573" s="25" t="n">
        <v>51.25</v>
      </c>
      <c r="P573" s="26" t="n">
        <f aca="false">25.38</f>
        <v>25.38</v>
      </c>
      <c r="Q573" s="26" t="n">
        <f aca="false">109.91</f>
        <v>109.91</v>
      </c>
      <c r="R573" s="25" t="n">
        <v>10.02</v>
      </c>
      <c r="S573" s="25" t="n">
        <v>15.18</v>
      </c>
      <c r="T573" s="25" t="n">
        <v>270</v>
      </c>
      <c r="U573" s="27" t="s">
        <v>58</v>
      </c>
      <c r="V573" s="21"/>
      <c r="W573" s="16"/>
      <c r="X573" s="16"/>
      <c r="Y573" s="16"/>
    </row>
    <row r="574" customFormat="false" ht="15.75" hidden="false" customHeight="true" outlineLevel="0" collapsed="false">
      <c r="A574" s="9" t="s">
        <v>43</v>
      </c>
      <c r="B574" s="10" t="s">
        <v>176</v>
      </c>
      <c r="C574" s="11" t="s">
        <v>207</v>
      </c>
      <c r="D574" s="10" t="s">
        <v>28</v>
      </c>
      <c r="E574" s="10" t="s">
        <v>28</v>
      </c>
      <c r="F574" s="10"/>
      <c r="G574" s="10" t="n">
        <v>9</v>
      </c>
      <c r="H574" s="10" t="n">
        <v>1.21</v>
      </c>
      <c r="I574" s="12" t="n">
        <v>1</v>
      </c>
      <c r="J574" s="12"/>
      <c r="K574" s="13" t="n">
        <f aca="false">39.02</f>
        <v>39.02</v>
      </c>
      <c r="L574" s="13" t="n">
        <f aca="false">121.03</f>
        <v>121.03</v>
      </c>
      <c r="M574" s="12" t="n">
        <v>14</v>
      </c>
      <c r="N574" s="12" t="n">
        <v>32</v>
      </c>
      <c r="O574" s="12" t="n">
        <v>81.76</v>
      </c>
      <c r="P574" s="13" t="n">
        <f aca="false">26.34</f>
        <v>26.34</v>
      </c>
      <c r="Q574" s="13" t="n">
        <f aca="false">120</f>
        <v>120</v>
      </c>
      <c r="R574" s="12" t="n">
        <v>12.3</v>
      </c>
      <c r="S574" s="12" t="n">
        <v>17.35</v>
      </c>
      <c r="T574" s="12" t="n">
        <v>395</v>
      </c>
      <c r="U574" s="14" t="s">
        <v>29</v>
      </c>
      <c r="V574" s="15"/>
      <c r="W574" s="16" t="str">
        <f aca="false">A574</f>
        <v>JB</v>
      </c>
      <c r="X574" s="17" t="e">
        <f aca="false">ifs(C574="","",X574="",NOW(),TRUE(),X574)</f>
        <v>#VALUE!</v>
      </c>
      <c r="Y574" s="17" t="e">
        <f aca="false">ifs(COUNTA(K574:U577)&lt;44,"",Y574="",NOW(),TRUE(),Y574)</f>
        <v>#VALUE!</v>
      </c>
    </row>
    <row r="575" customFormat="false" ht="14.15" hidden="false" customHeight="false" outlineLevel="0" collapsed="false">
      <c r="A575" s="9"/>
      <c r="B575" s="10"/>
      <c r="C575" s="10"/>
      <c r="D575" s="10"/>
      <c r="E575" s="10"/>
      <c r="F575" s="10"/>
      <c r="G575" s="10"/>
      <c r="H575" s="10"/>
      <c r="I575" s="18" t="n">
        <v>2</v>
      </c>
      <c r="J575" s="18"/>
      <c r="K575" s="19" t="n">
        <f aca="false">40.5</f>
        <v>40.5</v>
      </c>
      <c r="L575" s="19" t="n">
        <f aca="false">122.49</f>
        <v>122.49</v>
      </c>
      <c r="M575" s="18" t="n">
        <v>16</v>
      </c>
      <c r="N575" s="18" t="n">
        <v>30</v>
      </c>
      <c r="O575" s="18" t="n">
        <v>91.49</v>
      </c>
      <c r="P575" s="19" t="n">
        <f aca="false">28.68</f>
        <v>28.68</v>
      </c>
      <c r="Q575" s="19" t="n">
        <f aca="false">131.24</f>
        <v>131.24</v>
      </c>
      <c r="R575" s="18" t="n">
        <v>17.15</v>
      </c>
      <c r="S575" s="18" t="n">
        <v>15.88</v>
      </c>
      <c r="T575" s="18" t="n">
        <v>458</v>
      </c>
      <c r="U575" s="20" t="s">
        <v>29</v>
      </c>
      <c r="V575" s="21"/>
      <c r="W575" s="16"/>
      <c r="X575" s="16"/>
      <c r="Y575" s="16"/>
    </row>
    <row r="576" customFormat="false" ht="14.15" hidden="false" customHeight="false" outlineLevel="0" collapsed="false">
      <c r="A576" s="9"/>
      <c r="B576" s="10"/>
      <c r="C576" s="10"/>
      <c r="D576" s="10"/>
      <c r="E576" s="10"/>
      <c r="F576" s="10"/>
      <c r="G576" s="10"/>
      <c r="H576" s="10"/>
      <c r="I576" s="22" t="n">
        <v>3</v>
      </c>
      <c r="J576" s="22" t="s">
        <v>47</v>
      </c>
      <c r="K576" s="23" t="n">
        <f aca="false">40.61</f>
        <v>40.61</v>
      </c>
      <c r="L576" s="23" t="n">
        <f aca="false">114.44</f>
        <v>114.44</v>
      </c>
      <c r="M576" s="22" t="n">
        <v>16</v>
      </c>
      <c r="N576" s="22" t="n">
        <v>26</v>
      </c>
      <c r="O576" s="22" t="n">
        <v>73.44</v>
      </c>
      <c r="P576" s="23" t="n">
        <f aca="false">25.43</f>
        <v>25.43</v>
      </c>
      <c r="Q576" s="23" t="n">
        <f aca="false">118.05</f>
        <v>118.05</v>
      </c>
      <c r="R576" s="22" t="n">
        <v>12.63</v>
      </c>
      <c r="S576" s="22" t="n">
        <v>16.28</v>
      </c>
      <c r="T576" s="22" t="n">
        <v>354</v>
      </c>
      <c r="U576" s="24" t="s">
        <v>29</v>
      </c>
      <c r="V576" s="15"/>
      <c r="W576" s="16"/>
      <c r="X576" s="16"/>
      <c r="Y576" s="16"/>
    </row>
    <row r="577" customFormat="false" ht="14.15" hidden="false" customHeight="false" outlineLevel="0" collapsed="false">
      <c r="A577" s="9"/>
      <c r="B577" s="10"/>
      <c r="C577" s="10"/>
      <c r="D577" s="10"/>
      <c r="E577" s="10"/>
      <c r="F577" s="10"/>
      <c r="G577" s="10"/>
      <c r="H577" s="10"/>
      <c r="I577" s="25" t="n">
        <v>4</v>
      </c>
      <c r="J577" s="25" t="s">
        <v>35</v>
      </c>
      <c r="K577" s="26" t="n">
        <f aca="false">38.1</f>
        <v>38.1</v>
      </c>
      <c r="L577" s="26" t="n">
        <f aca="false">113.09</f>
        <v>113.09</v>
      </c>
      <c r="M577" s="25" t="n">
        <v>14</v>
      </c>
      <c r="N577" s="25" t="n">
        <v>28</v>
      </c>
      <c r="O577" s="25" t="n">
        <v>72.06</v>
      </c>
      <c r="P577" s="26" t="n">
        <f aca="false">23.62</f>
        <v>23.62</v>
      </c>
      <c r="Q577" s="26" t="n">
        <f aca="false">112.7</f>
        <v>112.7</v>
      </c>
      <c r="R577" s="25" t="n">
        <v>11.12</v>
      </c>
      <c r="S577" s="25" t="n">
        <v>19.53</v>
      </c>
      <c r="T577" s="25" t="n">
        <v>305</v>
      </c>
      <c r="U577" s="27" t="s">
        <v>29</v>
      </c>
      <c r="V577" s="21"/>
      <c r="W577" s="16"/>
      <c r="X577" s="16"/>
      <c r="Y577" s="16"/>
    </row>
    <row r="578" customFormat="false" ht="15.75" hidden="false" customHeight="true" outlineLevel="0" collapsed="false">
      <c r="A578" s="9" t="s">
        <v>43</v>
      </c>
      <c r="B578" s="10" t="s">
        <v>176</v>
      </c>
      <c r="C578" s="11" t="s">
        <v>208</v>
      </c>
      <c r="D578" s="10" t="s">
        <v>28</v>
      </c>
      <c r="E578" s="10" t="s">
        <v>28</v>
      </c>
      <c r="F578" s="10"/>
      <c r="G578" s="10" t="n">
        <v>13</v>
      </c>
      <c r="H578" s="10" t="n">
        <v>2.89</v>
      </c>
      <c r="I578" s="12" t="n">
        <v>1</v>
      </c>
      <c r="J578" s="12" t="s">
        <v>49</v>
      </c>
      <c r="K578" s="13" t="n">
        <f aca="false">47.67</f>
        <v>47.67</v>
      </c>
      <c r="L578" s="13" t="n">
        <f aca="false">145.47</f>
        <v>145.47</v>
      </c>
      <c r="M578" s="12" t="n">
        <v>16</v>
      </c>
      <c r="N578" s="12" t="n">
        <v>39</v>
      </c>
      <c r="O578" s="12" t="n">
        <v>163.74</v>
      </c>
      <c r="P578" s="13" t="n">
        <f aca="false">30.43</f>
        <v>30.43</v>
      </c>
      <c r="Q578" s="13" t="n">
        <f aca="false">161.46</f>
        <v>161.46</v>
      </c>
      <c r="R578" s="12" t="n">
        <v>26.5</v>
      </c>
      <c r="S578" s="12" t="n">
        <v>22.83</v>
      </c>
      <c r="T578" s="12" t="n">
        <v>605</v>
      </c>
      <c r="U578" s="14" t="s">
        <v>97</v>
      </c>
      <c r="V578" s="15"/>
      <c r="W578" s="16" t="str">
        <f aca="false">A578</f>
        <v>JB</v>
      </c>
      <c r="X578" s="17" t="e">
        <f aca="false">ifs(C578="","",X578="",NOW(),TRUE(),X578)</f>
        <v>#VALUE!</v>
      </c>
      <c r="Y578" s="17" t="e">
        <f aca="false">ifs(COUNTA(K578:U581)&lt;44,"",Y578="",NOW(),TRUE(),Y578)</f>
        <v>#VALUE!</v>
      </c>
    </row>
    <row r="579" customFormat="false" ht="14.15" hidden="false" customHeight="false" outlineLevel="0" collapsed="false">
      <c r="A579" s="9"/>
      <c r="B579" s="10"/>
      <c r="C579" s="10"/>
      <c r="D579" s="10"/>
      <c r="E579" s="10"/>
      <c r="F579" s="10"/>
      <c r="G579" s="10"/>
      <c r="H579" s="10"/>
      <c r="I579" s="18" t="n">
        <v>2</v>
      </c>
      <c r="J579" s="18" t="s">
        <v>49</v>
      </c>
      <c r="K579" s="19" t="n">
        <f aca="false">46.83</f>
        <v>46.83</v>
      </c>
      <c r="L579" s="19" t="n">
        <f aca="false">140.32</f>
        <v>140.32</v>
      </c>
      <c r="M579" s="18" t="n">
        <v>16</v>
      </c>
      <c r="N579" s="18" t="n">
        <v>37</v>
      </c>
      <c r="O579" s="18" t="n">
        <v>161.72</v>
      </c>
      <c r="P579" s="19" t="n">
        <f aca="false">28.2</f>
        <v>28.2</v>
      </c>
      <c r="Q579" s="19" t="n">
        <f aca="false">156.32</f>
        <v>156.32</v>
      </c>
      <c r="R579" s="18" t="n">
        <v>23.63</v>
      </c>
      <c r="S579" s="18" t="n">
        <v>23.72</v>
      </c>
      <c r="T579" s="18" t="n">
        <v>569</v>
      </c>
      <c r="U579" s="20" t="s">
        <v>97</v>
      </c>
      <c r="V579" s="21"/>
      <c r="W579" s="16"/>
      <c r="X579" s="16"/>
      <c r="Y579" s="16"/>
    </row>
    <row r="580" customFormat="false" ht="14.15" hidden="false" customHeight="false" outlineLevel="0" collapsed="false">
      <c r="A580" s="9"/>
      <c r="B580" s="10"/>
      <c r="C580" s="10"/>
      <c r="D580" s="10"/>
      <c r="E580" s="10"/>
      <c r="F580" s="10"/>
      <c r="G580" s="10"/>
      <c r="H580" s="10"/>
      <c r="I580" s="22" t="n">
        <v>3</v>
      </c>
      <c r="J580" s="22" t="s">
        <v>47</v>
      </c>
      <c r="K580" s="23" t="n">
        <f aca="false">47.27</f>
        <v>47.27</v>
      </c>
      <c r="L580" s="23" t="n">
        <f aca="false">147.72</f>
        <v>147.72</v>
      </c>
      <c r="M580" s="22" t="n">
        <v>16</v>
      </c>
      <c r="N580" s="22" t="n">
        <v>36</v>
      </c>
      <c r="O580" s="22" t="n">
        <v>167.62</v>
      </c>
      <c r="P580" s="23" t="n">
        <f aca="false">28.54</f>
        <v>28.54</v>
      </c>
      <c r="Q580" s="23" t="n">
        <f aca="false">169.36</f>
        <v>169.36</v>
      </c>
      <c r="R580" s="22" t="n">
        <v>24.53</v>
      </c>
      <c r="S580" s="22" t="n">
        <v>26.15</v>
      </c>
      <c r="T580" s="22" t="n">
        <v>555</v>
      </c>
      <c r="U580" s="24" t="s">
        <v>97</v>
      </c>
      <c r="V580" s="15"/>
      <c r="W580" s="16"/>
      <c r="X580" s="16"/>
      <c r="Y580" s="16"/>
    </row>
    <row r="581" customFormat="false" ht="14.15" hidden="false" customHeight="false" outlineLevel="0" collapsed="false">
      <c r="A581" s="9"/>
      <c r="B581" s="10"/>
      <c r="C581" s="10"/>
      <c r="D581" s="10"/>
      <c r="E581" s="10"/>
      <c r="F581" s="10"/>
      <c r="G581" s="10"/>
      <c r="H581" s="10"/>
      <c r="I581" s="25" t="n">
        <v>4</v>
      </c>
      <c r="J581" s="25" t="s">
        <v>33</v>
      </c>
      <c r="K581" s="26" t="n">
        <f aca="false">46.32</f>
        <v>46.32</v>
      </c>
      <c r="L581" s="26" t="n">
        <f aca="false">135.75</f>
        <v>135.75</v>
      </c>
      <c r="M581" s="25" t="n">
        <v>16</v>
      </c>
      <c r="N581" s="25" t="n">
        <v>40</v>
      </c>
      <c r="O581" s="25" t="n">
        <v>152.52</v>
      </c>
      <c r="P581" s="26" t="n">
        <f aca="false">30.4</f>
        <v>30.4</v>
      </c>
      <c r="Q581" s="26" t="n">
        <f aca="false">156.3</f>
        <v>156.3</v>
      </c>
      <c r="R581" s="25" t="n">
        <v>24.76</v>
      </c>
      <c r="S581" s="25" t="n">
        <v>22.38</v>
      </c>
      <c r="T581" s="25" t="n">
        <v>551</v>
      </c>
      <c r="U581" s="27" t="s">
        <v>29</v>
      </c>
      <c r="V581" s="21"/>
      <c r="W581" s="16"/>
      <c r="X581" s="16"/>
      <c r="Y581" s="16"/>
    </row>
    <row r="582" customFormat="false" ht="15.75" hidden="false" customHeight="true" outlineLevel="0" collapsed="false">
      <c r="A582" s="9" t="s">
        <v>43</v>
      </c>
      <c r="B582" s="10" t="s">
        <v>176</v>
      </c>
      <c r="C582" s="11" t="s">
        <v>209</v>
      </c>
      <c r="D582" s="10" t="s">
        <v>28</v>
      </c>
      <c r="E582" s="10" t="s">
        <v>28</v>
      </c>
      <c r="F582" s="10"/>
      <c r="G582" s="10" t="n">
        <v>14</v>
      </c>
      <c r="H582" s="10" t="n">
        <v>2.81</v>
      </c>
      <c r="I582" s="12" t="n">
        <v>1</v>
      </c>
      <c r="J582" s="12" t="s">
        <v>49</v>
      </c>
      <c r="K582" s="13" t="n">
        <f aca="false">40.39</f>
        <v>40.39</v>
      </c>
      <c r="L582" s="13" t="n">
        <f aca="false">117.57</f>
        <v>117.57</v>
      </c>
      <c r="M582" s="12" t="n">
        <v>14</v>
      </c>
      <c r="N582" s="12" t="n">
        <v>28</v>
      </c>
      <c r="O582" s="12" t="n">
        <v>83.03</v>
      </c>
      <c r="P582" s="13" t="n">
        <f aca="false">24.88</f>
        <v>24.88</v>
      </c>
      <c r="Q582" s="13" t="n">
        <f aca="false">126.12</f>
        <v>126.12</v>
      </c>
      <c r="R582" s="12" t="n">
        <v>14.27</v>
      </c>
      <c r="S582" s="12" t="n">
        <v>22.08</v>
      </c>
      <c r="T582" s="12" t="n">
        <v>307</v>
      </c>
      <c r="U582" s="14" t="s">
        <v>29</v>
      </c>
      <c r="V582" s="15"/>
      <c r="W582" s="16" t="str">
        <f aca="false">A582</f>
        <v>JB</v>
      </c>
      <c r="X582" s="17" t="e">
        <f aca="false">ifs(C582="","",X582="",NOW(),TRUE(),X582)</f>
        <v>#VALUE!</v>
      </c>
      <c r="Y582" s="17" t="e">
        <f aca="false">ifs(COUNTA(K582:U585)&lt;44,"",Y582="",NOW(),TRUE(),Y582)</f>
        <v>#VALUE!</v>
      </c>
    </row>
    <row r="583" customFormat="false" ht="14.15" hidden="false" customHeight="false" outlineLevel="0" collapsed="false">
      <c r="A583" s="9"/>
      <c r="B583" s="10"/>
      <c r="C583" s="10"/>
      <c r="D583" s="10"/>
      <c r="E583" s="10"/>
      <c r="F583" s="10"/>
      <c r="G583" s="10"/>
      <c r="H583" s="10"/>
      <c r="I583" s="18" t="n">
        <v>2</v>
      </c>
      <c r="J583" s="18" t="s">
        <v>120</v>
      </c>
      <c r="K583" s="19" t="n">
        <f aca="false">43.75</f>
        <v>43.75</v>
      </c>
      <c r="L583" s="19" t="n">
        <f aca="false">160.21</f>
        <v>160.21</v>
      </c>
      <c r="M583" s="18" t="n">
        <v>14</v>
      </c>
      <c r="N583" s="18" t="n">
        <v>42</v>
      </c>
      <c r="O583" s="18" t="n">
        <v>172.55</v>
      </c>
      <c r="P583" s="19" t="n">
        <f aca="false">25.86</f>
        <v>25.86</v>
      </c>
      <c r="Q583" s="19" t="n">
        <f aca="false">175.01</f>
        <v>175.01</v>
      </c>
      <c r="R583" s="18" t="n">
        <v>20.89</v>
      </c>
      <c r="S583" s="18" t="n">
        <v>28.13</v>
      </c>
      <c r="T583" s="18" t="n">
        <v>551</v>
      </c>
      <c r="U583" s="20" t="s">
        <v>29</v>
      </c>
      <c r="V583" s="21"/>
      <c r="W583" s="16"/>
      <c r="X583" s="16"/>
      <c r="Y583" s="16"/>
    </row>
    <row r="584" customFormat="false" ht="14.15" hidden="false" customHeight="false" outlineLevel="0" collapsed="false">
      <c r="A584" s="9"/>
      <c r="B584" s="10"/>
      <c r="C584" s="10"/>
      <c r="D584" s="10"/>
      <c r="E584" s="10"/>
      <c r="F584" s="10"/>
      <c r="G584" s="10"/>
      <c r="H584" s="10"/>
      <c r="I584" s="22" t="n">
        <v>3</v>
      </c>
      <c r="J584" s="22" t="s">
        <v>47</v>
      </c>
      <c r="K584" s="23" t="n">
        <f aca="false">42.4</f>
        <v>42.4</v>
      </c>
      <c r="L584" s="23" t="n">
        <f aca="false">106.44</f>
        <v>106.44</v>
      </c>
      <c r="M584" s="22" t="n">
        <v>14</v>
      </c>
      <c r="N584" s="22" t="n">
        <v>28</v>
      </c>
      <c r="O584" s="22" t="n">
        <v>101.29</v>
      </c>
      <c r="P584" s="23" t="n">
        <f aca="false">25.39</f>
        <v>25.39</v>
      </c>
      <c r="Q584" s="23" t="n">
        <f aca="false">125.85</f>
        <v>125.85</v>
      </c>
      <c r="R584" s="22" t="n">
        <v>13.96</v>
      </c>
      <c r="S584" s="22" t="n">
        <v>25.85</v>
      </c>
      <c r="T584" s="22" t="n">
        <v>338</v>
      </c>
      <c r="U584" s="24" t="s">
        <v>29</v>
      </c>
      <c r="V584" s="15"/>
      <c r="W584" s="16"/>
      <c r="X584" s="16"/>
      <c r="Y584" s="16"/>
    </row>
    <row r="585" customFormat="false" ht="14.15" hidden="false" customHeight="false" outlineLevel="0" collapsed="false">
      <c r="A585" s="9"/>
      <c r="B585" s="10"/>
      <c r="C585" s="10"/>
      <c r="D585" s="10"/>
      <c r="E585" s="10"/>
      <c r="F585" s="10"/>
      <c r="G585" s="10"/>
      <c r="H585" s="10"/>
      <c r="I585" s="25" t="n">
        <v>4</v>
      </c>
      <c r="J585" s="25" t="s">
        <v>35</v>
      </c>
      <c r="K585" s="26" t="n">
        <f aca="false">37.79</f>
        <v>37.79</v>
      </c>
      <c r="L585" s="26" t="n">
        <f aca="false">132.11</f>
        <v>132.11</v>
      </c>
      <c r="M585" s="25" t="n">
        <v>12</v>
      </c>
      <c r="N585" s="25" t="n">
        <v>22</v>
      </c>
      <c r="O585" s="25" t="n">
        <v>88.1</v>
      </c>
      <c r="P585" s="26" t="n">
        <f aca="false">22.85</f>
        <v>22.85</v>
      </c>
      <c r="Q585" s="26" t="n">
        <f aca="false">136.8</f>
        <v>136.8</v>
      </c>
      <c r="R585" s="25" t="n">
        <v>13.72</v>
      </c>
      <c r="S585" s="25" t="n">
        <v>32.7</v>
      </c>
      <c r="T585" s="25" t="n">
        <v>221</v>
      </c>
      <c r="U585" s="27" t="s">
        <v>58</v>
      </c>
      <c r="V585" s="21"/>
      <c r="W585" s="16"/>
      <c r="X585" s="16"/>
      <c r="Y585" s="16"/>
    </row>
    <row r="586" customFormat="false" ht="15.75" hidden="false" customHeight="true" outlineLevel="0" collapsed="false">
      <c r="A586" s="9" t="s">
        <v>194</v>
      </c>
      <c r="B586" s="10" t="s">
        <v>44</v>
      </c>
      <c r="C586" s="11" t="s">
        <v>210</v>
      </c>
      <c r="D586" s="10" t="s">
        <v>28</v>
      </c>
      <c r="E586" s="10" t="s">
        <v>28</v>
      </c>
      <c r="F586" s="10"/>
      <c r="G586" s="10" t="n">
        <v>12</v>
      </c>
      <c r="H586" s="10" t="n">
        <v>2.6</v>
      </c>
      <c r="I586" s="12" t="n">
        <v>1</v>
      </c>
      <c r="J586" s="12"/>
      <c r="K586" s="13" t="n">
        <f aca="false">42.39</f>
        <v>42.39</v>
      </c>
      <c r="L586" s="13" t="n">
        <f aca="false">135.41</f>
        <v>135.41</v>
      </c>
      <c r="M586" s="12" t="n">
        <v>12</v>
      </c>
      <c r="N586" s="12" t="n">
        <v>31</v>
      </c>
      <c r="O586" s="12" t="n">
        <v>133.7</v>
      </c>
      <c r="P586" s="13" t="n">
        <f aca="false">27.55</f>
        <v>27.55</v>
      </c>
      <c r="Q586" s="13" t="n">
        <f aca="false">148.42</f>
        <v>148.42</v>
      </c>
      <c r="R586" s="12" t="n">
        <v>21.5</v>
      </c>
      <c r="S586" s="12" t="n">
        <v>25.7</v>
      </c>
      <c r="T586" s="12" t="n">
        <v>479</v>
      </c>
      <c r="U586" s="14" t="s">
        <v>29</v>
      </c>
      <c r="V586" s="15"/>
      <c r="W586" s="16" t="str">
        <f aca="false">A586</f>
        <v>NN</v>
      </c>
      <c r="X586" s="17" t="e">
        <f aca="false">ifs(C586="","",X586="",NOW(),TRUE(),X586)</f>
        <v>#VALUE!</v>
      </c>
      <c r="Y586" s="17" t="e">
        <f aca="false">ifs(COUNTA(K586:U589)&lt;44,"",Y586="",NOW(),TRUE(),Y586)</f>
        <v>#VALUE!</v>
      </c>
    </row>
    <row r="587" customFormat="false" ht="14.15" hidden="false" customHeight="false" outlineLevel="0" collapsed="false">
      <c r="A587" s="9"/>
      <c r="B587" s="10"/>
      <c r="C587" s="10"/>
      <c r="D587" s="10"/>
      <c r="E587" s="10"/>
      <c r="F587" s="10"/>
      <c r="G587" s="10"/>
      <c r="H587" s="10"/>
      <c r="I587" s="18" t="n">
        <v>2</v>
      </c>
      <c r="J587" s="18"/>
      <c r="K587" s="19" t="n">
        <f aca="false">41.61</f>
        <v>41.61</v>
      </c>
      <c r="L587" s="19" t="n">
        <f aca="false">138.93</f>
        <v>138.93</v>
      </c>
      <c r="M587" s="18" t="n">
        <v>12</v>
      </c>
      <c r="N587" s="18" t="n">
        <v>34</v>
      </c>
      <c r="O587" s="18" t="n">
        <v>144.7</v>
      </c>
      <c r="P587" s="19" t="n">
        <f aca="false">25.75</f>
        <v>25.75</v>
      </c>
      <c r="Q587" s="19" t="n">
        <f aca="false">150.3</f>
        <v>150.3</v>
      </c>
      <c r="R587" s="18" t="n">
        <v>22.8</v>
      </c>
      <c r="S587" s="18" t="n">
        <v>26</v>
      </c>
      <c r="T587" s="18" t="n">
        <v>474</v>
      </c>
      <c r="U587" s="20" t="s">
        <v>29</v>
      </c>
      <c r="V587" s="21"/>
      <c r="W587" s="16"/>
      <c r="X587" s="16"/>
      <c r="Y587" s="16"/>
    </row>
    <row r="588" customFormat="false" ht="14.15" hidden="false" customHeight="false" outlineLevel="0" collapsed="false">
      <c r="A588" s="9"/>
      <c r="B588" s="10"/>
      <c r="C588" s="10"/>
      <c r="D588" s="10"/>
      <c r="E588" s="10"/>
      <c r="F588" s="10"/>
      <c r="G588" s="10"/>
      <c r="H588" s="10"/>
      <c r="I588" s="22" t="n">
        <v>3</v>
      </c>
      <c r="J588" s="22"/>
      <c r="K588" s="23" t="n">
        <f aca="false">40.6</f>
        <v>40.6</v>
      </c>
      <c r="L588" s="23" t="n">
        <f aca="false">113.09</f>
        <v>113.09</v>
      </c>
      <c r="M588" s="22" t="n">
        <v>12</v>
      </c>
      <c r="N588" s="22" t="n">
        <v>24</v>
      </c>
      <c r="O588" s="22" t="n">
        <v>95.6</v>
      </c>
      <c r="P588" s="23" t="n">
        <f aca="false">26.59</f>
        <v>26.59</v>
      </c>
      <c r="Q588" s="23" t="n">
        <f aca="false">112.13</f>
        <v>112.13</v>
      </c>
      <c r="R588" s="22" t="n">
        <v>15.9</v>
      </c>
      <c r="S588" s="22" t="n">
        <v>23.9</v>
      </c>
      <c r="T588" s="22" t="n">
        <v>335</v>
      </c>
      <c r="U588" s="24" t="s">
        <v>29</v>
      </c>
      <c r="V588" s="15"/>
      <c r="W588" s="16"/>
      <c r="X588" s="16"/>
      <c r="Y588" s="16"/>
    </row>
    <row r="589" customFormat="false" ht="14.15" hidden="false" customHeight="false" outlineLevel="0" collapsed="false">
      <c r="A589" s="9"/>
      <c r="B589" s="10"/>
      <c r="C589" s="10"/>
      <c r="D589" s="10"/>
      <c r="E589" s="10"/>
      <c r="F589" s="10"/>
      <c r="G589" s="10"/>
      <c r="H589" s="10"/>
      <c r="I589" s="25" t="n">
        <v>4</v>
      </c>
      <c r="J589" s="25"/>
      <c r="K589" s="26" t="n">
        <f aca="false">44.35</f>
        <v>44.35</v>
      </c>
      <c r="L589" s="26" t="n">
        <f aca="false">107.81</f>
        <v>107.81</v>
      </c>
      <c r="M589" s="25" t="n">
        <v>14</v>
      </c>
      <c r="N589" s="25" t="n">
        <v>27</v>
      </c>
      <c r="O589" s="25" t="n">
        <v>101.8</v>
      </c>
      <c r="P589" s="26" t="n">
        <f aca="false">29.32</f>
        <v>29.32</v>
      </c>
      <c r="Q589" s="26" t="n">
        <f aca="false">126.04</f>
        <v>126.04</v>
      </c>
      <c r="R589" s="25" t="n">
        <v>16.8</v>
      </c>
      <c r="S589" s="25" t="n">
        <v>23.2</v>
      </c>
      <c r="T589" s="25" t="n">
        <v>376</v>
      </c>
      <c r="U589" s="27" t="s">
        <v>29</v>
      </c>
      <c r="V589" s="21"/>
      <c r="W589" s="16"/>
      <c r="X589" s="16"/>
      <c r="Y589" s="16"/>
    </row>
    <row r="590" customFormat="false" ht="15.75" hidden="false" customHeight="true" outlineLevel="0" collapsed="false">
      <c r="A590" s="9" t="s">
        <v>194</v>
      </c>
      <c r="B590" s="10" t="s">
        <v>44</v>
      </c>
      <c r="C590" s="11" t="s">
        <v>211</v>
      </c>
      <c r="D590" s="10" t="s">
        <v>28</v>
      </c>
      <c r="E590" s="10" t="s">
        <v>28</v>
      </c>
      <c r="F590" s="10"/>
      <c r="G590" s="10" t="n">
        <v>21</v>
      </c>
      <c r="H590" s="10" t="n">
        <v>4.1</v>
      </c>
      <c r="I590" s="12" t="n">
        <v>1</v>
      </c>
      <c r="J590" s="12"/>
      <c r="K590" s="13" t="n">
        <f aca="false">45.79</f>
        <v>45.79</v>
      </c>
      <c r="L590" s="13" t="n">
        <f aca="false">182.19</f>
        <v>182.19</v>
      </c>
      <c r="M590" s="12" t="n">
        <v>14</v>
      </c>
      <c r="N590" s="12" t="n">
        <v>42</v>
      </c>
      <c r="O590" s="12" t="n">
        <v>203.5</v>
      </c>
      <c r="P590" s="13" t="n">
        <f aca="false">30.31</f>
        <v>30.31</v>
      </c>
      <c r="Q590" s="13" t="n">
        <f aca="false">191.49</f>
        <v>191.49</v>
      </c>
      <c r="R590" s="12" t="n">
        <v>27.1</v>
      </c>
      <c r="S590" s="12" t="n">
        <v>25.4</v>
      </c>
      <c r="T590" s="12" t="n">
        <v>672</v>
      </c>
      <c r="U590" s="14" t="s">
        <v>29</v>
      </c>
      <c r="V590" s="15"/>
      <c r="W590" s="16" t="str">
        <f aca="false">A590</f>
        <v>NN</v>
      </c>
      <c r="X590" s="17" t="e">
        <f aca="false">ifs(C590="","",X590="",NOW(),TRUE(),X590)</f>
        <v>#VALUE!</v>
      </c>
      <c r="Y590" s="17" t="e">
        <f aca="false">ifs(COUNTA(K590:U593)&lt;44,"",Y590="",NOW(),TRUE(),Y590)</f>
        <v>#VALUE!</v>
      </c>
    </row>
    <row r="591" customFormat="false" ht="14.15" hidden="false" customHeight="false" outlineLevel="0" collapsed="false">
      <c r="A591" s="9"/>
      <c r="B591" s="10"/>
      <c r="C591" s="10"/>
      <c r="D591" s="10"/>
      <c r="E591" s="10"/>
      <c r="F591" s="10"/>
      <c r="G591" s="10"/>
      <c r="H591" s="10"/>
      <c r="I591" s="18" t="n">
        <v>2</v>
      </c>
      <c r="J591" s="18"/>
      <c r="K591" s="19" t="n">
        <f aca="false">45.92</f>
        <v>45.92</v>
      </c>
      <c r="L591" s="19" t="n">
        <f aca="false">181.49</f>
        <v>181.49</v>
      </c>
      <c r="M591" s="18" t="n">
        <v>14</v>
      </c>
      <c r="N591" s="18" t="n">
        <v>40</v>
      </c>
      <c r="O591" s="18" t="n">
        <v>192</v>
      </c>
      <c r="P591" s="19" t="n">
        <f aca="false">25.72</f>
        <v>25.72</v>
      </c>
      <c r="Q591" s="19" t="n">
        <f aca="false">190.47</f>
        <v>190.47</v>
      </c>
      <c r="R591" s="18" t="n">
        <v>26.2</v>
      </c>
      <c r="S591" s="18" t="n">
        <v>24.7</v>
      </c>
      <c r="T591" s="18" t="n">
        <v>672</v>
      </c>
      <c r="U591" s="20" t="s">
        <v>29</v>
      </c>
      <c r="V591" s="21"/>
      <c r="W591" s="16"/>
      <c r="X591" s="16"/>
      <c r="Y591" s="16"/>
    </row>
    <row r="592" customFormat="false" ht="14.15" hidden="false" customHeight="false" outlineLevel="0" collapsed="false">
      <c r="A592" s="9"/>
      <c r="B592" s="10"/>
      <c r="C592" s="10"/>
      <c r="D592" s="10"/>
      <c r="E592" s="10"/>
      <c r="F592" s="10"/>
      <c r="G592" s="10"/>
      <c r="H592" s="10"/>
      <c r="I592" s="22" t="n">
        <v>3</v>
      </c>
      <c r="J592" s="22"/>
      <c r="K592" s="23" t="n">
        <f aca="false">45.06</f>
        <v>45.06</v>
      </c>
      <c r="L592" s="23" t="n">
        <f aca="false">158.95</f>
        <v>158.95</v>
      </c>
      <c r="M592" s="22" t="n">
        <v>14</v>
      </c>
      <c r="N592" s="22" t="n">
        <v>39</v>
      </c>
      <c r="O592" s="22" t="n">
        <v>169.9</v>
      </c>
      <c r="P592" s="23" t="n">
        <f aca="false">25.63</f>
        <v>25.63</v>
      </c>
      <c r="Q592" s="23" t="n">
        <f aca="false">177.26</f>
        <v>177.26</v>
      </c>
      <c r="R592" s="22" t="n">
        <v>22.2</v>
      </c>
      <c r="S592" s="22" t="n">
        <v>16.5</v>
      </c>
      <c r="T592" s="22" t="n">
        <v>652</v>
      </c>
      <c r="U592" s="24" t="s">
        <v>29</v>
      </c>
      <c r="V592" s="15"/>
      <c r="W592" s="16"/>
      <c r="X592" s="16"/>
      <c r="Y592" s="16"/>
    </row>
    <row r="593" customFormat="false" ht="14.15" hidden="false" customHeight="false" outlineLevel="0" collapsed="false">
      <c r="A593" s="9"/>
      <c r="B593" s="10"/>
      <c r="C593" s="10"/>
      <c r="D593" s="10"/>
      <c r="E593" s="10"/>
      <c r="F593" s="10"/>
      <c r="G593" s="10"/>
      <c r="H593" s="10"/>
      <c r="I593" s="25" t="n">
        <v>4</v>
      </c>
      <c r="J593" s="25"/>
      <c r="K593" s="26" t="n">
        <f aca="false">44.56</f>
        <v>44.56</v>
      </c>
      <c r="L593" s="26" t="n">
        <f aca="false">176.26</f>
        <v>176.26</v>
      </c>
      <c r="M593" s="25" t="n">
        <v>14</v>
      </c>
      <c r="N593" s="25" t="n">
        <v>47</v>
      </c>
      <c r="O593" s="25" t="n">
        <v>193.5</v>
      </c>
      <c r="P593" s="26" t="n">
        <f aca="false">26.56</f>
        <v>26.56</v>
      </c>
      <c r="Q593" s="26" t="n">
        <f aca="false">181.36</f>
        <v>181.36</v>
      </c>
      <c r="R593" s="25" t="n">
        <v>23.9</v>
      </c>
      <c r="S593" s="25" t="n">
        <v>15.6</v>
      </c>
      <c r="T593" s="25" t="n">
        <v>702</v>
      </c>
      <c r="U593" s="27" t="s">
        <v>29</v>
      </c>
      <c r="V593" s="21"/>
      <c r="W593" s="16"/>
      <c r="X593" s="16"/>
      <c r="Y593" s="16"/>
    </row>
    <row r="594" customFormat="false" ht="15.75" hidden="false" customHeight="true" outlineLevel="0" collapsed="false">
      <c r="A594" s="9" t="s">
        <v>194</v>
      </c>
      <c r="B594" s="10" t="s">
        <v>44</v>
      </c>
      <c r="C594" s="11" t="s">
        <v>212</v>
      </c>
      <c r="D594" s="10" t="s">
        <v>28</v>
      </c>
      <c r="E594" s="10" t="s">
        <v>28</v>
      </c>
      <c r="F594" s="10"/>
      <c r="G594" s="10" t="n">
        <v>2</v>
      </c>
      <c r="H594" s="10" t="n">
        <v>0.2</v>
      </c>
      <c r="I594" s="12" t="n">
        <v>1</v>
      </c>
      <c r="J594" s="12"/>
      <c r="K594" s="13" t="n">
        <f aca="false">40.66</f>
        <v>40.66</v>
      </c>
      <c r="L594" s="13" t="n">
        <f aca="false">134.71</f>
        <v>134.71</v>
      </c>
      <c r="M594" s="12" t="n">
        <v>12</v>
      </c>
      <c r="N594" s="12" t="n">
        <v>37</v>
      </c>
      <c r="O594" s="12" t="n">
        <v>116.2</v>
      </c>
      <c r="P594" s="13" t="n">
        <f aca="false">25.52</f>
        <v>25.52</v>
      </c>
      <c r="Q594" s="13" t="n">
        <f aca="false">141.05</f>
        <v>141.05</v>
      </c>
      <c r="R594" s="12" t="n">
        <v>18</v>
      </c>
      <c r="S594" s="12" t="n">
        <v>19.8</v>
      </c>
      <c r="T594" s="12" t="n">
        <v>481</v>
      </c>
      <c r="U594" s="14" t="s">
        <v>29</v>
      </c>
      <c r="V594" s="15"/>
      <c r="W594" s="16" t="str">
        <f aca="false">A594</f>
        <v>NN</v>
      </c>
      <c r="X594" s="17" t="e">
        <f aca="false">ifs(C594="","",X594="",NOW(),TRUE(),X594)</f>
        <v>#VALUE!</v>
      </c>
      <c r="Y594" s="17" t="e">
        <f aca="false">ifs(COUNTA(K594:U597)&lt;44,"",Y594="",NOW(),TRUE(),Y594)</f>
        <v>#VALUE!</v>
      </c>
    </row>
    <row r="595" customFormat="false" ht="14.15" hidden="false" customHeight="false" outlineLevel="0" collapsed="false">
      <c r="A595" s="9"/>
      <c r="B595" s="10"/>
      <c r="C595" s="10"/>
      <c r="D595" s="10"/>
      <c r="E595" s="10"/>
      <c r="F595" s="10"/>
      <c r="G595" s="10"/>
      <c r="H595" s="10"/>
      <c r="I595" s="18" t="n">
        <v>2</v>
      </c>
      <c r="J595" s="18"/>
      <c r="K595" s="19" t="n">
        <f aca="false">42.59</f>
        <v>42.59</v>
      </c>
      <c r="L595" s="19" t="n">
        <f aca="false">161.18</f>
        <v>161.18</v>
      </c>
      <c r="M595" s="18" t="n">
        <v>14</v>
      </c>
      <c r="N595" s="18" t="n">
        <v>41</v>
      </c>
      <c r="O595" s="18" t="n">
        <v>135</v>
      </c>
      <c r="P595" s="19" t="n">
        <f aca="false">26.99</f>
        <v>26.99</v>
      </c>
      <c r="Q595" s="19" t="n">
        <f aca="false">177.02</f>
        <v>177.02</v>
      </c>
      <c r="R595" s="18" t="n">
        <v>24.5</v>
      </c>
      <c r="S595" s="18" t="n">
        <v>15.4</v>
      </c>
      <c r="T595" s="18" t="n">
        <v>684</v>
      </c>
      <c r="U595" s="20" t="s">
        <v>29</v>
      </c>
      <c r="V595" s="21"/>
      <c r="W595" s="16"/>
      <c r="X595" s="16"/>
      <c r="Y595" s="16"/>
    </row>
    <row r="596" customFormat="false" ht="14.15" hidden="false" customHeight="false" outlineLevel="0" collapsed="false">
      <c r="A596" s="9"/>
      <c r="B596" s="10"/>
      <c r="C596" s="10"/>
      <c r="D596" s="10"/>
      <c r="E596" s="10"/>
      <c r="F596" s="10"/>
      <c r="G596" s="10"/>
      <c r="H596" s="10"/>
      <c r="I596" s="22" t="n">
        <v>3</v>
      </c>
      <c r="J596" s="22"/>
      <c r="K596" s="23" t="n">
        <f aca="false">43.58</f>
        <v>43.58</v>
      </c>
      <c r="L596" s="23" t="n">
        <f aca="false">160.11</f>
        <v>160.11</v>
      </c>
      <c r="M596" s="22" t="n">
        <v>14</v>
      </c>
      <c r="N596" s="22" t="n">
        <v>37</v>
      </c>
      <c r="O596" s="22" t="n">
        <v>152.9</v>
      </c>
      <c r="P596" s="23" t="n">
        <f aca="false">26.81</f>
        <v>26.81</v>
      </c>
      <c r="Q596" s="23" t="n">
        <f aca="false">174.53</f>
        <v>174.53</v>
      </c>
      <c r="R596" s="22" t="n">
        <v>23.1</v>
      </c>
      <c r="S596" s="22" t="n">
        <v>23.2</v>
      </c>
      <c r="T596" s="22" t="n">
        <v>559</v>
      </c>
      <c r="U596" s="24" t="s">
        <v>29</v>
      </c>
      <c r="V596" s="15"/>
      <c r="W596" s="16"/>
      <c r="X596" s="16"/>
      <c r="Y596" s="16"/>
    </row>
    <row r="597" customFormat="false" ht="14.15" hidden="false" customHeight="false" outlineLevel="0" collapsed="false">
      <c r="A597" s="9"/>
      <c r="B597" s="10"/>
      <c r="C597" s="10"/>
      <c r="D597" s="10"/>
      <c r="E597" s="10"/>
      <c r="F597" s="10"/>
      <c r="G597" s="10"/>
      <c r="H597" s="10"/>
      <c r="I597" s="25" t="n">
        <v>4</v>
      </c>
      <c r="J597" s="25"/>
      <c r="K597" s="26" t="n">
        <f aca="false">41.28</f>
        <v>41.28</v>
      </c>
      <c r="L597" s="26" t="n">
        <f aca="false">117</f>
        <v>117</v>
      </c>
      <c r="M597" s="25" t="n">
        <v>14</v>
      </c>
      <c r="N597" s="25" t="n">
        <v>31</v>
      </c>
      <c r="O597" s="25" t="n">
        <v>105</v>
      </c>
      <c r="P597" s="26" t="n">
        <f aca="false">24.66</f>
        <v>24.66</v>
      </c>
      <c r="Q597" s="26" t="n">
        <f aca="false">137.05</f>
        <v>137.05</v>
      </c>
      <c r="R597" s="25" t="n">
        <v>15.5</v>
      </c>
      <c r="S597" s="25" t="n">
        <v>19.8</v>
      </c>
      <c r="T597" s="25" t="n">
        <v>457</v>
      </c>
      <c r="U597" s="27" t="s">
        <v>29</v>
      </c>
      <c r="V597" s="21"/>
      <c r="W597" s="16"/>
      <c r="X597" s="16"/>
      <c r="Y597" s="16"/>
    </row>
    <row r="598" customFormat="false" ht="15.75" hidden="false" customHeight="true" outlineLevel="0" collapsed="false">
      <c r="A598" s="9" t="s">
        <v>194</v>
      </c>
      <c r="B598" s="10" t="s">
        <v>44</v>
      </c>
      <c r="C598" s="11" t="s">
        <v>213</v>
      </c>
      <c r="D598" s="10" t="s">
        <v>28</v>
      </c>
      <c r="E598" s="10" t="s">
        <v>28</v>
      </c>
      <c r="F598" s="10"/>
      <c r="G598" s="10" t="n">
        <v>15</v>
      </c>
      <c r="H598" s="10" t="n">
        <v>3.3</v>
      </c>
      <c r="I598" s="12" t="n">
        <v>1</v>
      </c>
      <c r="J598" s="12"/>
      <c r="K598" s="13" t="n">
        <f aca="false">45.16</f>
        <v>45.16</v>
      </c>
      <c r="L598" s="13" t="n">
        <f aca="false">156.47</f>
        <v>156.47</v>
      </c>
      <c r="M598" s="12" t="n">
        <v>12</v>
      </c>
      <c r="N598" s="12" t="n">
        <v>37</v>
      </c>
      <c r="O598" s="12" t="n">
        <v>165.7</v>
      </c>
      <c r="P598" s="13" t="n">
        <f aca="false">26.04</f>
        <v>26.04</v>
      </c>
      <c r="Q598" s="13" t="n">
        <f aca="false">158.78</f>
        <v>158.78</v>
      </c>
      <c r="R598" s="12" t="n">
        <v>16.9</v>
      </c>
      <c r="S598" s="12" t="n">
        <v>27.7</v>
      </c>
      <c r="T598" s="12" t="n">
        <v>543</v>
      </c>
      <c r="U598" s="14" t="s">
        <v>29</v>
      </c>
      <c r="V598" s="15"/>
      <c r="W598" s="16" t="str">
        <f aca="false">A598</f>
        <v>NN</v>
      </c>
      <c r="X598" s="17" t="e">
        <f aca="false">ifs(C598="","",X598="",NOW(),TRUE(),X598)</f>
        <v>#VALUE!</v>
      </c>
      <c r="Y598" s="17" t="e">
        <f aca="false">ifs(COUNTA(K598:U601)&lt;44,"",Y598="",NOW(),TRUE(),Y598)</f>
        <v>#VALUE!</v>
      </c>
    </row>
    <row r="599" customFormat="false" ht="14.15" hidden="false" customHeight="false" outlineLevel="0" collapsed="false">
      <c r="A599" s="9"/>
      <c r="B599" s="10"/>
      <c r="C599" s="10"/>
      <c r="D599" s="10"/>
      <c r="E599" s="10"/>
      <c r="F599" s="10"/>
      <c r="G599" s="10"/>
      <c r="H599" s="10"/>
      <c r="I599" s="18" t="n">
        <v>2</v>
      </c>
      <c r="J599" s="18"/>
      <c r="K599" s="19" t="n">
        <f aca="false">45.73</f>
        <v>45.73</v>
      </c>
      <c r="L599" s="19" t="n">
        <f aca="false">180.21</f>
        <v>180.21</v>
      </c>
      <c r="M599" s="18" t="n">
        <v>14</v>
      </c>
      <c r="N599" s="18" t="n">
        <v>43</v>
      </c>
      <c r="O599" s="18" t="n">
        <v>204.1</v>
      </c>
      <c r="P599" s="19" t="n">
        <f aca="false">27.65</f>
        <v>27.65</v>
      </c>
      <c r="Q599" s="19" t="n">
        <f aca="false">179.31</f>
        <v>179.31</v>
      </c>
      <c r="R599" s="18" t="n">
        <v>21.6</v>
      </c>
      <c r="S599" s="18" t="n">
        <v>24.5</v>
      </c>
      <c r="T599" s="18" t="n">
        <v>683</v>
      </c>
      <c r="U599" s="20" t="s">
        <v>29</v>
      </c>
      <c r="V599" s="21"/>
      <c r="W599" s="16"/>
      <c r="X599" s="16"/>
      <c r="Y599" s="16"/>
    </row>
    <row r="600" customFormat="false" ht="14.15" hidden="false" customHeight="false" outlineLevel="0" collapsed="false">
      <c r="A600" s="9"/>
      <c r="B600" s="10"/>
      <c r="C600" s="10"/>
      <c r="D600" s="10"/>
      <c r="E600" s="10"/>
      <c r="F600" s="10"/>
      <c r="G600" s="10"/>
      <c r="H600" s="10"/>
      <c r="I600" s="22" t="n">
        <v>3</v>
      </c>
      <c r="J600" s="22"/>
      <c r="K600" s="23" t="n">
        <f aca="false">45.3</f>
        <v>45.3</v>
      </c>
      <c r="L600" s="23" t="n">
        <f aca="false">146.31</f>
        <v>146.31</v>
      </c>
      <c r="M600" s="22" t="n">
        <v>16</v>
      </c>
      <c r="N600" s="22" t="n">
        <v>36</v>
      </c>
      <c r="O600" s="22" t="n">
        <v>162</v>
      </c>
      <c r="P600" s="23" t="n">
        <f aca="false">27.26</f>
        <v>27.26</v>
      </c>
      <c r="Q600" s="23" t="n">
        <f aca="false">159</f>
        <v>159</v>
      </c>
      <c r="R600" s="22" t="n">
        <v>16.3</v>
      </c>
      <c r="S600" s="22" t="n">
        <v>23.8</v>
      </c>
      <c r="T600" s="22" t="n">
        <v>630</v>
      </c>
      <c r="U600" s="24" t="s">
        <v>29</v>
      </c>
      <c r="V600" s="15"/>
      <c r="W600" s="16"/>
      <c r="X600" s="16"/>
      <c r="Y600" s="16"/>
    </row>
    <row r="601" customFormat="false" ht="14.15" hidden="false" customHeight="false" outlineLevel="0" collapsed="false">
      <c r="A601" s="9"/>
      <c r="B601" s="10"/>
      <c r="C601" s="10"/>
      <c r="D601" s="10"/>
      <c r="E601" s="10"/>
      <c r="F601" s="10"/>
      <c r="G601" s="10"/>
      <c r="H601" s="10"/>
      <c r="I601" s="25" t="n">
        <v>4</v>
      </c>
      <c r="J601" s="25"/>
      <c r="K601" s="26" t="n">
        <f aca="false">45.37</f>
        <v>45.37</v>
      </c>
      <c r="L601" s="26" t="n">
        <f aca="false">173.54</f>
        <v>173.54</v>
      </c>
      <c r="M601" s="25" t="n">
        <v>14</v>
      </c>
      <c r="N601" s="25" t="n">
        <v>43</v>
      </c>
      <c r="O601" s="25" t="n">
        <v>189.3</v>
      </c>
      <c r="P601" s="26" t="n">
        <f aca="false">26.14</f>
        <v>26.14</v>
      </c>
      <c r="Q601" s="26" t="n">
        <f aca="false">182.53</f>
        <v>182.53</v>
      </c>
      <c r="R601" s="25" t="n">
        <v>21.1</v>
      </c>
      <c r="S601" s="25" t="n">
        <v>22.9</v>
      </c>
      <c r="T601" s="25" t="n">
        <v>655</v>
      </c>
      <c r="U601" s="27" t="s">
        <v>29</v>
      </c>
      <c r="V601" s="21"/>
      <c r="W601" s="16"/>
      <c r="X601" s="16"/>
      <c r="Y601" s="16"/>
    </row>
    <row r="602" customFormat="false" ht="15.75" hidden="false" customHeight="true" outlineLevel="0" collapsed="false">
      <c r="A602" s="9" t="s">
        <v>194</v>
      </c>
      <c r="B602" s="10" t="s">
        <v>44</v>
      </c>
      <c r="C602" s="11" t="s">
        <v>214</v>
      </c>
      <c r="D602" s="10" t="s">
        <v>28</v>
      </c>
      <c r="E602" s="10" t="s">
        <v>28</v>
      </c>
      <c r="F602" s="10"/>
      <c r="G602" s="10" t="n">
        <v>27</v>
      </c>
      <c r="H602" s="10" t="n">
        <v>3.2</v>
      </c>
      <c r="I602" s="12" t="n">
        <v>1</v>
      </c>
      <c r="J602" s="12" t="s">
        <v>47</v>
      </c>
      <c r="K602" s="13" t="n">
        <f aca="false">46.95</f>
        <v>46.95</v>
      </c>
      <c r="L602" s="13" t="n">
        <f aca="false">156.03</f>
        <v>156.03</v>
      </c>
      <c r="M602" s="12" t="n">
        <v>16</v>
      </c>
      <c r="N602" s="12" t="n">
        <v>40</v>
      </c>
      <c r="O602" s="12" t="n">
        <v>161.8</v>
      </c>
      <c r="P602" s="13" t="n">
        <f aca="false">31.76</f>
        <v>31.76</v>
      </c>
      <c r="Q602" s="13" t="n">
        <f aca="false">168.7</f>
        <v>168.7</v>
      </c>
      <c r="R602" s="12" t="n">
        <v>30.3</v>
      </c>
      <c r="S602" s="12" t="n">
        <v>18.1</v>
      </c>
      <c r="T602" s="12" t="n">
        <v>673</v>
      </c>
      <c r="U602" s="14" t="s">
        <v>58</v>
      </c>
      <c r="V602" s="15"/>
      <c r="W602" s="16" t="str">
        <f aca="false">A602</f>
        <v>NN</v>
      </c>
      <c r="X602" s="17" t="e">
        <f aca="false">ifs(C602="","",X602="",NOW(),TRUE(),X602)</f>
        <v>#VALUE!</v>
      </c>
      <c r="Y602" s="17" t="e">
        <f aca="false">ifs(COUNTA(K602:U605)&lt;44,"",Y602="",NOW(),TRUE(),Y602)</f>
        <v>#VALUE!</v>
      </c>
    </row>
    <row r="603" customFormat="false" ht="14.15" hidden="false" customHeight="false" outlineLevel="0" collapsed="false">
      <c r="A603" s="9"/>
      <c r="B603" s="10"/>
      <c r="C603" s="10"/>
      <c r="D603" s="10"/>
      <c r="E603" s="10"/>
      <c r="F603" s="10"/>
      <c r="G603" s="10"/>
      <c r="H603" s="10"/>
      <c r="I603" s="18" t="n">
        <v>2</v>
      </c>
      <c r="J603" s="18" t="s">
        <v>47</v>
      </c>
      <c r="K603" s="19" t="n">
        <f aca="false">45.06</f>
        <v>45.06</v>
      </c>
      <c r="L603" s="19" t="n">
        <f aca="false">154.01</f>
        <v>154.01</v>
      </c>
      <c r="M603" s="18" t="n">
        <v>14</v>
      </c>
      <c r="N603" s="18" t="n">
        <v>38</v>
      </c>
      <c r="O603" s="18" t="n">
        <v>138.6</v>
      </c>
      <c r="P603" s="19" t="n">
        <f aca="false">30.07</f>
        <v>30.07</v>
      </c>
      <c r="Q603" s="19" t="n">
        <f aca="false">167.92</f>
        <v>167.92</v>
      </c>
      <c r="R603" s="18" t="n">
        <v>28.5</v>
      </c>
      <c r="S603" s="18" t="n">
        <v>18.7</v>
      </c>
      <c r="T603" s="18" t="n">
        <v>597</v>
      </c>
      <c r="U603" s="20" t="s">
        <v>29</v>
      </c>
      <c r="V603" s="21"/>
      <c r="W603" s="16"/>
      <c r="X603" s="16"/>
      <c r="Y603" s="16"/>
    </row>
    <row r="604" customFormat="false" ht="14.15" hidden="false" customHeight="false" outlineLevel="0" collapsed="false">
      <c r="A604" s="9"/>
      <c r="B604" s="10"/>
      <c r="C604" s="10"/>
      <c r="D604" s="10"/>
      <c r="E604" s="10"/>
      <c r="F604" s="10"/>
      <c r="G604" s="10"/>
      <c r="H604" s="10"/>
      <c r="I604" s="22" t="n">
        <v>3</v>
      </c>
      <c r="J604" s="22" t="s">
        <v>47</v>
      </c>
      <c r="K604" s="23" t="n">
        <f aca="false">42.08</f>
        <v>42.08</v>
      </c>
      <c r="L604" s="23" t="n">
        <f aca="false">153.28</f>
        <v>153.28</v>
      </c>
      <c r="M604" s="22" t="n">
        <v>14</v>
      </c>
      <c r="N604" s="22" t="n">
        <v>38</v>
      </c>
      <c r="O604" s="22" t="n">
        <v>134.3</v>
      </c>
      <c r="P604" s="23" t="n">
        <f aca="false">28.67</f>
        <v>28.67</v>
      </c>
      <c r="Q604" s="23" t="n">
        <f aca="false">164.68</f>
        <v>164.68</v>
      </c>
      <c r="R604" s="22" t="n">
        <v>23</v>
      </c>
      <c r="S604" s="22" t="n">
        <v>19.7</v>
      </c>
      <c r="T604" s="22" t="n">
        <v>543</v>
      </c>
      <c r="U604" s="24" t="s">
        <v>29</v>
      </c>
      <c r="V604" s="15"/>
      <c r="W604" s="16"/>
      <c r="X604" s="16"/>
      <c r="Y604" s="16"/>
    </row>
    <row r="605" customFormat="false" ht="14.15" hidden="false" customHeight="false" outlineLevel="0" collapsed="false">
      <c r="A605" s="9"/>
      <c r="B605" s="10"/>
      <c r="C605" s="10"/>
      <c r="D605" s="10"/>
      <c r="E605" s="10"/>
      <c r="F605" s="10"/>
      <c r="G605" s="10"/>
      <c r="H605" s="10"/>
      <c r="I605" s="25" t="n">
        <v>4</v>
      </c>
      <c r="J605" s="25" t="s">
        <v>47</v>
      </c>
      <c r="K605" s="26" t="n">
        <f aca="false">47.7</f>
        <v>47.7</v>
      </c>
      <c r="L605" s="26" t="n">
        <f aca="false">183.18</f>
        <v>183.18</v>
      </c>
      <c r="M605" s="25" t="n">
        <v>16</v>
      </c>
      <c r="N605" s="25" t="n">
        <v>46</v>
      </c>
      <c r="O605" s="25" t="n">
        <v>191.4</v>
      </c>
      <c r="P605" s="26" t="n">
        <f aca="false">30.27</f>
        <v>30.27</v>
      </c>
      <c r="Q605" s="26" t="n">
        <f aca="false">193.05</f>
        <v>193.05</v>
      </c>
      <c r="R605" s="25" t="n">
        <v>33.8</v>
      </c>
      <c r="S605" s="25" t="n">
        <v>20.3</v>
      </c>
      <c r="T605" s="25" t="n">
        <v>720</v>
      </c>
      <c r="U605" s="27" t="s">
        <v>29</v>
      </c>
      <c r="V605" s="21"/>
      <c r="W605" s="16"/>
      <c r="X605" s="16"/>
      <c r="Y605" s="16"/>
    </row>
    <row r="606" customFormat="false" ht="15.75" hidden="false" customHeight="true" outlineLevel="0" collapsed="false">
      <c r="A606" s="9" t="s">
        <v>43</v>
      </c>
      <c r="B606" s="10" t="s">
        <v>176</v>
      </c>
      <c r="C606" s="11" t="s">
        <v>215</v>
      </c>
      <c r="D606" s="10" t="s">
        <v>28</v>
      </c>
      <c r="E606" s="10" t="s">
        <v>28</v>
      </c>
      <c r="F606" s="10"/>
      <c r="G606" s="10" t="n">
        <v>3</v>
      </c>
      <c r="H606" s="10" t="n">
        <v>0.56</v>
      </c>
      <c r="I606" s="12" t="n">
        <v>1</v>
      </c>
      <c r="J606" s="12" t="s">
        <v>49</v>
      </c>
      <c r="K606" s="13" t="n">
        <f aca="false">40.32</f>
        <v>40.32</v>
      </c>
      <c r="L606" s="13" t="n">
        <f aca="false">110.35</f>
        <v>110.35</v>
      </c>
      <c r="M606" s="12" t="n">
        <v>14</v>
      </c>
      <c r="N606" s="12" t="n">
        <v>28</v>
      </c>
      <c r="O606" s="12" t="n">
        <v>78.43</v>
      </c>
      <c r="P606" s="13" t="n">
        <f aca="false">26.75</f>
        <v>26.75</v>
      </c>
      <c r="Q606" s="13" t="n">
        <f aca="false">128.96</f>
        <v>128.96</v>
      </c>
      <c r="R606" s="12" t="n">
        <v>12.87</v>
      </c>
      <c r="S606" s="12" t="n">
        <v>21.61</v>
      </c>
      <c r="T606" s="12" t="n">
        <v>289</v>
      </c>
      <c r="U606" s="14" t="s">
        <v>58</v>
      </c>
      <c r="V606" s="15"/>
      <c r="W606" s="16" t="str">
        <f aca="false">A606</f>
        <v>JB</v>
      </c>
      <c r="X606" s="17" t="e">
        <f aca="false">ifs(C606="","",X606="",NOW(),TRUE(),X606)</f>
        <v>#VALUE!</v>
      </c>
      <c r="Y606" s="17" t="e">
        <f aca="false">ifs(COUNTA(K606:U609)&lt;44,"",Y606="",NOW(),TRUE(),Y606)</f>
        <v>#VALUE!</v>
      </c>
    </row>
    <row r="607" customFormat="false" ht="14.15" hidden="false" customHeight="false" outlineLevel="0" collapsed="false">
      <c r="A607" s="9"/>
      <c r="B607" s="10"/>
      <c r="C607" s="10"/>
      <c r="D607" s="10"/>
      <c r="E607" s="10"/>
      <c r="F607" s="10"/>
      <c r="G607" s="10"/>
      <c r="H607" s="10"/>
      <c r="I607" s="18" t="n">
        <v>2</v>
      </c>
      <c r="J607" s="18" t="s">
        <v>49</v>
      </c>
      <c r="K607" s="19" t="n">
        <f aca="false">38.54</f>
        <v>38.54</v>
      </c>
      <c r="L607" s="19" t="n">
        <f aca="false">115.69</f>
        <v>115.69</v>
      </c>
      <c r="M607" s="18" t="n">
        <v>14</v>
      </c>
      <c r="N607" s="18" t="n">
        <v>30</v>
      </c>
      <c r="O607" s="18" t="n">
        <v>80.88</v>
      </c>
      <c r="P607" s="19" t="n">
        <f aca="false">27.47</f>
        <v>27.47</v>
      </c>
      <c r="Q607" s="19" t="n">
        <f aca="false">138.54</f>
        <v>138.54</v>
      </c>
      <c r="R607" s="18" t="n">
        <v>15.75</v>
      </c>
      <c r="S607" s="18" t="n">
        <v>20.27</v>
      </c>
      <c r="T607" s="18" t="n">
        <v>316</v>
      </c>
      <c r="U607" s="20" t="s">
        <v>58</v>
      </c>
      <c r="V607" s="21"/>
      <c r="W607" s="16"/>
      <c r="X607" s="16"/>
      <c r="Y607" s="16"/>
    </row>
    <row r="608" customFormat="false" ht="14.15" hidden="false" customHeight="false" outlineLevel="0" collapsed="false">
      <c r="A608" s="9"/>
      <c r="B608" s="10"/>
      <c r="C608" s="10"/>
      <c r="D608" s="10"/>
      <c r="E608" s="10"/>
      <c r="F608" s="10"/>
      <c r="G608" s="10"/>
      <c r="H608" s="10"/>
      <c r="I608" s="22" t="n">
        <v>3</v>
      </c>
      <c r="J608" s="22" t="s">
        <v>49</v>
      </c>
      <c r="K608" s="23" t="n">
        <f aca="false">40.59</f>
        <v>40.59</v>
      </c>
      <c r="L608" s="23" t="n">
        <f aca="false">124.27</f>
        <v>124.27</v>
      </c>
      <c r="M608" s="22" t="n">
        <v>14</v>
      </c>
      <c r="N608" s="22" t="n">
        <v>32</v>
      </c>
      <c r="O608" s="22" t="n">
        <v>90.27</v>
      </c>
      <c r="P608" s="23" t="n">
        <f aca="false">23.88</f>
        <v>23.88</v>
      </c>
      <c r="Q608" s="23" t="n">
        <f aca="false">139.16</f>
        <v>139.16</v>
      </c>
      <c r="R608" s="22" t="n">
        <v>14.04</v>
      </c>
      <c r="S608" s="22" t="n">
        <v>20.18</v>
      </c>
      <c r="T608" s="22" t="n">
        <v>377</v>
      </c>
      <c r="U608" s="24" t="s">
        <v>58</v>
      </c>
      <c r="V608" s="15"/>
      <c r="W608" s="16"/>
      <c r="X608" s="16"/>
      <c r="Y608" s="16"/>
    </row>
    <row r="609" customFormat="false" ht="14.15" hidden="false" customHeight="false" outlineLevel="0" collapsed="false">
      <c r="A609" s="9"/>
      <c r="B609" s="10"/>
      <c r="C609" s="10"/>
      <c r="D609" s="10"/>
      <c r="E609" s="10"/>
      <c r="F609" s="10"/>
      <c r="G609" s="10"/>
      <c r="H609" s="10"/>
      <c r="I609" s="25" t="n">
        <v>4</v>
      </c>
      <c r="J609" s="25" t="s">
        <v>49</v>
      </c>
      <c r="K609" s="26" t="n">
        <f aca="false">38.69</f>
        <v>38.69</v>
      </c>
      <c r="L609" s="26" t="n">
        <f aca="false">100.81</f>
        <v>100.81</v>
      </c>
      <c r="M609" s="25" t="n">
        <v>14</v>
      </c>
      <c r="N609" s="25" t="n">
        <v>24</v>
      </c>
      <c r="O609" s="25" t="n">
        <v>76.7</v>
      </c>
      <c r="P609" s="26" t="n">
        <f aca="false">25.49</f>
        <v>25.49</v>
      </c>
      <c r="Q609" s="26" t="n">
        <f aca="false">130.21</f>
        <v>130.21</v>
      </c>
      <c r="R609" s="25" t="n">
        <v>12.73</v>
      </c>
      <c r="S609" s="25" t="n">
        <v>19.43</v>
      </c>
      <c r="T609" s="25" t="n">
        <v>312</v>
      </c>
      <c r="U609" s="27" t="s">
        <v>97</v>
      </c>
      <c r="V609" s="21"/>
      <c r="W609" s="16"/>
      <c r="X609" s="16"/>
      <c r="Y609" s="16"/>
    </row>
    <row r="610" customFormat="false" ht="15.75" hidden="false" customHeight="true" outlineLevel="0" collapsed="false">
      <c r="A610" s="9" t="s">
        <v>43</v>
      </c>
      <c r="B610" s="10" t="s">
        <v>176</v>
      </c>
      <c r="C610" s="11" t="s">
        <v>216</v>
      </c>
      <c r="D610" s="10" t="s">
        <v>28</v>
      </c>
      <c r="E610" s="10" t="s">
        <v>28</v>
      </c>
      <c r="F610" s="10"/>
      <c r="G610" s="10" t="n">
        <v>18</v>
      </c>
      <c r="H610" s="10" t="n">
        <v>4.47</v>
      </c>
      <c r="I610" s="12" t="n">
        <v>1</v>
      </c>
      <c r="J610" s="12" t="s">
        <v>46</v>
      </c>
      <c r="K610" s="13" t="n">
        <f aca="false">42.4</f>
        <v>42.4</v>
      </c>
      <c r="L610" s="13" t="n">
        <f aca="false">135.86</f>
        <v>135.86</v>
      </c>
      <c r="M610" s="12" t="n">
        <v>14</v>
      </c>
      <c r="N610" s="12" t="n">
        <v>34</v>
      </c>
      <c r="O610" s="12" t="n">
        <v>142.4</v>
      </c>
      <c r="P610" s="13" t="n">
        <f aca="false">28.16</f>
        <v>28.16</v>
      </c>
      <c r="Q610" s="13" t="n">
        <f aca="false">145.78</f>
        <v>145.78</v>
      </c>
      <c r="R610" s="12" t="n">
        <v>21.13</v>
      </c>
      <c r="S610" s="12" t="n">
        <v>29.5</v>
      </c>
      <c r="T610" s="12" t="n">
        <v>411</v>
      </c>
      <c r="U610" s="14" t="s">
        <v>58</v>
      </c>
      <c r="V610" s="15"/>
      <c r="W610" s="16" t="str">
        <f aca="false">A610</f>
        <v>JB</v>
      </c>
      <c r="X610" s="17" t="e">
        <f aca="false">ifs(C610="","",X610="",NOW(),TRUE(),X610)</f>
        <v>#VALUE!</v>
      </c>
      <c r="Y610" s="17" t="e">
        <f aca="false">ifs(COUNTA(K610:U613)&lt;44,"",Y610="",NOW(),TRUE(),Y610)</f>
        <v>#VALUE!</v>
      </c>
    </row>
    <row r="611" customFormat="false" ht="14.15" hidden="false" customHeight="false" outlineLevel="0" collapsed="false">
      <c r="A611" s="9"/>
      <c r="B611" s="10"/>
      <c r="C611" s="10"/>
      <c r="D611" s="10"/>
      <c r="E611" s="10"/>
      <c r="F611" s="10"/>
      <c r="G611" s="10"/>
      <c r="H611" s="10"/>
      <c r="I611" s="18" t="n">
        <v>2</v>
      </c>
      <c r="J611" s="18" t="s">
        <v>49</v>
      </c>
      <c r="K611" s="19" t="n">
        <f aca="false">39.45</f>
        <v>39.45</v>
      </c>
      <c r="L611" s="19" t="n">
        <f aca="false">107.46</f>
        <v>107.46</v>
      </c>
      <c r="M611" s="18" t="n">
        <v>12</v>
      </c>
      <c r="N611" s="18" t="n">
        <v>27</v>
      </c>
      <c r="O611" s="18" t="n">
        <v>80.93</v>
      </c>
      <c r="P611" s="19" t="n">
        <f aca="false">26.84</f>
        <v>26.84</v>
      </c>
      <c r="Q611" s="19" t="n">
        <f aca="false">123.13</f>
        <v>123.13</v>
      </c>
      <c r="R611" s="18" t="n">
        <v>14.18</v>
      </c>
      <c r="S611" s="18" t="n">
        <v>23.13</v>
      </c>
      <c r="T611" s="18" t="n">
        <v>275</v>
      </c>
      <c r="U611" s="20" t="s">
        <v>58</v>
      </c>
      <c r="V611" s="21"/>
      <c r="W611" s="16"/>
      <c r="X611" s="16"/>
      <c r="Y611" s="16"/>
    </row>
    <row r="612" customFormat="false" ht="14.15" hidden="false" customHeight="false" outlineLevel="0" collapsed="false">
      <c r="A612" s="9"/>
      <c r="B612" s="10"/>
      <c r="C612" s="10"/>
      <c r="D612" s="10"/>
      <c r="E612" s="10"/>
      <c r="F612" s="10"/>
      <c r="G612" s="10"/>
      <c r="H612" s="10"/>
      <c r="I612" s="22" t="n">
        <v>3</v>
      </c>
      <c r="J612" s="22" t="s">
        <v>47</v>
      </c>
      <c r="K612" s="23" t="n">
        <f aca="false">38.25</f>
        <v>38.25</v>
      </c>
      <c r="L612" s="23" t="n">
        <f aca="false">127.24</f>
        <v>127.24</v>
      </c>
      <c r="M612" s="22" t="n">
        <v>12</v>
      </c>
      <c r="N612" s="22" t="n">
        <v>31</v>
      </c>
      <c r="O612" s="22" t="n">
        <v>116.18</v>
      </c>
      <c r="P612" s="23" t="n">
        <f aca="false">26.34</f>
        <v>26.34</v>
      </c>
      <c r="Q612" s="23" t="n">
        <f aca="false">141.1</f>
        <v>141.1</v>
      </c>
      <c r="R612" s="22" t="n">
        <v>18.75</v>
      </c>
      <c r="S612" s="22" t="n">
        <v>27.42</v>
      </c>
      <c r="T612" s="22" t="n">
        <v>346</v>
      </c>
      <c r="U612" s="24" t="s">
        <v>58</v>
      </c>
      <c r="V612" s="15"/>
      <c r="W612" s="16"/>
      <c r="X612" s="16"/>
      <c r="Y612" s="16"/>
    </row>
    <row r="613" customFormat="false" ht="14.15" hidden="false" customHeight="false" outlineLevel="0" collapsed="false">
      <c r="A613" s="9"/>
      <c r="B613" s="10"/>
      <c r="C613" s="10"/>
      <c r="D613" s="10"/>
      <c r="E613" s="10"/>
      <c r="F613" s="10"/>
      <c r="G613" s="10"/>
      <c r="H613" s="10"/>
      <c r="I613" s="25" t="n">
        <v>4</v>
      </c>
      <c r="J613" s="25" t="s">
        <v>49</v>
      </c>
      <c r="K613" s="26" t="n">
        <f aca="false">39.88</f>
        <v>39.88</v>
      </c>
      <c r="L613" s="26" t="n">
        <f aca="false">126.11</f>
        <v>126.11</v>
      </c>
      <c r="M613" s="25" t="n">
        <v>12</v>
      </c>
      <c r="N613" s="25" t="n">
        <v>32</v>
      </c>
      <c r="O613" s="25" t="n">
        <v>114.74</v>
      </c>
      <c r="P613" s="26" t="n">
        <f aca="false">25.2</f>
        <v>25.2</v>
      </c>
      <c r="Q613" s="26" t="n">
        <f aca="false">144.27</f>
        <v>144.27</v>
      </c>
      <c r="R613" s="25" t="n">
        <v>17.05</v>
      </c>
      <c r="S613" s="25" t="n">
        <v>26.38</v>
      </c>
      <c r="T613" s="25" t="n">
        <v>351</v>
      </c>
      <c r="U613" s="27" t="s">
        <v>58</v>
      </c>
      <c r="V613" s="21"/>
      <c r="W613" s="16"/>
      <c r="X613" s="16"/>
      <c r="Y613" s="16"/>
    </row>
    <row r="614" customFormat="false" ht="15.75" hidden="false" customHeight="true" outlineLevel="0" collapsed="false">
      <c r="A614" s="9" t="s">
        <v>43</v>
      </c>
      <c r="B614" s="10" t="s">
        <v>176</v>
      </c>
      <c r="C614" s="11" t="s">
        <v>217</v>
      </c>
      <c r="D614" s="10" t="s">
        <v>28</v>
      </c>
      <c r="E614" s="10" t="s">
        <v>28</v>
      </c>
      <c r="F614" s="10"/>
      <c r="G614" s="10" t="n">
        <v>18</v>
      </c>
      <c r="H614" s="10" t="n">
        <v>6.33</v>
      </c>
      <c r="I614" s="12" t="n">
        <v>1</v>
      </c>
      <c r="J614" s="12" t="s">
        <v>35</v>
      </c>
      <c r="K614" s="13" t="n">
        <f aca="false">47.3</f>
        <v>47.3</v>
      </c>
      <c r="L614" s="13" t="n">
        <f aca="false">186.06</f>
        <v>186.06</v>
      </c>
      <c r="M614" s="12" t="n">
        <v>18</v>
      </c>
      <c r="N614" s="12" t="n">
        <v>40</v>
      </c>
      <c r="O614" s="12" t="n">
        <v>208.5</v>
      </c>
      <c r="P614" s="13" t="n">
        <f aca="false">26.54</f>
        <v>26.54</v>
      </c>
      <c r="Q614" s="13" t="n">
        <f aca="false">189.92</f>
        <v>189.92</v>
      </c>
      <c r="R614" s="12" t="n">
        <v>26.17</v>
      </c>
      <c r="S614" s="12" t="n">
        <v>28.65</v>
      </c>
      <c r="T614" s="12" t="n">
        <v>614</v>
      </c>
      <c r="U614" s="14" t="s">
        <v>58</v>
      </c>
      <c r="V614" s="15"/>
      <c r="W614" s="16" t="str">
        <f aca="false">A614</f>
        <v>JB</v>
      </c>
      <c r="X614" s="17" t="e">
        <f aca="false">ifs(C614="","",X614="",NOW(),TRUE(),X614)</f>
        <v>#VALUE!</v>
      </c>
      <c r="Y614" s="17" t="e">
        <f aca="false">ifs(COUNTA(K614:U617)&lt;44,"",Y614="",NOW(),TRUE(),Y614)</f>
        <v>#VALUE!</v>
      </c>
    </row>
    <row r="615" customFormat="false" ht="14.15" hidden="false" customHeight="false" outlineLevel="0" collapsed="false">
      <c r="A615" s="9"/>
      <c r="B615" s="10"/>
      <c r="C615" s="10"/>
      <c r="D615" s="10"/>
      <c r="E615" s="10"/>
      <c r="F615" s="10"/>
      <c r="G615" s="10"/>
      <c r="H615" s="10"/>
      <c r="I615" s="18" t="n">
        <v>2</v>
      </c>
      <c r="J615" s="18" t="s">
        <v>49</v>
      </c>
      <c r="K615" s="19" t="n">
        <f aca="false">46.95</f>
        <v>46.95</v>
      </c>
      <c r="L615" s="19" t="n">
        <f aca="false">197.53</f>
        <v>197.53</v>
      </c>
      <c r="M615" s="18" t="n">
        <v>16</v>
      </c>
      <c r="N615" s="18" t="n">
        <v>42</v>
      </c>
      <c r="O615" s="18" t="n">
        <v>219.82</v>
      </c>
      <c r="P615" s="19" t="n">
        <f aca="false">29.19</f>
        <v>29.19</v>
      </c>
      <c r="Q615" s="19" t="n">
        <f aca="false">198.92</f>
        <v>198.92</v>
      </c>
      <c r="R615" s="18" t="n">
        <v>29.79</v>
      </c>
      <c r="S615" s="18" t="n">
        <v>31.1</v>
      </c>
      <c r="T615" s="18" t="n">
        <v>607</v>
      </c>
      <c r="U615" s="20" t="s">
        <v>58</v>
      </c>
      <c r="V615" s="21"/>
      <c r="W615" s="16"/>
      <c r="X615" s="16"/>
      <c r="Y615" s="16"/>
    </row>
    <row r="616" customFormat="false" ht="14.15" hidden="false" customHeight="false" outlineLevel="0" collapsed="false">
      <c r="A616" s="9"/>
      <c r="B616" s="10"/>
      <c r="C616" s="10"/>
      <c r="D616" s="10"/>
      <c r="E616" s="10"/>
      <c r="F616" s="10"/>
      <c r="G616" s="10"/>
      <c r="H616" s="10"/>
      <c r="I616" s="22" t="n">
        <v>3</v>
      </c>
      <c r="J616" s="22" t="s">
        <v>49</v>
      </c>
      <c r="K616" s="23" t="n">
        <f aca="false">46.03</f>
        <v>46.03</v>
      </c>
      <c r="L616" s="23" t="n">
        <f aca="false">171.54</f>
        <v>171.54</v>
      </c>
      <c r="M616" s="22" t="n">
        <v>16</v>
      </c>
      <c r="N616" s="22" t="n">
        <v>38</v>
      </c>
      <c r="O616" s="22" t="n">
        <v>189.5</v>
      </c>
      <c r="P616" s="23" t="n">
        <f aca="false">25.68</f>
        <v>25.68</v>
      </c>
      <c r="Q616" s="23" t="n">
        <f aca="false">191.86</f>
        <v>191.86</v>
      </c>
      <c r="R616" s="22" t="n">
        <v>24.25</v>
      </c>
      <c r="S616" s="22" t="n">
        <v>29.57</v>
      </c>
      <c r="T616" s="22" t="n">
        <v>552</v>
      </c>
      <c r="U616" s="24" t="s">
        <v>58</v>
      </c>
      <c r="V616" s="15"/>
      <c r="W616" s="16"/>
      <c r="X616" s="16"/>
      <c r="Y616" s="16"/>
    </row>
    <row r="617" customFormat="false" ht="14.15" hidden="false" customHeight="false" outlineLevel="0" collapsed="false">
      <c r="A617" s="9"/>
      <c r="B617" s="10"/>
      <c r="C617" s="10"/>
      <c r="D617" s="10"/>
      <c r="E617" s="10"/>
      <c r="F617" s="10"/>
      <c r="G617" s="10"/>
      <c r="H617" s="10"/>
      <c r="I617" s="25" t="n">
        <v>4</v>
      </c>
      <c r="J617" s="25" t="s">
        <v>35</v>
      </c>
      <c r="K617" s="26" t="n">
        <f aca="false">42.15</f>
        <v>42.15</v>
      </c>
      <c r="L617" s="26" t="n">
        <f aca="false">189.68</f>
        <v>189.68</v>
      </c>
      <c r="M617" s="25" t="n">
        <v>12</v>
      </c>
      <c r="N617" s="25" t="n">
        <v>40</v>
      </c>
      <c r="O617" s="25" t="n">
        <v>198.69</v>
      </c>
      <c r="P617" s="26" t="n">
        <f aca="false">28.19</f>
        <v>28.19</v>
      </c>
      <c r="Q617" s="26" t="n">
        <f aca="false">199.62</f>
        <v>199.62</v>
      </c>
      <c r="R617" s="25" t="n">
        <v>26.61</v>
      </c>
      <c r="S617" s="25" t="n">
        <v>32.52</v>
      </c>
      <c r="T617" s="25" t="n">
        <v>515</v>
      </c>
      <c r="U617" s="27" t="s">
        <v>58</v>
      </c>
      <c r="V617" s="21"/>
      <c r="W617" s="16"/>
      <c r="X617" s="16"/>
      <c r="Y617" s="16"/>
    </row>
    <row r="618" customFormat="false" ht="15.75" hidden="false" customHeight="true" outlineLevel="0" collapsed="false">
      <c r="A618" s="9" t="s">
        <v>43</v>
      </c>
      <c r="B618" s="10" t="s">
        <v>176</v>
      </c>
      <c r="C618" s="11" t="s">
        <v>218</v>
      </c>
      <c r="D618" s="10" t="s">
        <v>28</v>
      </c>
      <c r="E618" s="10" t="s">
        <v>28</v>
      </c>
      <c r="F618" s="10"/>
      <c r="G618" s="10" t="n">
        <v>6</v>
      </c>
      <c r="H618" s="10" t="n">
        <v>1.59</v>
      </c>
      <c r="I618" s="12" t="n">
        <v>1</v>
      </c>
      <c r="J618" s="12" t="s">
        <v>46</v>
      </c>
      <c r="K618" s="13" t="n">
        <f aca="false">41.03</f>
        <v>41.03</v>
      </c>
      <c r="L618" s="13" t="n">
        <f aca="false">139.88</f>
        <v>139.88</v>
      </c>
      <c r="M618" s="12" t="n">
        <v>14</v>
      </c>
      <c r="N618" s="12" t="n">
        <v>34</v>
      </c>
      <c r="O618" s="12" t="n">
        <v>131.59</v>
      </c>
      <c r="P618" s="13" t="n">
        <f aca="false">27.67</f>
        <v>27.67</v>
      </c>
      <c r="Q618" s="13" t="n">
        <f aca="false">167.99</f>
        <v>167.99</v>
      </c>
      <c r="R618" s="12" t="n">
        <v>18.81</v>
      </c>
      <c r="S618" s="12" t="n">
        <v>23.06</v>
      </c>
      <c r="T618" s="12" t="n">
        <v>496</v>
      </c>
      <c r="U618" s="14" t="s">
        <v>58</v>
      </c>
      <c r="V618" s="15"/>
      <c r="W618" s="16" t="str">
        <f aca="false">A618</f>
        <v>JB</v>
      </c>
      <c r="X618" s="17" t="e">
        <f aca="false">ifs(C618="","",X618="",NOW(),TRUE(),X618)</f>
        <v>#VALUE!</v>
      </c>
      <c r="Y618" s="17" t="e">
        <f aca="false">ifs(COUNTA(K618:U621)&lt;44,"",Y618="",NOW(),TRUE(),Y618)</f>
        <v>#VALUE!</v>
      </c>
    </row>
    <row r="619" customFormat="false" ht="14.15" hidden="false" customHeight="false" outlineLevel="0" collapsed="false">
      <c r="A619" s="9"/>
      <c r="B619" s="10"/>
      <c r="C619" s="10"/>
      <c r="D619" s="10"/>
      <c r="E619" s="10"/>
      <c r="F619" s="10"/>
      <c r="G619" s="10"/>
      <c r="H619" s="10"/>
      <c r="I619" s="18" t="n">
        <v>2</v>
      </c>
      <c r="J619" s="18" t="s">
        <v>49</v>
      </c>
      <c r="K619" s="19" t="n">
        <f aca="false">44.3</f>
        <v>44.3</v>
      </c>
      <c r="L619" s="19" t="n">
        <f aca="false">168.95</f>
        <v>168.95</v>
      </c>
      <c r="M619" s="18" t="n">
        <v>16</v>
      </c>
      <c r="N619" s="18" t="n">
        <v>44</v>
      </c>
      <c r="O619" s="18" t="n">
        <v>198.16</v>
      </c>
      <c r="P619" s="19" t="n">
        <f aca="false">28.81</f>
        <v>28.81</v>
      </c>
      <c r="Q619" s="19" t="n">
        <f aca="false">190.22</f>
        <v>190.22</v>
      </c>
      <c r="R619" s="18" t="n">
        <v>28.57</v>
      </c>
      <c r="S619" s="18" t="n">
        <v>25.29</v>
      </c>
      <c r="T619" s="18" t="n">
        <v>680</v>
      </c>
      <c r="U619" s="20" t="s">
        <v>58</v>
      </c>
      <c r="V619" s="21"/>
      <c r="W619" s="16"/>
      <c r="X619" s="16"/>
      <c r="Y619" s="16"/>
    </row>
    <row r="620" customFormat="false" ht="14.15" hidden="false" customHeight="false" outlineLevel="0" collapsed="false">
      <c r="A620" s="9"/>
      <c r="B620" s="10"/>
      <c r="C620" s="10"/>
      <c r="D620" s="10"/>
      <c r="E620" s="10"/>
      <c r="F620" s="10"/>
      <c r="G620" s="10"/>
      <c r="H620" s="10"/>
      <c r="I620" s="22" t="n">
        <v>3</v>
      </c>
      <c r="J620" s="22" t="s">
        <v>50</v>
      </c>
      <c r="K620" s="23" t="n">
        <f aca="false">40.64</f>
        <v>40.64</v>
      </c>
      <c r="L620" s="23" t="n">
        <f aca="false">148.51</f>
        <v>148.51</v>
      </c>
      <c r="M620" s="22" t="n">
        <v>12</v>
      </c>
      <c r="N620" s="22" t="n">
        <v>38</v>
      </c>
      <c r="O620" s="22" t="n">
        <v>140.71</v>
      </c>
      <c r="P620" s="23" t="n">
        <f aca="false">25.19</f>
        <v>25.19</v>
      </c>
      <c r="Q620" s="23" t="n">
        <f aca="false">179.95</f>
        <v>179.95</v>
      </c>
      <c r="R620" s="22" t="n">
        <v>20.22</v>
      </c>
      <c r="S620" s="22" t="n">
        <v>27.21</v>
      </c>
      <c r="T620" s="22" t="n">
        <v>435</v>
      </c>
      <c r="U620" s="24" t="s">
        <v>58</v>
      </c>
      <c r="V620" s="15"/>
      <c r="W620" s="16"/>
      <c r="X620" s="16"/>
      <c r="Y620" s="16"/>
    </row>
    <row r="621" customFormat="false" ht="14.15" hidden="false" customHeight="false" outlineLevel="0" collapsed="false">
      <c r="A621" s="9"/>
      <c r="B621" s="10"/>
      <c r="C621" s="10"/>
      <c r="D621" s="10"/>
      <c r="E621" s="10"/>
      <c r="F621" s="10"/>
      <c r="G621" s="10"/>
      <c r="H621" s="10"/>
      <c r="I621" s="25" t="n">
        <v>4</v>
      </c>
      <c r="J621" s="25" t="s">
        <v>33</v>
      </c>
      <c r="K621" s="26" t="n">
        <f aca="false">44.5</f>
        <v>44.5</v>
      </c>
      <c r="L621" s="26" t="n">
        <f aca="false">154.19</f>
        <v>154.19</v>
      </c>
      <c r="M621" s="25" t="n">
        <v>16</v>
      </c>
      <c r="N621" s="25" t="n">
        <v>40</v>
      </c>
      <c r="O621" s="25" t="n">
        <v>175.4</v>
      </c>
      <c r="P621" s="26" t="n">
        <f aca="false">26.21</f>
        <v>26.21</v>
      </c>
      <c r="Q621" s="26" t="n">
        <f aca="false">183.09</f>
        <v>183.09</v>
      </c>
      <c r="R621" s="25" t="n">
        <v>24.97</v>
      </c>
      <c r="S621" s="25" t="n">
        <v>24.86</v>
      </c>
      <c r="T621" s="25" t="n">
        <v>631</v>
      </c>
      <c r="U621" s="27" t="s">
        <v>58</v>
      </c>
      <c r="V621" s="21"/>
      <c r="W621" s="16"/>
      <c r="X621" s="16"/>
      <c r="Y621" s="16"/>
    </row>
    <row r="622" customFormat="false" ht="15.75" hidden="false" customHeight="true" outlineLevel="0" collapsed="false">
      <c r="A622" s="9" t="s">
        <v>43</v>
      </c>
      <c r="B622" s="10" t="s">
        <v>176</v>
      </c>
      <c r="C622" s="11" t="s">
        <v>219</v>
      </c>
      <c r="D622" s="10" t="s">
        <v>28</v>
      </c>
      <c r="E622" s="10" t="s">
        <v>28</v>
      </c>
      <c r="F622" s="10"/>
      <c r="G622" s="10" t="n">
        <v>148</v>
      </c>
      <c r="H622" s="10" t="n">
        <v>32.54</v>
      </c>
      <c r="I622" s="12" t="n">
        <v>1</v>
      </c>
      <c r="J622" s="12" t="s">
        <v>35</v>
      </c>
      <c r="K622" s="13" t="n">
        <f aca="false">43.11</f>
        <v>43.11</v>
      </c>
      <c r="L622" s="13" t="n">
        <f aca="false">213.22</f>
        <v>213.22</v>
      </c>
      <c r="M622" s="12" t="n">
        <v>16</v>
      </c>
      <c r="N622" s="12" t="n">
        <v>52</v>
      </c>
      <c r="O622" s="12" t="n">
        <v>170.49</v>
      </c>
      <c r="P622" s="13" t="n">
        <f aca="false">25.94</f>
        <v>25.94</v>
      </c>
      <c r="Q622" s="13" t="n">
        <f aca="false">217.84</f>
        <v>217.84</v>
      </c>
      <c r="R622" s="12" t="n">
        <v>30.66</v>
      </c>
      <c r="S622" s="12" t="n">
        <v>21.77</v>
      </c>
      <c r="T622" s="12" t="n">
        <v>606</v>
      </c>
      <c r="U622" s="14" t="s">
        <v>29</v>
      </c>
      <c r="V622" s="15"/>
      <c r="W622" s="16" t="str">
        <f aca="false">A622</f>
        <v>JB</v>
      </c>
      <c r="X622" s="17" t="e">
        <f aca="false">ifs(C622="","",X622="",NOW(),TRUE(),X622)</f>
        <v>#VALUE!</v>
      </c>
      <c r="Y622" s="17" t="e">
        <f aca="false">ifs(COUNTA(K622:U625)&lt;44,"",Y622="",NOW(),TRUE(),Y622)</f>
        <v>#VALUE!</v>
      </c>
    </row>
    <row r="623" customFormat="false" ht="14.15" hidden="false" customHeight="false" outlineLevel="0" collapsed="false">
      <c r="A623" s="9"/>
      <c r="B623" s="10"/>
      <c r="C623" s="10"/>
      <c r="D623" s="10"/>
      <c r="E623" s="10"/>
      <c r="F623" s="10"/>
      <c r="G623" s="10"/>
      <c r="H623" s="10"/>
      <c r="I623" s="18" t="n">
        <v>2</v>
      </c>
      <c r="J623" s="18" t="s">
        <v>49</v>
      </c>
      <c r="K623" s="19" t="n">
        <f aca="false">44.33</f>
        <v>44.33</v>
      </c>
      <c r="L623" s="19" t="n">
        <f aca="false">138.75</f>
        <v>138.75</v>
      </c>
      <c r="M623" s="18" t="n">
        <v>18</v>
      </c>
      <c r="N623" s="18" t="n">
        <v>34</v>
      </c>
      <c r="O623" s="18" t="n">
        <v>132.12</v>
      </c>
      <c r="P623" s="19" t="n">
        <f aca="false">28.65</f>
        <v>28.65</v>
      </c>
      <c r="Q623" s="19" t="n">
        <f aca="false">160.21</f>
        <v>160.21</v>
      </c>
      <c r="R623" s="18" t="n">
        <v>20.62</v>
      </c>
      <c r="S623" s="18" t="n">
        <v>20.07</v>
      </c>
      <c r="T623" s="18" t="n">
        <v>551</v>
      </c>
      <c r="U623" s="20" t="s">
        <v>29</v>
      </c>
      <c r="V623" s="21"/>
      <c r="W623" s="16"/>
      <c r="X623" s="16"/>
      <c r="Y623" s="16"/>
    </row>
    <row r="624" customFormat="false" ht="14.15" hidden="false" customHeight="false" outlineLevel="0" collapsed="false">
      <c r="A624" s="9"/>
      <c r="B624" s="10"/>
      <c r="C624" s="10"/>
      <c r="D624" s="10"/>
      <c r="E624" s="10"/>
      <c r="F624" s="10"/>
      <c r="G624" s="10"/>
      <c r="H624" s="10"/>
      <c r="I624" s="22" t="n">
        <v>3</v>
      </c>
      <c r="J624" s="22" t="s">
        <v>49</v>
      </c>
      <c r="K624" s="23" t="n">
        <f aca="false">44.68</f>
        <v>44.68</v>
      </c>
      <c r="L624" s="23" t="n">
        <f aca="false">135.32</f>
        <v>135.32</v>
      </c>
      <c r="M624" s="22" t="n">
        <v>17</v>
      </c>
      <c r="N624" s="22" t="n">
        <v>30</v>
      </c>
      <c r="O624" s="22" t="n">
        <v>121.87</v>
      </c>
      <c r="P624" s="23" t="n">
        <f aca="false">27.93</f>
        <v>27.93</v>
      </c>
      <c r="Q624" s="23" t="n">
        <f aca="false">146.02</f>
        <v>146.02</v>
      </c>
      <c r="R624" s="22" t="n">
        <v>19.05</v>
      </c>
      <c r="S624" s="22" t="n">
        <v>21.44</v>
      </c>
      <c r="T624" s="22" t="n">
        <v>474</v>
      </c>
      <c r="U624" s="24" t="s">
        <v>29</v>
      </c>
      <c r="V624" s="15"/>
      <c r="W624" s="16"/>
      <c r="X624" s="16"/>
      <c r="Y624" s="16"/>
    </row>
    <row r="625" customFormat="false" ht="14.15" hidden="false" customHeight="false" outlineLevel="0" collapsed="false">
      <c r="A625" s="9"/>
      <c r="B625" s="10"/>
      <c r="C625" s="10"/>
      <c r="D625" s="10"/>
      <c r="E625" s="10"/>
      <c r="F625" s="10"/>
      <c r="G625" s="10"/>
      <c r="H625" s="10"/>
      <c r="I625" s="25" t="n">
        <v>4</v>
      </c>
      <c r="J625" s="25" t="s">
        <v>49</v>
      </c>
      <c r="K625" s="26" t="n">
        <f aca="false">43.39</f>
        <v>43.39</v>
      </c>
      <c r="L625" s="26" t="n">
        <f aca="false">129.2</f>
        <v>129.2</v>
      </c>
      <c r="M625" s="25" t="n">
        <v>18</v>
      </c>
      <c r="N625" s="25" t="n">
        <v>32</v>
      </c>
      <c r="O625" s="25" t="n">
        <v>126.7</v>
      </c>
      <c r="P625" s="26" t="n">
        <f aca="false">26.85</f>
        <v>26.85</v>
      </c>
      <c r="Q625" s="26" t="n">
        <f aca="false">142.97</f>
        <v>142.97</v>
      </c>
      <c r="R625" s="25" t="n">
        <v>20.1</v>
      </c>
      <c r="S625" s="25" t="n">
        <v>20.5</v>
      </c>
      <c r="T625" s="25" t="n">
        <v>532</v>
      </c>
      <c r="U625" s="27" t="s">
        <v>29</v>
      </c>
      <c r="V625" s="21"/>
      <c r="W625" s="16"/>
      <c r="X625" s="16"/>
      <c r="Y625" s="16"/>
    </row>
    <row r="626" customFormat="false" ht="15.75" hidden="false" customHeight="true" outlineLevel="0" collapsed="false">
      <c r="A626" s="9" t="s">
        <v>25</v>
      </c>
      <c r="B626" s="10" t="s">
        <v>26</v>
      </c>
      <c r="C626" s="11" t="s">
        <v>220</v>
      </c>
      <c r="D626" s="10" t="s">
        <v>28</v>
      </c>
      <c r="E626" s="10" t="s">
        <v>28</v>
      </c>
      <c r="F626" s="10"/>
      <c r="G626" s="10" t="n">
        <v>84</v>
      </c>
      <c r="H626" s="10" t="n">
        <v>22</v>
      </c>
      <c r="I626" s="12" t="n">
        <v>1</v>
      </c>
      <c r="J626" s="12"/>
      <c r="K626" s="13" t="n">
        <f aca="false">51.65</f>
        <v>51.65</v>
      </c>
      <c r="L626" s="13" t="n">
        <f aca="false">166.56</f>
        <v>166.56</v>
      </c>
      <c r="M626" s="12" t="n">
        <v>18</v>
      </c>
      <c r="N626" s="12" t="n">
        <v>40</v>
      </c>
      <c r="O626" s="12" t="n">
        <v>227.1</v>
      </c>
      <c r="P626" s="13" t="n">
        <f aca="false">31.19</f>
        <v>31.19</v>
      </c>
      <c r="Q626" s="13" t="n">
        <f aca="false">183.02</f>
        <v>183.02</v>
      </c>
      <c r="R626" s="12" t="n">
        <v>32.35</v>
      </c>
      <c r="S626" s="12" t="n">
        <v>29.95</v>
      </c>
      <c r="T626" s="12" t="n">
        <v>671</v>
      </c>
      <c r="U626" s="14" t="s">
        <v>29</v>
      </c>
      <c r="V626" s="15"/>
      <c r="W626" s="16" t="str">
        <f aca="false">A626</f>
        <v>KL</v>
      </c>
      <c r="X626" s="17" t="e">
        <f aca="false">ifs(C626="","",X626="",NOW(),TRUE(),X626)</f>
        <v>#VALUE!</v>
      </c>
      <c r="Y626" s="17" t="e">
        <f aca="false">ifs(COUNTA(K626:U629)&lt;44,"",Y626="",NOW(),TRUE(),Y626)</f>
        <v>#VALUE!</v>
      </c>
    </row>
    <row r="627" customFormat="false" ht="14.15" hidden="false" customHeight="false" outlineLevel="0" collapsed="false">
      <c r="A627" s="9"/>
      <c r="B627" s="10"/>
      <c r="C627" s="10"/>
      <c r="D627" s="10"/>
      <c r="E627" s="10"/>
      <c r="F627" s="10"/>
      <c r="G627" s="10"/>
      <c r="H627" s="10"/>
      <c r="I627" s="18" t="n">
        <v>2</v>
      </c>
      <c r="J627" s="18"/>
      <c r="K627" s="19" t="n">
        <f aca="false">46.72</f>
        <v>46.72</v>
      </c>
      <c r="L627" s="19" t="n">
        <f aca="false">141.36</f>
        <v>141.36</v>
      </c>
      <c r="M627" s="18" t="n">
        <v>14</v>
      </c>
      <c r="N627" s="18" t="n">
        <v>34</v>
      </c>
      <c r="O627" s="18" t="n">
        <v>160.15</v>
      </c>
      <c r="P627" s="19" t="n">
        <f aca="false">29.18</f>
        <v>29.18</v>
      </c>
      <c r="Q627" s="19" t="n">
        <f aca="false">163.48</f>
        <v>163.48</v>
      </c>
      <c r="R627" s="18" t="n">
        <v>29.35</v>
      </c>
      <c r="S627" s="18" t="n">
        <v>28.05</v>
      </c>
      <c r="T627" s="18" t="n">
        <v>460</v>
      </c>
      <c r="U627" s="20" t="s">
        <v>29</v>
      </c>
      <c r="V627" s="21"/>
      <c r="W627" s="16"/>
      <c r="X627" s="16"/>
      <c r="Y627" s="16"/>
    </row>
    <row r="628" customFormat="false" ht="14.15" hidden="false" customHeight="false" outlineLevel="0" collapsed="false">
      <c r="A628" s="9"/>
      <c r="B628" s="10"/>
      <c r="C628" s="10"/>
      <c r="D628" s="10"/>
      <c r="E628" s="10"/>
      <c r="F628" s="10"/>
      <c r="G628" s="10"/>
      <c r="H628" s="10"/>
      <c r="I628" s="22" t="n">
        <v>3</v>
      </c>
      <c r="J628" s="22"/>
      <c r="K628" s="23" t="n">
        <f aca="false">46.53</f>
        <v>46.53</v>
      </c>
      <c r="L628" s="23" t="n">
        <f aca="false">101.3</f>
        <v>101.3</v>
      </c>
      <c r="M628" s="22" t="n">
        <v>16</v>
      </c>
      <c r="N628" s="22" t="n">
        <v>22</v>
      </c>
      <c r="O628" s="22" t="n">
        <v>130.1</v>
      </c>
      <c r="P628" s="23" t="n">
        <f aca="false">27.98</f>
        <v>27.98</v>
      </c>
      <c r="Q628" s="23" t="n">
        <f aca="false">122.93</f>
        <v>122.93</v>
      </c>
      <c r="R628" s="22" t="n">
        <v>18.25</v>
      </c>
      <c r="S628" s="22" t="n">
        <v>31.85</v>
      </c>
      <c r="T628" s="22" t="n">
        <v>359</v>
      </c>
      <c r="U628" s="24" t="s">
        <v>29</v>
      </c>
      <c r="V628" s="15"/>
      <c r="W628" s="16"/>
      <c r="X628" s="16"/>
      <c r="Y628" s="16"/>
    </row>
    <row r="629" customFormat="false" ht="14.15" hidden="false" customHeight="false" outlineLevel="0" collapsed="false">
      <c r="A629" s="9"/>
      <c r="B629" s="10"/>
      <c r="C629" s="10"/>
      <c r="D629" s="10"/>
      <c r="E629" s="10"/>
      <c r="F629" s="10"/>
      <c r="G629" s="10"/>
      <c r="H629" s="10"/>
      <c r="I629" s="25" t="n">
        <v>4</v>
      </c>
      <c r="J629" s="25"/>
      <c r="K629" s="26" t="n">
        <f aca="false">45.77</f>
        <v>45.77</v>
      </c>
      <c r="L629" s="26" t="n">
        <f aca="false">83.01</f>
        <v>83.01</v>
      </c>
      <c r="M629" s="25" t="n">
        <v>16</v>
      </c>
      <c r="N629" s="25" t="n">
        <v>21</v>
      </c>
      <c r="O629" s="25" t="n">
        <v>65.9</v>
      </c>
      <c r="P629" s="26" t="n">
        <f aca="false">28.18</f>
        <v>28.18</v>
      </c>
      <c r="Q629" s="26" t="n">
        <f aca="false">98.82</f>
        <v>98.82</v>
      </c>
      <c r="R629" s="25" t="n">
        <v>11.2</v>
      </c>
      <c r="S629" s="25" t="n">
        <v>26.5</v>
      </c>
      <c r="T629" s="25" t="n">
        <v>202</v>
      </c>
      <c r="U629" s="27" t="s">
        <v>29</v>
      </c>
      <c r="V629" s="21"/>
      <c r="W629" s="16"/>
      <c r="X629" s="16"/>
      <c r="Y629" s="16"/>
    </row>
    <row r="630" customFormat="false" ht="15.75" hidden="false" customHeight="true" outlineLevel="0" collapsed="false">
      <c r="A630" s="9" t="s">
        <v>25</v>
      </c>
      <c r="B630" s="10" t="s">
        <v>26</v>
      </c>
      <c r="C630" s="11" t="s">
        <v>221</v>
      </c>
      <c r="D630" s="10" t="s">
        <v>28</v>
      </c>
      <c r="E630" s="10" t="s">
        <v>28</v>
      </c>
      <c r="F630" s="10"/>
      <c r="G630" s="10" t="n">
        <v>23</v>
      </c>
      <c r="H630" s="10" t="n">
        <v>5.6</v>
      </c>
      <c r="I630" s="12" t="n">
        <v>1</v>
      </c>
      <c r="J630" s="12"/>
      <c r="K630" s="13" t="n">
        <f aca="false">45.78</f>
        <v>45.78</v>
      </c>
      <c r="L630" s="13" t="n">
        <f aca="false">134.33</f>
        <v>134.33</v>
      </c>
      <c r="M630" s="12" t="n">
        <v>18</v>
      </c>
      <c r="N630" s="12" t="n">
        <v>34</v>
      </c>
      <c r="O630" s="12" t="n">
        <v>157.15</v>
      </c>
      <c r="P630" s="13" t="n">
        <f aca="false">24.64</f>
        <v>24.64</v>
      </c>
      <c r="Q630" s="13" t="n">
        <f aca="false">139.57</f>
        <v>139.57</v>
      </c>
      <c r="R630" s="12" t="n">
        <v>18.85</v>
      </c>
      <c r="S630" s="12" t="n">
        <v>21.8</v>
      </c>
      <c r="T630" s="12" t="n">
        <v>625</v>
      </c>
      <c r="U630" s="14" t="s">
        <v>97</v>
      </c>
      <c r="V630" s="15"/>
      <c r="W630" s="16" t="str">
        <f aca="false">A630</f>
        <v>KL</v>
      </c>
      <c r="X630" s="17" t="e">
        <f aca="false">ifs(C630="","",X630="",NOW(),TRUE(),X630)</f>
        <v>#VALUE!</v>
      </c>
      <c r="Y630" s="17" t="e">
        <f aca="false">ifs(COUNTA(K630:U633)&lt;44,"",Y630="",NOW(),TRUE(),Y630)</f>
        <v>#VALUE!</v>
      </c>
    </row>
    <row r="631" customFormat="false" ht="14.15" hidden="false" customHeight="false" outlineLevel="0" collapsed="false">
      <c r="A631" s="9"/>
      <c r="B631" s="10"/>
      <c r="C631" s="10"/>
      <c r="D631" s="10"/>
      <c r="E631" s="10"/>
      <c r="F631" s="10"/>
      <c r="G631" s="10"/>
      <c r="H631" s="10"/>
      <c r="I631" s="18" t="n">
        <v>2</v>
      </c>
      <c r="J631" s="18" t="s">
        <v>49</v>
      </c>
      <c r="K631" s="19" t="n">
        <f aca="false">45.11</f>
        <v>45.11</v>
      </c>
      <c r="L631" s="19" t="n">
        <f aca="false">95.75</f>
        <v>95.75</v>
      </c>
      <c r="M631" s="18" t="n">
        <v>20</v>
      </c>
      <c r="N631" s="18" t="n">
        <v>24</v>
      </c>
      <c r="O631" s="18" t="n">
        <v>99.4</v>
      </c>
      <c r="P631" s="19" t="n">
        <f aca="false">25.38</f>
        <v>25.38</v>
      </c>
      <c r="Q631" s="19" t="n">
        <f aca="false">115.74</f>
        <v>115.74</v>
      </c>
      <c r="R631" s="18" t="n">
        <v>11.25</v>
      </c>
      <c r="S631" s="18" t="n">
        <v>21.6</v>
      </c>
      <c r="T631" s="18" t="n">
        <v>417</v>
      </c>
      <c r="U631" s="20" t="s">
        <v>97</v>
      </c>
      <c r="V631" s="21"/>
      <c r="W631" s="16"/>
      <c r="X631" s="16"/>
      <c r="Y631" s="16"/>
    </row>
    <row r="632" customFormat="false" ht="14.15" hidden="false" customHeight="false" outlineLevel="0" collapsed="false">
      <c r="A632" s="9"/>
      <c r="B632" s="10"/>
      <c r="C632" s="10"/>
      <c r="D632" s="10"/>
      <c r="E632" s="10"/>
      <c r="F632" s="10"/>
      <c r="G632" s="10"/>
      <c r="H632" s="10"/>
      <c r="I632" s="22" t="n">
        <v>3</v>
      </c>
      <c r="J632" s="22" t="s">
        <v>46</v>
      </c>
      <c r="K632" s="23" t="n">
        <f aca="false">42.61</f>
        <v>42.61</v>
      </c>
      <c r="L632" s="23" t="n">
        <f aca="false">92.42</f>
        <v>92.42</v>
      </c>
      <c r="M632" s="22" t="n">
        <v>16</v>
      </c>
      <c r="N632" s="22" t="n">
        <v>24</v>
      </c>
      <c r="O632" s="22" t="n">
        <v>91.5</v>
      </c>
      <c r="P632" s="23" t="n">
        <f aca="false">23.87</f>
        <v>23.87</v>
      </c>
      <c r="Q632" s="23" t="n">
        <f aca="false">103.48</f>
        <v>103.48</v>
      </c>
      <c r="R632" s="22" t="n">
        <v>10.95</v>
      </c>
      <c r="S632" s="22" t="n">
        <v>23.65</v>
      </c>
      <c r="T632" s="22" t="n">
        <v>340</v>
      </c>
      <c r="U632" s="24" t="s">
        <v>29</v>
      </c>
      <c r="V632" s="15"/>
      <c r="W632" s="16"/>
      <c r="X632" s="16"/>
      <c r="Y632" s="16"/>
    </row>
    <row r="633" customFormat="false" ht="14.15" hidden="false" customHeight="false" outlineLevel="0" collapsed="false">
      <c r="A633" s="9"/>
      <c r="B633" s="10"/>
      <c r="C633" s="10"/>
      <c r="D633" s="10"/>
      <c r="E633" s="10"/>
      <c r="F633" s="10"/>
      <c r="G633" s="10"/>
      <c r="H633" s="10"/>
      <c r="I633" s="25" t="n">
        <v>4</v>
      </c>
      <c r="J633" s="25" t="s">
        <v>33</v>
      </c>
      <c r="K633" s="26" t="n">
        <f aca="false">37.34</f>
        <v>37.34</v>
      </c>
      <c r="L633" s="26" t="n">
        <f aca="false">77.23</f>
        <v>77.23</v>
      </c>
      <c r="M633" s="25" t="n">
        <v>12</v>
      </c>
      <c r="N633" s="25" t="n">
        <v>21</v>
      </c>
      <c r="O633" s="25" t="n">
        <v>49.7</v>
      </c>
      <c r="P633" s="26" t="n">
        <f aca="false">19.72</f>
        <v>19.72</v>
      </c>
      <c r="Q633" s="26" t="n">
        <f aca="false">94.99</f>
        <v>94.99</v>
      </c>
      <c r="R633" s="25" t="n">
        <v>6.5</v>
      </c>
      <c r="S633" s="25" t="n">
        <v>21.4</v>
      </c>
      <c r="T633" s="25" t="n">
        <v>192</v>
      </c>
      <c r="U633" s="27" t="s">
        <v>29</v>
      </c>
      <c r="V633" s="21"/>
      <c r="W633" s="16"/>
      <c r="X633" s="16"/>
      <c r="Y633" s="16"/>
    </row>
    <row r="634" customFormat="false" ht="15.75" hidden="false" customHeight="true" outlineLevel="0" collapsed="false">
      <c r="A634" s="9" t="s">
        <v>194</v>
      </c>
      <c r="B634" s="10" t="s">
        <v>44</v>
      </c>
      <c r="C634" s="11" t="s">
        <v>222</v>
      </c>
      <c r="D634" s="10" t="s">
        <v>28</v>
      </c>
      <c r="E634" s="10" t="s">
        <v>28</v>
      </c>
      <c r="F634" s="10"/>
      <c r="G634" s="10" t="n">
        <v>12</v>
      </c>
      <c r="H634" s="10" t="n">
        <v>2.7</v>
      </c>
      <c r="I634" s="12" t="n">
        <v>1</v>
      </c>
      <c r="J634" s="12"/>
      <c r="K634" s="13" t="n">
        <f aca="false">47.83</f>
        <v>47.83</v>
      </c>
      <c r="L634" s="13" t="n">
        <f aca="false">147.5</f>
        <v>147.5</v>
      </c>
      <c r="M634" s="12" t="n">
        <v>20</v>
      </c>
      <c r="N634" s="12" t="n">
        <v>37</v>
      </c>
      <c r="O634" s="12" t="n">
        <v>161.5</v>
      </c>
      <c r="P634" s="13" t="n">
        <f aca="false">30.59</f>
        <v>30.59</v>
      </c>
      <c r="Q634" s="13" t="n">
        <f aca="false">156.62</f>
        <v>156.62</v>
      </c>
      <c r="R634" s="12" t="n">
        <v>18.9</v>
      </c>
      <c r="S634" s="12" t="n">
        <v>19.6</v>
      </c>
      <c r="T634" s="12" t="n">
        <v>718</v>
      </c>
      <c r="U634" s="14" t="s">
        <v>29</v>
      </c>
      <c r="V634" s="15"/>
      <c r="W634" s="16" t="str">
        <f aca="false">A634</f>
        <v>NN</v>
      </c>
      <c r="X634" s="17" t="e">
        <f aca="false">ifs(C634="","",X634="",NOW(),TRUE(),X634)</f>
        <v>#VALUE!</v>
      </c>
      <c r="Y634" s="17" t="e">
        <f aca="false">ifs(COUNTA(K634:U637)&lt;44,"",Y634="",NOW(),TRUE(),Y634)</f>
        <v>#VALUE!</v>
      </c>
    </row>
    <row r="635" customFormat="false" ht="14.15" hidden="false" customHeight="false" outlineLevel="0" collapsed="false">
      <c r="A635" s="9"/>
      <c r="B635" s="10"/>
      <c r="C635" s="10"/>
      <c r="D635" s="10"/>
      <c r="E635" s="10"/>
      <c r="F635" s="10"/>
      <c r="G635" s="10"/>
      <c r="H635" s="10"/>
      <c r="I635" s="18" t="n">
        <v>2</v>
      </c>
      <c r="J635" s="18"/>
      <c r="K635" s="19" t="n">
        <f aca="false">46.31</f>
        <v>46.31</v>
      </c>
      <c r="L635" s="19" t="n">
        <f aca="false">176.08</f>
        <v>176.08</v>
      </c>
      <c r="M635" s="18" t="n">
        <v>16</v>
      </c>
      <c r="N635" s="18" t="n">
        <v>39</v>
      </c>
      <c r="O635" s="18" t="n">
        <v>204.7</v>
      </c>
      <c r="P635" s="19" t="n">
        <f aca="false">28.9</f>
        <v>28.9</v>
      </c>
      <c r="Q635" s="19" t="n">
        <f aca="false">198.98</f>
        <v>198.98</v>
      </c>
      <c r="R635" s="18" t="n">
        <v>27.8</v>
      </c>
      <c r="S635" s="18" t="n">
        <v>22.9</v>
      </c>
      <c r="T635" s="18" t="n">
        <v>681</v>
      </c>
      <c r="U635" s="20" t="s">
        <v>29</v>
      </c>
      <c r="V635" s="21"/>
      <c r="W635" s="16"/>
      <c r="X635" s="16"/>
      <c r="Y635" s="16"/>
    </row>
    <row r="636" customFormat="false" ht="14.15" hidden="false" customHeight="false" outlineLevel="0" collapsed="false">
      <c r="A636" s="9"/>
      <c r="B636" s="10"/>
      <c r="C636" s="10"/>
      <c r="D636" s="10"/>
      <c r="E636" s="10"/>
      <c r="F636" s="10"/>
      <c r="G636" s="10"/>
      <c r="H636" s="10"/>
      <c r="I636" s="22" t="n">
        <v>3</v>
      </c>
      <c r="J636" s="22"/>
      <c r="K636" s="23" t="n">
        <f aca="false">48.45</f>
        <v>48.45</v>
      </c>
      <c r="L636" s="23" t="n">
        <f aca="false">185.37</f>
        <v>185.37</v>
      </c>
      <c r="M636" s="22" t="n">
        <v>16</v>
      </c>
      <c r="N636" s="22" t="n">
        <v>48</v>
      </c>
      <c r="O636" s="22" t="n">
        <v>215.3</v>
      </c>
      <c r="P636" s="23" t="n">
        <f aca="false">29.35</f>
        <v>29.35</v>
      </c>
      <c r="Q636" s="23" t="n">
        <f aca="false">204.08</f>
        <v>204.08</v>
      </c>
      <c r="R636" s="22" t="n">
        <v>24.9</v>
      </c>
      <c r="S636" s="22" t="n">
        <v>23.7</v>
      </c>
      <c r="T636" s="22" t="n">
        <v>696</v>
      </c>
      <c r="U636" s="24" t="s">
        <v>29</v>
      </c>
      <c r="V636" s="15"/>
      <c r="W636" s="16"/>
      <c r="X636" s="16"/>
      <c r="Y636" s="16"/>
    </row>
    <row r="637" customFormat="false" ht="14.15" hidden="false" customHeight="false" outlineLevel="0" collapsed="false">
      <c r="A637" s="9"/>
      <c r="B637" s="10"/>
      <c r="C637" s="10"/>
      <c r="D637" s="10"/>
      <c r="E637" s="10"/>
      <c r="F637" s="10"/>
      <c r="G637" s="10"/>
      <c r="H637" s="10"/>
      <c r="I637" s="25" t="n">
        <v>4</v>
      </c>
      <c r="J637" s="25"/>
      <c r="K637" s="26" t="n">
        <f aca="false">48.66</f>
        <v>48.66</v>
      </c>
      <c r="L637" s="26" t="n">
        <f aca="false">168.66</f>
        <v>168.66</v>
      </c>
      <c r="M637" s="25" t="n">
        <v>16</v>
      </c>
      <c r="N637" s="25" t="n">
        <v>40</v>
      </c>
      <c r="O637" s="25" t="n">
        <v>201.9</v>
      </c>
      <c r="P637" s="26" t="n">
        <f aca="false">28.86</f>
        <v>28.86</v>
      </c>
      <c r="Q637" s="26" t="n">
        <f aca="false">182.56</f>
        <v>182.56</v>
      </c>
      <c r="R637" s="25" t="n">
        <v>25.6</v>
      </c>
      <c r="S637" s="25" t="n">
        <v>22.9</v>
      </c>
      <c r="T637" s="25" t="n">
        <v>733</v>
      </c>
      <c r="U637" s="27" t="s">
        <v>29</v>
      </c>
      <c r="V637" s="21"/>
      <c r="W637" s="16"/>
      <c r="X637" s="16"/>
      <c r="Y637" s="16"/>
    </row>
    <row r="638" customFormat="false" ht="15.75" hidden="false" customHeight="true" outlineLevel="0" collapsed="false">
      <c r="A638" s="9" t="s">
        <v>194</v>
      </c>
      <c r="B638" s="10" t="s">
        <v>44</v>
      </c>
      <c r="C638" s="11" t="s">
        <v>223</v>
      </c>
      <c r="D638" s="10" t="s">
        <v>28</v>
      </c>
      <c r="E638" s="10" t="s">
        <v>28</v>
      </c>
      <c r="F638" s="10"/>
      <c r="G638" s="10" t="n">
        <v>24</v>
      </c>
      <c r="H638" s="10" t="n">
        <v>6.7</v>
      </c>
      <c r="I638" s="12" t="n">
        <v>1</v>
      </c>
      <c r="J638" s="12"/>
      <c r="K638" s="13" t="n">
        <f aca="false">41.52</f>
        <v>41.52</v>
      </c>
      <c r="L638" s="13" t="n">
        <f aca="false">99.18</f>
        <v>99.18</v>
      </c>
      <c r="M638" s="12" t="n">
        <v>14</v>
      </c>
      <c r="N638" s="12" t="n">
        <v>30</v>
      </c>
      <c r="O638" s="12" t="n">
        <v>89.4</v>
      </c>
      <c r="P638" s="13" t="n">
        <f aca="false">24.99</f>
        <v>24.99</v>
      </c>
      <c r="Q638" s="13" t="n">
        <f aca="false">109.02</f>
        <v>109.02</v>
      </c>
      <c r="R638" s="12" t="n">
        <v>11.2</v>
      </c>
      <c r="S638" s="12" t="n">
        <v>22.2</v>
      </c>
      <c r="T638" s="12" t="n">
        <v>391</v>
      </c>
      <c r="U638" s="14" t="s">
        <v>58</v>
      </c>
      <c r="V638" s="15"/>
      <c r="W638" s="16" t="str">
        <f aca="false">A638</f>
        <v>NN</v>
      </c>
      <c r="X638" s="17" t="e">
        <f aca="false">ifs(C638="","",X638="",NOW(),TRUE(),X638)</f>
        <v>#VALUE!</v>
      </c>
      <c r="Y638" s="17" t="e">
        <f aca="false">ifs(COUNTA(K638:U641)&lt;44,"",Y638="",NOW(),TRUE(),Y638)</f>
        <v>#VALUE!</v>
      </c>
    </row>
    <row r="639" customFormat="false" ht="14.15" hidden="false" customHeight="false" outlineLevel="0" collapsed="false">
      <c r="A639" s="9"/>
      <c r="B639" s="10"/>
      <c r="C639" s="10"/>
      <c r="D639" s="10"/>
      <c r="E639" s="10"/>
      <c r="F639" s="10"/>
      <c r="G639" s="10"/>
      <c r="H639" s="10"/>
      <c r="I639" s="18" t="n">
        <v>2</v>
      </c>
      <c r="J639" s="18"/>
      <c r="K639" s="19" t="n">
        <f aca="false">48.63</f>
        <v>48.63</v>
      </c>
      <c r="L639" s="19" t="n">
        <f aca="false">134.02</f>
        <v>134.02</v>
      </c>
      <c r="M639" s="18" t="n">
        <v>14</v>
      </c>
      <c r="N639" s="18" t="n">
        <v>33</v>
      </c>
      <c r="O639" s="18" t="n">
        <v>153.4</v>
      </c>
      <c r="P639" s="19" t="n">
        <f aca="false">27.35</f>
        <v>27.35</v>
      </c>
      <c r="Q639" s="19" t="n">
        <f aca="false">149.2</f>
        <v>149.2</v>
      </c>
      <c r="R639" s="18" t="n">
        <v>21.4</v>
      </c>
      <c r="S639" s="18" t="n">
        <v>22.7</v>
      </c>
      <c r="T639" s="18" t="n">
        <v>526</v>
      </c>
      <c r="U639" s="20" t="s">
        <v>58</v>
      </c>
      <c r="V639" s="21"/>
      <c r="W639" s="16"/>
      <c r="X639" s="16"/>
      <c r="Y639" s="16"/>
    </row>
    <row r="640" customFormat="false" ht="14.15" hidden="false" customHeight="false" outlineLevel="0" collapsed="false">
      <c r="A640" s="9"/>
      <c r="B640" s="10"/>
      <c r="C640" s="10"/>
      <c r="D640" s="10"/>
      <c r="E640" s="10"/>
      <c r="F640" s="10"/>
      <c r="G640" s="10"/>
      <c r="H640" s="10"/>
      <c r="I640" s="22" t="n">
        <v>3</v>
      </c>
      <c r="J640" s="22"/>
      <c r="K640" s="23" t="n">
        <f aca="false">41.26</f>
        <v>41.26</v>
      </c>
      <c r="L640" s="23" t="n">
        <f aca="false">112.35</f>
        <v>112.35</v>
      </c>
      <c r="M640" s="22" t="n">
        <v>14</v>
      </c>
      <c r="N640" s="22" t="n">
        <v>26</v>
      </c>
      <c r="O640" s="22" t="n">
        <v>99</v>
      </c>
      <c r="P640" s="23" t="n">
        <f aca="false">27</f>
        <v>27</v>
      </c>
      <c r="Q640" s="23" t="n">
        <f aca="false">131.43</f>
        <v>131.43</v>
      </c>
      <c r="R640" s="22" t="n">
        <v>13.3</v>
      </c>
      <c r="S640" s="22" t="n">
        <v>21.2</v>
      </c>
      <c r="T640" s="22" t="n">
        <v>395</v>
      </c>
      <c r="U640" s="24" t="s">
        <v>58</v>
      </c>
      <c r="V640" s="15"/>
      <c r="W640" s="16"/>
      <c r="X640" s="16"/>
      <c r="Y640" s="16"/>
    </row>
    <row r="641" customFormat="false" ht="14.15" hidden="false" customHeight="false" outlineLevel="0" collapsed="false">
      <c r="A641" s="9"/>
      <c r="B641" s="10"/>
      <c r="C641" s="10"/>
      <c r="D641" s="10"/>
      <c r="E641" s="10"/>
      <c r="F641" s="10"/>
      <c r="G641" s="10"/>
      <c r="H641" s="10"/>
      <c r="I641" s="25" t="n">
        <v>4</v>
      </c>
      <c r="J641" s="25"/>
      <c r="K641" s="26" t="n">
        <f aca="false">42.48</f>
        <v>42.48</v>
      </c>
      <c r="L641" s="26" t="n">
        <f aca="false">125.17</f>
        <v>125.17</v>
      </c>
      <c r="M641" s="25" t="n">
        <v>14</v>
      </c>
      <c r="N641" s="25" t="n">
        <v>27</v>
      </c>
      <c r="O641" s="25" t="n">
        <v>116.7</v>
      </c>
      <c r="P641" s="26" t="n">
        <f aca="false">27.19</f>
        <v>27.19</v>
      </c>
      <c r="Q641" s="26" t="n">
        <f aca="false">132.46</f>
        <v>132.46</v>
      </c>
      <c r="R641" s="25" t="n">
        <v>14.6</v>
      </c>
      <c r="S641" s="25" t="n">
        <v>20.5</v>
      </c>
      <c r="T641" s="25" t="n">
        <v>450</v>
      </c>
      <c r="U641" s="27" t="s">
        <v>58</v>
      </c>
      <c r="V641" s="21"/>
      <c r="W641" s="16"/>
      <c r="X641" s="16"/>
      <c r="Y641" s="16"/>
    </row>
    <row r="642" customFormat="false" ht="15.75" hidden="false" customHeight="true" outlineLevel="0" collapsed="false">
      <c r="A642" s="9" t="s">
        <v>194</v>
      </c>
      <c r="B642" s="10" t="s">
        <v>44</v>
      </c>
      <c r="C642" s="11" t="s">
        <v>224</v>
      </c>
      <c r="D642" s="10" t="s">
        <v>28</v>
      </c>
      <c r="E642" s="10" t="s">
        <v>28</v>
      </c>
      <c r="F642" s="10"/>
      <c r="G642" s="10" t="n">
        <v>18</v>
      </c>
      <c r="H642" s="10" t="n">
        <v>5.4</v>
      </c>
      <c r="I642" s="12" t="n">
        <v>1</v>
      </c>
      <c r="J642" s="12"/>
      <c r="K642" s="13" t="n">
        <f aca="false">48.59</f>
        <v>48.59</v>
      </c>
      <c r="L642" s="13" t="n">
        <f aca="false">141.02</f>
        <v>141.02</v>
      </c>
      <c r="M642" s="12" t="n">
        <v>18</v>
      </c>
      <c r="N642" s="12" t="n">
        <v>34</v>
      </c>
      <c r="O642" s="12" t="n">
        <v>170.6</v>
      </c>
      <c r="P642" s="13" t="n">
        <f aca="false">29.35</f>
        <v>29.35</v>
      </c>
      <c r="Q642" s="13" t="n">
        <f aca="false">170.13</f>
        <v>170.13</v>
      </c>
      <c r="R642" s="12" t="n">
        <v>21.5</v>
      </c>
      <c r="S642" s="12" t="n">
        <v>23.9</v>
      </c>
      <c r="T642" s="12" t="n">
        <v>610</v>
      </c>
      <c r="U642" s="14" t="s">
        <v>97</v>
      </c>
      <c r="V642" s="15"/>
      <c r="W642" s="16" t="str">
        <f aca="false">A642</f>
        <v>NN</v>
      </c>
      <c r="X642" s="17" t="e">
        <f aca="false">ifs(C642="","",X642="",NOW(),TRUE(),X642)</f>
        <v>#VALUE!</v>
      </c>
      <c r="Y642" s="17" t="e">
        <f aca="false">ifs(COUNTA(K642:U645)&lt;44,"",Y642="",NOW(),TRUE(),Y642)</f>
        <v>#VALUE!</v>
      </c>
    </row>
    <row r="643" customFormat="false" ht="14.15" hidden="false" customHeight="false" outlineLevel="0" collapsed="false">
      <c r="A643" s="9"/>
      <c r="B643" s="10"/>
      <c r="C643" s="10"/>
      <c r="D643" s="10"/>
      <c r="E643" s="10"/>
      <c r="F643" s="10"/>
      <c r="G643" s="10"/>
      <c r="H643" s="10"/>
      <c r="I643" s="18" t="n">
        <v>2</v>
      </c>
      <c r="J643" s="18"/>
      <c r="K643" s="19" t="n">
        <f aca="false">51.33</f>
        <v>51.33</v>
      </c>
      <c r="L643" s="19" t="n">
        <f aca="false">178.85</f>
        <v>178.85</v>
      </c>
      <c r="M643" s="18" t="n">
        <v>20</v>
      </c>
      <c r="N643" s="18" t="n">
        <v>42</v>
      </c>
      <c r="O643" s="18" t="n">
        <v>239</v>
      </c>
      <c r="P643" s="19" t="n">
        <f aca="false">30.34</f>
        <v>30.34</v>
      </c>
      <c r="Q643" s="19" t="n">
        <f aca="false">186.56</f>
        <v>186.56</v>
      </c>
      <c r="R643" s="18" t="n">
        <v>25.7</v>
      </c>
      <c r="S643" s="18" t="n">
        <v>20.1</v>
      </c>
      <c r="T643" s="18" t="n">
        <v>939</v>
      </c>
      <c r="U643" s="20" t="s">
        <v>97</v>
      </c>
      <c r="V643" s="21"/>
      <c r="W643" s="16"/>
      <c r="X643" s="16"/>
      <c r="Y643" s="16"/>
    </row>
    <row r="644" customFormat="false" ht="14.15" hidden="false" customHeight="false" outlineLevel="0" collapsed="false">
      <c r="A644" s="9"/>
      <c r="B644" s="10"/>
      <c r="C644" s="10"/>
      <c r="D644" s="10"/>
      <c r="E644" s="10"/>
      <c r="F644" s="10"/>
      <c r="G644" s="10"/>
      <c r="H644" s="10"/>
      <c r="I644" s="22" t="n">
        <v>3</v>
      </c>
      <c r="J644" s="22"/>
      <c r="K644" s="23" t="n">
        <f aca="false">50.81</f>
        <v>50.81</v>
      </c>
      <c r="L644" s="23" t="n">
        <f aca="false">161.3</f>
        <v>161.3</v>
      </c>
      <c r="M644" s="22" t="n">
        <v>20</v>
      </c>
      <c r="N644" s="22" t="n">
        <v>34</v>
      </c>
      <c r="O644" s="22" t="n">
        <v>185.3</v>
      </c>
      <c r="P644" s="23" t="n">
        <f aca="false">30.05</f>
        <v>30.05</v>
      </c>
      <c r="Q644" s="23" t="n">
        <f aca="false">179.79</f>
        <v>179.79</v>
      </c>
      <c r="R644" s="22" t="n">
        <v>21.8</v>
      </c>
      <c r="S644" s="22" t="n">
        <v>22.5</v>
      </c>
      <c r="T644" s="22" t="n">
        <v>689</v>
      </c>
      <c r="U644" s="24" t="s">
        <v>97</v>
      </c>
      <c r="V644" s="15"/>
      <c r="W644" s="16"/>
      <c r="X644" s="16"/>
      <c r="Y644" s="16"/>
    </row>
    <row r="645" customFormat="false" ht="14.15" hidden="false" customHeight="false" outlineLevel="0" collapsed="false">
      <c r="A645" s="9"/>
      <c r="B645" s="10"/>
      <c r="C645" s="10"/>
      <c r="D645" s="10"/>
      <c r="E645" s="10"/>
      <c r="F645" s="10"/>
      <c r="G645" s="10"/>
      <c r="H645" s="10"/>
      <c r="I645" s="25" t="n">
        <v>4</v>
      </c>
      <c r="J645" s="25"/>
      <c r="K645" s="26" t="n">
        <f aca="false">49.57</f>
        <v>49.57</v>
      </c>
      <c r="L645" s="26" t="n">
        <f aca="false">173.81</f>
        <v>173.81</v>
      </c>
      <c r="M645" s="25" t="n">
        <v>18</v>
      </c>
      <c r="N645" s="25" t="n">
        <v>42</v>
      </c>
      <c r="O645" s="25" t="n">
        <v>202.7</v>
      </c>
      <c r="P645" s="26" t="n">
        <f aca="false">26.8</f>
        <v>26.8</v>
      </c>
      <c r="Q645" s="26" t="n">
        <f aca="false">188.06</f>
        <v>188.06</v>
      </c>
      <c r="R645" s="25" t="n">
        <v>23.8</v>
      </c>
      <c r="S645" s="25" t="n">
        <v>22.5</v>
      </c>
      <c r="T645" s="25" t="n">
        <v>795</v>
      </c>
      <c r="U645" s="27" t="s">
        <v>97</v>
      </c>
      <c r="V645" s="21"/>
      <c r="W645" s="16"/>
      <c r="X645" s="16"/>
      <c r="Y645" s="16"/>
    </row>
    <row r="646" customFormat="false" ht="15.75" hidden="false" customHeight="true" outlineLevel="0" collapsed="false">
      <c r="A646" s="9" t="s">
        <v>194</v>
      </c>
      <c r="B646" s="10" t="s">
        <v>44</v>
      </c>
      <c r="C646" s="11" t="s">
        <v>225</v>
      </c>
      <c r="D646" s="10" t="s">
        <v>28</v>
      </c>
      <c r="E646" s="10" t="s">
        <v>28</v>
      </c>
      <c r="F646" s="10"/>
      <c r="G646" s="10" t="n">
        <v>4</v>
      </c>
      <c r="H646" s="10" t="n">
        <v>0.8</v>
      </c>
      <c r="I646" s="12" t="n">
        <v>1</v>
      </c>
      <c r="J646" s="12" t="s">
        <v>47</v>
      </c>
      <c r="K646" s="13" t="n">
        <f aca="false">43.05</f>
        <v>43.05</v>
      </c>
      <c r="L646" s="13" t="n">
        <f aca="false">162.26</f>
        <v>162.26</v>
      </c>
      <c r="M646" s="12" t="n">
        <v>12</v>
      </c>
      <c r="N646" s="12" t="n">
        <v>40</v>
      </c>
      <c r="O646" s="12" t="n">
        <v>153.6</v>
      </c>
      <c r="P646" s="13" t="n">
        <f aca="false">27.88</f>
        <v>27.88</v>
      </c>
      <c r="Q646" s="13" t="n">
        <f aca="false">174.99</f>
        <v>174.99</v>
      </c>
      <c r="R646" s="12" t="n">
        <v>21.2</v>
      </c>
      <c r="S646" s="12" t="n">
        <v>21</v>
      </c>
      <c r="T646" s="12" t="n">
        <v>597</v>
      </c>
      <c r="U646" s="14" t="s">
        <v>29</v>
      </c>
      <c r="V646" s="15"/>
      <c r="W646" s="16" t="str">
        <f aca="false">A646</f>
        <v>NN</v>
      </c>
      <c r="X646" s="17" t="e">
        <f aca="false">ifs(C646="","",X646="",NOW(),TRUE(),X646)</f>
        <v>#VALUE!</v>
      </c>
      <c r="Y646" s="17" t="e">
        <f aca="false">ifs(COUNTA(K646:U649)&lt;44,"",Y646="",NOW(),TRUE(),Y646)</f>
        <v>#VALUE!</v>
      </c>
    </row>
    <row r="647" customFormat="false" ht="14.15" hidden="false" customHeight="false" outlineLevel="0" collapsed="false">
      <c r="A647" s="9"/>
      <c r="B647" s="10"/>
      <c r="C647" s="10"/>
      <c r="D647" s="10"/>
      <c r="E647" s="10"/>
      <c r="F647" s="10"/>
      <c r="G647" s="10"/>
      <c r="H647" s="10"/>
      <c r="I647" s="18" t="n">
        <v>2</v>
      </c>
      <c r="J647" s="18"/>
      <c r="K647" s="19" t="n">
        <f aca="false">48.57</f>
        <v>48.57</v>
      </c>
      <c r="L647" s="19" t="n">
        <f aca="false">164.47</f>
        <v>164.47</v>
      </c>
      <c r="M647" s="18" t="n">
        <v>16</v>
      </c>
      <c r="N647" s="18" t="n">
        <v>40</v>
      </c>
      <c r="O647" s="18" t="n">
        <v>198.7</v>
      </c>
      <c r="P647" s="19" t="n">
        <f aca="false">30.34</f>
        <v>30.34</v>
      </c>
      <c r="Q647" s="19" t="n">
        <f aca="false">175.07</f>
        <v>175.07</v>
      </c>
      <c r="R647" s="18" t="n">
        <v>28.6</v>
      </c>
      <c r="S647" s="18" t="n">
        <v>20.8</v>
      </c>
      <c r="T647" s="18" t="n">
        <v>770</v>
      </c>
      <c r="U647" s="20" t="s">
        <v>29</v>
      </c>
      <c r="V647" s="21"/>
      <c r="W647" s="16"/>
      <c r="X647" s="16"/>
      <c r="Y647" s="16"/>
    </row>
    <row r="648" customFormat="false" ht="14.15" hidden="false" customHeight="false" outlineLevel="0" collapsed="false">
      <c r="A648" s="9"/>
      <c r="B648" s="10"/>
      <c r="C648" s="10"/>
      <c r="D648" s="10"/>
      <c r="E648" s="10"/>
      <c r="F648" s="10"/>
      <c r="G648" s="10"/>
      <c r="H648" s="10"/>
      <c r="I648" s="22" t="n">
        <v>3</v>
      </c>
      <c r="J648" s="22"/>
      <c r="K648" s="23" t="n">
        <f aca="false">42.2</f>
        <v>42.2</v>
      </c>
      <c r="L648" s="23" t="n">
        <f aca="false">134.05</f>
        <v>134.05</v>
      </c>
      <c r="M648" s="22" t="n">
        <v>12</v>
      </c>
      <c r="N648" s="22" t="n">
        <v>34</v>
      </c>
      <c r="O648" s="22" t="n">
        <v>128.8</v>
      </c>
      <c r="P648" s="23" t="n">
        <f aca="false">27.3</f>
        <v>27.3</v>
      </c>
      <c r="Q648" s="23" t="n">
        <f aca="false">150.28</f>
        <v>150.28</v>
      </c>
      <c r="R648" s="22" t="n">
        <v>16.5</v>
      </c>
      <c r="S648" s="22" t="n">
        <v>19.9</v>
      </c>
      <c r="T648" s="22" t="n">
        <v>515</v>
      </c>
      <c r="U648" s="24" t="s">
        <v>29</v>
      </c>
      <c r="V648" s="15"/>
      <c r="W648" s="16"/>
      <c r="X648" s="16"/>
      <c r="Y648" s="16"/>
    </row>
    <row r="649" customFormat="false" ht="14.15" hidden="false" customHeight="false" outlineLevel="0" collapsed="false">
      <c r="A649" s="9"/>
      <c r="B649" s="10"/>
      <c r="C649" s="10"/>
      <c r="D649" s="10"/>
      <c r="E649" s="10"/>
      <c r="F649" s="10"/>
      <c r="G649" s="10"/>
      <c r="H649" s="10"/>
      <c r="I649" s="25" t="n">
        <v>4</v>
      </c>
      <c r="J649" s="25"/>
      <c r="K649" s="26" t="n">
        <f aca="false">47.64</f>
        <v>47.64</v>
      </c>
      <c r="L649" s="26" t="n">
        <f aca="false">187.56</f>
        <v>187.56</v>
      </c>
      <c r="M649" s="25" t="n">
        <v>16</v>
      </c>
      <c r="N649" s="25" t="n">
        <v>47</v>
      </c>
      <c r="O649" s="25" t="n">
        <v>233.7</v>
      </c>
      <c r="P649" s="26" t="n">
        <f aca="false">31.61</f>
        <v>31.61</v>
      </c>
      <c r="Q649" s="26" t="n">
        <f aca="false">198.15</f>
        <v>198.15</v>
      </c>
      <c r="R649" s="25" t="n">
        <v>35.7</v>
      </c>
      <c r="S649" s="25" t="n">
        <v>23.1</v>
      </c>
      <c r="T649" s="25" t="n">
        <v>851</v>
      </c>
      <c r="U649" s="27" t="s">
        <v>29</v>
      </c>
      <c r="V649" s="21"/>
      <c r="W649" s="16"/>
      <c r="X649" s="16"/>
      <c r="Y649" s="16"/>
    </row>
    <row r="650" customFormat="false" ht="15.75" hidden="false" customHeight="true" outlineLevel="0" collapsed="false">
      <c r="A650" s="9" t="s">
        <v>226</v>
      </c>
      <c r="B650" s="10" t="s">
        <v>26</v>
      </c>
      <c r="C650" s="11" t="s">
        <v>227</v>
      </c>
      <c r="D650" s="10" t="s">
        <v>28</v>
      </c>
      <c r="E650" s="10" t="s">
        <v>28</v>
      </c>
      <c r="F650" s="10"/>
      <c r="G650" s="10" t="n">
        <v>31</v>
      </c>
      <c r="H650" s="10" t="n">
        <v>6.85</v>
      </c>
      <c r="I650" s="12" t="n">
        <v>1</v>
      </c>
      <c r="J650" s="12"/>
      <c r="K650" s="13" t="n">
        <f aca="false">46.36</f>
        <v>46.36</v>
      </c>
      <c r="L650" s="13" t="n">
        <f aca="false">133.8</f>
        <v>133.8</v>
      </c>
      <c r="M650" s="12" t="n">
        <v>18</v>
      </c>
      <c r="N650" s="12" t="n">
        <v>34</v>
      </c>
      <c r="O650" s="12" t="n">
        <v>116.25</v>
      </c>
      <c r="P650" s="13" t="n">
        <f aca="false">31.31</f>
        <v>31.31</v>
      </c>
      <c r="Q650" s="13" t="n">
        <f aca="false">144.9</f>
        <v>144.9</v>
      </c>
      <c r="R650" s="12" t="n">
        <v>15.4</v>
      </c>
      <c r="S650" s="12" t="n">
        <v>22</v>
      </c>
      <c r="T650" s="12" t="n">
        <v>469</v>
      </c>
      <c r="U650" s="14" t="s">
        <v>32</v>
      </c>
      <c r="V650" s="15"/>
      <c r="W650" s="16" t="str">
        <f aca="false">A650</f>
        <v>OK</v>
      </c>
      <c r="X650" s="17" t="e">
        <f aca="false">ifs(C650="","",X650="",NOW(),TRUE(),X650)</f>
        <v>#VALUE!</v>
      </c>
      <c r="Y650" s="17" t="e">
        <f aca="false">ifs(COUNTA(K650:U653)&lt;44,"",Y650="",NOW(),TRUE(),Y650)</f>
        <v>#VALUE!</v>
      </c>
    </row>
    <row r="651" customFormat="false" ht="14.15" hidden="false" customHeight="false" outlineLevel="0" collapsed="false">
      <c r="A651" s="9"/>
      <c r="B651" s="10"/>
      <c r="C651" s="10"/>
      <c r="D651" s="10"/>
      <c r="E651" s="10"/>
      <c r="F651" s="10"/>
      <c r="G651" s="10"/>
      <c r="H651" s="10"/>
      <c r="I651" s="18" t="n">
        <v>2</v>
      </c>
      <c r="J651" s="18"/>
      <c r="K651" s="19" t="n">
        <f aca="false">44.64</f>
        <v>44.64</v>
      </c>
      <c r="L651" s="19" t="n">
        <f aca="false">122.94</f>
        <v>122.94</v>
      </c>
      <c r="M651" s="18" t="n">
        <v>18</v>
      </c>
      <c r="N651" s="18" t="n">
        <v>28</v>
      </c>
      <c r="O651" s="18" t="n">
        <v>118.45</v>
      </c>
      <c r="P651" s="19" t="n">
        <f aca="false">29.78</f>
        <v>29.78</v>
      </c>
      <c r="Q651" s="19" t="n">
        <f aca="false">133.69</f>
        <v>133.69</v>
      </c>
      <c r="R651" s="18" t="n">
        <v>13.85</v>
      </c>
      <c r="S651" s="18" t="n">
        <v>25</v>
      </c>
      <c r="T651" s="18" t="n">
        <v>416</v>
      </c>
      <c r="U651" s="20" t="s">
        <v>32</v>
      </c>
      <c r="V651" s="21"/>
      <c r="W651" s="16"/>
      <c r="X651" s="16"/>
      <c r="Y651" s="16"/>
    </row>
    <row r="652" customFormat="false" ht="14.15" hidden="false" customHeight="false" outlineLevel="0" collapsed="false">
      <c r="A652" s="9"/>
      <c r="B652" s="10"/>
      <c r="C652" s="10"/>
      <c r="D652" s="10"/>
      <c r="E652" s="10"/>
      <c r="F652" s="10"/>
      <c r="G652" s="10"/>
      <c r="H652" s="10"/>
      <c r="I652" s="22" t="n">
        <v>3</v>
      </c>
      <c r="J652" s="22"/>
      <c r="K652" s="23" t="n">
        <f aca="false">46.46</f>
        <v>46.46</v>
      </c>
      <c r="L652" s="23" t="n">
        <f aca="false">106.69</f>
        <v>106.69</v>
      </c>
      <c r="M652" s="22" t="n">
        <v>16</v>
      </c>
      <c r="N652" s="22" t="n">
        <v>22</v>
      </c>
      <c r="O652" s="22" t="n">
        <v>108.8</v>
      </c>
      <c r="P652" s="23" t="n">
        <f aca="false">28.73</f>
        <v>28.73</v>
      </c>
      <c r="Q652" s="23" t="n">
        <f aca="false">95.75</f>
        <v>95.75</v>
      </c>
      <c r="R652" s="22" t="n">
        <v>14.55</v>
      </c>
      <c r="S652" s="22" t="n">
        <v>32.05</v>
      </c>
      <c r="T652" s="22" t="n">
        <v>298</v>
      </c>
      <c r="U652" s="24" t="s">
        <v>32</v>
      </c>
      <c r="V652" s="15"/>
      <c r="W652" s="16"/>
      <c r="X652" s="16"/>
      <c r="Y652" s="16"/>
    </row>
    <row r="653" customFormat="false" ht="14.15" hidden="false" customHeight="false" outlineLevel="0" collapsed="false">
      <c r="A653" s="9"/>
      <c r="B653" s="10"/>
      <c r="C653" s="10"/>
      <c r="D653" s="10"/>
      <c r="E653" s="10"/>
      <c r="F653" s="10"/>
      <c r="G653" s="10"/>
      <c r="H653" s="10"/>
      <c r="I653" s="25" t="n">
        <v>4</v>
      </c>
      <c r="J653" s="25" t="s">
        <v>35</v>
      </c>
      <c r="K653" s="26" t="n">
        <f aca="false">41.67</f>
        <v>41.67</v>
      </c>
      <c r="L653" s="26" t="n">
        <f aca="false">111.69</f>
        <v>111.69</v>
      </c>
      <c r="M653" s="25" t="n">
        <v>15</v>
      </c>
      <c r="N653" s="25" t="n">
        <v>24</v>
      </c>
      <c r="O653" s="25" t="n">
        <v>94.4</v>
      </c>
      <c r="P653" s="26" t="n">
        <f aca="false">26.88</f>
        <v>26.88</v>
      </c>
      <c r="Q653" s="26" t="n">
        <f aca="false">115.26</f>
        <v>115.26</v>
      </c>
      <c r="R653" s="25" t="n">
        <v>12.75</v>
      </c>
      <c r="S653" s="25" t="n">
        <v>22.1</v>
      </c>
      <c r="T653" s="25" t="n">
        <v>363</v>
      </c>
      <c r="U653" s="27" t="s">
        <v>32</v>
      </c>
      <c r="V653" s="21"/>
      <c r="W653" s="16"/>
      <c r="X653" s="16"/>
      <c r="Y653" s="16"/>
    </row>
    <row r="654" customFormat="false" ht="15.75" hidden="false" customHeight="true" outlineLevel="0" collapsed="false">
      <c r="A654" s="9" t="s">
        <v>226</v>
      </c>
      <c r="B654" s="10" t="s">
        <v>26</v>
      </c>
      <c r="C654" s="11" t="s">
        <v>228</v>
      </c>
      <c r="D654" s="10" t="s">
        <v>28</v>
      </c>
      <c r="E654" s="10" t="s">
        <v>28</v>
      </c>
      <c r="F654" s="10"/>
      <c r="G654" s="10" t="n">
        <v>19</v>
      </c>
      <c r="H654" s="10" t="n">
        <v>3.55</v>
      </c>
      <c r="I654" s="12" t="n">
        <v>1</v>
      </c>
      <c r="J654" s="12" t="s">
        <v>47</v>
      </c>
      <c r="K654" s="13" t="n">
        <f aca="false">46.55</f>
        <v>46.55</v>
      </c>
      <c r="L654" s="13" t="n">
        <f aca="false">164.94</f>
        <v>164.94</v>
      </c>
      <c r="M654" s="12" t="n">
        <v>12</v>
      </c>
      <c r="N654" s="12" t="n">
        <v>44</v>
      </c>
      <c r="O654" s="12" t="n">
        <v>192.9</v>
      </c>
      <c r="P654" s="13" t="n">
        <f aca="false">28.36</f>
        <v>28.36</v>
      </c>
      <c r="Q654" s="13" t="n">
        <f aca="false">174.34</f>
        <v>174.34</v>
      </c>
      <c r="R654" s="12" t="n">
        <v>30.75</v>
      </c>
      <c r="S654" s="12" t="n">
        <v>33.25</v>
      </c>
      <c r="T654" s="12" t="n">
        <v>504</v>
      </c>
      <c r="U654" s="14" t="s">
        <v>29</v>
      </c>
      <c r="V654" s="15"/>
      <c r="W654" s="16" t="str">
        <f aca="false">A654</f>
        <v>OK</v>
      </c>
      <c r="X654" s="17" t="e">
        <f aca="false">ifs(C654="","",X654="",NOW(),TRUE(),X654)</f>
        <v>#VALUE!</v>
      </c>
      <c r="Y654" s="17" t="e">
        <f aca="false">ifs(COUNTA(K654:U657)&lt;44,"",Y654="",NOW(),TRUE(),Y654)</f>
        <v>#VALUE!</v>
      </c>
    </row>
    <row r="655" customFormat="false" ht="14.15" hidden="false" customHeight="false" outlineLevel="0" collapsed="false">
      <c r="A655" s="9"/>
      <c r="B655" s="10"/>
      <c r="C655" s="10"/>
      <c r="D655" s="10"/>
      <c r="E655" s="10"/>
      <c r="F655" s="10"/>
      <c r="G655" s="10"/>
      <c r="H655" s="10"/>
      <c r="I655" s="18" t="n">
        <v>2</v>
      </c>
      <c r="J655" s="18" t="s">
        <v>47</v>
      </c>
      <c r="K655" s="19" t="n">
        <f aca="false">47.02</f>
        <v>47.02</v>
      </c>
      <c r="L655" s="19" t="n">
        <f aca="false">171.25</f>
        <v>171.25</v>
      </c>
      <c r="M655" s="18" t="n">
        <v>14</v>
      </c>
      <c r="N655" s="18" t="n">
        <v>42</v>
      </c>
      <c r="O655" s="18" t="n">
        <v>203.95</v>
      </c>
      <c r="P655" s="19" t="n">
        <f aca="false">28.73</f>
        <v>28.73</v>
      </c>
      <c r="Q655" s="19" t="n">
        <f aca="false">177.2</f>
        <v>177.2</v>
      </c>
      <c r="R655" s="18" t="n">
        <v>29.4</v>
      </c>
      <c r="S655" s="18" t="n">
        <v>29.6</v>
      </c>
      <c r="T655" s="18" t="n">
        <v>587</v>
      </c>
      <c r="U655" s="20" t="s">
        <v>29</v>
      </c>
      <c r="V655" s="21"/>
      <c r="W655" s="16"/>
      <c r="X655" s="16"/>
      <c r="Y655" s="16"/>
    </row>
    <row r="656" customFormat="false" ht="14.15" hidden="false" customHeight="false" outlineLevel="0" collapsed="false">
      <c r="A656" s="9"/>
      <c r="B656" s="10"/>
      <c r="C656" s="10"/>
      <c r="D656" s="10"/>
      <c r="E656" s="10"/>
      <c r="F656" s="10"/>
      <c r="G656" s="10"/>
      <c r="H656" s="10"/>
      <c r="I656" s="22" t="n">
        <v>3</v>
      </c>
      <c r="J656" s="22" t="s">
        <v>35</v>
      </c>
      <c r="K656" s="23" t="n">
        <f aca="false">43.17</f>
        <v>43.17</v>
      </c>
      <c r="L656" s="23" t="n">
        <f aca="false">155.47</f>
        <v>155.47</v>
      </c>
      <c r="M656" s="22" t="n">
        <v>12</v>
      </c>
      <c r="N656" s="22" t="n">
        <v>42</v>
      </c>
      <c r="O656" s="22" t="n">
        <v>156.2</v>
      </c>
      <c r="P656" s="23" t="n">
        <f aca="false">24.66</f>
        <v>24.66</v>
      </c>
      <c r="Q656" s="23" t="n">
        <f aca="false">168.4</f>
        <v>168.4</v>
      </c>
      <c r="R656" s="22" t="n">
        <v>22</v>
      </c>
      <c r="S656" s="22" t="n">
        <v>27.05</v>
      </c>
      <c r="T656" s="22" t="n">
        <v>502</v>
      </c>
      <c r="U656" s="24" t="s">
        <v>29</v>
      </c>
      <c r="V656" s="15"/>
      <c r="W656" s="16"/>
      <c r="X656" s="16"/>
      <c r="Y656" s="16"/>
    </row>
    <row r="657" customFormat="false" ht="14.15" hidden="false" customHeight="false" outlineLevel="0" collapsed="false">
      <c r="A657" s="9"/>
      <c r="B657" s="10"/>
      <c r="C657" s="10"/>
      <c r="D657" s="10"/>
      <c r="E657" s="10"/>
      <c r="F657" s="10"/>
      <c r="G657" s="10"/>
      <c r="H657" s="10"/>
      <c r="I657" s="25" t="n">
        <v>4</v>
      </c>
      <c r="J657" s="25" t="s">
        <v>49</v>
      </c>
      <c r="K657" s="26" t="n">
        <f aca="false">41.65</f>
        <v>41.65</v>
      </c>
      <c r="L657" s="26" t="n">
        <f aca="false">109.66</f>
        <v>109.66</v>
      </c>
      <c r="M657" s="25" t="n">
        <v>14</v>
      </c>
      <c r="N657" s="25" t="n">
        <v>28</v>
      </c>
      <c r="O657" s="25" t="n">
        <v>106.15</v>
      </c>
      <c r="P657" s="26" t="n">
        <f aca="false">26.23</f>
        <v>26.23</v>
      </c>
      <c r="Q657" s="26" t="n">
        <f aca="false">128.23</f>
        <v>128.23</v>
      </c>
      <c r="R657" s="25" t="n">
        <v>16.05</v>
      </c>
      <c r="S657" s="25" t="n">
        <v>23.25</v>
      </c>
      <c r="T657" s="25" t="n">
        <v>394</v>
      </c>
      <c r="U657" s="27" t="s">
        <v>97</v>
      </c>
      <c r="V657" s="21"/>
      <c r="W657" s="16"/>
      <c r="X657" s="16"/>
      <c r="Y657" s="16"/>
    </row>
    <row r="658" customFormat="false" ht="15.75" hidden="false" customHeight="true" outlineLevel="0" collapsed="false">
      <c r="A658" s="9" t="s">
        <v>194</v>
      </c>
      <c r="B658" s="10" t="s">
        <v>44</v>
      </c>
      <c r="C658" s="11" t="s">
        <v>229</v>
      </c>
      <c r="D658" s="10" t="s">
        <v>28</v>
      </c>
      <c r="E658" s="10" t="s">
        <v>28</v>
      </c>
      <c r="F658" s="10"/>
      <c r="G658" s="10" t="n">
        <v>15</v>
      </c>
      <c r="H658" s="10" t="n">
        <v>3.7</v>
      </c>
      <c r="I658" s="12" t="n">
        <v>1</v>
      </c>
      <c r="J658" s="12" t="s">
        <v>35</v>
      </c>
      <c r="K658" s="13" t="n">
        <f aca="false">41.99</f>
        <v>41.99</v>
      </c>
      <c r="L658" s="13" t="n">
        <f aca="false">106.35</f>
        <v>106.35</v>
      </c>
      <c r="M658" s="12" t="n">
        <v>14</v>
      </c>
      <c r="N658" s="12" t="n">
        <v>25</v>
      </c>
      <c r="O658" s="12" t="n">
        <v>86.6</v>
      </c>
      <c r="P658" s="13" t="n">
        <f aca="false">28.85</f>
        <v>28.85</v>
      </c>
      <c r="Q658" s="13" t="n">
        <f aca="false">118.28</f>
        <v>118.28</v>
      </c>
      <c r="R658" s="12" t="n">
        <v>12.5</v>
      </c>
      <c r="S658" s="12" t="n">
        <v>22.3</v>
      </c>
      <c r="T658" s="12" t="n">
        <v>316</v>
      </c>
      <c r="U658" s="14" t="s">
        <v>58</v>
      </c>
      <c r="V658" s="15"/>
      <c r="W658" s="16" t="str">
        <f aca="false">A658</f>
        <v>NN</v>
      </c>
      <c r="X658" s="17" t="e">
        <f aca="false">ifs(C658="","",X658="",NOW(),TRUE(),X658)</f>
        <v>#VALUE!</v>
      </c>
      <c r="Y658" s="17" t="e">
        <f aca="false">ifs(COUNTA(K658:U661)&lt;44,"",Y658="",NOW(),TRUE(),Y658)</f>
        <v>#VALUE!</v>
      </c>
    </row>
    <row r="659" customFormat="false" ht="14.15" hidden="false" customHeight="false" outlineLevel="0" collapsed="false">
      <c r="A659" s="9"/>
      <c r="B659" s="10"/>
      <c r="C659" s="10"/>
      <c r="D659" s="10"/>
      <c r="E659" s="10"/>
      <c r="F659" s="10"/>
      <c r="G659" s="10"/>
      <c r="H659" s="10"/>
      <c r="I659" s="18" t="n">
        <v>2</v>
      </c>
      <c r="J659" s="18"/>
      <c r="K659" s="19" t="n">
        <f aca="false">43.8</f>
        <v>43.8</v>
      </c>
      <c r="L659" s="19" t="n">
        <f aca="false">114.79</f>
        <v>114.79</v>
      </c>
      <c r="M659" s="18" t="n">
        <v>14</v>
      </c>
      <c r="N659" s="18" t="n">
        <v>29</v>
      </c>
      <c r="O659" s="18" t="n">
        <v>103.4</v>
      </c>
      <c r="P659" s="19" t="n">
        <f aca="false">29.96</f>
        <v>29.96</v>
      </c>
      <c r="Q659" s="19" t="n">
        <f aca="false">145.49</f>
        <v>145.49</v>
      </c>
      <c r="R659" s="18" t="n">
        <v>13.8</v>
      </c>
      <c r="S659" s="18" t="n">
        <v>20.4</v>
      </c>
      <c r="T659" s="18" t="n">
        <v>452</v>
      </c>
      <c r="U659" s="20" t="s">
        <v>58</v>
      </c>
      <c r="V659" s="21"/>
      <c r="W659" s="16"/>
      <c r="X659" s="16"/>
      <c r="Y659" s="16"/>
    </row>
    <row r="660" customFormat="false" ht="14.15" hidden="false" customHeight="false" outlineLevel="0" collapsed="false">
      <c r="A660" s="9"/>
      <c r="B660" s="10"/>
      <c r="C660" s="10"/>
      <c r="D660" s="10"/>
      <c r="E660" s="10"/>
      <c r="F660" s="10"/>
      <c r="G660" s="10"/>
      <c r="H660" s="10"/>
      <c r="I660" s="22" t="n">
        <v>3</v>
      </c>
      <c r="J660" s="22"/>
      <c r="K660" s="23" t="n">
        <f aca="false">44.24</f>
        <v>44.24</v>
      </c>
      <c r="L660" s="23" t="n">
        <f aca="false">100.27</f>
        <v>100.27</v>
      </c>
      <c r="M660" s="22" t="n">
        <v>14</v>
      </c>
      <c r="N660" s="22" t="n">
        <v>24</v>
      </c>
      <c r="O660" s="22" t="n">
        <v>87.4</v>
      </c>
      <c r="P660" s="23" t="n">
        <f aca="false">27.63</f>
        <v>27.63</v>
      </c>
      <c r="Q660" s="23" t="n">
        <f aca="false">118.48</f>
        <v>118.48</v>
      </c>
      <c r="R660" s="22" t="n">
        <v>11.5</v>
      </c>
      <c r="S660" s="22" t="n">
        <v>18.9</v>
      </c>
      <c r="T660" s="22" t="n">
        <v>408</v>
      </c>
      <c r="U660" s="24" t="s">
        <v>58</v>
      </c>
      <c r="V660" s="15"/>
      <c r="W660" s="16"/>
      <c r="X660" s="16"/>
      <c r="Y660" s="16"/>
    </row>
    <row r="661" customFormat="false" ht="14.15" hidden="false" customHeight="false" outlineLevel="0" collapsed="false">
      <c r="A661" s="9"/>
      <c r="B661" s="10"/>
      <c r="C661" s="10"/>
      <c r="D661" s="10"/>
      <c r="E661" s="10"/>
      <c r="F661" s="10"/>
      <c r="G661" s="10"/>
      <c r="H661" s="10"/>
      <c r="I661" s="25" t="n">
        <v>4</v>
      </c>
      <c r="J661" s="25"/>
      <c r="K661" s="26" t="n">
        <f aca="false">47.15</f>
        <v>47.15</v>
      </c>
      <c r="L661" s="26" t="n">
        <f aca="false">139.77</f>
        <v>139.77</v>
      </c>
      <c r="M661" s="25" t="n">
        <v>14</v>
      </c>
      <c r="N661" s="25" t="n">
        <v>33</v>
      </c>
      <c r="O661" s="25" t="n">
        <v>155.5</v>
      </c>
      <c r="P661" s="26" t="n">
        <f aca="false">30.61</f>
        <v>30.61</v>
      </c>
      <c r="Q661" s="26" t="n">
        <f aca="false">164.94</f>
        <v>164.94</v>
      </c>
      <c r="R661" s="25" t="n">
        <v>20.4</v>
      </c>
      <c r="S661" s="25" t="n">
        <v>20.5</v>
      </c>
      <c r="T661" s="25" t="n">
        <v>595</v>
      </c>
      <c r="U661" s="27" t="s">
        <v>58</v>
      </c>
      <c r="V661" s="21"/>
      <c r="W661" s="16"/>
      <c r="X661" s="16"/>
      <c r="Y661" s="16"/>
    </row>
    <row r="662" customFormat="false" ht="15.75" hidden="false" customHeight="true" outlineLevel="0" collapsed="false">
      <c r="A662" s="9" t="s">
        <v>194</v>
      </c>
      <c r="B662" s="10" t="s">
        <v>44</v>
      </c>
      <c r="C662" s="11" t="s">
        <v>230</v>
      </c>
      <c r="D662" s="10" t="s">
        <v>28</v>
      </c>
      <c r="E662" s="10" t="s">
        <v>28</v>
      </c>
      <c r="F662" s="10"/>
      <c r="G662" s="10" t="n">
        <v>6</v>
      </c>
      <c r="H662" s="10" t="n">
        <v>1</v>
      </c>
      <c r="I662" s="12" t="n">
        <v>1</v>
      </c>
      <c r="J662" s="12"/>
      <c r="K662" s="13" t="n">
        <f aca="false">46.9</f>
        <v>46.9</v>
      </c>
      <c r="L662" s="13" t="n">
        <f aca="false">161.97</f>
        <v>161.97</v>
      </c>
      <c r="M662" s="12" t="n">
        <v>16</v>
      </c>
      <c r="N662" s="12" t="n">
        <v>41</v>
      </c>
      <c r="O662" s="12" t="n">
        <v>182.2</v>
      </c>
      <c r="P662" s="13" t="n">
        <f aca="false">28.82</f>
        <v>28.82</v>
      </c>
      <c r="Q662" s="13" t="n">
        <f aca="false">177.51</f>
        <v>177.51</v>
      </c>
      <c r="R662" s="12" t="n">
        <v>24</v>
      </c>
      <c r="S662" s="12" t="n">
        <v>18.6</v>
      </c>
      <c r="T662" s="12" t="n">
        <v>744</v>
      </c>
      <c r="U662" s="14" t="s">
        <v>29</v>
      </c>
      <c r="V662" s="15"/>
      <c r="W662" s="16" t="str">
        <f aca="false">A662</f>
        <v>NN</v>
      </c>
      <c r="X662" s="17" t="e">
        <f aca="false">ifs(C662="","",X662="",NOW(),TRUE(),X662)</f>
        <v>#VALUE!</v>
      </c>
      <c r="Y662" s="17" t="e">
        <f aca="false">ifs(COUNTA(K662:U665)&lt;44,"",Y662="",NOW(),TRUE(),Y662)</f>
        <v>#VALUE!</v>
      </c>
    </row>
    <row r="663" customFormat="false" ht="14.15" hidden="false" customHeight="false" outlineLevel="0" collapsed="false">
      <c r="A663" s="9"/>
      <c r="B663" s="10"/>
      <c r="C663" s="10"/>
      <c r="D663" s="10"/>
      <c r="E663" s="10"/>
      <c r="F663" s="10"/>
      <c r="G663" s="10"/>
      <c r="H663" s="10"/>
      <c r="I663" s="18" t="n">
        <v>2</v>
      </c>
      <c r="J663" s="18"/>
      <c r="K663" s="19" t="n">
        <f aca="false">43.51</f>
        <v>43.51</v>
      </c>
      <c r="L663" s="19" t="n">
        <f aca="false">155.16</f>
        <v>155.16</v>
      </c>
      <c r="M663" s="18" t="n">
        <v>14</v>
      </c>
      <c r="N663" s="18" t="n">
        <v>38</v>
      </c>
      <c r="O663" s="18" t="n">
        <v>154.9</v>
      </c>
      <c r="P663" s="19" t="n">
        <f aca="false">25.66</f>
        <v>25.66</v>
      </c>
      <c r="Q663" s="19" t="n">
        <f aca="false">157.4</f>
        <v>157.4</v>
      </c>
      <c r="R663" s="18" t="n">
        <v>17.8</v>
      </c>
      <c r="S663" s="18" t="n">
        <v>21.9</v>
      </c>
      <c r="T663" s="18" t="n">
        <v>639</v>
      </c>
      <c r="U663" s="20" t="s">
        <v>29</v>
      </c>
      <c r="V663" s="21"/>
      <c r="W663" s="16"/>
      <c r="X663" s="16"/>
      <c r="Y663" s="16"/>
    </row>
    <row r="664" customFormat="false" ht="14.15" hidden="false" customHeight="false" outlineLevel="0" collapsed="false">
      <c r="A664" s="9"/>
      <c r="B664" s="10"/>
      <c r="C664" s="10"/>
      <c r="D664" s="10"/>
      <c r="E664" s="10"/>
      <c r="F664" s="10"/>
      <c r="G664" s="10"/>
      <c r="H664" s="10"/>
      <c r="I664" s="22" t="n">
        <v>3</v>
      </c>
      <c r="J664" s="22"/>
      <c r="K664" s="23" t="n">
        <f aca="false">44.46</f>
        <v>44.46</v>
      </c>
      <c r="L664" s="23" t="n">
        <f aca="false">152.33</f>
        <v>152.33</v>
      </c>
      <c r="M664" s="22" t="n">
        <v>14</v>
      </c>
      <c r="N664" s="22" t="n">
        <v>37</v>
      </c>
      <c r="O664" s="22" t="n">
        <v>151.1</v>
      </c>
      <c r="P664" s="23" t="n">
        <f aca="false">27.22</f>
        <v>27.22</v>
      </c>
      <c r="Q664" s="23" t="n">
        <f aca="false">164.23</f>
        <v>164.23</v>
      </c>
      <c r="R664" s="22" t="n">
        <v>18.7</v>
      </c>
      <c r="S664" s="22" t="n">
        <v>20.3</v>
      </c>
      <c r="T664" s="22" t="n">
        <v>601</v>
      </c>
      <c r="U664" s="24" t="s">
        <v>29</v>
      </c>
      <c r="V664" s="15"/>
      <c r="W664" s="16"/>
      <c r="X664" s="16"/>
      <c r="Y664" s="16"/>
    </row>
    <row r="665" customFormat="false" ht="14.15" hidden="false" customHeight="false" outlineLevel="0" collapsed="false">
      <c r="A665" s="9"/>
      <c r="B665" s="10"/>
      <c r="C665" s="10"/>
      <c r="D665" s="10"/>
      <c r="E665" s="10"/>
      <c r="F665" s="10"/>
      <c r="G665" s="10"/>
      <c r="H665" s="10"/>
      <c r="I665" s="25" t="n">
        <v>4</v>
      </c>
      <c r="J665" s="25" t="s">
        <v>47</v>
      </c>
      <c r="K665" s="26" t="n">
        <f aca="false">46.06</f>
        <v>46.06</v>
      </c>
      <c r="L665" s="26" t="n">
        <f aca="false">163.26</f>
        <v>163.26</v>
      </c>
      <c r="M665" s="25" t="n">
        <v>16</v>
      </c>
      <c r="N665" s="25" t="n">
        <v>39</v>
      </c>
      <c r="O665" s="25" t="n">
        <v>184.1</v>
      </c>
      <c r="P665" s="26" t="n">
        <f aca="false">28.35</f>
        <v>28.35</v>
      </c>
      <c r="Q665" s="26" t="n">
        <f aca="false">172.67</f>
        <v>172.67</v>
      </c>
      <c r="R665" s="25" t="n">
        <v>23.5</v>
      </c>
      <c r="S665" s="25" t="n">
        <v>21.9</v>
      </c>
      <c r="T665" s="25" t="n">
        <v>693</v>
      </c>
      <c r="U665" s="27" t="s">
        <v>29</v>
      </c>
      <c r="V665" s="21"/>
      <c r="W665" s="16"/>
      <c r="X665" s="16"/>
      <c r="Y665" s="16"/>
    </row>
    <row r="666" customFormat="false" ht="15.75" hidden="false" customHeight="true" outlineLevel="0" collapsed="false">
      <c r="A666" s="9" t="s">
        <v>226</v>
      </c>
      <c r="B666" s="10" t="s">
        <v>26</v>
      </c>
      <c r="C666" s="11" t="s">
        <v>231</v>
      </c>
      <c r="D666" s="10" t="s">
        <v>28</v>
      </c>
      <c r="E666" s="10" t="s">
        <v>28</v>
      </c>
      <c r="F666" s="10"/>
      <c r="G666" s="10" t="n">
        <v>123</v>
      </c>
      <c r="H666" s="10" t="n">
        <v>27.15</v>
      </c>
      <c r="I666" s="12" t="n">
        <v>1</v>
      </c>
      <c r="J666" s="12" t="s">
        <v>50</v>
      </c>
      <c r="K666" s="13" t="n">
        <f aca="false">44.21</f>
        <v>44.21</v>
      </c>
      <c r="L666" s="13" t="n">
        <f aca="false">172.33</f>
        <v>172.33</v>
      </c>
      <c r="M666" s="12" t="n">
        <v>15</v>
      </c>
      <c r="N666" s="12" t="n">
        <v>30</v>
      </c>
      <c r="O666" s="12" t="n">
        <v>173.45</v>
      </c>
      <c r="P666" s="13" t="n">
        <f aca="false">27.86</f>
        <v>27.86</v>
      </c>
      <c r="Q666" s="13" t="n">
        <f aca="false">186.1</f>
        <v>186.1</v>
      </c>
      <c r="R666" s="12" t="n">
        <v>35.75</v>
      </c>
      <c r="S666" s="12" t="n">
        <v>41.15</v>
      </c>
      <c r="T666" s="12" t="n">
        <v>329</v>
      </c>
      <c r="U666" s="14" t="s">
        <v>29</v>
      </c>
      <c r="V666" s="15"/>
      <c r="W666" s="16" t="str">
        <f aca="false">A666</f>
        <v>OK</v>
      </c>
      <c r="X666" s="17" t="e">
        <f aca="false">ifs(C666="","",X666="",NOW(),TRUE(),X666)</f>
        <v>#VALUE!</v>
      </c>
      <c r="Y666" s="17" t="e">
        <f aca="false">ifs(COUNTA(K666:U669)&lt;44,"",Y666="",NOW(),TRUE(),Y666)</f>
        <v>#VALUE!</v>
      </c>
    </row>
    <row r="667" customFormat="false" ht="14.15" hidden="false" customHeight="false" outlineLevel="0" collapsed="false">
      <c r="A667" s="9"/>
      <c r="B667" s="10"/>
      <c r="C667" s="10"/>
      <c r="D667" s="10"/>
      <c r="E667" s="10"/>
      <c r="F667" s="10"/>
      <c r="G667" s="10"/>
      <c r="H667" s="10"/>
      <c r="I667" s="18" t="n">
        <v>2</v>
      </c>
      <c r="J667" s="18" t="s">
        <v>47</v>
      </c>
      <c r="K667" s="19" t="n">
        <f aca="false">42.83</f>
        <v>42.83</v>
      </c>
      <c r="L667" s="19" t="n">
        <f aca="false">159.36</f>
        <v>159.36</v>
      </c>
      <c r="M667" s="18" t="n">
        <v>14</v>
      </c>
      <c r="N667" s="18" t="n">
        <v>37</v>
      </c>
      <c r="O667" s="18" t="n">
        <v>137.5</v>
      </c>
      <c r="P667" s="19" t="n">
        <f aca="false">26.29</f>
        <v>26.29</v>
      </c>
      <c r="Q667" s="19" t="n">
        <f aca="false">167.49</f>
        <v>167.49</v>
      </c>
      <c r="R667" s="18" t="n">
        <v>16.3</v>
      </c>
      <c r="S667" s="18" t="n">
        <v>27.85</v>
      </c>
      <c r="T667" s="18" t="n">
        <v>461</v>
      </c>
      <c r="U667" s="20" t="s">
        <v>29</v>
      </c>
      <c r="V667" s="21"/>
      <c r="W667" s="16"/>
      <c r="X667" s="16"/>
      <c r="Y667" s="16"/>
    </row>
    <row r="668" customFormat="false" ht="14.15" hidden="false" customHeight="false" outlineLevel="0" collapsed="false">
      <c r="A668" s="9"/>
      <c r="B668" s="10"/>
      <c r="C668" s="10"/>
      <c r="D668" s="10"/>
      <c r="E668" s="10"/>
      <c r="F668" s="10"/>
      <c r="G668" s="10"/>
      <c r="H668" s="10"/>
      <c r="I668" s="22" t="n">
        <v>3</v>
      </c>
      <c r="J668" s="22"/>
      <c r="K668" s="23" t="n">
        <f aca="false">46.66</f>
        <v>46.66</v>
      </c>
      <c r="L668" s="23" t="n">
        <f aca="false">180.4</f>
        <v>180.4</v>
      </c>
      <c r="M668" s="22" t="n">
        <v>16</v>
      </c>
      <c r="N668" s="22" t="n">
        <v>41</v>
      </c>
      <c r="O668" s="22" t="n">
        <v>184.5</v>
      </c>
      <c r="P668" s="23" t="n">
        <f aca="false">29</f>
        <v>29</v>
      </c>
      <c r="Q668" s="23" t="n">
        <f aca="false">179.27</f>
        <v>179.27</v>
      </c>
      <c r="R668" s="22" t="n">
        <v>22.3</v>
      </c>
      <c r="S668" s="22" t="n">
        <v>25.7</v>
      </c>
      <c r="T668" s="22" t="n">
        <v>624</v>
      </c>
      <c r="U668" s="24" t="s">
        <v>97</v>
      </c>
      <c r="V668" s="15"/>
      <c r="W668" s="16"/>
      <c r="X668" s="16"/>
      <c r="Y668" s="16"/>
    </row>
    <row r="669" customFormat="false" ht="14.15" hidden="false" customHeight="false" outlineLevel="0" collapsed="false">
      <c r="A669" s="9"/>
      <c r="B669" s="10"/>
      <c r="C669" s="10"/>
      <c r="D669" s="10"/>
      <c r="E669" s="10"/>
      <c r="F669" s="10"/>
      <c r="G669" s="10"/>
      <c r="H669" s="10"/>
      <c r="I669" s="25" t="n">
        <v>4</v>
      </c>
      <c r="J669" s="25"/>
      <c r="K669" s="26" t="n">
        <f aca="false">46.59</f>
        <v>46.59</v>
      </c>
      <c r="L669" s="26" t="n">
        <f aca="false">166.28</f>
        <v>166.28</v>
      </c>
      <c r="M669" s="25" t="n">
        <v>18</v>
      </c>
      <c r="N669" s="25" t="n">
        <v>36</v>
      </c>
      <c r="O669" s="25" t="n">
        <v>155.95</v>
      </c>
      <c r="P669" s="26" t="n">
        <f aca="false">31.12</f>
        <v>31.12</v>
      </c>
      <c r="Q669" s="26" t="n">
        <f aca="false">165.2</f>
        <v>165.2</v>
      </c>
      <c r="R669" s="25" t="n">
        <v>21.2</v>
      </c>
      <c r="S669" s="25" t="n">
        <v>21.75</v>
      </c>
      <c r="T669" s="25" t="n">
        <v>634</v>
      </c>
      <c r="U669" s="27" t="s">
        <v>29</v>
      </c>
      <c r="V669" s="21"/>
      <c r="W669" s="16"/>
      <c r="X669" s="16"/>
      <c r="Y669" s="16"/>
    </row>
    <row r="670" customFormat="false" ht="15.75" hidden="false" customHeight="true" outlineLevel="0" collapsed="false">
      <c r="A670" s="9" t="s">
        <v>226</v>
      </c>
      <c r="B670" s="10" t="s">
        <v>26</v>
      </c>
      <c r="C670" s="11" t="s">
        <v>232</v>
      </c>
      <c r="D670" s="10" t="s">
        <v>28</v>
      </c>
      <c r="E670" s="10" t="s">
        <v>28</v>
      </c>
      <c r="F670" s="10"/>
      <c r="G670" s="10" t="n">
        <v>13</v>
      </c>
      <c r="H670" s="10" t="n">
        <v>2.95</v>
      </c>
      <c r="I670" s="12" t="n">
        <v>1</v>
      </c>
      <c r="J670" s="12"/>
      <c r="K670" s="13" t="n">
        <f aca="false">47.23</f>
        <v>47.23</v>
      </c>
      <c r="L670" s="13" t="n">
        <f aca="false">175.64</f>
        <v>175.64</v>
      </c>
      <c r="M670" s="12" t="n">
        <v>16</v>
      </c>
      <c r="N670" s="12" t="n">
        <v>38</v>
      </c>
      <c r="O670" s="12" t="n">
        <v>195.25</v>
      </c>
      <c r="P670" s="13" t="n">
        <f aca="false">28.4</f>
        <v>28.4</v>
      </c>
      <c r="Q670" s="13" t="n">
        <f aca="false">186.74</f>
        <v>186.74</v>
      </c>
      <c r="R670" s="12" t="n">
        <v>26.15</v>
      </c>
      <c r="S670" s="12" t="n">
        <v>26.55</v>
      </c>
      <c r="T670" s="12" t="n">
        <v>641</v>
      </c>
      <c r="U670" s="14" t="s">
        <v>29</v>
      </c>
      <c r="V670" s="15"/>
      <c r="W670" s="16" t="str">
        <f aca="false">A670</f>
        <v>OK</v>
      </c>
      <c r="X670" s="17" t="e">
        <f aca="false">ifs(C670="","",X670="",NOW(),TRUE(),X670)</f>
        <v>#VALUE!</v>
      </c>
      <c r="Y670" s="17" t="e">
        <f aca="false">ifs(COUNTA(K670:U673)&lt;44,"",Y670="",NOW(),TRUE(),Y670)</f>
        <v>#VALUE!</v>
      </c>
    </row>
    <row r="671" customFormat="false" ht="14.15" hidden="false" customHeight="false" outlineLevel="0" collapsed="false">
      <c r="A671" s="9"/>
      <c r="B671" s="10"/>
      <c r="C671" s="10"/>
      <c r="D671" s="10"/>
      <c r="E671" s="10"/>
      <c r="F671" s="10"/>
      <c r="G671" s="10"/>
      <c r="H671" s="10"/>
      <c r="I671" s="18" t="n">
        <v>2</v>
      </c>
      <c r="J671" s="18" t="s">
        <v>49</v>
      </c>
      <c r="K671" s="19" t="n">
        <f aca="false">43.65</f>
        <v>43.65</v>
      </c>
      <c r="L671" s="19" t="n">
        <f aca="false">155.46</f>
        <v>155.46</v>
      </c>
      <c r="M671" s="18" t="n">
        <v>16</v>
      </c>
      <c r="N671" s="18" t="n">
        <v>39</v>
      </c>
      <c r="O671" s="18" t="n">
        <v>151.45</v>
      </c>
      <c r="P671" s="19" t="n">
        <f aca="false">26.43</f>
        <v>26.43</v>
      </c>
      <c r="Q671" s="19" t="n">
        <f aca="false">167.76</f>
        <v>167.76</v>
      </c>
      <c r="R671" s="18" t="n">
        <v>18.7</v>
      </c>
      <c r="S671" s="18" t="n">
        <v>22.65</v>
      </c>
      <c r="T671" s="18" t="n">
        <v>589</v>
      </c>
      <c r="U671" s="20" t="s">
        <v>97</v>
      </c>
      <c r="V671" s="21"/>
      <c r="W671" s="16"/>
      <c r="X671" s="16"/>
      <c r="Y671" s="16"/>
    </row>
    <row r="672" customFormat="false" ht="14.15" hidden="false" customHeight="false" outlineLevel="0" collapsed="false">
      <c r="A672" s="9"/>
      <c r="B672" s="10"/>
      <c r="C672" s="10"/>
      <c r="D672" s="10"/>
      <c r="E672" s="10"/>
      <c r="F672" s="10"/>
      <c r="G672" s="10"/>
      <c r="H672" s="10"/>
      <c r="I672" s="22" t="n">
        <v>3</v>
      </c>
      <c r="J672" s="22"/>
      <c r="K672" s="23" t="n">
        <f aca="false">44.35</f>
        <v>44.35</v>
      </c>
      <c r="L672" s="23" t="n">
        <f aca="false">164.88</f>
        <v>164.88</v>
      </c>
      <c r="M672" s="22" t="n">
        <v>16</v>
      </c>
      <c r="N672" s="22" t="n">
        <v>38</v>
      </c>
      <c r="O672" s="22" t="n">
        <v>168.5</v>
      </c>
      <c r="P672" s="23" t="n">
        <f aca="false">27.18</f>
        <v>27.18</v>
      </c>
      <c r="Q672" s="23" t="n">
        <f aca="false">169.65</f>
        <v>169.65</v>
      </c>
      <c r="R672" s="22" t="n">
        <v>21.25</v>
      </c>
      <c r="S672" s="22" t="n">
        <v>24.35</v>
      </c>
      <c r="T672" s="22" t="n">
        <v>619</v>
      </c>
      <c r="U672" s="24" t="s">
        <v>29</v>
      </c>
      <c r="V672" s="15"/>
      <c r="W672" s="16"/>
      <c r="X672" s="16"/>
      <c r="Y672" s="16"/>
    </row>
    <row r="673" customFormat="false" ht="14.15" hidden="false" customHeight="false" outlineLevel="0" collapsed="false">
      <c r="A673" s="9"/>
      <c r="B673" s="10"/>
      <c r="C673" s="10"/>
      <c r="D673" s="10"/>
      <c r="E673" s="10"/>
      <c r="F673" s="10"/>
      <c r="G673" s="10"/>
      <c r="H673" s="10"/>
      <c r="I673" s="25" t="n">
        <v>4</v>
      </c>
      <c r="J673" s="25" t="s">
        <v>49</v>
      </c>
      <c r="K673" s="26" t="n">
        <f aca="false">41.82</f>
        <v>41.82</v>
      </c>
      <c r="L673" s="26" t="n">
        <f aca="false">144.2</f>
        <v>144.2</v>
      </c>
      <c r="M673" s="25" t="n">
        <v>16</v>
      </c>
      <c r="N673" s="25" t="n">
        <v>34</v>
      </c>
      <c r="O673" s="25" t="n">
        <v>123.7</v>
      </c>
      <c r="P673" s="26" t="n">
        <f aca="false">24.7</f>
        <v>24.7</v>
      </c>
      <c r="Q673" s="26" t="n">
        <f aca="false">149.11</f>
        <v>149.11</v>
      </c>
      <c r="R673" s="25" t="n">
        <v>14.45</v>
      </c>
      <c r="S673" s="25" t="n">
        <v>20.1</v>
      </c>
      <c r="T673" s="25" t="n">
        <v>537</v>
      </c>
      <c r="U673" s="27" t="s">
        <v>29</v>
      </c>
      <c r="V673" s="21"/>
      <c r="W673" s="16"/>
      <c r="X673" s="16"/>
      <c r="Y673" s="16"/>
    </row>
    <row r="674" customFormat="false" ht="15.75" hidden="false" customHeight="true" outlineLevel="0" collapsed="false">
      <c r="A674" s="9" t="s">
        <v>226</v>
      </c>
      <c r="B674" s="10" t="s">
        <v>26</v>
      </c>
      <c r="C674" s="11" t="s">
        <v>233</v>
      </c>
      <c r="D674" s="10" t="s">
        <v>28</v>
      </c>
      <c r="E674" s="10" t="s">
        <v>28</v>
      </c>
      <c r="F674" s="10"/>
      <c r="G674" s="10" t="n">
        <v>4</v>
      </c>
      <c r="H674" s="10" t="n">
        <v>0.75</v>
      </c>
      <c r="I674" s="12" t="n">
        <v>1</v>
      </c>
      <c r="J674" s="12"/>
      <c r="K674" s="13" t="n">
        <f aca="false">48.6</f>
        <v>48.6</v>
      </c>
      <c r="L674" s="13" t="n">
        <f aca="false">187.07</f>
        <v>187.07</v>
      </c>
      <c r="M674" s="12" t="n">
        <v>16</v>
      </c>
      <c r="N674" s="12" t="n">
        <v>44</v>
      </c>
      <c r="O674" s="12" t="n">
        <v>226.45</v>
      </c>
      <c r="P674" s="13" t="n">
        <f aca="false">28.67</f>
        <v>28.67</v>
      </c>
      <c r="Q674" s="13" t="n">
        <f aca="false">194.64</f>
        <v>194.64</v>
      </c>
      <c r="R674" s="12" t="n">
        <v>29.8</v>
      </c>
      <c r="S674" s="12" t="n">
        <v>29.9</v>
      </c>
      <c r="T674" s="12" t="n">
        <v>678</v>
      </c>
      <c r="U674" s="14" t="s">
        <v>29</v>
      </c>
      <c r="V674" s="15"/>
      <c r="W674" s="16" t="str">
        <f aca="false">A674</f>
        <v>OK</v>
      </c>
      <c r="X674" s="17" t="e">
        <f aca="false">ifs(C674="","",X674="",NOW(),TRUE(),X674)</f>
        <v>#VALUE!</v>
      </c>
      <c r="Y674" s="17" t="e">
        <f aca="false">ifs(COUNTA(K674:U677)&lt;44,"",Y674="",NOW(),TRUE(),Y674)</f>
        <v>#VALUE!</v>
      </c>
    </row>
    <row r="675" customFormat="false" ht="14.15" hidden="false" customHeight="false" outlineLevel="0" collapsed="false">
      <c r="A675" s="9"/>
      <c r="B675" s="10"/>
      <c r="C675" s="10"/>
      <c r="D675" s="10"/>
      <c r="E675" s="10"/>
      <c r="F675" s="10"/>
      <c r="G675" s="10"/>
      <c r="H675" s="10"/>
      <c r="I675" s="18" t="n">
        <v>2</v>
      </c>
      <c r="J675" s="18"/>
      <c r="K675" s="19" t="n">
        <f aca="false">44.41</f>
        <v>44.41</v>
      </c>
      <c r="L675" s="19" t="n">
        <f aca="false">181.34</f>
        <v>181.34</v>
      </c>
      <c r="M675" s="18" t="n">
        <v>14</v>
      </c>
      <c r="N675" s="18" t="n">
        <v>39</v>
      </c>
      <c r="O675" s="18" t="n">
        <v>201.1</v>
      </c>
      <c r="P675" s="19" t="n">
        <f aca="false">26.98</f>
        <v>26.98</v>
      </c>
      <c r="Q675" s="19" t="n">
        <f aca="false">179.26</f>
        <v>179.26</v>
      </c>
      <c r="R675" s="18" t="n">
        <v>23.4</v>
      </c>
      <c r="S675" s="18" t="n">
        <v>31.35</v>
      </c>
      <c r="T675" s="18" t="n">
        <v>590</v>
      </c>
      <c r="U675" s="20" t="s">
        <v>29</v>
      </c>
      <c r="V675" s="21"/>
      <c r="W675" s="16"/>
      <c r="X675" s="16"/>
      <c r="Y675" s="16"/>
    </row>
    <row r="676" customFormat="false" ht="14.15" hidden="false" customHeight="false" outlineLevel="0" collapsed="false">
      <c r="A676" s="9"/>
      <c r="B676" s="10"/>
      <c r="C676" s="10"/>
      <c r="D676" s="10"/>
      <c r="E676" s="10"/>
      <c r="F676" s="10"/>
      <c r="G676" s="10"/>
      <c r="H676" s="10"/>
      <c r="I676" s="22" t="n">
        <v>3</v>
      </c>
      <c r="J676" s="22" t="s">
        <v>49</v>
      </c>
      <c r="K676" s="23" t="n">
        <f aca="false">43.22</f>
        <v>43.22</v>
      </c>
      <c r="L676" s="23" t="n">
        <f aca="false">159.15</f>
        <v>159.15</v>
      </c>
      <c r="M676" s="22" t="n">
        <v>14</v>
      </c>
      <c r="N676" s="22" t="n">
        <v>39</v>
      </c>
      <c r="O676" s="22" t="n">
        <v>157.8</v>
      </c>
      <c r="P676" s="23" t="n">
        <f aca="false">27.98</f>
        <v>27.98</v>
      </c>
      <c r="Q676" s="23" t="n">
        <f aca="false">168.57</f>
        <v>168.57</v>
      </c>
      <c r="R676" s="22" t="n">
        <v>19.55</v>
      </c>
      <c r="S676" s="22" t="n">
        <v>26.95</v>
      </c>
      <c r="T676" s="22" t="n">
        <v>533</v>
      </c>
      <c r="U676" s="24" t="s">
        <v>29</v>
      </c>
      <c r="V676" s="15"/>
      <c r="W676" s="16"/>
      <c r="X676" s="16"/>
      <c r="Y676" s="16"/>
    </row>
    <row r="677" customFormat="false" ht="14.15" hidden="false" customHeight="false" outlineLevel="0" collapsed="false">
      <c r="A677" s="9"/>
      <c r="B677" s="10"/>
      <c r="C677" s="10"/>
      <c r="D677" s="10"/>
      <c r="E677" s="10"/>
      <c r="F677" s="10"/>
      <c r="G677" s="10"/>
      <c r="H677" s="10"/>
      <c r="I677" s="25" t="n">
        <v>4</v>
      </c>
      <c r="J677" s="25" t="s">
        <v>49</v>
      </c>
      <c r="K677" s="26" t="n">
        <f aca="false">39.94</f>
        <v>39.94</v>
      </c>
      <c r="L677" s="26" t="n">
        <f aca="false">134.37</f>
        <v>134.37</v>
      </c>
      <c r="M677" s="25" t="n">
        <v>12</v>
      </c>
      <c r="N677" s="25" t="n">
        <v>32</v>
      </c>
      <c r="O677" s="25" t="n">
        <v>108.45</v>
      </c>
      <c r="P677" s="26" t="n">
        <f aca="false">22.84</f>
        <v>22.84</v>
      </c>
      <c r="Q677" s="26" t="n">
        <f aca="false">148.43</f>
        <v>148.43</v>
      </c>
      <c r="R677" s="25" t="n">
        <v>13.3</v>
      </c>
      <c r="S677" s="25" t="n">
        <v>24.85</v>
      </c>
      <c r="T677" s="25" t="n">
        <v>408</v>
      </c>
      <c r="U677" s="27" t="s">
        <v>29</v>
      </c>
      <c r="V677" s="21"/>
      <c r="W677" s="16"/>
      <c r="X677" s="16"/>
      <c r="Y677" s="16"/>
    </row>
    <row r="678" customFormat="false" ht="15.75" hidden="false" customHeight="true" outlineLevel="0" collapsed="false">
      <c r="A678" s="9" t="s">
        <v>226</v>
      </c>
      <c r="B678" s="10" t="s">
        <v>26</v>
      </c>
      <c r="C678" s="11" t="s">
        <v>234</v>
      </c>
      <c r="D678" s="10" t="s">
        <v>28</v>
      </c>
      <c r="E678" s="10" t="s">
        <v>28</v>
      </c>
      <c r="F678" s="10"/>
      <c r="G678" s="10" t="n">
        <v>38</v>
      </c>
      <c r="H678" s="10" t="n">
        <v>7.85</v>
      </c>
      <c r="I678" s="12" t="n">
        <v>1</v>
      </c>
      <c r="J678" s="12"/>
      <c r="K678" s="13" t="n">
        <f aca="false">50.64</f>
        <v>50.64</v>
      </c>
      <c r="L678" s="13" t="n">
        <f aca="false">194.12</f>
        <v>194.12</v>
      </c>
      <c r="M678" s="12" t="n">
        <v>14</v>
      </c>
      <c r="N678" s="12" t="n">
        <v>49</v>
      </c>
      <c r="O678" s="12" t="n">
        <v>250.2</v>
      </c>
      <c r="P678" s="13" t="n">
        <f aca="false">28.57</f>
        <v>28.57</v>
      </c>
      <c r="Q678" s="13" t="n">
        <f aca="false">201</f>
        <v>201</v>
      </c>
      <c r="R678" s="12" t="n">
        <v>30.1</v>
      </c>
      <c r="S678" s="12" t="n">
        <v>33</v>
      </c>
      <c r="T678" s="12" t="n">
        <v>667</v>
      </c>
      <c r="U678" s="14" t="s">
        <v>29</v>
      </c>
      <c r="V678" s="15"/>
      <c r="W678" s="16" t="str">
        <f aca="false">A678</f>
        <v>OK</v>
      </c>
      <c r="X678" s="17" t="e">
        <f aca="false">ifs(C678="","",X678="",NOW(),TRUE(),X678)</f>
        <v>#VALUE!</v>
      </c>
      <c r="Y678" s="17" t="e">
        <f aca="false">ifs(COUNTA(K678:U681)&lt;44,"",Y678="",NOW(),TRUE(),Y678)</f>
        <v>#VALUE!</v>
      </c>
    </row>
    <row r="679" customFormat="false" ht="14.15" hidden="false" customHeight="false" outlineLevel="0" collapsed="false">
      <c r="A679" s="9"/>
      <c r="B679" s="10"/>
      <c r="C679" s="10"/>
      <c r="D679" s="10"/>
      <c r="E679" s="10"/>
      <c r="F679" s="10"/>
      <c r="G679" s="10"/>
      <c r="H679" s="10"/>
      <c r="I679" s="18" t="n">
        <v>2</v>
      </c>
      <c r="J679" s="18" t="s">
        <v>49</v>
      </c>
      <c r="K679" s="19" t="n">
        <f aca="false">48.11</f>
        <v>48.11</v>
      </c>
      <c r="L679" s="19" t="n">
        <f aca="false">133.51</f>
        <v>133.51</v>
      </c>
      <c r="M679" s="18" t="n">
        <v>16</v>
      </c>
      <c r="N679" s="18" t="n">
        <v>35</v>
      </c>
      <c r="O679" s="18" t="n">
        <v>147</v>
      </c>
      <c r="P679" s="19" t="n">
        <f aca="false">28.79</f>
        <v>28.79</v>
      </c>
      <c r="Q679" s="19" t="n">
        <f aca="false">144.14</f>
        <v>144.14</v>
      </c>
      <c r="R679" s="18" t="n">
        <v>15.6</v>
      </c>
      <c r="S679" s="18" t="n">
        <v>23.75</v>
      </c>
      <c r="T679" s="18" t="n">
        <v>583</v>
      </c>
      <c r="U679" s="20" t="s">
        <v>97</v>
      </c>
      <c r="V679" s="21"/>
      <c r="W679" s="16"/>
      <c r="X679" s="16"/>
      <c r="Y679" s="16"/>
    </row>
    <row r="680" customFormat="false" ht="14.15" hidden="false" customHeight="false" outlineLevel="0" collapsed="false">
      <c r="A680" s="9"/>
      <c r="B680" s="10"/>
      <c r="C680" s="10"/>
      <c r="D680" s="10"/>
      <c r="E680" s="10"/>
      <c r="F680" s="10"/>
      <c r="G680" s="10"/>
      <c r="H680" s="10"/>
      <c r="I680" s="22" t="n">
        <v>3</v>
      </c>
      <c r="J680" s="22" t="s">
        <v>46</v>
      </c>
      <c r="K680" s="23" t="n">
        <f aca="false">42.92</f>
        <v>42.92</v>
      </c>
      <c r="L680" s="23" t="n">
        <f aca="false">129.32</f>
        <v>129.32</v>
      </c>
      <c r="M680" s="22" t="n">
        <v>15</v>
      </c>
      <c r="N680" s="22" t="n">
        <v>27</v>
      </c>
      <c r="O680" s="22" t="n">
        <v>97.25</v>
      </c>
      <c r="P680" s="23" t="n">
        <f aca="false">25.15</f>
        <v>25.15</v>
      </c>
      <c r="Q680" s="23" t="n">
        <f aca="false">122.51</f>
        <v>122.51</v>
      </c>
      <c r="R680" s="22" t="n">
        <v>13</v>
      </c>
      <c r="S680" s="22" t="n">
        <v>22.2</v>
      </c>
      <c r="T680" s="22" t="n">
        <v>387</v>
      </c>
      <c r="U680" s="24" t="s">
        <v>29</v>
      </c>
      <c r="V680" s="15"/>
      <c r="W680" s="16"/>
      <c r="X680" s="16"/>
      <c r="Y680" s="16"/>
    </row>
    <row r="681" customFormat="false" ht="14.15" hidden="false" customHeight="false" outlineLevel="0" collapsed="false">
      <c r="A681" s="9"/>
      <c r="B681" s="10"/>
      <c r="C681" s="10"/>
      <c r="D681" s="10"/>
      <c r="E681" s="10"/>
      <c r="F681" s="10"/>
      <c r="G681" s="10"/>
      <c r="H681" s="10"/>
      <c r="I681" s="25" t="n">
        <v>4</v>
      </c>
      <c r="J681" s="25" t="s">
        <v>47</v>
      </c>
      <c r="K681" s="26" t="n">
        <f aca="false">45.08</f>
        <v>45.08</v>
      </c>
      <c r="L681" s="26" t="n">
        <f aca="false">89.42</f>
        <v>89.42</v>
      </c>
      <c r="M681" s="25" t="n">
        <v>14</v>
      </c>
      <c r="N681" s="25" t="n">
        <v>27</v>
      </c>
      <c r="O681" s="25" t="n">
        <v>74.05</v>
      </c>
      <c r="P681" s="26" t="n">
        <f aca="false">25.87</f>
        <v>25.87</v>
      </c>
      <c r="Q681" s="26" t="n">
        <f aca="false">101.96</f>
        <v>101.96</v>
      </c>
      <c r="R681" s="25" t="n">
        <v>10.35</v>
      </c>
      <c r="S681" s="25" t="n">
        <v>25.45</v>
      </c>
      <c r="T681" s="25" t="n">
        <v>250</v>
      </c>
      <c r="U681" s="27" t="s">
        <v>97</v>
      </c>
      <c r="V681" s="21"/>
      <c r="W681" s="16"/>
      <c r="X681" s="16"/>
      <c r="Y681" s="16"/>
    </row>
    <row r="682" customFormat="false" ht="15.75" hidden="false" customHeight="true" outlineLevel="0" collapsed="false">
      <c r="A682" s="9" t="s">
        <v>226</v>
      </c>
      <c r="B682" s="10" t="s">
        <v>26</v>
      </c>
      <c r="C682" s="11" t="s">
        <v>235</v>
      </c>
      <c r="D682" s="10" t="s">
        <v>28</v>
      </c>
      <c r="E682" s="10" t="s">
        <v>28</v>
      </c>
      <c r="F682" s="10"/>
      <c r="G682" s="10" t="n">
        <v>4</v>
      </c>
      <c r="H682" s="10" t="n">
        <v>1.05</v>
      </c>
      <c r="I682" s="12" t="n">
        <v>1</v>
      </c>
      <c r="J682" s="12"/>
      <c r="K682" s="13" t="n">
        <f aca="false">41.45</f>
        <v>41.45</v>
      </c>
      <c r="L682" s="13" t="n">
        <f aca="false">159.68</f>
        <v>159.68</v>
      </c>
      <c r="M682" s="12" t="n">
        <v>16</v>
      </c>
      <c r="N682" s="12" t="n">
        <v>38</v>
      </c>
      <c r="O682" s="12" t="n">
        <v>135.05</v>
      </c>
      <c r="P682" s="13" t="n">
        <f aca="false">26.45</f>
        <v>26.45</v>
      </c>
      <c r="Q682" s="13" t="n">
        <f aca="false">154.9</f>
        <v>154.9</v>
      </c>
      <c r="R682" s="12" t="n">
        <v>15.6</v>
      </c>
      <c r="S682" s="12" t="n">
        <v>21.4</v>
      </c>
      <c r="T682" s="12" t="n">
        <v>577</v>
      </c>
      <c r="U682" s="14" t="s">
        <v>29</v>
      </c>
      <c r="V682" s="15"/>
      <c r="W682" s="16" t="str">
        <f aca="false">A682</f>
        <v>OK</v>
      </c>
      <c r="X682" s="17" t="e">
        <f aca="false">ifs(C682="","",X682="",NOW(),TRUE(),X682)</f>
        <v>#VALUE!</v>
      </c>
      <c r="Y682" s="17" t="e">
        <f aca="false">ifs(COUNTA(K682:U685)&lt;44,"",Y682="",NOW(),TRUE(),Y682)</f>
        <v>#VALUE!</v>
      </c>
    </row>
    <row r="683" customFormat="false" ht="14.15" hidden="false" customHeight="false" outlineLevel="0" collapsed="false">
      <c r="A683" s="9"/>
      <c r="B683" s="10"/>
      <c r="C683" s="10"/>
      <c r="D683" s="10"/>
      <c r="E683" s="10"/>
      <c r="F683" s="10"/>
      <c r="G683" s="10"/>
      <c r="H683" s="10"/>
      <c r="I683" s="18" t="n">
        <v>2</v>
      </c>
      <c r="J683" s="18" t="s">
        <v>46</v>
      </c>
      <c r="K683" s="19" t="n">
        <f aca="false">42.27</f>
        <v>42.27</v>
      </c>
      <c r="L683" s="19" t="n">
        <f aca="false">132.49</f>
        <v>132.49</v>
      </c>
      <c r="M683" s="18" t="n">
        <v>14</v>
      </c>
      <c r="N683" s="18" t="n">
        <v>27</v>
      </c>
      <c r="O683" s="18" t="n">
        <v>112.75</v>
      </c>
      <c r="P683" s="19" t="n">
        <f aca="false">25.19</f>
        <v>25.19</v>
      </c>
      <c r="Q683" s="19" t="n">
        <f aca="false">146.09</f>
        <v>146.09</v>
      </c>
      <c r="R683" s="18" t="n">
        <v>13.5</v>
      </c>
      <c r="S683" s="18" t="n">
        <v>24.25</v>
      </c>
      <c r="T683" s="18" t="n">
        <v>406</v>
      </c>
      <c r="U683" s="20" t="s">
        <v>29</v>
      </c>
      <c r="V683" s="21"/>
      <c r="W683" s="16"/>
      <c r="X683" s="16"/>
      <c r="Y683" s="16"/>
    </row>
    <row r="684" customFormat="false" ht="14.15" hidden="false" customHeight="false" outlineLevel="0" collapsed="false">
      <c r="A684" s="9"/>
      <c r="B684" s="10"/>
      <c r="C684" s="10"/>
      <c r="D684" s="10"/>
      <c r="E684" s="10"/>
      <c r="F684" s="10"/>
      <c r="G684" s="10"/>
      <c r="H684" s="10"/>
      <c r="I684" s="22" t="n">
        <v>3</v>
      </c>
      <c r="J684" s="22" t="s">
        <v>49</v>
      </c>
      <c r="K684" s="23" t="n">
        <f aca="false">40.42</f>
        <v>40.42</v>
      </c>
      <c r="L684" s="23" t="n">
        <f aca="false">125.89</f>
        <v>125.89</v>
      </c>
      <c r="M684" s="22" t="n">
        <v>12</v>
      </c>
      <c r="N684" s="22" t="n">
        <v>31</v>
      </c>
      <c r="O684" s="22" t="n">
        <v>104.95</v>
      </c>
      <c r="P684" s="23" t="n">
        <f aca="false">25.7</f>
        <v>25.7</v>
      </c>
      <c r="Q684" s="23" t="n">
        <f aca="false">147.94</f>
        <v>147.94</v>
      </c>
      <c r="R684" s="22" t="n">
        <v>14.15</v>
      </c>
      <c r="S684" s="22" t="n">
        <v>25.9</v>
      </c>
      <c r="T684" s="22" t="n">
        <v>348</v>
      </c>
      <c r="U684" s="24" t="s">
        <v>29</v>
      </c>
      <c r="V684" s="15"/>
      <c r="W684" s="16"/>
      <c r="X684" s="16"/>
      <c r="Y684" s="16"/>
    </row>
    <row r="685" customFormat="false" ht="14.15" hidden="false" customHeight="false" outlineLevel="0" collapsed="false">
      <c r="A685" s="9"/>
      <c r="B685" s="10"/>
      <c r="C685" s="10"/>
      <c r="D685" s="10"/>
      <c r="E685" s="10"/>
      <c r="F685" s="10"/>
      <c r="G685" s="10"/>
      <c r="H685" s="10"/>
      <c r="I685" s="25" t="n">
        <v>4</v>
      </c>
      <c r="J685" s="25" t="s">
        <v>57</v>
      </c>
      <c r="K685" s="26" t="n">
        <f aca="false">42.41</f>
        <v>42.41</v>
      </c>
      <c r="L685" s="26" t="n">
        <f aca="false">128.93</f>
        <v>128.93</v>
      </c>
      <c r="M685" s="25" t="n">
        <v>14</v>
      </c>
      <c r="N685" s="25" t="n">
        <v>33</v>
      </c>
      <c r="O685" s="25" t="n">
        <v>117.4</v>
      </c>
      <c r="P685" s="26" t="n">
        <f aca="false">25.89</f>
        <v>25.89</v>
      </c>
      <c r="Q685" s="26" t="n">
        <f aca="false">154.89</f>
        <v>154.89</v>
      </c>
      <c r="R685" s="25" t="n">
        <v>13.3</v>
      </c>
      <c r="S685" s="25" t="n">
        <v>28.1</v>
      </c>
      <c r="T685" s="25" t="n">
        <v>409</v>
      </c>
      <c r="U685" s="27" t="s">
        <v>29</v>
      </c>
      <c r="V685" s="21"/>
      <c r="W685" s="16"/>
      <c r="X685" s="16"/>
      <c r="Y685" s="16"/>
    </row>
    <row r="686" customFormat="false" ht="15.75" hidden="false" customHeight="true" outlineLevel="0" collapsed="false">
      <c r="A686" s="9" t="s">
        <v>25</v>
      </c>
      <c r="B686" s="10" t="s">
        <v>26</v>
      </c>
      <c r="C686" s="11" t="s">
        <v>236</v>
      </c>
      <c r="D686" s="10" t="s">
        <v>28</v>
      </c>
      <c r="E686" s="10" t="s">
        <v>28</v>
      </c>
      <c r="F686" s="10"/>
      <c r="G686" s="10" t="n">
        <v>30</v>
      </c>
      <c r="H686" s="10" t="n">
        <v>7.35</v>
      </c>
      <c r="I686" s="12" t="n">
        <v>1</v>
      </c>
      <c r="J686" s="12" t="s">
        <v>36</v>
      </c>
      <c r="K686" s="13" t="n">
        <f aca="false">44.66</f>
        <v>44.66</v>
      </c>
      <c r="L686" s="13" t="n">
        <f aca="false">175.17</f>
        <v>175.17</v>
      </c>
      <c r="M686" s="12" t="n">
        <v>14</v>
      </c>
      <c r="N686" s="12" t="n">
        <v>38</v>
      </c>
      <c r="O686" s="12" t="n">
        <v>177.75</v>
      </c>
      <c r="P686" s="13" t="n">
        <f aca="false">26.24</f>
        <v>26.24</v>
      </c>
      <c r="Q686" s="13" t="n">
        <f aca="false">172.59</f>
        <v>172.59</v>
      </c>
      <c r="R686" s="12" t="n">
        <v>22.2</v>
      </c>
      <c r="S686" s="12" t="n">
        <v>29.1</v>
      </c>
      <c r="T686" s="12" t="n">
        <v>538</v>
      </c>
      <c r="U686" s="14" t="s">
        <v>29</v>
      </c>
      <c r="V686" s="15"/>
      <c r="W686" s="16" t="str">
        <f aca="false">A686</f>
        <v>KL</v>
      </c>
      <c r="X686" s="17" t="e">
        <f aca="false">ifs(C686="","",X686="",NOW(),TRUE(),X686)</f>
        <v>#VALUE!</v>
      </c>
      <c r="Y686" s="17" t="e">
        <f aca="false">ifs(COUNTA(K686:U689)&lt;44,"",Y686="",NOW(),TRUE(),Y686)</f>
        <v>#VALUE!</v>
      </c>
    </row>
    <row r="687" customFormat="false" ht="14.15" hidden="false" customHeight="false" outlineLevel="0" collapsed="false">
      <c r="A687" s="9"/>
      <c r="B687" s="10"/>
      <c r="C687" s="10"/>
      <c r="D687" s="10"/>
      <c r="E687" s="10"/>
      <c r="F687" s="10"/>
      <c r="G687" s="10"/>
      <c r="H687" s="10"/>
      <c r="I687" s="18" t="n">
        <v>2</v>
      </c>
      <c r="J687" s="18"/>
      <c r="K687" s="19" t="n">
        <f aca="false">43.37</f>
        <v>43.37</v>
      </c>
      <c r="L687" s="19" t="n">
        <f aca="false">177.96</f>
        <v>177.96</v>
      </c>
      <c r="M687" s="18" t="n">
        <v>14</v>
      </c>
      <c r="N687" s="18" t="n">
        <v>42</v>
      </c>
      <c r="O687" s="18" t="n">
        <v>172.2</v>
      </c>
      <c r="P687" s="19" t="n">
        <f aca="false">26.82</f>
        <v>26.82</v>
      </c>
      <c r="Q687" s="19" t="n">
        <f aca="false">178.45</f>
        <v>178.45</v>
      </c>
      <c r="R687" s="18" t="n">
        <v>23.85</v>
      </c>
      <c r="S687" s="18" t="n">
        <v>25.45</v>
      </c>
      <c r="T687" s="18" t="n">
        <v>607</v>
      </c>
      <c r="U687" s="20" t="s">
        <v>29</v>
      </c>
      <c r="V687" s="21"/>
      <c r="W687" s="16"/>
      <c r="X687" s="16"/>
      <c r="Y687" s="16"/>
    </row>
    <row r="688" customFormat="false" ht="14.15" hidden="false" customHeight="false" outlineLevel="0" collapsed="false">
      <c r="A688" s="9"/>
      <c r="B688" s="10"/>
      <c r="C688" s="10"/>
      <c r="D688" s="10"/>
      <c r="E688" s="10"/>
      <c r="F688" s="10"/>
      <c r="G688" s="10"/>
      <c r="H688" s="10"/>
      <c r="I688" s="22" t="n">
        <v>3</v>
      </c>
      <c r="J688" s="22"/>
      <c r="K688" s="23" t="n">
        <f aca="false">44.24</f>
        <v>44.24</v>
      </c>
      <c r="L688" s="23" t="n">
        <f aca="false">178.31</f>
        <v>178.31</v>
      </c>
      <c r="M688" s="22" t="n">
        <v>14</v>
      </c>
      <c r="N688" s="22" t="n">
        <v>40</v>
      </c>
      <c r="O688" s="22" t="n">
        <v>185.95</v>
      </c>
      <c r="P688" s="23" t="n">
        <f aca="false">25.85</f>
        <v>25.85</v>
      </c>
      <c r="Q688" s="23" t="n">
        <f aca="false">179.24</f>
        <v>179.24</v>
      </c>
      <c r="R688" s="22" t="n">
        <v>20.45</v>
      </c>
      <c r="S688" s="22" t="n">
        <v>29.85</v>
      </c>
      <c r="T688" s="22" t="n">
        <v>582</v>
      </c>
      <c r="U688" s="24" t="s">
        <v>29</v>
      </c>
      <c r="V688" s="15"/>
      <c r="W688" s="16"/>
      <c r="X688" s="16"/>
      <c r="Y688" s="16"/>
    </row>
    <row r="689" customFormat="false" ht="14.15" hidden="false" customHeight="false" outlineLevel="0" collapsed="false">
      <c r="A689" s="9"/>
      <c r="B689" s="10"/>
      <c r="C689" s="10"/>
      <c r="D689" s="10"/>
      <c r="E689" s="10"/>
      <c r="F689" s="10"/>
      <c r="G689" s="10"/>
      <c r="H689" s="10"/>
      <c r="I689" s="25" t="n">
        <v>4</v>
      </c>
      <c r="J689" s="25"/>
      <c r="K689" s="26" t="n">
        <f aca="false">41.74</f>
        <v>41.74</v>
      </c>
      <c r="L689" s="26" t="n">
        <f aca="false">139.57</f>
        <v>139.57</v>
      </c>
      <c r="M689" s="25" t="n">
        <v>16</v>
      </c>
      <c r="N689" s="25" t="n">
        <v>34</v>
      </c>
      <c r="O689" s="25" t="n">
        <v>121.45</v>
      </c>
      <c r="P689" s="26" t="n">
        <f aca="false">24.07</f>
        <v>24.07</v>
      </c>
      <c r="Q689" s="26" t="n">
        <f aca="false">146.65</f>
        <v>146.65</v>
      </c>
      <c r="R689" s="25" t="n">
        <v>15.25</v>
      </c>
      <c r="S689" s="25" t="n">
        <v>22.2</v>
      </c>
      <c r="T689" s="25" t="n">
        <v>506</v>
      </c>
      <c r="U689" s="27" t="s">
        <v>29</v>
      </c>
      <c r="V689" s="21"/>
      <c r="W689" s="16"/>
      <c r="X689" s="16"/>
      <c r="Y689" s="16"/>
    </row>
    <row r="690" customFormat="false" ht="15.75" hidden="false" customHeight="true" outlineLevel="0" collapsed="false">
      <c r="A690" s="9" t="s">
        <v>25</v>
      </c>
      <c r="B690" s="10" t="s">
        <v>26</v>
      </c>
      <c r="C690" s="11" t="s">
        <v>237</v>
      </c>
      <c r="D690" s="10" t="s">
        <v>28</v>
      </c>
      <c r="E690" s="10" t="s">
        <v>28</v>
      </c>
      <c r="F690" s="10"/>
      <c r="G690" s="10" t="n">
        <v>20</v>
      </c>
      <c r="H690" s="10" t="n">
        <v>3.75</v>
      </c>
      <c r="I690" s="12" t="n">
        <v>1</v>
      </c>
      <c r="J690" s="12" t="s">
        <v>50</v>
      </c>
      <c r="K690" s="13" t="n">
        <f aca="false">41.49</f>
        <v>41.49</v>
      </c>
      <c r="L690" s="13" t="n">
        <f aca="false">107.23</f>
        <v>107.23</v>
      </c>
      <c r="M690" s="12" t="n">
        <v>14</v>
      </c>
      <c r="N690" s="12" t="n">
        <v>26</v>
      </c>
      <c r="O690" s="12" t="n">
        <v>79.05</v>
      </c>
      <c r="P690" s="13" t="n">
        <f aca="false">26.8</f>
        <v>26.8</v>
      </c>
      <c r="Q690" s="13" t="n">
        <f aca="false">113.97</f>
        <v>113.97</v>
      </c>
      <c r="R690" s="12" t="n">
        <v>14.6</v>
      </c>
      <c r="S690" s="12" t="n">
        <v>20.25</v>
      </c>
      <c r="T690" s="12" t="n">
        <v>319</v>
      </c>
      <c r="U690" s="14" t="s">
        <v>29</v>
      </c>
      <c r="V690" s="15"/>
      <c r="W690" s="16" t="str">
        <f aca="false">A690</f>
        <v>KL</v>
      </c>
      <c r="X690" s="17" t="e">
        <f aca="false">ifs(C690="","",X690="",NOW(),TRUE(),X690)</f>
        <v>#VALUE!</v>
      </c>
      <c r="Y690" s="17" t="e">
        <f aca="false">ifs(COUNTA(K690:U693)&lt;44,"",Y690="",NOW(),TRUE(),Y690)</f>
        <v>#VALUE!</v>
      </c>
    </row>
    <row r="691" customFormat="false" ht="14.15" hidden="false" customHeight="false" outlineLevel="0" collapsed="false">
      <c r="A691" s="9"/>
      <c r="B691" s="10"/>
      <c r="C691" s="10"/>
      <c r="D691" s="10"/>
      <c r="E691" s="10"/>
      <c r="F691" s="10"/>
      <c r="G691" s="10"/>
      <c r="H691" s="10"/>
      <c r="I691" s="18" t="n">
        <v>2</v>
      </c>
      <c r="J691" s="18" t="s">
        <v>35</v>
      </c>
      <c r="K691" s="19" t="n">
        <f aca="false">42.09</f>
        <v>42.09</v>
      </c>
      <c r="L691" s="19" t="n">
        <f aca="false">100.61</f>
        <v>100.61</v>
      </c>
      <c r="M691" s="18" t="n">
        <v>14</v>
      </c>
      <c r="N691" s="18" t="n">
        <v>22</v>
      </c>
      <c r="O691" s="18" t="n">
        <v>69.45</v>
      </c>
      <c r="P691" s="19" t="n">
        <f aca="false">26.96</f>
        <v>26.96</v>
      </c>
      <c r="Q691" s="19" t="n">
        <f aca="false">109.89</f>
        <v>109.89</v>
      </c>
      <c r="R691" s="18" t="n">
        <v>15.1</v>
      </c>
      <c r="S691" s="18" t="n">
        <v>25.5</v>
      </c>
      <c r="T691" s="18" t="n">
        <v>216</v>
      </c>
      <c r="U691" s="20" t="s">
        <v>29</v>
      </c>
      <c r="V691" s="21"/>
      <c r="W691" s="16"/>
      <c r="X691" s="16"/>
      <c r="Y691" s="16"/>
    </row>
    <row r="692" customFormat="false" ht="14.15" hidden="false" customHeight="false" outlineLevel="0" collapsed="false">
      <c r="A692" s="9"/>
      <c r="B692" s="10"/>
      <c r="C692" s="10"/>
      <c r="D692" s="10"/>
      <c r="E692" s="10"/>
      <c r="F692" s="10"/>
      <c r="G692" s="10"/>
      <c r="H692" s="10"/>
      <c r="I692" s="22" t="n">
        <v>3</v>
      </c>
      <c r="J692" s="22" t="s">
        <v>238</v>
      </c>
      <c r="K692" s="23" t="n">
        <f aca="false">40.78</f>
        <v>40.78</v>
      </c>
      <c r="L692" s="23" t="n">
        <f aca="false">105.74</f>
        <v>105.74</v>
      </c>
      <c r="M692" s="22" t="n">
        <v>12</v>
      </c>
      <c r="N692" s="22" t="n">
        <v>24</v>
      </c>
      <c r="O692" s="22" t="n">
        <v>75.9</v>
      </c>
      <c r="P692" s="23" t="n">
        <f aca="false">24.32</f>
        <v>24.32</v>
      </c>
      <c r="Q692" s="23" t="n">
        <f aca="false">116.55</f>
        <v>116.55</v>
      </c>
      <c r="R692" s="22" t="n">
        <v>12.85</v>
      </c>
      <c r="S692" s="22" t="n">
        <v>22.15</v>
      </c>
      <c r="T692" s="22" t="n">
        <v>288</v>
      </c>
      <c r="U692" s="24" t="s">
        <v>29</v>
      </c>
      <c r="V692" s="15"/>
      <c r="W692" s="16"/>
      <c r="X692" s="16"/>
      <c r="Y692" s="16"/>
    </row>
    <row r="693" customFormat="false" ht="14.15" hidden="false" customHeight="false" outlineLevel="0" collapsed="false">
      <c r="A693" s="9"/>
      <c r="B693" s="10"/>
      <c r="C693" s="10"/>
      <c r="D693" s="10"/>
      <c r="E693" s="10"/>
      <c r="F693" s="10"/>
      <c r="G693" s="10"/>
      <c r="H693" s="10"/>
      <c r="I693" s="25" t="n">
        <v>4</v>
      </c>
      <c r="J693" s="25"/>
      <c r="K693" s="26" t="n">
        <f aca="false">39.59</f>
        <v>39.59</v>
      </c>
      <c r="L693" s="26" t="n">
        <f aca="false">84.96</f>
        <v>84.96</v>
      </c>
      <c r="M693" s="25" t="n">
        <v>14</v>
      </c>
      <c r="N693" s="25" t="n">
        <v>24</v>
      </c>
      <c r="O693" s="25" t="n">
        <v>63.05</v>
      </c>
      <c r="P693" s="26" t="n">
        <f aca="false">25.77</f>
        <v>25.77</v>
      </c>
      <c r="Q693" s="26" t="n">
        <f aca="false">100.37</f>
        <v>100.37</v>
      </c>
      <c r="R693" s="25" t="n">
        <v>10.55</v>
      </c>
      <c r="S693" s="25" t="n">
        <v>18.45</v>
      </c>
      <c r="T693" s="25" t="n">
        <v>291</v>
      </c>
      <c r="U693" s="27" t="s">
        <v>29</v>
      </c>
      <c r="V693" s="21"/>
      <c r="W693" s="16"/>
      <c r="X693" s="16"/>
      <c r="Y693" s="16"/>
    </row>
    <row r="694" customFormat="false" ht="15.75" hidden="false" customHeight="true" outlineLevel="0" collapsed="false">
      <c r="A694" s="9" t="s">
        <v>239</v>
      </c>
      <c r="B694" s="10" t="s">
        <v>26</v>
      </c>
      <c r="C694" s="11" t="s">
        <v>240</v>
      </c>
      <c r="D694" s="10" t="s">
        <v>28</v>
      </c>
      <c r="E694" s="10" t="s">
        <v>28</v>
      </c>
      <c r="F694" s="10"/>
      <c r="G694" s="10" t="n">
        <v>18</v>
      </c>
      <c r="H694" s="10" t="n">
        <v>3.85</v>
      </c>
      <c r="I694" s="12" t="n">
        <v>1</v>
      </c>
      <c r="J694" s="12" t="s">
        <v>49</v>
      </c>
      <c r="K694" s="13" t="n">
        <f aca="false">43.84</f>
        <v>43.84</v>
      </c>
      <c r="L694" s="13" t="n">
        <f aca="false">134.94</f>
        <v>134.94</v>
      </c>
      <c r="M694" s="12" t="n">
        <v>16</v>
      </c>
      <c r="N694" s="12" t="n">
        <v>30</v>
      </c>
      <c r="O694" s="12" t="n">
        <v>133.6</v>
      </c>
      <c r="P694" s="13" t="n">
        <f aca="false">30.2</f>
        <v>30.2</v>
      </c>
      <c r="Q694" s="13" t="n">
        <f aca="false">167.27</f>
        <v>167.27</v>
      </c>
      <c r="R694" s="12" t="n">
        <v>15.7</v>
      </c>
      <c r="S694" s="12" t="n">
        <v>23.45</v>
      </c>
      <c r="T694" s="12" t="n">
        <v>500</v>
      </c>
      <c r="U694" s="14" t="s">
        <v>29</v>
      </c>
      <c r="V694" s="15"/>
      <c r="W694" s="16" t="str">
        <f aca="false">A694</f>
        <v>KS</v>
      </c>
      <c r="X694" s="17" t="e">
        <f aca="false">ifs(C694="","",X694="",NOW(),TRUE(),X694)</f>
        <v>#VALUE!</v>
      </c>
      <c r="Y694" s="17" t="e">
        <f aca="false">ifs(COUNTA(K694:U697)&lt;44,"",Y694="",NOW(),TRUE(),Y694)</f>
        <v>#VALUE!</v>
      </c>
    </row>
    <row r="695" customFormat="false" ht="14.15" hidden="false" customHeight="false" outlineLevel="0" collapsed="false">
      <c r="A695" s="9"/>
      <c r="B695" s="10"/>
      <c r="C695" s="10"/>
      <c r="D695" s="10"/>
      <c r="E695" s="10"/>
      <c r="F695" s="10"/>
      <c r="G695" s="10"/>
      <c r="H695" s="10"/>
      <c r="I695" s="18" t="n">
        <v>2</v>
      </c>
      <c r="J695" s="18" t="s">
        <v>49</v>
      </c>
      <c r="K695" s="19" t="n">
        <f aca="false">44.42</f>
        <v>44.42</v>
      </c>
      <c r="L695" s="19" t="n">
        <f aca="false">114.11</f>
        <v>114.11</v>
      </c>
      <c r="M695" s="18" t="n">
        <v>16</v>
      </c>
      <c r="N695" s="18" t="n">
        <v>26</v>
      </c>
      <c r="O695" s="18" t="n">
        <v>111.25</v>
      </c>
      <c r="P695" s="19" t="n">
        <f aca="false">30.69</f>
        <v>30.69</v>
      </c>
      <c r="Q695" s="19" t="n">
        <f aca="false">137.56</f>
        <v>137.56</v>
      </c>
      <c r="R695" s="18" t="n">
        <v>12.2</v>
      </c>
      <c r="S695" s="18" t="n">
        <v>25.65</v>
      </c>
      <c r="T695" s="18" t="n">
        <v>407</v>
      </c>
      <c r="U695" s="20" t="s">
        <v>29</v>
      </c>
      <c r="V695" s="21"/>
      <c r="W695" s="16"/>
      <c r="X695" s="16"/>
      <c r="Y695" s="16"/>
    </row>
    <row r="696" customFormat="false" ht="14.15" hidden="false" customHeight="false" outlineLevel="0" collapsed="false">
      <c r="A696" s="9"/>
      <c r="B696" s="10"/>
      <c r="C696" s="10"/>
      <c r="D696" s="10"/>
      <c r="E696" s="10"/>
      <c r="F696" s="10"/>
      <c r="G696" s="10"/>
      <c r="H696" s="10"/>
      <c r="I696" s="22" t="n">
        <v>3</v>
      </c>
      <c r="J696" s="22" t="s">
        <v>49</v>
      </c>
      <c r="K696" s="23" t="n">
        <f aca="false">42.29</f>
        <v>42.29</v>
      </c>
      <c r="L696" s="23" t="n">
        <f aca="false">118.21</f>
        <v>118.21</v>
      </c>
      <c r="M696" s="22" t="n">
        <v>16</v>
      </c>
      <c r="N696" s="22" t="n">
        <v>26</v>
      </c>
      <c r="O696" s="22" t="n">
        <v>115.4</v>
      </c>
      <c r="P696" s="23" t="n">
        <f aca="false">26.16</f>
        <v>26.16</v>
      </c>
      <c r="Q696" s="23" t="n">
        <f aca="false">130.32</f>
        <v>130.32</v>
      </c>
      <c r="R696" s="22" t="n">
        <v>15.5</v>
      </c>
      <c r="S696" s="22" t="n">
        <v>22.75</v>
      </c>
      <c r="T696" s="22" t="n">
        <v>454</v>
      </c>
      <c r="U696" s="24" t="s">
        <v>29</v>
      </c>
      <c r="V696" s="15"/>
      <c r="W696" s="16"/>
      <c r="X696" s="16"/>
      <c r="Y696" s="16"/>
    </row>
    <row r="697" customFormat="false" ht="14.15" hidden="false" customHeight="false" outlineLevel="0" collapsed="false">
      <c r="A697" s="9"/>
      <c r="B697" s="10"/>
      <c r="C697" s="10"/>
      <c r="D697" s="10"/>
      <c r="E697" s="10"/>
      <c r="F697" s="10"/>
      <c r="G697" s="10"/>
      <c r="H697" s="10"/>
      <c r="I697" s="25" t="n">
        <v>4</v>
      </c>
      <c r="J697" s="25" t="s">
        <v>49</v>
      </c>
      <c r="K697" s="26" t="n">
        <f aca="false">44.05</f>
        <v>44.05</v>
      </c>
      <c r="L697" s="26" t="n">
        <f aca="false">104.31</f>
        <v>104.31</v>
      </c>
      <c r="M697" s="25" t="n">
        <v>18</v>
      </c>
      <c r="N697" s="25" t="n">
        <v>28</v>
      </c>
      <c r="O697" s="25" t="n">
        <v>99.2</v>
      </c>
      <c r="P697" s="26" t="n">
        <f aca="false">24.54</f>
        <v>24.54</v>
      </c>
      <c r="Q697" s="26" t="n">
        <f aca="false">138.95</f>
        <v>138.95</v>
      </c>
      <c r="R697" s="25" t="n">
        <v>13.5</v>
      </c>
      <c r="S697" s="25" t="n">
        <v>21</v>
      </c>
      <c r="T697" s="25" t="n">
        <v>458</v>
      </c>
      <c r="U697" s="27" t="s">
        <v>29</v>
      </c>
      <c r="V697" s="21"/>
      <c r="W697" s="16"/>
      <c r="X697" s="16"/>
      <c r="Y697" s="16"/>
    </row>
    <row r="698" customFormat="false" ht="15.75" hidden="false" customHeight="true" outlineLevel="0" collapsed="false">
      <c r="A698" s="9" t="s">
        <v>239</v>
      </c>
      <c r="B698" s="10" t="s">
        <v>26</v>
      </c>
      <c r="C698" s="11" t="s">
        <v>241</v>
      </c>
      <c r="D698" s="10" t="s">
        <v>28</v>
      </c>
      <c r="E698" s="10" t="s">
        <v>28</v>
      </c>
      <c r="F698" s="10"/>
      <c r="G698" s="10" t="n">
        <v>12</v>
      </c>
      <c r="H698" s="10" t="n">
        <v>1.65</v>
      </c>
      <c r="I698" s="12" t="n">
        <v>1</v>
      </c>
      <c r="J698" s="12"/>
      <c r="K698" s="13" t="n">
        <f aca="false">42.92</f>
        <v>42.92</v>
      </c>
      <c r="L698" s="13" t="n">
        <f aca="false">152.83</f>
        <v>152.83</v>
      </c>
      <c r="M698" s="12" t="n">
        <v>12</v>
      </c>
      <c r="N698" s="12" t="n">
        <v>32</v>
      </c>
      <c r="O698" s="12" t="n">
        <v>112.85</v>
      </c>
      <c r="P698" s="13" t="n">
        <f aca="false">25.03</f>
        <v>25.03</v>
      </c>
      <c r="Q698" s="13" t="n">
        <f aca="false">155.49</f>
        <v>155.49</v>
      </c>
      <c r="R698" s="12" t="n">
        <v>17.75</v>
      </c>
      <c r="S698" s="12" t="n">
        <v>23.3</v>
      </c>
      <c r="T698" s="12" t="n">
        <v>405</v>
      </c>
      <c r="U698" s="14" t="s">
        <v>29</v>
      </c>
      <c r="V698" s="15"/>
      <c r="W698" s="16" t="str">
        <f aca="false">A698</f>
        <v>KS</v>
      </c>
      <c r="X698" s="17" t="e">
        <f aca="false">ifs(C698="","",X698="",NOW(),TRUE(),X698)</f>
        <v>#VALUE!</v>
      </c>
      <c r="Y698" s="17" t="e">
        <f aca="false">ifs(COUNTA(K698:U701)&lt;44,"",Y698="",NOW(),TRUE(),Y698)</f>
        <v>#VALUE!</v>
      </c>
    </row>
    <row r="699" customFormat="false" ht="14.15" hidden="false" customHeight="false" outlineLevel="0" collapsed="false">
      <c r="A699" s="9"/>
      <c r="B699" s="10"/>
      <c r="C699" s="10"/>
      <c r="D699" s="10"/>
      <c r="E699" s="10"/>
      <c r="F699" s="10"/>
      <c r="G699" s="10"/>
      <c r="H699" s="10"/>
      <c r="I699" s="18" t="n">
        <v>2</v>
      </c>
      <c r="J699" s="18" t="s">
        <v>46</v>
      </c>
      <c r="K699" s="19" t="n">
        <f aca="false">47.16</f>
        <v>47.16</v>
      </c>
      <c r="L699" s="19" t="n">
        <f aca="false">136.34</f>
        <v>136.34</v>
      </c>
      <c r="M699" s="18" t="n">
        <v>16</v>
      </c>
      <c r="N699" s="18" t="n">
        <v>34</v>
      </c>
      <c r="O699" s="18" t="n">
        <v>143.55</v>
      </c>
      <c r="P699" s="19" t="n">
        <f aca="false">26.19</f>
        <v>26.19</v>
      </c>
      <c r="Q699" s="19" t="n">
        <f aca="false">156.04</f>
        <v>156.04</v>
      </c>
      <c r="R699" s="18" t="n">
        <v>17.25</v>
      </c>
      <c r="S699" s="18" t="n">
        <v>26.1</v>
      </c>
      <c r="T699" s="18" t="n">
        <v>520</v>
      </c>
      <c r="U699" s="20" t="s">
        <v>29</v>
      </c>
      <c r="V699" s="21"/>
      <c r="W699" s="16"/>
      <c r="X699" s="16"/>
      <c r="Y699" s="16"/>
    </row>
    <row r="700" customFormat="false" ht="14.15" hidden="false" customHeight="false" outlineLevel="0" collapsed="false">
      <c r="A700" s="9"/>
      <c r="B700" s="10"/>
      <c r="C700" s="10"/>
      <c r="D700" s="10"/>
      <c r="E700" s="10"/>
      <c r="F700" s="10"/>
      <c r="G700" s="10"/>
      <c r="H700" s="10"/>
      <c r="I700" s="22" t="n">
        <v>3</v>
      </c>
      <c r="J700" s="22" t="s">
        <v>49</v>
      </c>
      <c r="K700" s="23" t="n">
        <f aca="false">45.52</f>
        <v>45.52</v>
      </c>
      <c r="L700" s="23" t="n">
        <f aca="false">159.43</f>
        <v>159.43</v>
      </c>
      <c r="M700" s="22" t="n">
        <v>16</v>
      </c>
      <c r="N700" s="22" t="n">
        <v>26</v>
      </c>
      <c r="O700" s="22" t="n">
        <v>155.25</v>
      </c>
      <c r="P700" s="23" t="n">
        <f aca="false">26.8</f>
        <v>26.8</v>
      </c>
      <c r="Q700" s="23" t="n">
        <f aca="false">152.2</f>
        <v>152.2</v>
      </c>
      <c r="R700" s="22" t="n">
        <v>19.4</v>
      </c>
      <c r="S700" s="22" t="n">
        <v>24.75</v>
      </c>
      <c r="T700" s="22" t="n">
        <v>555</v>
      </c>
      <c r="U700" s="24" t="s">
        <v>29</v>
      </c>
      <c r="V700" s="15"/>
      <c r="W700" s="16"/>
      <c r="X700" s="16"/>
      <c r="Y700" s="16"/>
    </row>
    <row r="701" customFormat="false" ht="14.15" hidden="false" customHeight="false" outlineLevel="0" collapsed="false">
      <c r="A701" s="9"/>
      <c r="B701" s="10"/>
      <c r="C701" s="10"/>
      <c r="D701" s="10"/>
      <c r="E701" s="10"/>
      <c r="F701" s="10"/>
      <c r="G701" s="10"/>
      <c r="H701" s="10"/>
      <c r="I701" s="25" t="n">
        <v>4</v>
      </c>
      <c r="J701" s="25" t="s">
        <v>49</v>
      </c>
      <c r="K701" s="26" t="n">
        <f aca="false">40.28</f>
        <v>40.28</v>
      </c>
      <c r="L701" s="26" t="n">
        <f aca="false">120.34</f>
        <v>120.34</v>
      </c>
      <c r="M701" s="25" t="n">
        <v>14</v>
      </c>
      <c r="N701" s="25" t="n">
        <v>34</v>
      </c>
      <c r="O701" s="25" t="n">
        <v>91.1</v>
      </c>
      <c r="P701" s="26" t="n">
        <f aca="false">23.28</f>
        <v>23.28</v>
      </c>
      <c r="Q701" s="26" t="n">
        <f aca="false">144.68</f>
        <v>144.68</v>
      </c>
      <c r="R701" s="25" t="n">
        <v>11.75</v>
      </c>
      <c r="S701" s="25" t="n">
        <v>18.9</v>
      </c>
      <c r="T701" s="25" t="n">
        <v>428</v>
      </c>
      <c r="U701" s="27" t="s">
        <v>29</v>
      </c>
      <c r="V701" s="21"/>
      <c r="W701" s="16"/>
      <c r="X701" s="16"/>
      <c r="Y701" s="16"/>
    </row>
    <row r="702" customFormat="false" ht="15.75" hidden="false" customHeight="true" outlineLevel="0" collapsed="false">
      <c r="A702" s="9" t="s">
        <v>239</v>
      </c>
      <c r="B702" s="10" t="s">
        <v>26</v>
      </c>
      <c r="C702" s="11" t="s">
        <v>242</v>
      </c>
      <c r="D702" s="10" t="s">
        <v>28</v>
      </c>
      <c r="E702" s="10" t="s">
        <v>73</v>
      </c>
      <c r="F702" s="10"/>
      <c r="G702" s="10" t="n">
        <v>12</v>
      </c>
      <c r="H702" s="10" t="n">
        <v>1.8</v>
      </c>
      <c r="I702" s="12" t="n">
        <v>1</v>
      </c>
      <c r="J702" s="12"/>
      <c r="K702" s="13" t="n">
        <f aca="false">46.51</f>
        <v>46.51</v>
      </c>
      <c r="L702" s="13" t="n">
        <f aca="false">195.71</f>
        <v>195.71</v>
      </c>
      <c r="M702" s="12" t="n">
        <v>14</v>
      </c>
      <c r="N702" s="12" t="n">
        <v>44</v>
      </c>
      <c r="O702" s="12" t="n">
        <v>210.75</v>
      </c>
      <c r="P702" s="13" t="n">
        <f aca="false">27.13</f>
        <v>27.13</v>
      </c>
      <c r="Q702" s="13" t="n">
        <f aca="false">196.51</f>
        <v>196.51</v>
      </c>
      <c r="R702" s="12" t="n">
        <v>35.6</v>
      </c>
      <c r="S702" s="12" t="n">
        <v>30.75</v>
      </c>
      <c r="T702" s="12" t="n">
        <v>577</v>
      </c>
      <c r="U702" s="14" t="s">
        <v>97</v>
      </c>
      <c r="V702" s="15"/>
      <c r="W702" s="16" t="str">
        <f aca="false">A702</f>
        <v>KS</v>
      </c>
      <c r="X702" s="17" t="e">
        <f aca="false">ifs(C702="","",X702="",NOW(),TRUE(),X702)</f>
        <v>#VALUE!</v>
      </c>
      <c r="Y702" s="17" t="e">
        <f aca="false">ifs(COUNTA(K702:U705)&lt;44,"",Y702="",NOW(),TRUE(),Y702)</f>
        <v>#VALUE!</v>
      </c>
    </row>
    <row r="703" customFormat="false" ht="14.15" hidden="false" customHeight="false" outlineLevel="0" collapsed="false">
      <c r="A703" s="9"/>
      <c r="B703" s="10"/>
      <c r="C703" s="10"/>
      <c r="D703" s="10"/>
      <c r="E703" s="10"/>
      <c r="F703" s="10"/>
      <c r="G703" s="10"/>
      <c r="H703" s="10"/>
      <c r="I703" s="18" t="n">
        <v>2</v>
      </c>
      <c r="J703" s="18" t="s">
        <v>47</v>
      </c>
      <c r="K703" s="19" t="n">
        <f aca="false">47.07</f>
        <v>47.07</v>
      </c>
      <c r="L703" s="19" t="n">
        <f aca="false">195.78</f>
        <v>195.78</v>
      </c>
      <c r="M703" s="18" t="n">
        <v>14</v>
      </c>
      <c r="N703" s="18" t="n">
        <v>42</v>
      </c>
      <c r="O703" s="18" t="n">
        <v>207.55</v>
      </c>
      <c r="P703" s="19" t="n">
        <f aca="false">30.81</f>
        <v>30.81</v>
      </c>
      <c r="Q703" s="19" t="n">
        <f aca="false">207.58</f>
        <v>207.58</v>
      </c>
      <c r="R703" s="18" t="n">
        <v>39.55</v>
      </c>
      <c r="S703" s="18" t="n">
        <v>30.35</v>
      </c>
      <c r="T703" s="18" t="n">
        <v>548</v>
      </c>
      <c r="U703" s="20" t="s">
        <v>97</v>
      </c>
      <c r="V703" s="21"/>
      <c r="W703" s="16"/>
      <c r="X703" s="16"/>
      <c r="Y703" s="16"/>
    </row>
    <row r="704" customFormat="false" ht="14.15" hidden="false" customHeight="false" outlineLevel="0" collapsed="false">
      <c r="A704" s="9"/>
      <c r="B704" s="10"/>
      <c r="C704" s="10"/>
      <c r="D704" s="10"/>
      <c r="E704" s="10"/>
      <c r="F704" s="10"/>
      <c r="G704" s="10"/>
      <c r="H704" s="10"/>
      <c r="I704" s="22" t="n">
        <v>3</v>
      </c>
      <c r="J704" s="22" t="s">
        <v>50</v>
      </c>
      <c r="K704" s="23" t="n">
        <f aca="false">44.07</f>
        <v>44.07</v>
      </c>
      <c r="L704" s="23" t="n">
        <f aca="false">152.12</f>
        <v>152.12</v>
      </c>
      <c r="M704" s="22" t="n">
        <v>15</v>
      </c>
      <c r="N704" s="22" t="n">
        <v>32</v>
      </c>
      <c r="O704" s="22" t="n">
        <v>110.9</v>
      </c>
      <c r="P704" s="23" t="n">
        <f aca="false">28.75</f>
        <v>28.75</v>
      </c>
      <c r="Q704" s="23" t="n">
        <f aca="false">151.89</f>
        <v>151.89</v>
      </c>
      <c r="R704" s="22" t="n">
        <v>19.7</v>
      </c>
      <c r="S704" s="22" t="n">
        <v>24.75</v>
      </c>
      <c r="T704" s="22" t="n">
        <v>384</v>
      </c>
      <c r="U704" s="24" t="s">
        <v>97</v>
      </c>
      <c r="V704" s="15"/>
      <c r="W704" s="16"/>
      <c r="X704" s="16"/>
      <c r="Y704" s="16"/>
    </row>
    <row r="705" customFormat="false" ht="13.8" hidden="false" customHeight="false" outlineLevel="0" collapsed="false">
      <c r="A705" s="9"/>
      <c r="B705" s="10"/>
      <c r="C705" s="10"/>
      <c r="D705" s="10"/>
      <c r="E705" s="10"/>
      <c r="F705" s="10"/>
      <c r="G705" s="10"/>
      <c r="H705" s="10"/>
      <c r="I705" s="25" t="n">
        <v>4</v>
      </c>
      <c r="J705" s="25"/>
      <c r="K705" s="26"/>
      <c r="L705" s="26"/>
      <c r="M705" s="25"/>
      <c r="N705" s="25"/>
      <c r="O705" s="25"/>
      <c r="P705" s="26"/>
      <c r="Q705" s="26"/>
      <c r="R705" s="25"/>
      <c r="S705" s="25"/>
      <c r="T705" s="25"/>
      <c r="U705" s="27"/>
      <c r="V705" s="21"/>
      <c r="W705" s="16"/>
      <c r="X705" s="16"/>
      <c r="Y705" s="16"/>
    </row>
    <row r="706" customFormat="false" ht="15.75" hidden="false" customHeight="true" outlineLevel="0" collapsed="false">
      <c r="A706" s="9" t="s">
        <v>239</v>
      </c>
      <c r="B706" s="10" t="s">
        <v>26</v>
      </c>
      <c r="C706" s="11" t="s">
        <v>243</v>
      </c>
      <c r="D706" s="10" t="s">
        <v>28</v>
      </c>
      <c r="E706" s="10" t="s">
        <v>28</v>
      </c>
      <c r="F706" s="10"/>
      <c r="G706" s="10" t="n">
        <v>32</v>
      </c>
      <c r="H706" s="10" t="n">
        <v>8.5</v>
      </c>
      <c r="I706" s="12" t="n">
        <v>1</v>
      </c>
      <c r="J706" s="12" t="s">
        <v>36</v>
      </c>
      <c r="K706" s="13" t="n">
        <f aca="false">47.46</f>
        <v>47.46</v>
      </c>
      <c r="L706" s="13" t="n">
        <f aca="false">159.12</f>
        <v>159.12</v>
      </c>
      <c r="M706" s="12" t="n">
        <v>14</v>
      </c>
      <c r="N706" s="12" t="n">
        <v>36</v>
      </c>
      <c r="O706" s="12" t="n">
        <v>166.05</v>
      </c>
      <c r="P706" s="13" t="n">
        <f aca="false">28.01</f>
        <v>28.01</v>
      </c>
      <c r="Q706" s="13" t="n">
        <f aca="false">173.03</f>
        <v>173.03</v>
      </c>
      <c r="R706" s="12" t="n">
        <v>21.35</v>
      </c>
      <c r="S706" s="12" t="n">
        <v>28.7</v>
      </c>
      <c r="T706" s="12" t="n">
        <v>498</v>
      </c>
      <c r="U706" s="14" t="s">
        <v>29</v>
      </c>
      <c r="V706" s="15"/>
      <c r="W706" s="16" t="str">
        <f aca="false">A706</f>
        <v>KS</v>
      </c>
      <c r="X706" s="17" t="e">
        <f aca="false">ifs(C706="","",X706="",NOW(),TRUE(),X706)</f>
        <v>#VALUE!</v>
      </c>
      <c r="Y706" s="17" t="e">
        <f aca="false">ifs(COUNTA(K706:U709)&lt;44,"",Y706="",NOW(),TRUE(),Y706)</f>
        <v>#VALUE!</v>
      </c>
    </row>
    <row r="707" customFormat="false" ht="14.15" hidden="false" customHeight="false" outlineLevel="0" collapsed="false">
      <c r="A707" s="9"/>
      <c r="B707" s="10"/>
      <c r="C707" s="10"/>
      <c r="D707" s="10"/>
      <c r="E707" s="10"/>
      <c r="F707" s="10"/>
      <c r="G707" s="10"/>
      <c r="H707" s="10"/>
      <c r="I707" s="18" t="n">
        <v>2</v>
      </c>
      <c r="J707" s="18" t="s">
        <v>49</v>
      </c>
      <c r="K707" s="19" t="n">
        <f aca="false">47.02</f>
        <v>47.02</v>
      </c>
      <c r="L707" s="19" t="n">
        <f aca="false">160.18</f>
        <v>160.18</v>
      </c>
      <c r="M707" s="18" t="n">
        <v>16</v>
      </c>
      <c r="N707" s="18" t="n">
        <v>38</v>
      </c>
      <c r="O707" s="18" t="n">
        <v>151.5</v>
      </c>
      <c r="P707" s="19" t="n">
        <f aca="false">29.8</f>
        <v>29.8</v>
      </c>
      <c r="Q707" s="19" t="n">
        <f aca="false">177.35</f>
        <v>177.35</v>
      </c>
      <c r="R707" s="18" t="n">
        <v>19.1</v>
      </c>
      <c r="S707" s="18" t="n">
        <v>22.75</v>
      </c>
      <c r="T707" s="18" t="n">
        <v>573</v>
      </c>
      <c r="U707" s="20" t="s">
        <v>29</v>
      </c>
      <c r="V707" s="21"/>
      <c r="W707" s="16"/>
      <c r="X707" s="16"/>
      <c r="Y707" s="16"/>
    </row>
    <row r="708" customFormat="false" ht="14.15" hidden="false" customHeight="false" outlineLevel="0" collapsed="false">
      <c r="A708" s="9"/>
      <c r="B708" s="10"/>
      <c r="C708" s="10"/>
      <c r="D708" s="10"/>
      <c r="E708" s="10"/>
      <c r="F708" s="10"/>
      <c r="G708" s="10"/>
      <c r="H708" s="10"/>
      <c r="I708" s="22" t="n">
        <v>3</v>
      </c>
      <c r="J708" s="22"/>
      <c r="K708" s="23" t="n">
        <f aca="false">48.41</f>
        <v>48.41</v>
      </c>
      <c r="L708" s="23" t="n">
        <f aca="false">146.85</f>
        <v>146.85</v>
      </c>
      <c r="M708" s="22" t="n">
        <v>16</v>
      </c>
      <c r="N708" s="22" t="n">
        <v>30</v>
      </c>
      <c r="O708" s="22" t="n">
        <v>133</v>
      </c>
      <c r="P708" s="23" t="n">
        <f aca="false">31.21</f>
        <v>31.21</v>
      </c>
      <c r="Q708" s="23" t="n">
        <f aca="false">148.12</f>
        <v>148.12</v>
      </c>
      <c r="R708" s="22" t="n">
        <v>18.05</v>
      </c>
      <c r="S708" s="22" t="n">
        <v>29.65</v>
      </c>
      <c r="T708" s="22" t="n">
        <v>390</v>
      </c>
      <c r="U708" s="24" t="s">
        <v>29</v>
      </c>
      <c r="V708" s="15"/>
      <c r="W708" s="16"/>
      <c r="X708" s="16"/>
      <c r="Y708" s="16"/>
    </row>
    <row r="709" customFormat="false" ht="14.15" hidden="false" customHeight="false" outlineLevel="0" collapsed="false">
      <c r="A709" s="9"/>
      <c r="B709" s="10"/>
      <c r="C709" s="10"/>
      <c r="D709" s="10"/>
      <c r="E709" s="10"/>
      <c r="F709" s="10"/>
      <c r="G709" s="10"/>
      <c r="H709" s="10"/>
      <c r="I709" s="25" t="n">
        <v>4</v>
      </c>
      <c r="J709" s="25" t="s">
        <v>49</v>
      </c>
      <c r="K709" s="26" t="n">
        <f aca="false">44.86</f>
        <v>44.86</v>
      </c>
      <c r="L709" s="26" t="n">
        <f aca="false">109.39</f>
        <v>109.39</v>
      </c>
      <c r="M709" s="25" t="n">
        <v>16</v>
      </c>
      <c r="N709" s="25" t="n">
        <v>26</v>
      </c>
      <c r="O709" s="25" t="n">
        <v>112.65</v>
      </c>
      <c r="P709" s="26" t="n">
        <f aca="false">25.78</f>
        <v>25.78</v>
      </c>
      <c r="Q709" s="26" t="n">
        <f aca="false">134.34</f>
        <v>134.34</v>
      </c>
      <c r="R709" s="25" t="n">
        <v>13.2</v>
      </c>
      <c r="S709" s="25" t="n">
        <v>21.25</v>
      </c>
      <c r="T709" s="25" t="n">
        <v>467</v>
      </c>
      <c r="U709" s="27" t="s">
        <v>29</v>
      </c>
      <c r="V709" s="21"/>
      <c r="W709" s="16"/>
      <c r="X709" s="16"/>
      <c r="Y709" s="16"/>
    </row>
    <row r="710" customFormat="false" ht="15.75" hidden="false" customHeight="true" outlineLevel="0" collapsed="false">
      <c r="A710" s="9" t="s">
        <v>239</v>
      </c>
      <c r="B710" s="10" t="s">
        <v>26</v>
      </c>
      <c r="C710" s="11" t="s">
        <v>244</v>
      </c>
      <c r="D710" s="10" t="s">
        <v>28</v>
      </c>
      <c r="E710" s="10" t="s">
        <v>28</v>
      </c>
      <c r="F710" s="10"/>
      <c r="G710" s="10" t="n">
        <v>15</v>
      </c>
      <c r="H710" s="10" t="n">
        <v>2.75</v>
      </c>
      <c r="I710" s="12" t="n">
        <v>1</v>
      </c>
      <c r="J710" s="12"/>
      <c r="K710" s="13" t="n">
        <f aca="false">43.87</f>
        <v>43.87</v>
      </c>
      <c r="L710" s="13" t="n">
        <f aca="false">172.6</f>
        <v>172.6</v>
      </c>
      <c r="M710" s="12" t="n">
        <v>14</v>
      </c>
      <c r="N710" s="12" t="n">
        <v>38</v>
      </c>
      <c r="O710" s="12" t="n">
        <v>161.35</v>
      </c>
      <c r="P710" s="13" t="n">
        <f aca="false">26.11</f>
        <v>26.11</v>
      </c>
      <c r="Q710" s="13" t="n">
        <f aca="false">172.68</f>
        <v>172.68</v>
      </c>
      <c r="R710" s="12" t="n">
        <v>20.25</v>
      </c>
      <c r="S710" s="12" t="n">
        <v>26.9</v>
      </c>
      <c r="T710" s="12" t="n">
        <v>534</v>
      </c>
      <c r="U710" s="14" t="s">
        <v>97</v>
      </c>
      <c r="V710" s="15"/>
      <c r="W710" s="16" t="str">
        <f aca="false">A710</f>
        <v>KS</v>
      </c>
      <c r="X710" s="17" t="e">
        <f aca="false">ifs(C710="","",X710="",NOW(),TRUE(),X710)</f>
        <v>#VALUE!</v>
      </c>
      <c r="Y710" s="17" t="e">
        <f aca="false">ifs(COUNTA(K710:U713)&lt;44,"",Y710="",NOW(),TRUE(),Y710)</f>
        <v>#VALUE!</v>
      </c>
    </row>
    <row r="711" customFormat="false" ht="14.15" hidden="false" customHeight="false" outlineLevel="0" collapsed="false">
      <c r="A711" s="9"/>
      <c r="B711" s="10"/>
      <c r="C711" s="10"/>
      <c r="D711" s="10"/>
      <c r="E711" s="10"/>
      <c r="F711" s="10"/>
      <c r="G711" s="10"/>
      <c r="H711" s="10"/>
      <c r="I711" s="18" t="n">
        <v>2</v>
      </c>
      <c r="J711" s="18" t="s">
        <v>36</v>
      </c>
      <c r="K711" s="19" t="n">
        <f aca="false">42.91</f>
        <v>42.91</v>
      </c>
      <c r="L711" s="19" t="n">
        <f aca="false">153.05</f>
        <v>153.05</v>
      </c>
      <c r="M711" s="18" t="n">
        <v>14</v>
      </c>
      <c r="N711" s="18" t="n">
        <v>32</v>
      </c>
      <c r="O711" s="18" t="n">
        <v>147.45</v>
      </c>
      <c r="P711" s="19" t="n">
        <f aca="false">24.8</f>
        <v>24.8</v>
      </c>
      <c r="Q711" s="19" t="n">
        <f aca="false">151.11</f>
        <v>151.11</v>
      </c>
      <c r="R711" s="18" t="n">
        <v>16.25</v>
      </c>
      <c r="S711" s="18" t="n">
        <v>32.35</v>
      </c>
      <c r="T711" s="18" t="n">
        <v>430</v>
      </c>
      <c r="U711" s="20" t="s">
        <v>58</v>
      </c>
      <c r="V711" s="21"/>
      <c r="W711" s="16"/>
      <c r="X711" s="16"/>
      <c r="Y711" s="16"/>
    </row>
    <row r="712" customFormat="false" ht="14.15" hidden="false" customHeight="false" outlineLevel="0" collapsed="false">
      <c r="A712" s="9"/>
      <c r="B712" s="10"/>
      <c r="C712" s="10"/>
      <c r="D712" s="10"/>
      <c r="E712" s="10"/>
      <c r="F712" s="10"/>
      <c r="G712" s="10"/>
      <c r="H712" s="10"/>
      <c r="I712" s="22" t="n">
        <v>3</v>
      </c>
      <c r="J712" s="22" t="s">
        <v>49</v>
      </c>
      <c r="K712" s="23" t="n">
        <f aca="false">43.79</f>
        <v>43.79</v>
      </c>
      <c r="L712" s="23" t="n">
        <f aca="false">146.51</f>
        <v>146.51</v>
      </c>
      <c r="M712" s="22" t="n">
        <v>12</v>
      </c>
      <c r="N712" s="22" t="n">
        <v>38</v>
      </c>
      <c r="O712" s="22" t="n">
        <v>135.45</v>
      </c>
      <c r="P712" s="23" t="n">
        <f aca="false">24.88</f>
        <v>24.88</v>
      </c>
      <c r="Q712" s="23" t="n">
        <f aca="false">163.8</f>
        <v>163.8</v>
      </c>
      <c r="R712" s="22" t="n">
        <v>16.3</v>
      </c>
      <c r="S712" s="22" t="n">
        <v>30.05</v>
      </c>
      <c r="T712" s="22" t="n">
        <v>405</v>
      </c>
      <c r="U712" s="24" t="s">
        <v>97</v>
      </c>
      <c r="V712" s="15"/>
      <c r="W712" s="16"/>
      <c r="X712" s="16"/>
      <c r="Y712" s="16"/>
    </row>
    <row r="713" customFormat="false" ht="14.15" hidden="false" customHeight="false" outlineLevel="0" collapsed="false">
      <c r="A713" s="9"/>
      <c r="B713" s="10"/>
      <c r="C713" s="10"/>
      <c r="D713" s="10"/>
      <c r="E713" s="10"/>
      <c r="F713" s="10"/>
      <c r="G713" s="10"/>
      <c r="H713" s="10"/>
      <c r="I713" s="25" t="n">
        <v>4</v>
      </c>
      <c r="J713" s="25" t="s">
        <v>49</v>
      </c>
      <c r="K713" s="26" t="n">
        <f aca="false">39.26</f>
        <v>39.26</v>
      </c>
      <c r="L713" s="26" t="n">
        <f aca="false">138.45</f>
        <v>138.45</v>
      </c>
      <c r="M713" s="25" t="n">
        <v>12</v>
      </c>
      <c r="N713" s="25" t="n">
        <v>32</v>
      </c>
      <c r="O713" s="25" t="n">
        <v>92.05</v>
      </c>
      <c r="P713" s="26" t="n">
        <f aca="false">25.7</f>
        <v>25.7</v>
      </c>
      <c r="Q713" s="26" t="n">
        <f aca="false">136.68</f>
        <v>136.68</v>
      </c>
      <c r="R713" s="25" t="n">
        <v>13.9</v>
      </c>
      <c r="S713" s="25" t="n">
        <v>21.4</v>
      </c>
      <c r="T713" s="25"/>
      <c r="U713" s="27" t="s">
        <v>97</v>
      </c>
      <c r="V713" s="21"/>
      <c r="W713" s="16"/>
      <c r="X713" s="16"/>
      <c r="Y713" s="16"/>
    </row>
    <row r="714" customFormat="false" ht="15.75" hidden="false" customHeight="true" outlineLevel="0" collapsed="false">
      <c r="A714" s="9" t="s">
        <v>180</v>
      </c>
      <c r="B714" s="10" t="s">
        <v>26</v>
      </c>
      <c r="C714" s="11" t="s">
        <v>245</v>
      </c>
      <c r="D714" s="10" t="s">
        <v>28</v>
      </c>
      <c r="E714" s="10" t="s">
        <v>28</v>
      </c>
      <c r="F714" s="10"/>
      <c r="G714" s="10" t="n">
        <v>10</v>
      </c>
      <c r="H714" s="10" t="n">
        <v>1.8</v>
      </c>
      <c r="I714" s="12" t="n">
        <v>1</v>
      </c>
      <c r="J714" s="12" t="s">
        <v>49</v>
      </c>
      <c r="K714" s="13" t="n">
        <v>44.04</v>
      </c>
      <c r="L714" s="13" t="n">
        <v>143.37</v>
      </c>
      <c r="M714" s="12" t="n">
        <v>14</v>
      </c>
      <c r="N714" s="12" t="n">
        <v>36</v>
      </c>
      <c r="O714" s="12" t="n">
        <v>134.8</v>
      </c>
      <c r="P714" s="13" t="n">
        <f aca="false">27.19</f>
        <v>27.19</v>
      </c>
      <c r="Q714" s="13" t="n">
        <f aca="false">169.11</f>
        <v>169.11</v>
      </c>
      <c r="R714" s="12" t="n">
        <v>21</v>
      </c>
      <c r="S714" s="12" t="n">
        <v>24.75</v>
      </c>
      <c r="T714" s="12" t="n">
        <v>477</v>
      </c>
      <c r="U714" s="14" t="s">
        <v>29</v>
      </c>
      <c r="V714" s="15"/>
      <c r="W714" s="16" t="str">
        <f aca="false">A714</f>
        <v>SH</v>
      </c>
      <c r="X714" s="17" t="e">
        <f aca="false">ifs(C714="","",X714="",NOW(),TRUE(),X714)</f>
        <v>#VALUE!</v>
      </c>
      <c r="Y714" s="17" t="e">
        <f aca="false">ifs(COUNTA(K714:U717)&lt;44,"",Y714="",NOW(),TRUE(),Y714)</f>
        <v>#VALUE!</v>
      </c>
    </row>
    <row r="715" customFormat="false" ht="14.15" hidden="false" customHeight="false" outlineLevel="0" collapsed="false">
      <c r="A715" s="9"/>
      <c r="B715" s="10"/>
      <c r="C715" s="10"/>
      <c r="D715" s="10"/>
      <c r="E715" s="10"/>
      <c r="F715" s="10"/>
      <c r="G715" s="10"/>
      <c r="H715" s="10"/>
      <c r="I715" s="18" t="n">
        <v>2</v>
      </c>
      <c r="J715" s="18"/>
      <c r="K715" s="19" t="n">
        <f aca="false">43.51</f>
        <v>43.51</v>
      </c>
      <c r="L715" s="19" t="n">
        <f aca="false">139.17</f>
        <v>139.17</v>
      </c>
      <c r="M715" s="18" t="n">
        <v>16</v>
      </c>
      <c r="N715" s="18" t="n">
        <v>32</v>
      </c>
      <c r="O715" s="18" t="n">
        <v>139.4</v>
      </c>
      <c r="P715" s="19" t="n">
        <f aca="false">27.45</f>
        <v>27.45</v>
      </c>
      <c r="Q715" s="19" t="n">
        <f aca="false">146.64</f>
        <v>146.64</v>
      </c>
      <c r="R715" s="18" t="n">
        <v>19.05</v>
      </c>
      <c r="S715" s="18" t="n">
        <v>23.95</v>
      </c>
      <c r="T715" s="18" t="n">
        <v>517</v>
      </c>
      <c r="U715" s="20" t="s">
        <v>29</v>
      </c>
      <c r="V715" s="21"/>
      <c r="W715" s="16"/>
      <c r="X715" s="16"/>
      <c r="Y715" s="16"/>
    </row>
    <row r="716" customFormat="false" ht="14.15" hidden="false" customHeight="false" outlineLevel="0" collapsed="false">
      <c r="A716" s="9"/>
      <c r="B716" s="10"/>
      <c r="C716" s="10"/>
      <c r="D716" s="10"/>
      <c r="E716" s="10"/>
      <c r="F716" s="10"/>
      <c r="G716" s="10"/>
      <c r="H716" s="10"/>
      <c r="I716" s="22" t="n">
        <v>3</v>
      </c>
      <c r="J716" s="22" t="s">
        <v>46</v>
      </c>
      <c r="K716" s="23" t="n">
        <f aca="false">42.63</f>
        <v>42.63</v>
      </c>
      <c r="L716" s="23" t="n">
        <f aca="false">104.72</f>
        <v>104.72</v>
      </c>
      <c r="M716" s="22" t="n">
        <v>16</v>
      </c>
      <c r="N716" s="22" t="n">
        <v>25</v>
      </c>
      <c r="O716" s="22" t="n">
        <v>103.65</v>
      </c>
      <c r="P716" s="23" t="n">
        <f aca="false">25.67</f>
        <v>25.67</v>
      </c>
      <c r="Q716" s="23" t="n">
        <f aca="false">139.6</f>
        <v>139.6</v>
      </c>
      <c r="R716" s="22" t="n">
        <v>14.45</v>
      </c>
      <c r="S716" s="22" t="n">
        <v>23.9</v>
      </c>
      <c r="T716" s="22" t="n">
        <v>392</v>
      </c>
      <c r="U716" s="24" t="s">
        <v>29</v>
      </c>
      <c r="V716" s="15"/>
      <c r="W716" s="16"/>
      <c r="X716" s="16"/>
      <c r="Y716" s="16"/>
    </row>
    <row r="717" customFormat="false" ht="14.15" hidden="false" customHeight="false" outlineLevel="0" collapsed="false">
      <c r="A717" s="9"/>
      <c r="B717" s="10"/>
      <c r="C717" s="10"/>
      <c r="D717" s="10"/>
      <c r="E717" s="10"/>
      <c r="F717" s="10"/>
      <c r="G717" s="10"/>
      <c r="H717" s="10"/>
      <c r="I717" s="25" t="n">
        <v>4</v>
      </c>
      <c r="J717" s="25" t="s">
        <v>246</v>
      </c>
      <c r="K717" s="26" t="n">
        <f aca="false">40.38</f>
        <v>40.38</v>
      </c>
      <c r="L717" s="26" t="n">
        <f aca="false">84.22</f>
        <v>84.22</v>
      </c>
      <c r="M717" s="25" t="n">
        <v>16</v>
      </c>
      <c r="N717" s="25" t="n">
        <v>20</v>
      </c>
      <c r="O717" s="25" t="n">
        <v>60.95</v>
      </c>
      <c r="P717" s="26" t="n">
        <f aca="false">25.16</f>
        <v>25.16</v>
      </c>
      <c r="Q717" s="26" t="n">
        <f aca="false">101.3</f>
        <v>101.3</v>
      </c>
      <c r="R717" s="25" t="n">
        <v>8.2</v>
      </c>
      <c r="S717" s="25" t="n">
        <v>21.6</v>
      </c>
      <c r="T717" s="25" t="n">
        <v>254</v>
      </c>
      <c r="U717" s="27" t="s">
        <v>29</v>
      </c>
      <c r="V717" s="21"/>
      <c r="W717" s="16"/>
      <c r="X717" s="16"/>
      <c r="Y717" s="16"/>
    </row>
    <row r="718" customFormat="false" ht="15.75" hidden="false" customHeight="true" outlineLevel="0" collapsed="false">
      <c r="A718" s="9" t="s">
        <v>180</v>
      </c>
      <c r="B718" s="10" t="s">
        <v>26</v>
      </c>
      <c r="C718" s="11" t="s">
        <v>247</v>
      </c>
      <c r="D718" s="10" t="s">
        <v>28</v>
      </c>
      <c r="E718" s="10" t="s">
        <v>28</v>
      </c>
      <c r="F718" s="10"/>
      <c r="G718" s="10" t="n">
        <v>8</v>
      </c>
      <c r="H718" s="10" t="n">
        <v>1.5</v>
      </c>
      <c r="I718" s="12" t="n">
        <v>1</v>
      </c>
      <c r="J718" s="12" t="s">
        <v>49</v>
      </c>
      <c r="K718" s="13" t="n">
        <f aca="false">41.57</f>
        <v>41.57</v>
      </c>
      <c r="L718" s="13" t="n">
        <f aca="false">143.06</f>
        <v>143.06</v>
      </c>
      <c r="M718" s="12" t="n">
        <v>14</v>
      </c>
      <c r="N718" s="12" t="n">
        <v>30</v>
      </c>
      <c r="O718" s="12" t="n">
        <v>130.7</v>
      </c>
      <c r="P718" s="13" t="n">
        <f aca="false">26.48</f>
        <v>26.48</v>
      </c>
      <c r="Q718" s="13" t="n">
        <f aca="false">173.62</f>
        <v>173.62</v>
      </c>
      <c r="R718" s="12" t="n">
        <v>22.8</v>
      </c>
      <c r="S718" s="12" t="n">
        <v>22.6</v>
      </c>
      <c r="T718" s="12" t="n">
        <v>459</v>
      </c>
      <c r="U718" s="14" t="s">
        <v>97</v>
      </c>
      <c r="V718" s="15"/>
      <c r="W718" s="16" t="str">
        <f aca="false">A718</f>
        <v>SH</v>
      </c>
      <c r="X718" s="17" t="e">
        <f aca="false">ifs(C718="","",X718="",NOW(),TRUE(),X718)</f>
        <v>#VALUE!</v>
      </c>
      <c r="Y718" s="17" t="e">
        <f aca="false">ifs(COUNTA(K718:U721)&lt;44,"",Y718="",NOW(),TRUE(),Y718)</f>
        <v>#VALUE!</v>
      </c>
    </row>
    <row r="719" customFormat="false" ht="14.15" hidden="false" customHeight="false" outlineLevel="0" collapsed="false">
      <c r="A719" s="9"/>
      <c r="B719" s="10"/>
      <c r="C719" s="10"/>
      <c r="D719" s="10"/>
      <c r="E719" s="10"/>
      <c r="F719" s="10"/>
      <c r="G719" s="10"/>
      <c r="H719" s="10"/>
      <c r="I719" s="18" t="n">
        <v>2</v>
      </c>
      <c r="J719" s="18" t="s">
        <v>47</v>
      </c>
      <c r="K719" s="19" t="n">
        <f aca="false">40.82</f>
        <v>40.82</v>
      </c>
      <c r="L719" s="19" t="n">
        <f aca="false">143.91</f>
        <v>143.91</v>
      </c>
      <c r="M719" s="18" t="n">
        <v>16</v>
      </c>
      <c r="N719" s="18" t="n">
        <v>36</v>
      </c>
      <c r="O719" s="18" t="n">
        <v>140.35</v>
      </c>
      <c r="P719" s="19" t="n">
        <f aca="false">25.5</f>
        <v>25.5</v>
      </c>
      <c r="Q719" s="19" t="n">
        <f aca="false">159.77</f>
        <v>159.77</v>
      </c>
      <c r="R719" s="18" t="n">
        <v>20.3</v>
      </c>
      <c r="S719" s="18" t="n">
        <v>22.6</v>
      </c>
      <c r="T719" s="18" t="n">
        <v>549</v>
      </c>
      <c r="U719" s="20" t="s">
        <v>97</v>
      </c>
      <c r="V719" s="21"/>
      <c r="W719" s="16"/>
      <c r="X719" s="16"/>
      <c r="Y719" s="16"/>
    </row>
    <row r="720" customFormat="false" ht="14.15" hidden="false" customHeight="false" outlineLevel="0" collapsed="false">
      <c r="A720" s="9"/>
      <c r="B720" s="10"/>
      <c r="C720" s="10"/>
      <c r="D720" s="10"/>
      <c r="E720" s="10"/>
      <c r="F720" s="10"/>
      <c r="G720" s="10"/>
      <c r="H720" s="10"/>
      <c r="I720" s="22" t="n">
        <v>3</v>
      </c>
      <c r="J720" s="22" t="s">
        <v>35</v>
      </c>
      <c r="K720" s="23" t="n">
        <f aca="false">37.59</f>
        <v>37.59</v>
      </c>
      <c r="L720" s="23" t="n">
        <f aca="false">92.32</f>
        <v>92.32</v>
      </c>
      <c r="M720" s="22" t="n">
        <v>16</v>
      </c>
      <c r="N720" s="22" t="n">
        <v>19</v>
      </c>
      <c r="O720" s="22" t="n">
        <v>62</v>
      </c>
      <c r="P720" s="23" t="n">
        <f aca="false">22.9</f>
        <v>22.9</v>
      </c>
      <c r="Q720" s="23" t="n">
        <f aca="false">104.04</f>
        <v>104.04</v>
      </c>
      <c r="R720" s="22" t="n">
        <v>10</v>
      </c>
      <c r="S720" s="22" t="n">
        <v>18.1</v>
      </c>
      <c r="T720" s="22" t="n">
        <v>280</v>
      </c>
      <c r="U720" s="24" t="s">
        <v>97</v>
      </c>
      <c r="V720" s="15"/>
      <c r="W720" s="16"/>
      <c r="X720" s="16"/>
      <c r="Y720" s="16"/>
    </row>
    <row r="721" customFormat="false" ht="14.15" hidden="false" customHeight="false" outlineLevel="0" collapsed="false">
      <c r="A721" s="9"/>
      <c r="B721" s="10"/>
      <c r="C721" s="10"/>
      <c r="D721" s="10"/>
      <c r="E721" s="10"/>
      <c r="F721" s="10"/>
      <c r="G721" s="10"/>
      <c r="H721" s="10"/>
      <c r="I721" s="25" t="n">
        <v>4</v>
      </c>
      <c r="J721" s="25" t="s">
        <v>46</v>
      </c>
      <c r="K721" s="26" t="n">
        <f aca="false">39.47</f>
        <v>39.47</v>
      </c>
      <c r="L721" s="26" t="n">
        <f aca="false">86.55</f>
        <v>86.55</v>
      </c>
      <c r="M721" s="25" t="n">
        <v>14</v>
      </c>
      <c r="N721" s="25" t="n">
        <v>22</v>
      </c>
      <c r="O721" s="25" t="n">
        <v>69.6</v>
      </c>
      <c r="P721" s="26" t="n">
        <f aca="false">23.33</f>
        <v>23.33</v>
      </c>
      <c r="Q721" s="26" t="n">
        <f aca="false">94.22</f>
        <v>94.22</v>
      </c>
      <c r="R721" s="25" t="n">
        <v>11.5</v>
      </c>
      <c r="S721" s="25" t="n">
        <v>20.4</v>
      </c>
      <c r="T721" s="25" t="n">
        <v>282</v>
      </c>
      <c r="U721" s="27" t="s">
        <v>97</v>
      </c>
      <c r="V721" s="21"/>
      <c r="W721" s="16"/>
      <c r="X721" s="16"/>
      <c r="Y721" s="16"/>
    </row>
    <row r="722" customFormat="false" ht="15.75" hidden="false" customHeight="true" outlineLevel="0" collapsed="false">
      <c r="A722" s="9" t="s">
        <v>180</v>
      </c>
      <c r="B722" s="10" t="s">
        <v>44</v>
      </c>
      <c r="C722" s="11" t="s">
        <v>248</v>
      </c>
      <c r="D722" s="10" t="s">
        <v>28</v>
      </c>
      <c r="E722" s="10" t="s">
        <v>28</v>
      </c>
      <c r="F722" s="10"/>
      <c r="G722" s="10" t="n">
        <v>29</v>
      </c>
      <c r="H722" s="10" t="n">
        <v>8.3</v>
      </c>
      <c r="I722" s="12" t="n">
        <v>1</v>
      </c>
      <c r="J722" s="12"/>
      <c r="K722" s="13" t="n">
        <f aca="false">45.32</f>
        <v>45.32</v>
      </c>
      <c r="L722" s="13" t="n">
        <f aca="false">152.57</f>
        <v>152.57</v>
      </c>
      <c r="M722" s="12" t="n">
        <v>16</v>
      </c>
      <c r="N722" s="12" t="n">
        <v>36</v>
      </c>
      <c r="O722" s="12" t="n">
        <v>161.6</v>
      </c>
      <c r="P722" s="13" t="n">
        <f aca="false">24.31</f>
        <v>24.31</v>
      </c>
      <c r="Q722" s="13" t="n">
        <f aca="false">160.41</f>
        <v>160.41</v>
      </c>
      <c r="R722" s="12" t="n">
        <v>14.3</v>
      </c>
      <c r="S722" s="12" t="n">
        <v>23.9</v>
      </c>
      <c r="T722" s="12" t="n">
        <v>581</v>
      </c>
      <c r="U722" s="14" t="s">
        <v>29</v>
      </c>
      <c r="V722" s="15"/>
      <c r="W722" s="16" t="str">
        <f aca="false">A722</f>
        <v>SH</v>
      </c>
      <c r="X722" s="17" t="e">
        <f aca="false">ifs(C722="","",X722="",NOW(),TRUE(),X722)</f>
        <v>#VALUE!</v>
      </c>
      <c r="Y722" s="17" t="e">
        <f aca="false">ifs(COUNTA(K722:U725)&lt;44,"",Y722="",NOW(),TRUE(),Y722)</f>
        <v>#VALUE!</v>
      </c>
    </row>
    <row r="723" customFormat="false" ht="14.15" hidden="false" customHeight="false" outlineLevel="0" collapsed="false">
      <c r="A723" s="9"/>
      <c r="B723" s="10"/>
      <c r="C723" s="10"/>
      <c r="D723" s="10"/>
      <c r="E723" s="10"/>
      <c r="F723" s="10"/>
      <c r="G723" s="10"/>
      <c r="H723" s="10"/>
      <c r="I723" s="18" t="n">
        <v>2</v>
      </c>
      <c r="J723" s="18" t="s">
        <v>49</v>
      </c>
      <c r="K723" s="19" t="n">
        <f aca="false">43.97</f>
        <v>43.97</v>
      </c>
      <c r="L723" s="19" t="n">
        <f aca="false">136.03</f>
        <v>136.03</v>
      </c>
      <c r="M723" s="18" t="n">
        <v>14</v>
      </c>
      <c r="N723" s="18" t="n">
        <v>30</v>
      </c>
      <c r="O723" s="18" t="n">
        <v>123.6</v>
      </c>
      <c r="P723" s="19" t="n">
        <f aca="false">22.81</f>
        <v>22.81</v>
      </c>
      <c r="Q723" s="19" t="n">
        <f aca="false">146.02</f>
        <v>146.02</v>
      </c>
      <c r="R723" s="18" t="n">
        <v>11.4</v>
      </c>
      <c r="S723" s="18" t="n">
        <v>25.7</v>
      </c>
      <c r="T723" s="18" t="n">
        <v>431</v>
      </c>
      <c r="U723" s="20" t="s">
        <v>58</v>
      </c>
      <c r="V723" s="21"/>
      <c r="W723" s="16"/>
      <c r="X723" s="16"/>
      <c r="Y723" s="16"/>
    </row>
    <row r="724" customFormat="false" ht="14.15" hidden="false" customHeight="false" outlineLevel="0" collapsed="false">
      <c r="A724" s="9"/>
      <c r="B724" s="10"/>
      <c r="C724" s="10"/>
      <c r="D724" s="10"/>
      <c r="E724" s="10"/>
      <c r="F724" s="10"/>
      <c r="G724" s="10"/>
      <c r="H724" s="10"/>
      <c r="I724" s="22" t="n">
        <v>3</v>
      </c>
      <c r="J724" s="22" t="s">
        <v>46</v>
      </c>
      <c r="K724" s="23" t="n">
        <f aca="false">46.31</f>
        <v>46.31</v>
      </c>
      <c r="L724" s="23" t="n">
        <f aca="false">129.24</f>
        <v>129.24</v>
      </c>
      <c r="M724" s="22" t="n">
        <v>16</v>
      </c>
      <c r="N724" s="22" t="n">
        <v>28</v>
      </c>
      <c r="O724" s="22" t="n">
        <v>132.8</v>
      </c>
      <c r="P724" s="23" t="n">
        <f aca="false">25.48</f>
        <v>25.48</v>
      </c>
      <c r="Q724" s="23" t="n">
        <f aca="false">147.11</f>
        <v>147.11</v>
      </c>
      <c r="R724" s="22" t="n">
        <v>13.1</v>
      </c>
      <c r="S724" s="22" t="n">
        <v>26.6</v>
      </c>
      <c r="T724" s="22" t="n">
        <v>453</v>
      </c>
      <c r="U724" s="24" t="s">
        <v>58</v>
      </c>
      <c r="V724" s="15"/>
      <c r="W724" s="16"/>
      <c r="X724" s="16"/>
      <c r="Y724" s="16"/>
    </row>
    <row r="725" customFormat="false" ht="14.15" hidden="false" customHeight="false" outlineLevel="0" collapsed="false">
      <c r="A725" s="9"/>
      <c r="B725" s="10"/>
      <c r="C725" s="10"/>
      <c r="D725" s="10"/>
      <c r="E725" s="10"/>
      <c r="F725" s="10"/>
      <c r="G725" s="10"/>
      <c r="H725" s="10"/>
      <c r="I725" s="25" t="n">
        <v>4</v>
      </c>
      <c r="J725" s="25" t="s">
        <v>33</v>
      </c>
      <c r="K725" s="26" t="n">
        <f aca="false">41</f>
        <v>41</v>
      </c>
      <c r="L725" s="26" t="n">
        <f aca="false">102.58</f>
        <v>102.58</v>
      </c>
      <c r="M725" s="25" t="n">
        <v>14</v>
      </c>
      <c r="N725" s="25" t="n">
        <v>31</v>
      </c>
      <c r="O725" s="25" t="n">
        <v>86.4</v>
      </c>
      <c r="P725" s="26" t="n">
        <f aca="false">22.79</f>
        <v>22.79</v>
      </c>
      <c r="Q725" s="26" t="n">
        <f aca="false">133.08</f>
        <v>133.08</v>
      </c>
      <c r="R725" s="25" t="n">
        <v>7.8</v>
      </c>
      <c r="S725" s="25" t="n">
        <v>21.6</v>
      </c>
      <c r="T725" s="25" t="n">
        <v>356</v>
      </c>
      <c r="U725" s="27" t="s">
        <v>58</v>
      </c>
      <c r="V725" s="21"/>
      <c r="W725" s="16"/>
      <c r="X725" s="16"/>
      <c r="Y725" s="16"/>
    </row>
    <row r="726" customFormat="false" ht="15.75" hidden="false" customHeight="true" outlineLevel="0" collapsed="false">
      <c r="A726" s="9" t="s">
        <v>180</v>
      </c>
      <c r="B726" s="10" t="s">
        <v>26</v>
      </c>
      <c r="C726" s="11" t="s">
        <v>249</v>
      </c>
      <c r="D726" s="10" t="s">
        <v>28</v>
      </c>
      <c r="E726" s="10" t="s">
        <v>28</v>
      </c>
      <c r="F726" s="10"/>
      <c r="G726" s="10" t="n">
        <v>6</v>
      </c>
      <c r="H726" s="10" t="n">
        <v>1.2</v>
      </c>
      <c r="I726" s="12" t="n">
        <v>1</v>
      </c>
      <c r="J726" s="12" t="s">
        <v>33</v>
      </c>
      <c r="K726" s="13" t="n">
        <f aca="false">41.16</f>
        <v>41.16</v>
      </c>
      <c r="L726" s="13" t="n">
        <f aca="false">117.55</f>
        <v>117.55</v>
      </c>
      <c r="M726" s="12" t="n">
        <v>16</v>
      </c>
      <c r="N726" s="12" t="n">
        <v>28</v>
      </c>
      <c r="O726" s="12" t="n">
        <v>92.25</v>
      </c>
      <c r="P726" s="13" t="n">
        <f aca="false">25.61</f>
        <v>25.61</v>
      </c>
      <c r="Q726" s="13" t="n">
        <f aca="false">141.22</f>
        <v>141.22</v>
      </c>
      <c r="R726" s="12" t="n">
        <v>10.8</v>
      </c>
      <c r="S726" s="12" t="n">
        <v>21.6</v>
      </c>
      <c r="T726" s="12" t="n">
        <v>397</v>
      </c>
      <c r="U726" s="14" t="s">
        <v>29</v>
      </c>
      <c r="V726" s="15"/>
      <c r="W726" s="16" t="str">
        <f aca="false">A726</f>
        <v>SH</v>
      </c>
      <c r="X726" s="17" t="e">
        <f aca="false">ifs(C726="","",X726="",NOW(),TRUE(),X726)</f>
        <v>#VALUE!</v>
      </c>
      <c r="Y726" s="17" t="e">
        <f aca="false">ifs(COUNTA(K726:U729)&lt;44,"",Y726="",NOW(),TRUE(),Y726)</f>
        <v>#VALUE!</v>
      </c>
    </row>
    <row r="727" customFormat="false" ht="14.15" hidden="false" customHeight="false" outlineLevel="0" collapsed="false">
      <c r="A727" s="9"/>
      <c r="B727" s="10"/>
      <c r="C727" s="10"/>
      <c r="D727" s="10"/>
      <c r="E727" s="10"/>
      <c r="F727" s="10"/>
      <c r="G727" s="10"/>
      <c r="H727" s="10"/>
      <c r="I727" s="18" t="n">
        <v>2</v>
      </c>
      <c r="J727" s="18" t="s">
        <v>33</v>
      </c>
      <c r="K727" s="19" t="n">
        <f aca="false">37.05</f>
        <v>37.05</v>
      </c>
      <c r="L727" s="19" t="n">
        <f aca="false">100.24</f>
        <v>100.24</v>
      </c>
      <c r="M727" s="18" t="n">
        <v>12</v>
      </c>
      <c r="N727" s="18" t="n">
        <v>26</v>
      </c>
      <c r="O727" s="18" t="n">
        <v>63.3</v>
      </c>
      <c r="P727" s="19" t="n">
        <f aca="false">23.26</f>
        <v>23.26</v>
      </c>
      <c r="Q727" s="19" t="n">
        <f aca="false">130.31</f>
        <v>130.31</v>
      </c>
      <c r="R727" s="18" t="n">
        <v>8.85</v>
      </c>
      <c r="S727" s="18" t="n">
        <v>20.85</v>
      </c>
      <c r="T727" s="18" t="n">
        <v>260</v>
      </c>
      <c r="U727" s="20" t="s">
        <v>29</v>
      </c>
      <c r="V727" s="21"/>
      <c r="W727" s="16"/>
      <c r="X727" s="16"/>
      <c r="Y727" s="16"/>
    </row>
    <row r="728" customFormat="false" ht="14.15" hidden="false" customHeight="false" outlineLevel="0" collapsed="false">
      <c r="A728" s="9"/>
      <c r="B728" s="10"/>
      <c r="C728" s="10"/>
      <c r="D728" s="10"/>
      <c r="E728" s="10"/>
      <c r="F728" s="10"/>
      <c r="G728" s="10"/>
      <c r="H728" s="10"/>
      <c r="I728" s="22" t="n">
        <v>3</v>
      </c>
      <c r="J728" s="22" t="s">
        <v>33</v>
      </c>
      <c r="K728" s="23" t="n">
        <f aca="false">39.49</f>
        <v>39.49</v>
      </c>
      <c r="L728" s="23" t="n">
        <f aca="false">94.81</f>
        <v>94.81</v>
      </c>
      <c r="M728" s="22" t="n">
        <v>16</v>
      </c>
      <c r="N728" s="22" t="n">
        <v>22</v>
      </c>
      <c r="O728" s="22" t="n">
        <v>59.35</v>
      </c>
      <c r="P728" s="23" t="n">
        <f aca="false">24.03</f>
        <v>24.03</v>
      </c>
      <c r="Q728" s="23" t="n">
        <f aca="false">122.34</f>
        <v>122.34</v>
      </c>
      <c r="R728" s="22" t="n">
        <v>8.6</v>
      </c>
      <c r="S728" s="22" t="n">
        <v>19.95</v>
      </c>
      <c r="T728" s="22" t="n">
        <v>265</v>
      </c>
      <c r="U728" s="24" t="s">
        <v>29</v>
      </c>
      <c r="V728" s="15"/>
      <c r="W728" s="16"/>
      <c r="X728" s="16"/>
      <c r="Y728" s="16"/>
    </row>
    <row r="729" customFormat="false" ht="14.15" hidden="false" customHeight="false" outlineLevel="0" collapsed="false">
      <c r="A729" s="9"/>
      <c r="B729" s="10"/>
      <c r="C729" s="10"/>
      <c r="D729" s="10"/>
      <c r="E729" s="10"/>
      <c r="F729" s="10"/>
      <c r="G729" s="10"/>
      <c r="H729" s="10"/>
      <c r="I729" s="25" t="n">
        <v>4</v>
      </c>
      <c r="J729" s="25" t="s">
        <v>33</v>
      </c>
      <c r="K729" s="26" t="n">
        <f aca="false">38.38</f>
        <v>38.38</v>
      </c>
      <c r="L729" s="26" t="n">
        <f aca="false">93.71</f>
        <v>93.71</v>
      </c>
      <c r="M729" s="25" t="n">
        <v>16</v>
      </c>
      <c r="N729" s="25" t="n">
        <v>22</v>
      </c>
      <c r="O729" s="25" t="n">
        <v>59.8</v>
      </c>
      <c r="P729" s="26" t="n">
        <f aca="false">26.74</f>
        <v>26.74</v>
      </c>
      <c r="Q729" s="26" t="n">
        <f aca="false">117.22</f>
        <v>117.22</v>
      </c>
      <c r="R729" s="25" t="n">
        <v>8.25</v>
      </c>
      <c r="S729" s="25" t="n">
        <v>20.15</v>
      </c>
      <c r="T729" s="25" t="n">
        <v>262</v>
      </c>
      <c r="U729" s="27" t="s">
        <v>29</v>
      </c>
      <c r="V729" s="21"/>
      <c r="W729" s="16"/>
      <c r="X729" s="16"/>
      <c r="Y729" s="16"/>
    </row>
    <row r="730" customFormat="false" ht="15.75" hidden="false" customHeight="true" outlineLevel="0" collapsed="false">
      <c r="A730" s="9" t="s">
        <v>180</v>
      </c>
      <c r="B730" s="10" t="s">
        <v>26</v>
      </c>
      <c r="C730" s="11" t="s">
        <v>250</v>
      </c>
      <c r="D730" s="10" t="s">
        <v>28</v>
      </c>
      <c r="E730" s="10" t="s">
        <v>28</v>
      </c>
      <c r="F730" s="10"/>
      <c r="G730" s="10" t="n">
        <v>2</v>
      </c>
      <c r="H730" s="10" t="n">
        <v>0.5</v>
      </c>
      <c r="I730" s="12" t="n">
        <v>1</v>
      </c>
      <c r="J730" s="12"/>
      <c r="K730" s="13" t="n">
        <f aca="false">44.44</f>
        <v>44.44</v>
      </c>
      <c r="L730" s="13" t="n">
        <f aca="false">131.69</f>
        <v>131.69</v>
      </c>
      <c r="M730" s="12" t="n">
        <v>14</v>
      </c>
      <c r="N730" s="12" t="n">
        <v>29</v>
      </c>
      <c r="O730" s="12" t="n">
        <v>128.95</v>
      </c>
      <c r="P730" s="13" t="n">
        <f aca="false">26.26</f>
        <v>26.26</v>
      </c>
      <c r="Q730" s="13" t="n">
        <f aca="false">143.15</f>
        <v>143.15</v>
      </c>
      <c r="R730" s="12" t="n">
        <v>13.05</v>
      </c>
      <c r="S730" s="12" t="n">
        <v>29.75</v>
      </c>
      <c r="T730" s="12" t="n">
        <v>399</v>
      </c>
      <c r="U730" s="14" t="s">
        <v>58</v>
      </c>
      <c r="V730" s="15"/>
      <c r="W730" s="16" t="str">
        <f aca="false">A730</f>
        <v>SH</v>
      </c>
      <c r="X730" s="17" t="e">
        <f aca="false">ifs(C730="","",X730="",NOW(),TRUE(),X730)</f>
        <v>#VALUE!</v>
      </c>
      <c r="Y730" s="17" t="e">
        <f aca="false">ifs(COUNTA(K730:U733)&lt;44,"",Y730="",NOW(),TRUE(),Y730)</f>
        <v>#VALUE!</v>
      </c>
    </row>
    <row r="731" customFormat="false" ht="14.15" hidden="false" customHeight="false" outlineLevel="0" collapsed="false">
      <c r="A731" s="9"/>
      <c r="B731" s="10"/>
      <c r="C731" s="10"/>
      <c r="D731" s="10"/>
      <c r="E731" s="10"/>
      <c r="F731" s="10"/>
      <c r="G731" s="10"/>
      <c r="H731" s="10"/>
      <c r="I731" s="18" t="n">
        <v>2</v>
      </c>
      <c r="J731" s="18" t="s">
        <v>49</v>
      </c>
      <c r="K731" s="19" t="n">
        <f aca="false">43.36</f>
        <v>43.36</v>
      </c>
      <c r="L731" s="19" t="n">
        <f aca="false">116.48</f>
        <v>116.48</v>
      </c>
      <c r="M731" s="18" t="n">
        <v>14</v>
      </c>
      <c r="N731" s="18" t="n">
        <v>22</v>
      </c>
      <c r="O731" s="18" t="n">
        <v>107.65</v>
      </c>
      <c r="P731" s="19" t="n">
        <f aca="false">23.99</f>
        <v>23.99</v>
      </c>
      <c r="Q731" s="19" t="n">
        <f aca="false">137.02</f>
        <v>137.02</v>
      </c>
      <c r="R731" s="18" t="n">
        <v>10.6</v>
      </c>
      <c r="S731" s="18" t="n">
        <v>28.6</v>
      </c>
      <c r="T731" s="18" t="n">
        <v>341</v>
      </c>
      <c r="U731" s="20" t="s">
        <v>58</v>
      </c>
      <c r="V731" s="21"/>
      <c r="W731" s="16"/>
      <c r="X731" s="16"/>
      <c r="Y731" s="16"/>
    </row>
    <row r="732" customFormat="false" ht="14.15" hidden="false" customHeight="false" outlineLevel="0" collapsed="false">
      <c r="A732" s="9"/>
      <c r="B732" s="10"/>
      <c r="C732" s="10"/>
      <c r="D732" s="10"/>
      <c r="E732" s="10"/>
      <c r="F732" s="10"/>
      <c r="G732" s="10"/>
      <c r="H732" s="10"/>
      <c r="I732" s="22" t="n">
        <v>3</v>
      </c>
      <c r="J732" s="22" t="s">
        <v>49</v>
      </c>
      <c r="K732" s="23" t="n">
        <f aca="false">42.3</f>
        <v>42.3</v>
      </c>
      <c r="L732" s="23" t="n">
        <f aca="false">117.99</f>
        <v>117.99</v>
      </c>
      <c r="M732" s="22" t="n">
        <v>12</v>
      </c>
      <c r="N732" s="22" t="n">
        <v>27</v>
      </c>
      <c r="O732" s="22" t="n">
        <v>101.45</v>
      </c>
      <c r="P732" s="23" t="n">
        <f aca="false">25</f>
        <v>25</v>
      </c>
      <c r="Q732" s="23" t="n">
        <f aca="false">137.75</f>
        <v>137.75</v>
      </c>
      <c r="R732" s="22" t="n">
        <v>10.45</v>
      </c>
      <c r="S732" s="22" t="n">
        <v>27.2</v>
      </c>
      <c r="T732" s="22" t="n">
        <v>338</v>
      </c>
      <c r="U732" s="24" t="s">
        <v>58</v>
      </c>
      <c r="V732" s="15"/>
      <c r="W732" s="16"/>
      <c r="X732" s="16"/>
      <c r="Y732" s="16"/>
    </row>
    <row r="733" customFormat="false" ht="14.15" hidden="false" customHeight="false" outlineLevel="0" collapsed="false">
      <c r="A733" s="9"/>
      <c r="B733" s="10"/>
      <c r="C733" s="10"/>
      <c r="D733" s="10"/>
      <c r="E733" s="10"/>
      <c r="F733" s="10"/>
      <c r="G733" s="10"/>
      <c r="H733" s="10"/>
      <c r="I733" s="25" t="n">
        <v>4</v>
      </c>
      <c r="J733" s="25" t="s">
        <v>49</v>
      </c>
      <c r="K733" s="26" t="n">
        <f aca="false">43.72</f>
        <v>43.72</v>
      </c>
      <c r="L733" s="26" t="n">
        <f aca="false">96.79</f>
        <v>96.79</v>
      </c>
      <c r="M733" s="25" t="n">
        <v>12</v>
      </c>
      <c r="N733" s="25" t="n">
        <v>23</v>
      </c>
      <c r="O733" s="25" t="n">
        <v>91</v>
      </c>
      <c r="P733" s="26" t="n">
        <f aca="false">22.91</f>
        <v>22.91</v>
      </c>
      <c r="Q733" s="26" t="n">
        <f aca="false">118.25</f>
        <v>118.25</v>
      </c>
      <c r="R733" s="25" t="n">
        <v>7.85</v>
      </c>
      <c r="S733" s="25" t="n">
        <v>29.35</v>
      </c>
      <c r="T733" s="25" t="n">
        <v>284</v>
      </c>
      <c r="U733" s="27" t="s">
        <v>58</v>
      </c>
      <c r="V733" s="21"/>
      <c r="W733" s="16"/>
      <c r="X733" s="16"/>
      <c r="Y733" s="16"/>
    </row>
    <row r="734" customFormat="false" ht="15.75" hidden="false" customHeight="true" outlineLevel="0" collapsed="false">
      <c r="A734" s="9" t="s">
        <v>180</v>
      </c>
      <c r="B734" s="10" t="s">
        <v>26</v>
      </c>
      <c r="C734" s="11" t="s">
        <v>251</v>
      </c>
      <c r="D734" s="10" t="s">
        <v>28</v>
      </c>
      <c r="E734" s="10" t="s">
        <v>28</v>
      </c>
      <c r="F734" s="10"/>
      <c r="G734" s="10" t="n">
        <v>17</v>
      </c>
      <c r="H734" s="10" t="n">
        <v>3.8</v>
      </c>
      <c r="I734" s="12" t="n">
        <v>1</v>
      </c>
      <c r="J734" s="12"/>
      <c r="K734" s="13" t="n">
        <f aca="false">43.03</f>
        <v>43.03</v>
      </c>
      <c r="L734" s="13" t="n">
        <f aca="false">149.95</f>
        <v>149.95</v>
      </c>
      <c r="M734" s="12" t="n">
        <v>14</v>
      </c>
      <c r="N734" s="12" t="n">
        <v>39</v>
      </c>
      <c r="O734" s="12" t="n">
        <v>151.4</v>
      </c>
      <c r="P734" s="13" t="n">
        <f aca="false">26.18</f>
        <v>26.18</v>
      </c>
      <c r="Q734" s="13" t="n">
        <f aca="false">169.32</f>
        <v>169.32</v>
      </c>
      <c r="R734" s="12" t="n">
        <v>21.65</v>
      </c>
      <c r="S734" s="12" t="n">
        <v>24.35</v>
      </c>
      <c r="T734" s="12" t="n">
        <v>527</v>
      </c>
      <c r="U734" s="14" t="s">
        <v>29</v>
      </c>
      <c r="V734" s="15"/>
      <c r="W734" s="16" t="str">
        <f aca="false">A734</f>
        <v>SH</v>
      </c>
      <c r="X734" s="17" t="e">
        <f aca="false">ifs(C734="","",X734="",NOW(),TRUE(),X734)</f>
        <v>#VALUE!</v>
      </c>
      <c r="Y734" s="17" t="e">
        <f aca="false">ifs(COUNTA(K734:U737)&lt;44,"",Y734="",NOW(),TRUE(),Y734)</f>
        <v>#VALUE!</v>
      </c>
    </row>
    <row r="735" customFormat="false" ht="14.15" hidden="false" customHeight="false" outlineLevel="0" collapsed="false">
      <c r="A735" s="9"/>
      <c r="B735" s="10"/>
      <c r="C735" s="10"/>
      <c r="D735" s="10"/>
      <c r="E735" s="10"/>
      <c r="F735" s="10"/>
      <c r="G735" s="10"/>
      <c r="H735" s="10"/>
      <c r="I735" s="18" t="n">
        <v>2</v>
      </c>
      <c r="J735" s="18" t="s">
        <v>46</v>
      </c>
      <c r="K735" s="19" t="n">
        <f aca="false">43.83</f>
        <v>43.83</v>
      </c>
      <c r="L735" s="19" t="n">
        <f aca="false">138.08</f>
        <v>138.08</v>
      </c>
      <c r="M735" s="18" t="n">
        <v>16</v>
      </c>
      <c r="N735" s="18" t="n">
        <v>33</v>
      </c>
      <c r="O735" s="18" t="n">
        <v>144.95</v>
      </c>
      <c r="P735" s="19" t="n">
        <f aca="false">25.92</f>
        <v>25.92</v>
      </c>
      <c r="Q735" s="19" t="n">
        <f aca="false">170.96</f>
        <v>170.96</v>
      </c>
      <c r="R735" s="18" t="n">
        <v>19.5</v>
      </c>
      <c r="S735" s="18" t="n">
        <v>25.85</v>
      </c>
      <c r="T735" s="18" t="n">
        <v>487</v>
      </c>
      <c r="U735" s="20" t="s">
        <v>29</v>
      </c>
      <c r="V735" s="21"/>
      <c r="W735" s="16"/>
      <c r="X735" s="16"/>
      <c r="Y735" s="16"/>
    </row>
    <row r="736" customFormat="false" ht="14.15" hidden="false" customHeight="false" outlineLevel="0" collapsed="false">
      <c r="A736" s="9"/>
      <c r="B736" s="10"/>
      <c r="C736" s="10"/>
      <c r="D736" s="10"/>
      <c r="E736" s="10"/>
      <c r="F736" s="10"/>
      <c r="G736" s="10"/>
      <c r="H736" s="10"/>
      <c r="I736" s="22" t="n">
        <v>3</v>
      </c>
      <c r="J736" s="22" t="s">
        <v>46</v>
      </c>
      <c r="K736" s="23" t="n">
        <f aca="false">43.92</f>
        <v>43.92</v>
      </c>
      <c r="L736" s="23" t="n">
        <f aca="false">122.32</f>
        <v>122.32</v>
      </c>
      <c r="M736" s="22" t="n">
        <v>16</v>
      </c>
      <c r="N736" s="22" t="n">
        <v>27</v>
      </c>
      <c r="O736" s="22" t="n">
        <v>126.55</v>
      </c>
      <c r="P736" s="23" t="n">
        <f aca="false">26.76</f>
        <v>26.76</v>
      </c>
      <c r="Q736" s="23" t="n">
        <f aca="false">154.54</f>
        <v>154.54</v>
      </c>
      <c r="R736" s="22" t="n">
        <v>16.05</v>
      </c>
      <c r="S736" s="22" t="n">
        <v>25.05</v>
      </c>
      <c r="T736" s="22" t="n">
        <v>448</v>
      </c>
      <c r="U736" s="24" t="s">
        <v>29</v>
      </c>
      <c r="V736" s="15"/>
      <c r="W736" s="16"/>
      <c r="X736" s="16"/>
      <c r="Y736" s="16"/>
    </row>
    <row r="737" customFormat="false" ht="14.15" hidden="false" customHeight="false" outlineLevel="0" collapsed="false">
      <c r="A737" s="9"/>
      <c r="B737" s="10"/>
      <c r="C737" s="10"/>
      <c r="D737" s="10"/>
      <c r="E737" s="10"/>
      <c r="F737" s="10"/>
      <c r="G737" s="10"/>
      <c r="H737" s="10"/>
      <c r="I737" s="25" t="n">
        <v>4</v>
      </c>
      <c r="J737" s="25" t="s">
        <v>47</v>
      </c>
      <c r="K737" s="26" t="n">
        <f aca="false">43.28</f>
        <v>43.28</v>
      </c>
      <c r="L737" s="26" t="n">
        <f aca="false">129.44</f>
        <v>129.44</v>
      </c>
      <c r="M737" s="25" t="n">
        <v>16</v>
      </c>
      <c r="N737" s="25" t="n">
        <v>34</v>
      </c>
      <c r="O737" s="25" t="n">
        <v>135.65</v>
      </c>
      <c r="P737" s="26" t="n">
        <f aca="false">25.36</f>
        <v>25.36</v>
      </c>
      <c r="Q737" s="26" t="n">
        <f aca="false">152.54</f>
        <v>152.54</v>
      </c>
      <c r="R737" s="25" t="n">
        <v>19.8</v>
      </c>
      <c r="S737" s="25" t="n">
        <v>25.55</v>
      </c>
      <c r="T737" s="25" t="n">
        <v>470</v>
      </c>
      <c r="U737" s="27" t="s">
        <v>29</v>
      </c>
      <c r="V737" s="21"/>
      <c r="W737" s="16"/>
      <c r="X737" s="16"/>
      <c r="Y737" s="16"/>
    </row>
    <row r="738" customFormat="false" ht="15.75" hidden="false" customHeight="true" outlineLevel="0" collapsed="false">
      <c r="A738" s="9" t="s">
        <v>180</v>
      </c>
      <c r="B738" s="10" t="s">
        <v>26</v>
      </c>
      <c r="C738" s="11" t="s">
        <v>252</v>
      </c>
      <c r="D738" s="10" t="s">
        <v>28</v>
      </c>
      <c r="E738" s="10" t="s">
        <v>28</v>
      </c>
      <c r="F738" s="10"/>
      <c r="G738" s="10" t="n">
        <v>0</v>
      </c>
      <c r="H738" s="10"/>
      <c r="I738" s="12" t="n">
        <v>1</v>
      </c>
      <c r="J738" s="12"/>
      <c r="K738" s="13" t="n">
        <f aca="false">42.35</f>
        <v>42.35</v>
      </c>
      <c r="L738" s="13" t="n">
        <f aca="false">151.07</f>
        <v>151.07</v>
      </c>
      <c r="M738" s="12" t="n">
        <v>14</v>
      </c>
      <c r="N738" s="12" t="n">
        <v>34</v>
      </c>
      <c r="O738" s="12" t="n">
        <v>151</v>
      </c>
      <c r="P738" s="13" t="n">
        <f aca="false">27.29</f>
        <v>27.29</v>
      </c>
      <c r="Q738" s="13" t="n">
        <f aca="false">162.14</f>
        <v>162.14</v>
      </c>
      <c r="R738" s="12" t="n">
        <v>25.05</v>
      </c>
      <c r="S738" s="12" t="n">
        <v>25.6</v>
      </c>
      <c r="T738" s="12" t="n">
        <v>485</v>
      </c>
      <c r="U738" s="14" t="s">
        <v>29</v>
      </c>
      <c r="V738" s="15"/>
      <c r="W738" s="16" t="str">
        <f aca="false">A738</f>
        <v>SH</v>
      </c>
      <c r="X738" s="17" t="e">
        <f aca="false">ifs(C738="","",X738="",NOW(),TRUE(),X738)</f>
        <v>#VALUE!</v>
      </c>
      <c r="Y738" s="17" t="e">
        <f aca="false">ifs(COUNTA(K738:U741)&lt;44,"",Y738="",NOW(),TRUE(),Y738)</f>
        <v>#VALUE!</v>
      </c>
    </row>
    <row r="739" customFormat="false" ht="14.15" hidden="false" customHeight="false" outlineLevel="0" collapsed="false">
      <c r="A739" s="9"/>
      <c r="B739" s="10"/>
      <c r="C739" s="10"/>
      <c r="D739" s="10"/>
      <c r="E739" s="10"/>
      <c r="F739" s="10"/>
      <c r="G739" s="10"/>
      <c r="H739" s="10"/>
      <c r="I739" s="18" t="n">
        <v>2</v>
      </c>
      <c r="J739" s="18" t="s">
        <v>46</v>
      </c>
      <c r="K739" s="19" t="n">
        <f aca="false">40.92</f>
        <v>40.92</v>
      </c>
      <c r="L739" s="19" t="n">
        <f aca="false">101.74</f>
        <v>101.74</v>
      </c>
      <c r="M739" s="18" t="n">
        <v>14</v>
      </c>
      <c r="N739" s="18" t="n">
        <v>24</v>
      </c>
      <c r="O739" s="18" t="n">
        <v>92.95</v>
      </c>
      <c r="P739" s="19" t="n">
        <f aca="false">25.75</f>
        <v>25.75</v>
      </c>
      <c r="Q739" s="19" t="n">
        <f aca="false">129.56</f>
        <v>129.56</v>
      </c>
      <c r="R739" s="18" t="n">
        <v>17.45</v>
      </c>
      <c r="S739" s="18" t="n">
        <v>25.8</v>
      </c>
      <c r="T739" s="18" t="n">
        <v>296</v>
      </c>
      <c r="U739" s="20" t="s">
        <v>29</v>
      </c>
      <c r="V739" s="21"/>
      <c r="W739" s="16"/>
      <c r="X739" s="16"/>
      <c r="Y739" s="16"/>
    </row>
    <row r="740" customFormat="false" ht="14.15" hidden="false" customHeight="false" outlineLevel="0" collapsed="false">
      <c r="A740" s="9"/>
      <c r="B740" s="10"/>
      <c r="C740" s="10"/>
      <c r="D740" s="10"/>
      <c r="E740" s="10"/>
      <c r="F740" s="10"/>
      <c r="G740" s="10"/>
      <c r="H740" s="10"/>
      <c r="I740" s="22" t="n">
        <v>3</v>
      </c>
      <c r="J740" s="22" t="s">
        <v>49</v>
      </c>
      <c r="K740" s="23" t="n">
        <f aca="false">40.23</f>
        <v>40.23</v>
      </c>
      <c r="L740" s="23" t="n">
        <f aca="false">115.53</f>
        <v>115.53</v>
      </c>
      <c r="M740" s="22" t="n">
        <v>14</v>
      </c>
      <c r="N740" s="22" t="n">
        <v>27</v>
      </c>
      <c r="O740" s="22" t="n">
        <v>101.4</v>
      </c>
      <c r="P740" s="23" t="n">
        <f aca="false">26.15</f>
        <v>26.15</v>
      </c>
      <c r="Q740" s="23" t="n">
        <f aca="false">132.99</f>
        <v>132.99</v>
      </c>
      <c r="R740" s="22" t="n">
        <v>17.95</v>
      </c>
      <c r="S740" s="22" t="n">
        <v>23.25</v>
      </c>
      <c r="T740" s="22" t="n">
        <v>352</v>
      </c>
      <c r="U740" s="24" t="s">
        <v>29</v>
      </c>
      <c r="V740" s="15"/>
      <c r="W740" s="16"/>
      <c r="X740" s="16"/>
      <c r="Y740" s="16"/>
    </row>
    <row r="741" customFormat="false" ht="14.15" hidden="false" customHeight="false" outlineLevel="0" collapsed="false">
      <c r="A741" s="9"/>
      <c r="B741" s="10"/>
      <c r="C741" s="10"/>
      <c r="D741" s="10"/>
      <c r="E741" s="10"/>
      <c r="F741" s="10"/>
      <c r="G741" s="10"/>
      <c r="H741" s="10"/>
      <c r="I741" s="25" t="n">
        <v>4</v>
      </c>
      <c r="J741" s="25"/>
      <c r="K741" s="26" t="n">
        <f aca="false">36.25</f>
        <v>36.25</v>
      </c>
      <c r="L741" s="26" t="n">
        <f aca="false">92.71</f>
        <v>92.71</v>
      </c>
      <c r="M741" s="25" t="n">
        <v>12</v>
      </c>
      <c r="N741" s="25" t="n">
        <v>20</v>
      </c>
      <c r="O741" s="25" t="n">
        <v>66.3</v>
      </c>
      <c r="P741" s="26" t="n">
        <f aca="false">24.61</f>
        <v>24.61</v>
      </c>
      <c r="Q741" s="26" t="n">
        <f aca="false">115.12</f>
        <v>115.12</v>
      </c>
      <c r="R741" s="25" t="n">
        <v>12.75</v>
      </c>
      <c r="S741" s="25" t="n">
        <v>22.75</v>
      </c>
      <c r="T741" s="25" t="n">
        <v>241</v>
      </c>
      <c r="U741" s="27" t="s">
        <v>29</v>
      </c>
      <c r="V741" s="21"/>
      <c r="W741" s="16"/>
      <c r="X741" s="16"/>
      <c r="Y741" s="16"/>
    </row>
    <row r="742" customFormat="false" ht="15.75" hidden="false" customHeight="true" outlineLevel="0" collapsed="false">
      <c r="A742" s="9" t="s">
        <v>180</v>
      </c>
      <c r="B742" s="10" t="s">
        <v>176</v>
      </c>
      <c r="C742" s="11" t="s">
        <v>253</v>
      </c>
      <c r="D742" s="10" t="s">
        <v>28</v>
      </c>
      <c r="E742" s="10" t="s">
        <v>28</v>
      </c>
      <c r="F742" s="10"/>
      <c r="G742" s="10" t="n">
        <v>7</v>
      </c>
      <c r="H742" s="10" t="n">
        <v>0.91</v>
      </c>
      <c r="I742" s="12" t="n">
        <v>1</v>
      </c>
      <c r="J742" s="12" t="s">
        <v>49</v>
      </c>
      <c r="K742" s="13" t="n">
        <f aca="false">46.39</f>
        <v>46.39</v>
      </c>
      <c r="L742" s="13" t="n">
        <f aca="false">155.98</f>
        <v>155.98</v>
      </c>
      <c r="M742" s="12" t="n">
        <v>16</v>
      </c>
      <c r="N742" s="12" t="n">
        <v>41</v>
      </c>
      <c r="O742" s="12" t="n">
        <v>158.22</v>
      </c>
      <c r="P742" s="13" t="n">
        <f aca="false">31.27</f>
        <v>31.27</v>
      </c>
      <c r="Q742" s="13" t="n">
        <f aca="false">177.31</f>
        <v>177.31</v>
      </c>
      <c r="R742" s="12" t="n">
        <v>28.22</v>
      </c>
      <c r="S742" s="12" t="n">
        <v>18.47</v>
      </c>
      <c r="T742" s="12" t="n">
        <v>649</v>
      </c>
      <c r="U742" s="14" t="s">
        <v>29</v>
      </c>
      <c r="V742" s="15"/>
      <c r="W742" s="16" t="str">
        <f aca="false">A742</f>
        <v>SH</v>
      </c>
      <c r="X742" s="17" t="e">
        <f aca="false">ifs(C742="","",X742="",NOW(),TRUE(),X742)</f>
        <v>#VALUE!</v>
      </c>
      <c r="Y742" s="17" t="e">
        <f aca="false">ifs(COUNTA(K742:U745)&lt;44,"",Y742="",NOW(),TRUE(),Y742)</f>
        <v>#VALUE!</v>
      </c>
    </row>
    <row r="743" customFormat="false" ht="14.15" hidden="false" customHeight="false" outlineLevel="0" collapsed="false">
      <c r="A743" s="9"/>
      <c r="B743" s="10"/>
      <c r="C743" s="10"/>
      <c r="D743" s="10"/>
      <c r="E743" s="10"/>
      <c r="F743" s="10"/>
      <c r="G743" s="10"/>
      <c r="H743" s="10"/>
      <c r="I743" s="18" t="n">
        <v>2</v>
      </c>
      <c r="J743" s="18" t="s">
        <v>46</v>
      </c>
      <c r="K743" s="19" t="n">
        <f aca="false">46.14</f>
        <v>46.14</v>
      </c>
      <c r="L743" s="19" t="n">
        <f aca="false">139.75</f>
        <v>139.75</v>
      </c>
      <c r="M743" s="18" t="n">
        <v>16</v>
      </c>
      <c r="N743" s="18" t="n">
        <v>34</v>
      </c>
      <c r="O743" s="18" t="n">
        <v>134.71</v>
      </c>
      <c r="P743" s="19" t="n">
        <f aca="false">31.19</f>
        <v>31.19</v>
      </c>
      <c r="Q743" s="19" t="n">
        <f aca="false">159.42</f>
        <v>159.42</v>
      </c>
      <c r="R743" s="18" t="n">
        <v>26.35</v>
      </c>
      <c r="S743" s="18" t="n">
        <v>20.4</v>
      </c>
      <c r="T743" s="18" t="n">
        <v>547</v>
      </c>
      <c r="U743" s="20" t="s">
        <v>29</v>
      </c>
      <c r="V743" s="21"/>
      <c r="W743" s="16"/>
      <c r="X743" s="16"/>
      <c r="Y743" s="16"/>
    </row>
    <row r="744" customFormat="false" ht="14.15" hidden="false" customHeight="false" outlineLevel="0" collapsed="false">
      <c r="A744" s="9"/>
      <c r="B744" s="10"/>
      <c r="C744" s="10"/>
      <c r="D744" s="10"/>
      <c r="E744" s="10"/>
      <c r="F744" s="10"/>
      <c r="G744" s="10"/>
      <c r="H744" s="10"/>
      <c r="I744" s="22" t="n">
        <v>3</v>
      </c>
      <c r="J744" s="22" t="s">
        <v>46</v>
      </c>
      <c r="K744" s="23" t="n">
        <f aca="false">43.63</f>
        <v>43.63</v>
      </c>
      <c r="L744" s="23" t="n">
        <f aca="false">112.25</f>
        <v>112.25</v>
      </c>
      <c r="M744" s="22" t="n">
        <v>14</v>
      </c>
      <c r="N744" s="22" t="n">
        <v>28</v>
      </c>
      <c r="O744" s="22" t="n">
        <v>97.32</v>
      </c>
      <c r="P744" s="23" t="n">
        <f aca="false">29.97</f>
        <v>29.97</v>
      </c>
      <c r="Q744" s="23" t="n">
        <f aca="false">133.97</f>
        <v>133.97</v>
      </c>
      <c r="R744" s="22" t="n">
        <v>18.1</v>
      </c>
      <c r="S744" s="22" t="n">
        <v>20.55</v>
      </c>
      <c r="T744" s="22" t="n">
        <v>379</v>
      </c>
      <c r="U744" s="24" t="s">
        <v>29</v>
      </c>
      <c r="V744" s="15"/>
      <c r="W744" s="16"/>
      <c r="X744" s="16"/>
      <c r="Y744" s="16"/>
    </row>
    <row r="745" customFormat="false" ht="14.15" hidden="false" customHeight="false" outlineLevel="0" collapsed="false">
      <c r="A745" s="9"/>
      <c r="B745" s="10"/>
      <c r="C745" s="10"/>
      <c r="D745" s="10"/>
      <c r="E745" s="10"/>
      <c r="F745" s="10"/>
      <c r="G745" s="10"/>
      <c r="H745" s="10"/>
      <c r="I745" s="25" t="n">
        <v>4</v>
      </c>
      <c r="J745" s="25" t="s">
        <v>49</v>
      </c>
      <c r="K745" s="26" t="n">
        <f aca="false">41.44</f>
        <v>41.44</v>
      </c>
      <c r="L745" s="26" t="n">
        <f aca="false">103.38</f>
        <v>103.38</v>
      </c>
      <c r="M745" s="25" t="n">
        <v>14</v>
      </c>
      <c r="N745" s="25" t="n">
        <v>25</v>
      </c>
      <c r="O745" s="25" t="n">
        <v>88.5</v>
      </c>
      <c r="P745" s="26" t="n">
        <f aca="false">30.21</f>
        <v>30.21</v>
      </c>
      <c r="Q745" s="26" t="n">
        <f aca="false">126.19</f>
        <v>126.19</v>
      </c>
      <c r="R745" s="25" t="n">
        <v>16.71</v>
      </c>
      <c r="S745" s="25" t="n">
        <v>21.29</v>
      </c>
      <c r="T745" s="25" t="n">
        <v>341</v>
      </c>
      <c r="U745" s="27" t="s">
        <v>29</v>
      </c>
      <c r="V745" s="21"/>
      <c r="W745" s="16"/>
      <c r="X745" s="16"/>
      <c r="Y745" s="16"/>
    </row>
    <row r="746" customFormat="false" ht="15.75" hidden="false" customHeight="true" outlineLevel="0" collapsed="false">
      <c r="A746" s="9" t="s">
        <v>180</v>
      </c>
      <c r="B746" s="10" t="s">
        <v>176</v>
      </c>
      <c r="C746" s="11" t="s">
        <v>254</v>
      </c>
      <c r="D746" s="10" t="s">
        <v>28</v>
      </c>
      <c r="E746" s="10" t="s">
        <v>28</v>
      </c>
      <c r="F746" s="10"/>
      <c r="G746" s="10" t="n">
        <v>20</v>
      </c>
      <c r="H746" s="10" t="n">
        <v>5.02</v>
      </c>
      <c r="I746" s="12" t="n">
        <v>1</v>
      </c>
      <c r="J746" s="12" t="s">
        <v>49</v>
      </c>
      <c r="K746" s="13" t="n">
        <f aca="false">45.93</f>
        <v>45.93</v>
      </c>
      <c r="L746" s="13" t="n">
        <f aca="false">167.85</f>
        <v>167.85</v>
      </c>
      <c r="M746" s="12" t="n">
        <v>14</v>
      </c>
      <c r="N746" s="12" t="n">
        <v>41</v>
      </c>
      <c r="O746" s="12" t="n">
        <v>194.79</v>
      </c>
      <c r="P746" s="13" t="n">
        <f aca="false">27.41</f>
        <v>27.41</v>
      </c>
      <c r="Q746" s="13" t="n">
        <f aca="false">177.68</f>
        <v>177.68</v>
      </c>
      <c r="R746" s="12" t="n">
        <v>25.68</v>
      </c>
      <c r="S746" s="12" t="n">
        <v>28.31</v>
      </c>
      <c r="T746" s="12" t="n">
        <v>569</v>
      </c>
      <c r="U746" s="14" t="s">
        <v>58</v>
      </c>
      <c r="V746" s="15"/>
      <c r="W746" s="16" t="str">
        <f aca="false">A746</f>
        <v>SH</v>
      </c>
      <c r="X746" s="17" t="e">
        <f aca="false">ifs(C746="","",X746="",NOW(),TRUE(),X746)</f>
        <v>#VALUE!</v>
      </c>
      <c r="Y746" s="17" t="e">
        <f aca="false">ifs(COUNTA(K746:U749)&lt;44,"",Y746="",NOW(),TRUE(),Y746)</f>
        <v>#VALUE!</v>
      </c>
    </row>
    <row r="747" customFormat="false" ht="14.15" hidden="false" customHeight="false" outlineLevel="0" collapsed="false">
      <c r="A747" s="9"/>
      <c r="B747" s="10"/>
      <c r="C747" s="10"/>
      <c r="D747" s="10"/>
      <c r="E747" s="10"/>
      <c r="F747" s="10"/>
      <c r="G747" s="10"/>
      <c r="H747" s="10"/>
      <c r="I747" s="18" t="n">
        <v>2</v>
      </c>
      <c r="J747" s="18" t="s">
        <v>49</v>
      </c>
      <c r="K747" s="19" t="n">
        <f aca="false">42.12</f>
        <v>42.12</v>
      </c>
      <c r="L747" s="19" t="n">
        <f aca="false">111.12</f>
        <v>111.12</v>
      </c>
      <c r="M747" s="18" t="n">
        <v>14</v>
      </c>
      <c r="N747" s="18" t="n">
        <v>26</v>
      </c>
      <c r="O747" s="18" t="n">
        <v>104.97</v>
      </c>
      <c r="P747" s="19" t="n">
        <f aca="false">25.4</f>
        <v>25.4</v>
      </c>
      <c r="Q747" s="19" t="n">
        <f aca="false">139.29</f>
        <v>139.29</v>
      </c>
      <c r="R747" s="18" t="n">
        <v>12.69</v>
      </c>
      <c r="S747" s="18" t="n">
        <v>25.1</v>
      </c>
      <c r="T747" s="18" t="n">
        <v>351</v>
      </c>
      <c r="U747" s="20" t="s">
        <v>58</v>
      </c>
      <c r="V747" s="21"/>
      <c r="W747" s="16"/>
      <c r="X747" s="16"/>
      <c r="Y747" s="16"/>
    </row>
    <row r="748" customFormat="false" ht="14.15" hidden="false" customHeight="false" outlineLevel="0" collapsed="false">
      <c r="A748" s="9"/>
      <c r="B748" s="10"/>
      <c r="C748" s="10"/>
      <c r="D748" s="10"/>
      <c r="E748" s="10"/>
      <c r="F748" s="10"/>
      <c r="G748" s="10"/>
      <c r="H748" s="10"/>
      <c r="I748" s="22" t="n">
        <v>3</v>
      </c>
      <c r="J748" s="22" t="s">
        <v>49</v>
      </c>
      <c r="K748" s="23" t="n">
        <f aca="false">42.86</f>
        <v>42.86</v>
      </c>
      <c r="L748" s="23" t="n">
        <f aca="false">100.54</f>
        <v>100.54</v>
      </c>
      <c r="M748" s="22" t="n">
        <v>16</v>
      </c>
      <c r="N748" s="22" t="n">
        <v>23</v>
      </c>
      <c r="O748" s="22" t="n">
        <v>104.34</v>
      </c>
      <c r="P748" s="23" t="n">
        <f aca="false">25.77</f>
        <v>25.77</v>
      </c>
      <c r="Q748" s="23" t="n">
        <f aca="false">115.07</f>
        <v>115.07</v>
      </c>
      <c r="R748" s="22" t="n">
        <v>11.27</v>
      </c>
      <c r="S748" s="22" t="n">
        <v>24.69</v>
      </c>
      <c r="T748" s="22" t="n">
        <v>364</v>
      </c>
      <c r="U748" s="24" t="s">
        <v>58</v>
      </c>
      <c r="V748" s="15"/>
      <c r="W748" s="16"/>
      <c r="X748" s="16"/>
      <c r="Y748" s="16"/>
    </row>
    <row r="749" customFormat="false" ht="14.15" hidden="false" customHeight="false" outlineLevel="0" collapsed="false">
      <c r="A749" s="9"/>
      <c r="B749" s="10"/>
      <c r="C749" s="10"/>
      <c r="D749" s="10"/>
      <c r="E749" s="10"/>
      <c r="F749" s="10"/>
      <c r="G749" s="10"/>
      <c r="H749" s="10"/>
      <c r="I749" s="25" t="n">
        <v>4</v>
      </c>
      <c r="J749" s="25" t="s">
        <v>49</v>
      </c>
      <c r="K749" s="26" t="n">
        <f aca="false">42.73</f>
        <v>42.73</v>
      </c>
      <c r="L749" s="26" t="n">
        <f aca="false">88.34</f>
        <v>88.34</v>
      </c>
      <c r="M749" s="25" t="n">
        <v>16</v>
      </c>
      <c r="N749" s="25" t="n">
        <v>24</v>
      </c>
      <c r="O749" s="25" t="n">
        <v>96.38</v>
      </c>
      <c r="P749" s="26" t="n">
        <f aca="false">23.57</f>
        <v>23.57</v>
      </c>
      <c r="Q749" s="26" t="n">
        <f aca="false">111.83</f>
        <v>111.83</v>
      </c>
      <c r="R749" s="25" t="n">
        <v>11.02</v>
      </c>
      <c r="S749" s="25" t="n">
        <v>25</v>
      </c>
      <c r="T749" s="25" t="n">
        <v>329</v>
      </c>
      <c r="U749" s="27" t="s">
        <v>58</v>
      </c>
      <c r="V749" s="21"/>
      <c r="W749" s="16"/>
      <c r="X749" s="16"/>
      <c r="Y749" s="16"/>
    </row>
    <row r="750" customFormat="false" ht="15.75" hidden="false" customHeight="true" outlineLevel="0" collapsed="false">
      <c r="A750" s="9" t="s">
        <v>25</v>
      </c>
      <c r="B750" s="10" t="s">
        <v>26</v>
      </c>
      <c r="C750" s="11" t="s">
        <v>255</v>
      </c>
      <c r="D750" s="10" t="s">
        <v>28</v>
      </c>
      <c r="E750" s="10" t="s">
        <v>28</v>
      </c>
      <c r="F750" s="10"/>
      <c r="G750" s="10" t="n">
        <v>12</v>
      </c>
      <c r="H750" s="10" t="n">
        <v>3.45</v>
      </c>
      <c r="I750" s="12" t="n">
        <v>1</v>
      </c>
      <c r="J750" s="12"/>
      <c r="K750" s="13" t="n">
        <f aca="false">42.95</f>
        <v>42.95</v>
      </c>
      <c r="L750" s="13" t="n">
        <f aca="false">152.59</f>
        <v>152.59</v>
      </c>
      <c r="M750" s="12" t="n">
        <v>14</v>
      </c>
      <c r="N750" s="12" t="n">
        <v>36</v>
      </c>
      <c r="O750" s="12" t="n">
        <v>150</v>
      </c>
      <c r="P750" s="13" t="n">
        <f aca="false">25.13</f>
        <v>25.13</v>
      </c>
      <c r="Q750" s="13" t="n">
        <f aca="false">162.27</f>
        <v>162.27</v>
      </c>
      <c r="R750" s="12" t="n">
        <v>17.35</v>
      </c>
      <c r="S750" s="12" t="n">
        <v>29.2</v>
      </c>
      <c r="T750" s="12" t="n">
        <v>473</v>
      </c>
      <c r="U750" s="14" t="s">
        <v>29</v>
      </c>
      <c r="V750" s="15"/>
      <c r="W750" s="16" t="str">
        <f aca="false">A750</f>
        <v>KL</v>
      </c>
      <c r="X750" s="17" t="e">
        <f aca="false">ifs(C750="","",X750="",NOW(),TRUE(),X750)</f>
        <v>#VALUE!</v>
      </c>
      <c r="Y750" s="17" t="e">
        <f aca="false">ifs(COUNTA(K750:U753)&lt;44,"",Y750="",NOW(),TRUE(),Y750)</f>
        <v>#VALUE!</v>
      </c>
    </row>
    <row r="751" customFormat="false" ht="14.15" hidden="false" customHeight="false" outlineLevel="0" collapsed="false">
      <c r="A751" s="9"/>
      <c r="B751" s="10"/>
      <c r="C751" s="10"/>
      <c r="D751" s="10"/>
      <c r="E751" s="10"/>
      <c r="F751" s="10"/>
      <c r="G751" s="10"/>
      <c r="H751" s="10"/>
      <c r="I751" s="18" t="n">
        <v>2</v>
      </c>
      <c r="J751" s="18"/>
      <c r="K751" s="19" t="n">
        <f aca="false">42.78</f>
        <v>42.78</v>
      </c>
      <c r="L751" s="19" t="n">
        <f aca="false">155.14</f>
        <v>155.14</v>
      </c>
      <c r="M751" s="18" t="n">
        <v>14</v>
      </c>
      <c r="N751" s="18" t="n">
        <v>34</v>
      </c>
      <c r="O751" s="18" t="n">
        <v>150.9</v>
      </c>
      <c r="P751" s="19" t="n">
        <f aca="false">26.15</f>
        <v>26.15</v>
      </c>
      <c r="Q751" s="19" t="n">
        <f aca="false">158.47</f>
        <v>158.47</v>
      </c>
      <c r="R751" s="18" t="n">
        <v>18.65</v>
      </c>
      <c r="S751" s="18" t="n">
        <v>30.5</v>
      </c>
      <c r="T751" s="18" t="n">
        <v>447</v>
      </c>
      <c r="U751" s="20" t="s">
        <v>29</v>
      </c>
      <c r="V751" s="21"/>
      <c r="W751" s="16"/>
      <c r="X751" s="16"/>
      <c r="Y751" s="16"/>
    </row>
    <row r="752" customFormat="false" ht="14.15" hidden="false" customHeight="false" outlineLevel="0" collapsed="false">
      <c r="A752" s="9"/>
      <c r="B752" s="10"/>
      <c r="C752" s="10"/>
      <c r="D752" s="10"/>
      <c r="E752" s="10"/>
      <c r="F752" s="10"/>
      <c r="G752" s="10"/>
      <c r="H752" s="10"/>
      <c r="I752" s="22" t="n">
        <v>3</v>
      </c>
      <c r="J752" s="22"/>
      <c r="K752" s="23" t="n">
        <f aca="false">42.47</f>
        <v>42.47</v>
      </c>
      <c r="L752" s="23" t="n">
        <f aca="false">149.45</f>
        <v>149.45</v>
      </c>
      <c r="M752" s="22" t="n">
        <v>14</v>
      </c>
      <c r="N752" s="22" t="n">
        <v>34</v>
      </c>
      <c r="O752" s="22" t="n">
        <v>145.1</v>
      </c>
      <c r="P752" s="23" t="n">
        <f aca="false">24.72</f>
        <v>24.72</v>
      </c>
      <c r="Q752" s="23" t="n">
        <f aca="false">159.82</f>
        <v>159.82</v>
      </c>
      <c r="R752" s="22" t="n">
        <v>15.5</v>
      </c>
      <c r="S752" s="22" t="n">
        <v>27.55</v>
      </c>
      <c r="T752" s="22" t="n">
        <v>453</v>
      </c>
      <c r="U752" s="24" t="s">
        <v>29</v>
      </c>
      <c r="V752" s="15"/>
      <c r="W752" s="16"/>
      <c r="X752" s="16"/>
      <c r="Y752" s="16"/>
    </row>
    <row r="753" customFormat="false" ht="14.15" hidden="false" customHeight="false" outlineLevel="0" collapsed="false">
      <c r="A753" s="9"/>
      <c r="B753" s="10"/>
      <c r="C753" s="10"/>
      <c r="D753" s="10"/>
      <c r="E753" s="10"/>
      <c r="F753" s="10"/>
      <c r="G753" s="10"/>
      <c r="H753" s="10"/>
      <c r="I753" s="25" t="n">
        <v>4</v>
      </c>
      <c r="J753" s="25"/>
      <c r="K753" s="26" t="n">
        <f aca="false">40.63</f>
        <v>40.63</v>
      </c>
      <c r="L753" s="26" t="n">
        <f aca="false">139.89</f>
        <v>139.89</v>
      </c>
      <c r="M753" s="25" t="n">
        <v>14</v>
      </c>
      <c r="N753" s="25" t="n">
        <v>32</v>
      </c>
      <c r="O753" s="25" t="n">
        <v>127.05</v>
      </c>
      <c r="P753" s="26" t="n">
        <f aca="false">23.61</f>
        <v>23.61</v>
      </c>
      <c r="Q753" s="26" t="n">
        <f aca="false">160.75</f>
        <v>160.75</v>
      </c>
      <c r="R753" s="25" t="n">
        <v>13.5</v>
      </c>
      <c r="S753" s="25" t="n">
        <v>27.25</v>
      </c>
      <c r="T753" s="25" t="n">
        <v>435</v>
      </c>
      <c r="U753" s="27" t="s">
        <v>29</v>
      </c>
      <c r="V753" s="21"/>
      <c r="W753" s="16"/>
      <c r="X753" s="16"/>
      <c r="Y753" s="16"/>
    </row>
    <row r="754" customFormat="false" ht="15.75" hidden="false" customHeight="true" outlineLevel="0" collapsed="false">
      <c r="A754" s="9" t="s">
        <v>180</v>
      </c>
      <c r="B754" s="10" t="s">
        <v>176</v>
      </c>
      <c r="C754" s="11" t="s">
        <v>256</v>
      </c>
      <c r="D754" s="10" t="s">
        <v>28</v>
      </c>
      <c r="E754" s="10" t="s">
        <v>28</v>
      </c>
      <c r="F754" s="10"/>
      <c r="G754" s="10" t="n">
        <v>4</v>
      </c>
      <c r="H754" s="10" t="n">
        <v>1.49</v>
      </c>
      <c r="I754" s="12" t="n">
        <v>1</v>
      </c>
      <c r="J754" s="12"/>
      <c r="K754" s="13" t="n">
        <f aca="false">42.69</f>
        <v>42.69</v>
      </c>
      <c r="L754" s="13" t="n">
        <f aca="false">150.12</f>
        <v>150.12</v>
      </c>
      <c r="M754" s="12" t="n">
        <v>14</v>
      </c>
      <c r="N754" s="12" t="n">
        <v>40</v>
      </c>
      <c r="O754" s="12" t="n">
        <v>152.19</v>
      </c>
      <c r="P754" s="13" t="n">
        <f aca="false">26.76</f>
        <v>26.76</v>
      </c>
      <c r="Q754" s="13" t="n">
        <f aca="false">163.2</f>
        <v>163.2</v>
      </c>
      <c r="R754" s="12" t="n">
        <v>18.57</v>
      </c>
      <c r="S754" s="12" t="n">
        <v>24.18</v>
      </c>
      <c r="T754" s="12" t="n">
        <v>525</v>
      </c>
      <c r="U754" s="14" t="s">
        <v>29</v>
      </c>
      <c r="V754" s="15"/>
      <c r="W754" s="16" t="str">
        <f aca="false">A754</f>
        <v>SH</v>
      </c>
      <c r="X754" s="17" t="e">
        <f aca="false">ifs(C754="","",X754="",NOW(),TRUE(),X754)</f>
        <v>#VALUE!</v>
      </c>
      <c r="Y754" s="17" t="e">
        <f aca="false">ifs(COUNTA(K754:U757)&lt;44,"",Y754="",NOW(),TRUE(),Y754)</f>
        <v>#VALUE!</v>
      </c>
    </row>
    <row r="755" customFormat="false" ht="14.15" hidden="false" customHeight="false" outlineLevel="0" collapsed="false">
      <c r="A755" s="9"/>
      <c r="B755" s="10"/>
      <c r="C755" s="10"/>
      <c r="D755" s="10"/>
      <c r="E755" s="10"/>
      <c r="F755" s="10"/>
      <c r="G755" s="10"/>
      <c r="H755" s="10"/>
      <c r="I755" s="18" t="n">
        <v>2</v>
      </c>
      <c r="J755" s="18" t="s">
        <v>49</v>
      </c>
      <c r="K755" s="19" t="n">
        <f aca="false">42.12</f>
        <v>42.12</v>
      </c>
      <c r="L755" s="19" t="n">
        <f aca="false">118.81</f>
        <v>118.81</v>
      </c>
      <c r="M755" s="18" t="n">
        <v>16</v>
      </c>
      <c r="N755" s="18" t="n">
        <v>28</v>
      </c>
      <c r="O755" s="18" t="n">
        <v>114.6</v>
      </c>
      <c r="P755" s="19" t="n">
        <f aca="false">25.61</f>
        <v>25.61</v>
      </c>
      <c r="Q755" s="19" t="n">
        <f aca="false">127.62</f>
        <v>127.62</v>
      </c>
      <c r="R755" s="18" t="n">
        <v>14.8</v>
      </c>
      <c r="S755" s="18" t="n">
        <v>22.47</v>
      </c>
      <c r="T755" s="18" t="n">
        <v>432</v>
      </c>
      <c r="U755" s="20" t="s">
        <v>29</v>
      </c>
      <c r="V755" s="21"/>
      <c r="W755" s="16"/>
      <c r="X755" s="16"/>
      <c r="Y755" s="16"/>
    </row>
    <row r="756" customFormat="false" ht="14.15" hidden="false" customHeight="false" outlineLevel="0" collapsed="false">
      <c r="A756" s="9"/>
      <c r="B756" s="10"/>
      <c r="C756" s="10"/>
      <c r="D756" s="10"/>
      <c r="E756" s="10"/>
      <c r="F756" s="10"/>
      <c r="G756" s="10"/>
      <c r="H756" s="10"/>
      <c r="I756" s="22" t="n">
        <v>3</v>
      </c>
      <c r="J756" s="22" t="s">
        <v>49</v>
      </c>
      <c r="K756" s="23" t="n">
        <f aca="false">40.17</f>
        <v>40.17</v>
      </c>
      <c r="L756" s="23" t="n">
        <f aca="false">100.28</f>
        <v>100.28</v>
      </c>
      <c r="M756" s="22" t="n">
        <v>12</v>
      </c>
      <c r="N756" s="22" t="n">
        <v>25</v>
      </c>
      <c r="O756" s="22" t="n">
        <v>90.94</v>
      </c>
      <c r="P756" s="23" t="n">
        <f aca="false">22.57</f>
        <v>22.57</v>
      </c>
      <c r="Q756" s="23" t="n">
        <f aca="false">124.32</f>
        <v>124.32</v>
      </c>
      <c r="R756" s="22" t="n">
        <v>11.68</v>
      </c>
      <c r="S756" s="22" t="n">
        <v>24.4</v>
      </c>
      <c r="T756" s="22" t="n">
        <v>302</v>
      </c>
      <c r="U756" s="24" t="s">
        <v>29</v>
      </c>
      <c r="V756" s="15"/>
      <c r="W756" s="16"/>
      <c r="X756" s="16"/>
      <c r="Y756" s="16"/>
    </row>
    <row r="757" customFormat="false" ht="14.15" hidden="false" customHeight="false" outlineLevel="0" collapsed="false">
      <c r="A757" s="9"/>
      <c r="B757" s="10"/>
      <c r="C757" s="10"/>
      <c r="D757" s="10"/>
      <c r="E757" s="10"/>
      <c r="F757" s="10"/>
      <c r="G757" s="10"/>
      <c r="H757" s="10"/>
      <c r="I757" s="25" t="n">
        <v>4</v>
      </c>
      <c r="J757" s="25" t="s">
        <v>49</v>
      </c>
      <c r="K757" s="26" t="n">
        <f aca="false">45.72</f>
        <v>45.72</v>
      </c>
      <c r="L757" s="26" t="n">
        <f aca="false">91.33</f>
        <v>91.33</v>
      </c>
      <c r="M757" s="25" t="n">
        <v>14</v>
      </c>
      <c r="N757" s="25" t="n">
        <v>18</v>
      </c>
      <c r="O757" s="25" t="n">
        <v>103.49</v>
      </c>
      <c r="P757" s="26" t="n">
        <f aca="false">25.89</f>
        <v>25.89</v>
      </c>
      <c r="Q757" s="26" t="n">
        <f aca="false">115.18</f>
        <v>115.18</v>
      </c>
      <c r="R757" s="25" t="n">
        <v>18.6</v>
      </c>
      <c r="S757" s="25" t="n">
        <v>36.66</v>
      </c>
      <c r="T757" s="25" t="n">
        <v>230</v>
      </c>
      <c r="U757" s="27" t="s">
        <v>29</v>
      </c>
      <c r="V757" s="21"/>
      <c r="W757" s="16"/>
      <c r="X757" s="16"/>
      <c r="Y757" s="16"/>
    </row>
    <row r="758" customFormat="false" ht="15.75" hidden="false" customHeight="true" outlineLevel="0" collapsed="false">
      <c r="A758" s="9" t="s">
        <v>180</v>
      </c>
      <c r="B758" s="10" t="s">
        <v>176</v>
      </c>
      <c r="C758" s="11" t="s">
        <v>257</v>
      </c>
      <c r="D758" s="10" t="s">
        <v>28</v>
      </c>
      <c r="E758" s="10" t="s">
        <v>28</v>
      </c>
      <c r="F758" s="10"/>
      <c r="G758" s="10" t="n">
        <v>21</v>
      </c>
      <c r="H758" s="10" t="n">
        <v>5.48</v>
      </c>
      <c r="I758" s="12" t="n">
        <v>1</v>
      </c>
      <c r="J758" s="12" t="s">
        <v>46</v>
      </c>
      <c r="K758" s="13" t="n">
        <f aca="false">50.42</f>
        <v>50.42</v>
      </c>
      <c r="L758" s="13" t="n">
        <f aca="false">171.42</f>
        <v>171.42</v>
      </c>
      <c r="M758" s="12" t="n">
        <v>16</v>
      </c>
      <c r="N758" s="12" t="n">
        <v>38</v>
      </c>
      <c r="O758" s="12" t="n">
        <v>221.05</v>
      </c>
      <c r="P758" s="13" t="n">
        <f aca="false">30.27</f>
        <v>30.27</v>
      </c>
      <c r="Q758" s="13" t="n">
        <f aca="false">186.89</f>
        <v>186.89</v>
      </c>
      <c r="R758" s="12" t="n">
        <v>28.67</v>
      </c>
      <c r="S758" s="12" t="n">
        <v>29.63</v>
      </c>
      <c r="T758" s="12" t="n">
        <v>625</v>
      </c>
      <c r="U758" s="14" t="s">
        <v>29</v>
      </c>
      <c r="V758" s="15"/>
      <c r="W758" s="16" t="str">
        <f aca="false">A758</f>
        <v>SH</v>
      </c>
      <c r="X758" s="17" t="e">
        <f aca="false">ifs(C758="","",X758="",NOW(),TRUE(),X758)</f>
        <v>#VALUE!</v>
      </c>
      <c r="Y758" s="17" t="e">
        <f aca="false">ifs(COUNTA(K758:U761)&lt;44,"",Y758="",NOW(),TRUE(),Y758)</f>
        <v>#VALUE!</v>
      </c>
    </row>
    <row r="759" customFormat="false" ht="14.15" hidden="false" customHeight="false" outlineLevel="0" collapsed="false">
      <c r="A759" s="9"/>
      <c r="B759" s="10"/>
      <c r="C759" s="10"/>
      <c r="D759" s="10"/>
      <c r="E759" s="10"/>
      <c r="F759" s="10"/>
      <c r="G759" s="10"/>
      <c r="H759" s="10"/>
      <c r="I759" s="18" t="n">
        <v>2</v>
      </c>
      <c r="J759" s="18" t="s">
        <v>49</v>
      </c>
      <c r="K759" s="19" t="n">
        <f aca="false">48.97</f>
        <v>48.97</v>
      </c>
      <c r="L759" s="19" t="n">
        <f aca="false">153.26</f>
        <v>153.26</v>
      </c>
      <c r="M759" s="18" t="n">
        <v>14</v>
      </c>
      <c r="N759" s="18" t="n">
        <v>36</v>
      </c>
      <c r="O759" s="18" t="n">
        <v>168.13</v>
      </c>
      <c r="P759" s="19" t="n">
        <f aca="false">31.08</f>
        <v>31.08</v>
      </c>
      <c r="Q759" s="19" t="n">
        <f aca="false">172.78</f>
        <v>172.78</v>
      </c>
      <c r="R759" s="18" t="n">
        <v>23.09</v>
      </c>
      <c r="S759" s="18" t="n">
        <v>26.71</v>
      </c>
      <c r="T759" s="18" t="n">
        <v>497</v>
      </c>
      <c r="U759" s="20" t="s">
        <v>97</v>
      </c>
      <c r="V759" s="21"/>
      <c r="W759" s="16"/>
      <c r="X759" s="16"/>
      <c r="Y759" s="16"/>
    </row>
    <row r="760" customFormat="false" ht="14.15" hidden="false" customHeight="false" outlineLevel="0" collapsed="false">
      <c r="A760" s="9"/>
      <c r="B760" s="10"/>
      <c r="C760" s="10"/>
      <c r="D760" s="10"/>
      <c r="E760" s="10"/>
      <c r="F760" s="10"/>
      <c r="G760" s="10"/>
      <c r="H760" s="10"/>
      <c r="I760" s="22" t="n">
        <v>3</v>
      </c>
      <c r="J760" s="22" t="s">
        <v>49</v>
      </c>
      <c r="K760" s="23" t="n">
        <f aca="false">48.94</f>
        <v>48.94</v>
      </c>
      <c r="L760" s="23" t="n">
        <f aca="false">137.38</f>
        <v>137.38</v>
      </c>
      <c r="M760" s="22" t="n">
        <v>16</v>
      </c>
      <c r="N760" s="22" t="n">
        <v>31</v>
      </c>
      <c r="O760" s="22" t="n">
        <v>160.62</v>
      </c>
      <c r="P760" s="23" t="n">
        <f aca="false">30.33</f>
        <v>30.33</v>
      </c>
      <c r="Q760" s="23" t="n">
        <f aca="false">167.65</f>
        <v>167.65</v>
      </c>
      <c r="R760" s="22" t="n">
        <v>20.2</v>
      </c>
      <c r="S760" s="22" t="n">
        <v>26.91</v>
      </c>
      <c r="T760" s="22" t="n">
        <v>504</v>
      </c>
      <c r="U760" s="24" t="s">
        <v>97</v>
      </c>
      <c r="V760" s="15"/>
      <c r="W760" s="16"/>
      <c r="X760" s="16"/>
      <c r="Y760" s="16"/>
    </row>
    <row r="761" customFormat="false" ht="14.15" hidden="false" customHeight="false" outlineLevel="0" collapsed="false">
      <c r="A761" s="9"/>
      <c r="B761" s="10"/>
      <c r="C761" s="10"/>
      <c r="D761" s="10"/>
      <c r="E761" s="10"/>
      <c r="F761" s="10"/>
      <c r="G761" s="10"/>
      <c r="H761" s="10"/>
      <c r="I761" s="25" t="n">
        <v>4</v>
      </c>
      <c r="J761" s="25" t="s">
        <v>46</v>
      </c>
      <c r="K761" s="26" t="n">
        <f aca="false">47.23</f>
        <v>47.23</v>
      </c>
      <c r="L761" s="26" t="n">
        <f aca="false">140.71</f>
        <v>140.71</v>
      </c>
      <c r="M761" s="25" t="n">
        <v>14</v>
      </c>
      <c r="N761" s="25" t="n">
        <v>33</v>
      </c>
      <c r="O761" s="25" t="n">
        <v>141.81</v>
      </c>
      <c r="P761" s="26" t="n">
        <f aca="false">28.34</f>
        <v>28.34</v>
      </c>
      <c r="Q761" s="26" t="n">
        <f aca="false">149.96</f>
        <v>149.96</v>
      </c>
      <c r="R761" s="25" t="n">
        <v>18.52</v>
      </c>
      <c r="S761" s="25" t="n">
        <v>28.96</v>
      </c>
      <c r="T761" s="25" t="n">
        <v>434</v>
      </c>
      <c r="U761" s="27" t="s">
        <v>97</v>
      </c>
      <c r="V761" s="21"/>
      <c r="W761" s="16"/>
      <c r="X761" s="16"/>
      <c r="Y761" s="16"/>
    </row>
    <row r="762" customFormat="false" ht="15.75" hidden="false" customHeight="true" outlineLevel="0" collapsed="false">
      <c r="A762" s="9" t="s">
        <v>25</v>
      </c>
      <c r="B762" s="10" t="s">
        <v>26</v>
      </c>
      <c r="C762" s="11" t="s">
        <v>258</v>
      </c>
      <c r="D762" s="10" t="s">
        <v>28</v>
      </c>
      <c r="E762" s="10" t="s">
        <v>28</v>
      </c>
      <c r="F762" s="10"/>
      <c r="G762" s="10" t="n">
        <v>3</v>
      </c>
      <c r="H762" s="10" t="n">
        <v>0.85</v>
      </c>
      <c r="I762" s="12" t="n">
        <v>1</v>
      </c>
      <c r="J762" s="12"/>
      <c r="K762" s="13" t="n">
        <f aca="false">46.48</f>
        <v>46.48</v>
      </c>
      <c r="L762" s="13" t="n">
        <f aca="false">151.28</f>
        <v>151.28</v>
      </c>
      <c r="M762" s="12" t="n">
        <v>14</v>
      </c>
      <c r="N762" s="12" t="n">
        <v>36</v>
      </c>
      <c r="O762" s="12" t="n">
        <v>166.55</v>
      </c>
      <c r="P762" s="13" t="n">
        <f aca="false">26.65</f>
        <v>26.65</v>
      </c>
      <c r="Q762" s="13" t="n">
        <f aca="false">166.61</f>
        <v>166.61</v>
      </c>
      <c r="R762" s="12" t="n">
        <v>22.2</v>
      </c>
      <c r="S762" s="12" t="n">
        <v>29.7</v>
      </c>
      <c r="T762" s="12" t="n">
        <v>499</v>
      </c>
      <c r="U762" s="14" t="s">
        <v>29</v>
      </c>
      <c r="V762" s="15"/>
      <c r="W762" s="16" t="str">
        <f aca="false">A762</f>
        <v>KL</v>
      </c>
      <c r="X762" s="17" t="e">
        <f aca="false">ifs(C762="","",X762="",NOW(),TRUE(),X762)</f>
        <v>#VALUE!</v>
      </c>
      <c r="Y762" s="17" t="e">
        <f aca="false">ifs(COUNTA(K762:U765)&lt;44,"",Y762="",NOW(),TRUE(),Y762)</f>
        <v>#VALUE!</v>
      </c>
    </row>
    <row r="763" customFormat="false" ht="14.15" hidden="false" customHeight="false" outlineLevel="0" collapsed="false">
      <c r="A763" s="9"/>
      <c r="B763" s="10"/>
      <c r="C763" s="10"/>
      <c r="D763" s="10"/>
      <c r="E763" s="10"/>
      <c r="F763" s="10"/>
      <c r="G763" s="10"/>
      <c r="H763" s="10"/>
      <c r="I763" s="18" t="n">
        <v>2</v>
      </c>
      <c r="J763" s="18" t="s">
        <v>49</v>
      </c>
      <c r="K763" s="19" t="n">
        <f aca="false">44.53</f>
        <v>44.53</v>
      </c>
      <c r="L763" s="19" t="n">
        <f aca="false">104.78</f>
        <v>104.78</v>
      </c>
      <c r="M763" s="18" t="n">
        <v>16</v>
      </c>
      <c r="N763" s="18" t="n">
        <v>24</v>
      </c>
      <c r="O763" s="18" t="n">
        <v>112.4</v>
      </c>
      <c r="P763" s="19" t="n">
        <f aca="false">26.22</f>
        <v>26.22</v>
      </c>
      <c r="Q763" s="19" t="n">
        <f aca="false">132.58</f>
        <v>132.58</v>
      </c>
      <c r="R763" s="18" t="n">
        <v>16.25</v>
      </c>
      <c r="S763" s="18" t="n">
        <v>26.75</v>
      </c>
      <c r="T763" s="18" t="n">
        <v>380</v>
      </c>
      <c r="U763" s="20" t="s">
        <v>97</v>
      </c>
      <c r="V763" s="21"/>
      <c r="W763" s="16"/>
      <c r="X763" s="16"/>
      <c r="Y763" s="16"/>
    </row>
    <row r="764" customFormat="false" ht="14.15" hidden="false" customHeight="false" outlineLevel="0" collapsed="false">
      <c r="A764" s="9"/>
      <c r="B764" s="10"/>
      <c r="C764" s="10"/>
      <c r="D764" s="10"/>
      <c r="E764" s="10"/>
      <c r="F764" s="10"/>
      <c r="G764" s="10"/>
      <c r="H764" s="10"/>
      <c r="I764" s="22" t="n">
        <v>3</v>
      </c>
      <c r="J764" s="22" t="s">
        <v>49</v>
      </c>
      <c r="K764" s="23" t="n">
        <f aca="false">42.51</f>
        <v>42.51</v>
      </c>
      <c r="L764" s="23" t="n">
        <f aca="false">95.8</f>
        <v>95.8</v>
      </c>
      <c r="M764" s="22" t="n">
        <v>14</v>
      </c>
      <c r="N764" s="22" t="n">
        <v>20</v>
      </c>
      <c r="O764" s="22" t="n">
        <v>88.45</v>
      </c>
      <c r="P764" s="23" t="n">
        <f aca="false">24.96</f>
        <v>24.96</v>
      </c>
      <c r="Q764" s="23" t="n">
        <f aca="false">102.74</f>
        <v>102.74</v>
      </c>
      <c r="R764" s="22" t="n">
        <v>12</v>
      </c>
      <c r="S764" s="22" t="n">
        <v>27.7</v>
      </c>
      <c r="T764" s="22" t="n">
        <v>278</v>
      </c>
      <c r="U764" s="24" t="s">
        <v>29</v>
      </c>
      <c r="V764" s="15"/>
      <c r="W764" s="16"/>
      <c r="X764" s="16"/>
      <c r="Y764" s="16"/>
    </row>
    <row r="765" customFormat="false" ht="14.15" hidden="false" customHeight="false" outlineLevel="0" collapsed="false">
      <c r="A765" s="9"/>
      <c r="B765" s="10"/>
      <c r="C765" s="10"/>
      <c r="D765" s="10"/>
      <c r="E765" s="10"/>
      <c r="F765" s="10"/>
      <c r="G765" s="10"/>
      <c r="H765" s="10"/>
      <c r="I765" s="25" t="n">
        <v>4</v>
      </c>
      <c r="J765" s="25" t="s">
        <v>49</v>
      </c>
      <c r="K765" s="26" t="n">
        <f aca="false">40.72</f>
        <v>40.72</v>
      </c>
      <c r="L765" s="26" t="n">
        <f aca="false">86.63</f>
        <v>86.63</v>
      </c>
      <c r="M765" s="25" t="n">
        <v>14</v>
      </c>
      <c r="N765" s="25" t="n">
        <v>24</v>
      </c>
      <c r="O765" s="25" t="n">
        <v>78.2</v>
      </c>
      <c r="P765" s="26" t="n">
        <f aca="false">24.03</f>
        <v>24.03</v>
      </c>
      <c r="Q765" s="26" t="n">
        <f aca="false">106.93</f>
        <v>106.93</v>
      </c>
      <c r="R765" s="25" t="n">
        <v>12.05</v>
      </c>
      <c r="S765" s="25" t="n">
        <v>28.3</v>
      </c>
      <c r="T765" s="25"/>
      <c r="U765" s="27" t="s">
        <v>97</v>
      </c>
      <c r="V765" s="21"/>
      <c r="W765" s="16"/>
      <c r="X765" s="16"/>
      <c r="Y765" s="16"/>
    </row>
    <row r="766" customFormat="false" ht="15.75" hidden="false" customHeight="true" outlineLevel="0" collapsed="false">
      <c r="A766" s="9" t="s">
        <v>259</v>
      </c>
      <c r="B766" s="10" t="s">
        <v>26</v>
      </c>
      <c r="C766" s="11" t="s">
        <v>260</v>
      </c>
      <c r="D766" s="10" t="s">
        <v>28</v>
      </c>
      <c r="E766" s="10" t="s">
        <v>28</v>
      </c>
      <c r="F766" s="10"/>
      <c r="G766" s="10" t="n">
        <v>7</v>
      </c>
      <c r="H766" s="10" t="n">
        <v>1.8</v>
      </c>
      <c r="I766" s="12" t="n">
        <v>1</v>
      </c>
      <c r="J766" s="12"/>
      <c r="K766" s="13" t="n">
        <f aca="false">48.21</f>
        <v>48.21</v>
      </c>
      <c r="L766" s="13" t="n">
        <f aca="false">217.39</f>
        <v>217.39</v>
      </c>
      <c r="M766" s="12" t="n">
        <v>14</v>
      </c>
      <c r="N766" s="12" t="n">
        <v>35</v>
      </c>
      <c r="O766" s="12" t="n">
        <v>250.4</v>
      </c>
      <c r="P766" s="13" t="n">
        <v>30.22</v>
      </c>
      <c r="Q766" s="13" t="n">
        <f aca="false">217.62</f>
        <v>217.62</v>
      </c>
      <c r="R766" s="12" t="n">
        <v>45.4</v>
      </c>
      <c r="S766" s="12" t="n">
        <v>34.9</v>
      </c>
      <c r="T766" s="12" t="n">
        <v>602</v>
      </c>
      <c r="U766" s="14" t="s">
        <v>58</v>
      </c>
      <c r="V766" s="15"/>
      <c r="W766" s="16" t="str">
        <f aca="false">A766</f>
        <v>SG</v>
      </c>
      <c r="X766" s="17" t="e">
        <f aca="false">ifs(C766="","",X766="",NOW(),TRUE(),X766)</f>
        <v>#VALUE!</v>
      </c>
      <c r="Y766" s="17" t="e">
        <f aca="false">ifs(COUNTA(K766:U769)&lt;44,"",Y766="",NOW(),TRUE(),Y766)</f>
        <v>#VALUE!</v>
      </c>
    </row>
    <row r="767" customFormat="false" ht="14.15" hidden="false" customHeight="false" outlineLevel="0" collapsed="false">
      <c r="A767" s="9"/>
      <c r="B767" s="10"/>
      <c r="C767" s="10"/>
      <c r="D767" s="10"/>
      <c r="E767" s="10"/>
      <c r="F767" s="10"/>
      <c r="G767" s="10"/>
      <c r="H767" s="10"/>
      <c r="I767" s="18" t="n">
        <v>2</v>
      </c>
      <c r="J767" s="18" t="s">
        <v>49</v>
      </c>
      <c r="K767" s="19" t="n">
        <f aca="false">45</f>
        <v>45</v>
      </c>
      <c r="L767" s="19" t="n">
        <f aca="false">158.59</f>
        <v>158.59</v>
      </c>
      <c r="M767" s="18" t="n">
        <v>14</v>
      </c>
      <c r="N767" s="18" t="n">
        <v>44</v>
      </c>
      <c r="O767" s="18" t="n">
        <v>170</v>
      </c>
      <c r="P767" s="19" t="n">
        <f aca="false">28</f>
        <v>28</v>
      </c>
      <c r="Q767" s="19" t="n">
        <f aca="false">178.53</f>
        <v>178.53</v>
      </c>
      <c r="R767" s="18" t="n">
        <v>26.35</v>
      </c>
      <c r="S767" s="18" t="n">
        <v>28.45</v>
      </c>
      <c r="T767" s="18" t="n">
        <v>538</v>
      </c>
      <c r="U767" s="20" t="s">
        <v>97</v>
      </c>
      <c r="V767" s="21"/>
      <c r="W767" s="16"/>
      <c r="X767" s="16"/>
      <c r="Y767" s="16"/>
    </row>
    <row r="768" customFormat="false" ht="14.15" hidden="false" customHeight="false" outlineLevel="0" collapsed="false">
      <c r="A768" s="9"/>
      <c r="B768" s="10"/>
      <c r="C768" s="10"/>
      <c r="D768" s="10"/>
      <c r="E768" s="10"/>
      <c r="F768" s="10"/>
      <c r="G768" s="10"/>
      <c r="H768" s="10"/>
      <c r="I768" s="22" t="n">
        <v>3</v>
      </c>
      <c r="J768" s="22"/>
      <c r="K768" s="23" t="n">
        <f aca="false">46.42</f>
        <v>46.42</v>
      </c>
      <c r="L768" s="23" t="n">
        <f aca="false">179.42</f>
        <v>179.42</v>
      </c>
      <c r="M768" s="22" t="n">
        <v>14</v>
      </c>
      <c r="N768" s="22" t="n">
        <v>48</v>
      </c>
      <c r="O768" s="22" t="n">
        <v>204.95</v>
      </c>
      <c r="P768" s="23" t="n">
        <f aca="false">27.06</f>
        <v>27.06</v>
      </c>
      <c r="Q768" s="23" t="n">
        <f aca="false">191.73</f>
        <v>191.73</v>
      </c>
      <c r="R768" s="22" t="n">
        <v>31.65</v>
      </c>
      <c r="S768" s="22" t="n">
        <v>29.1</v>
      </c>
      <c r="T768" s="22" t="n">
        <v>634</v>
      </c>
      <c r="U768" s="24" t="s">
        <v>29</v>
      </c>
      <c r="V768" s="15"/>
      <c r="W768" s="16"/>
      <c r="X768" s="16"/>
      <c r="Y768" s="16"/>
    </row>
    <row r="769" customFormat="false" ht="14.15" hidden="false" customHeight="false" outlineLevel="0" collapsed="false">
      <c r="A769" s="9"/>
      <c r="B769" s="10"/>
      <c r="C769" s="10"/>
      <c r="D769" s="10"/>
      <c r="E769" s="10"/>
      <c r="F769" s="10"/>
      <c r="G769" s="10"/>
      <c r="H769" s="10"/>
      <c r="I769" s="25" t="n">
        <v>4</v>
      </c>
      <c r="J769" s="25"/>
      <c r="K769" s="26" t="n">
        <f aca="false">44.35</f>
        <v>44.35</v>
      </c>
      <c r="L769" s="26" t="n">
        <f aca="false">164.15</f>
        <v>164.15</v>
      </c>
      <c r="M769" s="25" t="n">
        <v>14</v>
      </c>
      <c r="N769" s="25" t="n">
        <v>41</v>
      </c>
      <c r="O769" s="25" t="n">
        <v>188.35</v>
      </c>
      <c r="P769" s="26" t="n">
        <f aca="false">27.54</f>
        <v>27.54</v>
      </c>
      <c r="Q769" s="26" t="n">
        <f aca="false">184.38</f>
        <v>184.38</v>
      </c>
      <c r="R769" s="25" t="n">
        <v>30.35</v>
      </c>
      <c r="S769" s="25" t="n">
        <v>28.5</v>
      </c>
      <c r="T769" s="25" t="n">
        <v>579</v>
      </c>
      <c r="U769" s="27" t="s">
        <v>29</v>
      </c>
      <c r="V769" s="21"/>
      <c r="W769" s="16"/>
      <c r="X769" s="16"/>
      <c r="Y769" s="16"/>
    </row>
    <row r="770" customFormat="false" ht="15.75" hidden="false" customHeight="true" outlineLevel="0" collapsed="false">
      <c r="A770" s="9" t="s">
        <v>43</v>
      </c>
      <c r="B770" s="10" t="s">
        <v>44</v>
      </c>
      <c r="C770" s="11" t="s">
        <v>261</v>
      </c>
      <c r="D770" s="10" t="s">
        <v>28</v>
      </c>
      <c r="E770" s="10" t="s">
        <v>28</v>
      </c>
      <c r="F770" s="10"/>
      <c r="G770" s="10" t="n">
        <v>45</v>
      </c>
      <c r="H770" s="10" t="n">
        <v>10.6</v>
      </c>
      <c r="I770" s="12" t="n">
        <v>1</v>
      </c>
      <c r="J770" s="12" t="s">
        <v>33</v>
      </c>
      <c r="K770" s="13" t="n">
        <f aca="false">37.39</f>
        <v>37.39</v>
      </c>
      <c r="L770" s="13" t="n">
        <f aca="false">79.91</f>
        <v>79.91</v>
      </c>
      <c r="M770" s="12" t="n">
        <v>12</v>
      </c>
      <c r="N770" s="12" t="n">
        <v>18</v>
      </c>
      <c r="O770" s="12" t="n">
        <v>53.7</v>
      </c>
      <c r="P770" s="13" t="n">
        <f aca="false">24.45</f>
        <v>24.45</v>
      </c>
      <c r="Q770" s="13" t="n">
        <f aca="false">111.22</f>
        <v>111.22</v>
      </c>
      <c r="R770" s="12" t="n">
        <v>8</v>
      </c>
      <c r="S770" s="12" t="n">
        <v>22.1</v>
      </c>
      <c r="T770" s="12" t="n">
        <v>207</v>
      </c>
      <c r="U770" s="14" t="s">
        <v>58</v>
      </c>
      <c r="V770" s="15"/>
      <c r="W770" s="16" t="str">
        <f aca="false">A770</f>
        <v>JB</v>
      </c>
      <c r="X770" s="17" t="e">
        <f aca="false">ifs(C770="","",X770="",NOW(),TRUE(),X770)</f>
        <v>#VALUE!</v>
      </c>
      <c r="Y770" s="17" t="e">
        <f aca="false">ifs(COUNTA(K770:U773)&lt;44,"",Y770="",NOW(),TRUE(),Y770)</f>
        <v>#VALUE!</v>
      </c>
    </row>
    <row r="771" customFormat="false" ht="14.15" hidden="false" customHeight="false" outlineLevel="0" collapsed="false">
      <c r="A771" s="9"/>
      <c r="B771" s="10"/>
      <c r="C771" s="10"/>
      <c r="D771" s="10"/>
      <c r="E771" s="10"/>
      <c r="F771" s="10"/>
      <c r="G771" s="10"/>
      <c r="H771" s="10"/>
      <c r="I771" s="18" t="n">
        <v>2</v>
      </c>
      <c r="J771" s="18" t="s">
        <v>49</v>
      </c>
      <c r="K771" s="19" t="n">
        <f aca="false">36.15</f>
        <v>36.15</v>
      </c>
      <c r="L771" s="19" t="n">
        <f aca="false">74.8</f>
        <v>74.8</v>
      </c>
      <c r="M771" s="18" t="n">
        <v>12</v>
      </c>
      <c r="N771" s="18" t="n">
        <v>18</v>
      </c>
      <c r="O771" s="18" t="n">
        <v>54.3</v>
      </c>
      <c r="P771" s="19" t="n">
        <f aca="false">23.35</f>
        <v>23.35</v>
      </c>
      <c r="Q771" s="19" t="n">
        <f aca="false">100.83</f>
        <v>100.83</v>
      </c>
      <c r="R771" s="18" t="n">
        <v>7.7</v>
      </c>
      <c r="S771" s="18" t="n">
        <v>23.5</v>
      </c>
      <c r="T771" s="18" t="n">
        <v>202</v>
      </c>
      <c r="U771" s="20" t="s">
        <v>58</v>
      </c>
      <c r="V771" s="21"/>
      <c r="W771" s="16"/>
      <c r="X771" s="16"/>
      <c r="Y771" s="16"/>
    </row>
    <row r="772" customFormat="false" ht="14.15" hidden="false" customHeight="false" outlineLevel="0" collapsed="false">
      <c r="A772" s="9"/>
      <c r="B772" s="10"/>
      <c r="C772" s="10"/>
      <c r="D772" s="10"/>
      <c r="E772" s="10"/>
      <c r="F772" s="10"/>
      <c r="G772" s="10"/>
      <c r="H772" s="10"/>
      <c r="I772" s="22" t="n">
        <v>3</v>
      </c>
      <c r="J772" s="22" t="s">
        <v>49</v>
      </c>
      <c r="K772" s="23" t="n">
        <f aca="false">42.79</f>
        <v>42.79</v>
      </c>
      <c r="L772" s="23" t="n">
        <f aca="false">114.42</f>
        <v>114.42</v>
      </c>
      <c r="M772" s="22" t="n">
        <v>14</v>
      </c>
      <c r="N772" s="22" t="n">
        <v>24</v>
      </c>
      <c r="O772" s="22" t="n">
        <v>103.3</v>
      </c>
      <c r="P772" s="23" t="n">
        <f aca="false">24.76</f>
        <v>24.76</v>
      </c>
      <c r="Q772" s="23" t="n">
        <f aca="false">143.14</f>
        <v>143.14</v>
      </c>
      <c r="R772" s="22" t="n">
        <v>15.8</v>
      </c>
      <c r="S772" s="22" t="n">
        <v>25.1</v>
      </c>
      <c r="T772" s="22" t="n">
        <v>344</v>
      </c>
      <c r="U772" s="24" t="s">
        <v>58</v>
      </c>
      <c r="V772" s="15"/>
      <c r="W772" s="16"/>
      <c r="X772" s="16"/>
      <c r="Y772" s="16"/>
    </row>
    <row r="773" customFormat="false" ht="14.15" hidden="false" customHeight="false" outlineLevel="0" collapsed="false">
      <c r="A773" s="9"/>
      <c r="B773" s="10"/>
      <c r="C773" s="10"/>
      <c r="D773" s="10"/>
      <c r="E773" s="10"/>
      <c r="F773" s="10"/>
      <c r="G773" s="10"/>
      <c r="H773" s="10"/>
      <c r="I773" s="25" t="n">
        <v>4</v>
      </c>
      <c r="J773" s="25" t="s">
        <v>49</v>
      </c>
      <c r="K773" s="26" t="n">
        <f aca="false">36.65</f>
        <v>36.65</v>
      </c>
      <c r="L773" s="26" t="n">
        <f aca="false">73.6</f>
        <v>73.6</v>
      </c>
      <c r="M773" s="25" t="n">
        <v>14</v>
      </c>
      <c r="N773" s="25" t="n">
        <v>18</v>
      </c>
      <c r="O773" s="25" t="n">
        <v>43.7</v>
      </c>
      <c r="P773" s="26" t="n">
        <f aca="false">24.49</f>
        <v>24.49</v>
      </c>
      <c r="Q773" s="26" t="n">
        <f aca="false">87.48</f>
        <v>87.48</v>
      </c>
      <c r="R773" s="25" t="n">
        <v>6.3</v>
      </c>
      <c r="S773" s="25" t="n">
        <v>22.1</v>
      </c>
      <c r="T773" s="25" t="n">
        <v>172</v>
      </c>
      <c r="U773" s="27" t="s">
        <v>58</v>
      </c>
      <c r="V773" s="21"/>
      <c r="W773" s="16"/>
      <c r="X773" s="16"/>
      <c r="Y773" s="16"/>
    </row>
    <row r="774" customFormat="false" ht="15.75" hidden="false" customHeight="true" outlineLevel="0" collapsed="false">
      <c r="A774" s="9" t="s">
        <v>43</v>
      </c>
      <c r="B774" s="10" t="s">
        <v>44</v>
      </c>
      <c r="C774" s="11" t="s">
        <v>262</v>
      </c>
      <c r="D774" s="10" t="s">
        <v>28</v>
      </c>
      <c r="E774" s="10" t="s">
        <v>28</v>
      </c>
      <c r="F774" s="10"/>
      <c r="G774" s="10" t="n">
        <v>10</v>
      </c>
      <c r="H774" s="10" t="n">
        <v>2.1</v>
      </c>
      <c r="I774" s="12" t="n">
        <v>1</v>
      </c>
      <c r="J774" s="12" t="s">
        <v>46</v>
      </c>
      <c r="K774" s="13" t="n">
        <f aca="false">40.01</f>
        <v>40.01</v>
      </c>
      <c r="L774" s="13" t="n">
        <f aca="false">103.15</f>
        <v>103.15</v>
      </c>
      <c r="M774" s="12" t="n">
        <v>12</v>
      </c>
      <c r="N774" s="12" t="n">
        <v>22</v>
      </c>
      <c r="O774" s="12" t="n">
        <v>76.7</v>
      </c>
      <c r="P774" s="13" t="n">
        <f aca="false">24.95</f>
        <v>24.95</v>
      </c>
      <c r="Q774" s="13" t="n">
        <f aca="false">131.17</f>
        <v>131.17</v>
      </c>
      <c r="R774" s="12" t="n">
        <v>12.3</v>
      </c>
      <c r="S774" s="12" t="n">
        <v>23.4</v>
      </c>
      <c r="T774" s="12" t="n">
        <v>279</v>
      </c>
      <c r="U774" s="14" t="s">
        <v>58</v>
      </c>
      <c r="V774" s="15"/>
      <c r="W774" s="16" t="str">
        <f aca="false">A774</f>
        <v>JB</v>
      </c>
      <c r="X774" s="17" t="e">
        <f aca="false">ifs(C774="","",X774="",NOW(),TRUE(),X774)</f>
        <v>#VALUE!</v>
      </c>
      <c r="Y774" s="17" t="e">
        <f aca="false">ifs(COUNTA(K774:U777)&lt;44,"",Y774="",NOW(),TRUE(),Y774)</f>
        <v>#VALUE!</v>
      </c>
    </row>
    <row r="775" customFormat="false" ht="14.15" hidden="false" customHeight="false" outlineLevel="0" collapsed="false">
      <c r="A775" s="9"/>
      <c r="B775" s="10"/>
      <c r="C775" s="10"/>
      <c r="D775" s="10"/>
      <c r="E775" s="10"/>
      <c r="F775" s="10"/>
      <c r="G775" s="10"/>
      <c r="H775" s="10"/>
      <c r="I775" s="18" t="n">
        <v>2</v>
      </c>
      <c r="J775" s="18" t="s">
        <v>35</v>
      </c>
      <c r="K775" s="19" t="n">
        <f aca="false">37.9</f>
        <v>37.9</v>
      </c>
      <c r="L775" s="19" t="n">
        <f aca="false">90.52</f>
        <v>90.52</v>
      </c>
      <c r="M775" s="18" t="n">
        <v>12</v>
      </c>
      <c r="N775" s="18" t="n">
        <v>20</v>
      </c>
      <c r="O775" s="18" t="n">
        <v>58.4</v>
      </c>
      <c r="P775" s="19" t="n">
        <f aca="false">23.3</f>
        <v>23.3</v>
      </c>
      <c r="Q775" s="19" t="n">
        <f aca="false">106.04</f>
        <v>106.04</v>
      </c>
      <c r="R775" s="18" t="n">
        <v>9</v>
      </c>
      <c r="S775" s="18" t="n">
        <v>25</v>
      </c>
      <c r="T775" s="18" t="n">
        <v>207</v>
      </c>
      <c r="U775" s="20" t="s">
        <v>58</v>
      </c>
      <c r="V775" s="21"/>
      <c r="W775" s="16"/>
      <c r="X775" s="16"/>
      <c r="Y775" s="16"/>
    </row>
    <row r="776" customFormat="false" ht="14.15" hidden="false" customHeight="false" outlineLevel="0" collapsed="false">
      <c r="A776" s="9"/>
      <c r="B776" s="10"/>
      <c r="C776" s="10"/>
      <c r="D776" s="10"/>
      <c r="E776" s="10"/>
      <c r="F776" s="10"/>
      <c r="G776" s="10"/>
      <c r="H776" s="10"/>
      <c r="I776" s="22" t="n">
        <v>3</v>
      </c>
      <c r="J776" s="22" t="s">
        <v>106</v>
      </c>
      <c r="K776" s="23" t="n">
        <f aca="false">33.53</f>
        <v>33.53</v>
      </c>
      <c r="L776" s="23" t="n">
        <f aca="false">95.81</f>
        <v>95.81</v>
      </c>
      <c r="M776" s="22" t="n">
        <v>10</v>
      </c>
      <c r="N776" s="22" t="n">
        <v>26</v>
      </c>
      <c r="O776" s="22" t="n">
        <v>57.2</v>
      </c>
      <c r="P776" s="23" t="n">
        <f aca="false">24.24</f>
        <v>24.24</v>
      </c>
      <c r="Q776" s="23" t="n">
        <f aca="false">111.58</f>
        <v>111.58</v>
      </c>
      <c r="R776" s="22" t="n">
        <v>10</v>
      </c>
      <c r="S776" s="22" t="n">
        <v>22.3</v>
      </c>
      <c r="T776" s="22" t="n">
        <v>215</v>
      </c>
      <c r="U776" s="24" t="s">
        <v>58</v>
      </c>
      <c r="V776" s="15"/>
      <c r="W776" s="16"/>
      <c r="X776" s="16"/>
      <c r="Y776" s="16"/>
    </row>
    <row r="777" customFormat="false" ht="14.15" hidden="false" customHeight="false" outlineLevel="0" collapsed="false">
      <c r="A777" s="9"/>
      <c r="B777" s="10"/>
      <c r="C777" s="10"/>
      <c r="D777" s="10"/>
      <c r="E777" s="10"/>
      <c r="F777" s="10"/>
      <c r="G777" s="10"/>
      <c r="H777" s="10"/>
      <c r="I777" s="25" t="n">
        <v>4</v>
      </c>
      <c r="J777" s="25" t="s">
        <v>46</v>
      </c>
      <c r="K777" s="26" t="n">
        <f aca="false">41.63</f>
        <v>41.63</v>
      </c>
      <c r="L777" s="26" t="n">
        <f aca="false">99.67</f>
        <v>99.67</v>
      </c>
      <c r="M777" s="25" t="n">
        <v>14</v>
      </c>
      <c r="N777" s="25" t="n">
        <v>22</v>
      </c>
      <c r="O777" s="25" t="n">
        <v>72</v>
      </c>
      <c r="P777" s="26" t="n">
        <f aca="false">28.9</f>
        <v>28.9</v>
      </c>
      <c r="Q777" s="26" t="n">
        <f aca="false">115.69</f>
        <v>115.69</v>
      </c>
      <c r="R777" s="25" t="n">
        <v>11.6</v>
      </c>
      <c r="S777" s="25" t="n">
        <v>21.5</v>
      </c>
      <c r="T777" s="25" t="n">
        <v>290</v>
      </c>
      <c r="U777" s="27" t="s">
        <v>58</v>
      </c>
      <c r="V777" s="21"/>
      <c r="W777" s="16"/>
      <c r="X777" s="16"/>
      <c r="Y777" s="16"/>
    </row>
    <row r="778" customFormat="false" ht="15.75" hidden="false" customHeight="true" outlineLevel="0" collapsed="false">
      <c r="A778" s="9" t="s">
        <v>43</v>
      </c>
      <c r="B778" s="10" t="s">
        <v>44</v>
      </c>
      <c r="C778" s="11" t="s">
        <v>263</v>
      </c>
      <c r="D778" s="10" t="s">
        <v>28</v>
      </c>
      <c r="E778" s="10" t="s">
        <v>28</v>
      </c>
      <c r="F778" s="10"/>
      <c r="G778" s="10" t="n">
        <v>20</v>
      </c>
      <c r="H778" s="10" t="n">
        <v>6.8</v>
      </c>
      <c r="I778" s="12" t="n">
        <v>1</v>
      </c>
      <c r="J778" s="12" t="s">
        <v>46</v>
      </c>
      <c r="K778" s="13" t="n">
        <f aca="false">41.52</f>
        <v>41.52</v>
      </c>
      <c r="L778" s="13" t="n">
        <f aca="false">112.63</f>
        <v>112.63</v>
      </c>
      <c r="M778" s="12" t="n">
        <v>16</v>
      </c>
      <c r="N778" s="12" t="n">
        <v>28</v>
      </c>
      <c r="O778" s="12" t="n">
        <v>92.5</v>
      </c>
      <c r="P778" s="13" t="n">
        <f aca="false">25.9</f>
        <v>25.9</v>
      </c>
      <c r="Q778" s="13" t="n">
        <f aca="false">129.11</f>
        <v>129.11</v>
      </c>
      <c r="R778" s="12" t="n">
        <v>10.1</v>
      </c>
      <c r="S778" s="12" t="n">
        <v>20.4</v>
      </c>
      <c r="T778" s="12" t="n">
        <v>385</v>
      </c>
      <c r="U778" s="14" t="s">
        <v>58</v>
      </c>
      <c r="V778" s="15"/>
      <c r="W778" s="16" t="str">
        <f aca="false">A778</f>
        <v>JB</v>
      </c>
      <c r="X778" s="17" t="e">
        <f aca="false">ifs(C778="","",X778="",NOW(),TRUE(),X778)</f>
        <v>#VALUE!</v>
      </c>
      <c r="Y778" s="17" t="e">
        <f aca="false">ifs(COUNTA(K778:U781)&lt;44,"",Y778="",NOW(),TRUE(),Y778)</f>
        <v>#VALUE!</v>
      </c>
    </row>
    <row r="779" customFormat="false" ht="14.15" hidden="false" customHeight="false" outlineLevel="0" collapsed="false">
      <c r="A779" s="9"/>
      <c r="B779" s="10"/>
      <c r="C779" s="10"/>
      <c r="D779" s="10"/>
      <c r="E779" s="10"/>
      <c r="F779" s="10"/>
      <c r="G779" s="10"/>
      <c r="H779" s="10"/>
      <c r="I779" s="18" t="n">
        <v>2</v>
      </c>
      <c r="J779" s="18" t="s">
        <v>35</v>
      </c>
      <c r="K779" s="19" t="n">
        <f aca="false">41.59</f>
        <v>41.59</v>
      </c>
      <c r="L779" s="19" t="n">
        <f aca="false">161.42</f>
        <v>161.42</v>
      </c>
      <c r="M779" s="18" t="n">
        <v>10</v>
      </c>
      <c r="N779" s="18" t="n">
        <v>36</v>
      </c>
      <c r="O779" s="18" t="n">
        <v>145.1</v>
      </c>
      <c r="P779" s="19" t="n">
        <f aca="false">28.62</f>
        <v>28.62</v>
      </c>
      <c r="Q779" s="19" t="n">
        <f aca="false">174.84</f>
        <v>174.84</v>
      </c>
      <c r="R779" s="18" t="n">
        <v>26.5</v>
      </c>
      <c r="S779" s="18" t="n">
        <v>30</v>
      </c>
      <c r="T779" s="18" t="n">
        <v>384</v>
      </c>
      <c r="U779" s="20" t="s">
        <v>58</v>
      </c>
      <c r="V779" s="21"/>
      <c r="W779" s="16"/>
      <c r="X779" s="16"/>
      <c r="Y779" s="16"/>
    </row>
    <row r="780" customFormat="false" ht="14.15" hidden="false" customHeight="false" outlineLevel="0" collapsed="false">
      <c r="A780" s="9"/>
      <c r="B780" s="10"/>
      <c r="C780" s="10"/>
      <c r="D780" s="10"/>
      <c r="E780" s="10"/>
      <c r="F780" s="10"/>
      <c r="G780" s="10"/>
      <c r="H780" s="10"/>
      <c r="I780" s="22" t="n">
        <v>3</v>
      </c>
      <c r="J780" s="22" t="s">
        <v>47</v>
      </c>
      <c r="K780" s="23" t="n">
        <f aca="false">39.49</f>
        <v>39.49</v>
      </c>
      <c r="L780" s="23" t="n">
        <f aca="false">109.68</f>
        <v>109.68</v>
      </c>
      <c r="M780" s="22" t="n">
        <v>12</v>
      </c>
      <c r="N780" s="22" t="n">
        <v>22</v>
      </c>
      <c r="O780" s="22" t="n">
        <v>86.8</v>
      </c>
      <c r="P780" s="23" t="n">
        <f aca="false">25.93</f>
        <v>25.93</v>
      </c>
      <c r="Q780" s="23" t="n">
        <f aca="false">122.81</f>
        <v>122.81</v>
      </c>
      <c r="R780" s="22" t="n">
        <v>13.6</v>
      </c>
      <c r="S780" s="22" t="n">
        <v>29.6</v>
      </c>
      <c r="T780" s="22" t="n">
        <v>250</v>
      </c>
      <c r="U780" s="24" t="s">
        <v>58</v>
      </c>
      <c r="V780" s="15"/>
      <c r="W780" s="16"/>
      <c r="X780" s="16"/>
      <c r="Y780" s="16"/>
    </row>
    <row r="781" customFormat="false" ht="14.15" hidden="false" customHeight="false" outlineLevel="0" collapsed="false">
      <c r="A781" s="9"/>
      <c r="B781" s="10"/>
      <c r="C781" s="10"/>
      <c r="D781" s="10"/>
      <c r="E781" s="10"/>
      <c r="F781" s="10"/>
      <c r="G781" s="10"/>
      <c r="H781" s="10"/>
      <c r="I781" s="25" t="n">
        <v>4</v>
      </c>
      <c r="J781" s="25" t="s">
        <v>35</v>
      </c>
      <c r="K781" s="26" t="n">
        <f aca="false">44.62</f>
        <v>44.62</v>
      </c>
      <c r="L781" s="26" t="n">
        <f aca="false">90.01</f>
        <v>90.01</v>
      </c>
      <c r="M781" s="25" t="n">
        <v>12</v>
      </c>
      <c r="N781" s="25" t="n">
        <v>16</v>
      </c>
      <c r="O781" s="25" t="n">
        <v>75.6</v>
      </c>
      <c r="P781" s="26" t="n">
        <f aca="false">30.33</f>
        <v>30.33</v>
      </c>
      <c r="Q781" s="26" t="n">
        <f aca="false">103.61</f>
        <v>103.61</v>
      </c>
      <c r="R781" s="25" t="n">
        <v>17.7</v>
      </c>
      <c r="S781" s="25" t="n">
        <v>38</v>
      </c>
      <c r="T781" s="25" t="n">
        <v>156</v>
      </c>
      <c r="U781" s="27" t="s">
        <v>58</v>
      </c>
      <c r="V781" s="21"/>
      <c r="W781" s="16"/>
      <c r="X781" s="16"/>
      <c r="Y781" s="16"/>
    </row>
    <row r="782" customFormat="false" ht="15.75" hidden="false" customHeight="true" outlineLevel="0" collapsed="false">
      <c r="A782" s="9" t="s">
        <v>43</v>
      </c>
      <c r="B782" s="10" t="s">
        <v>44</v>
      </c>
      <c r="C782" s="11" t="s">
        <v>264</v>
      </c>
      <c r="D782" s="10" t="s">
        <v>28</v>
      </c>
      <c r="E782" s="10" t="s">
        <v>28</v>
      </c>
      <c r="F782" s="10"/>
      <c r="G782" s="10" t="n">
        <v>7</v>
      </c>
      <c r="H782" s="10" t="n">
        <v>1.2</v>
      </c>
      <c r="I782" s="12" t="n">
        <v>1</v>
      </c>
      <c r="J782" s="12" t="s">
        <v>35</v>
      </c>
      <c r="K782" s="13" t="n">
        <f aca="false">37.15</f>
        <v>37.15</v>
      </c>
      <c r="L782" s="13" t="n">
        <f aca="false">81.4</f>
        <v>81.4</v>
      </c>
      <c r="M782" s="12" t="n">
        <v>14</v>
      </c>
      <c r="N782" s="12" t="n">
        <v>20</v>
      </c>
      <c r="O782" s="12" t="n">
        <v>47.6</v>
      </c>
      <c r="P782" s="13" t="n">
        <f aca="false">24</f>
        <v>24</v>
      </c>
      <c r="Q782" s="13" t="n">
        <f aca="false">85.36</f>
        <v>85.36</v>
      </c>
      <c r="R782" s="12" t="n">
        <v>8.7</v>
      </c>
      <c r="S782" s="12" t="n">
        <v>18.8</v>
      </c>
      <c r="T782" s="12" t="n">
        <v>204</v>
      </c>
      <c r="U782" s="14" t="s">
        <v>29</v>
      </c>
      <c r="V782" s="15"/>
      <c r="W782" s="16" t="str">
        <f aca="false">A782</f>
        <v>JB</v>
      </c>
      <c r="X782" s="17" t="e">
        <f aca="false">ifs(C782="","",X782="",NOW(),TRUE(),X782)</f>
        <v>#VALUE!</v>
      </c>
      <c r="Y782" s="17" t="e">
        <f aca="false">ifs(COUNTA(K782:U785)&lt;44,"",Y782="",NOW(),TRUE(),Y782)</f>
        <v>#VALUE!</v>
      </c>
    </row>
    <row r="783" customFormat="false" ht="14.15" hidden="false" customHeight="false" outlineLevel="0" collapsed="false">
      <c r="A783" s="9"/>
      <c r="B783" s="10"/>
      <c r="C783" s="10"/>
      <c r="D783" s="10"/>
      <c r="E783" s="10"/>
      <c r="F783" s="10"/>
      <c r="G783" s="10"/>
      <c r="H783" s="10"/>
      <c r="I783" s="18" t="n">
        <v>2</v>
      </c>
      <c r="J783" s="18" t="s">
        <v>47</v>
      </c>
      <c r="K783" s="19" t="n">
        <f aca="false">41.04</f>
        <v>41.04</v>
      </c>
      <c r="L783" s="19" t="n">
        <f aca="false">79.37</f>
        <v>79.37</v>
      </c>
      <c r="M783" s="18" t="n">
        <v>14</v>
      </c>
      <c r="N783" s="18" t="n">
        <v>18</v>
      </c>
      <c r="O783" s="18" t="n">
        <v>58</v>
      </c>
      <c r="P783" s="19" t="n">
        <f aca="false">24.53</f>
        <v>24.53</v>
      </c>
      <c r="Q783" s="19" t="n">
        <f aca="false">92.28</f>
        <v>92.28</v>
      </c>
      <c r="R783" s="18" t="n">
        <v>9.7</v>
      </c>
      <c r="S783" s="18" t="n">
        <v>21.3</v>
      </c>
      <c r="T783" s="18" t="n">
        <v>243</v>
      </c>
      <c r="U783" s="20" t="s">
        <v>29</v>
      </c>
      <c r="V783" s="21"/>
      <c r="W783" s="16"/>
      <c r="X783" s="16"/>
      <c r="Y783" s="16"/>
    </row>
    <row r="784" customFormat="false" ht="14.15" hidden="false" customHeight="false" outlineLevel="0" collapsed="false">
      <c r="A784" s="9"/>
      <c r="B784" s="10"/>
      <c r="C784" s="10"/>
      <c r="D784" s="10"/>
      <c r="E784" s="10"/>
      <c r="F784" s="10"/>
      <c r="G784" s="10"/>
      <c r="H784" s="10"/>
      <c r="I784" s="22" t="n">
        <v>3</v>
      </c>
      <c r="J784" s="22" t="s">
        <v>47</v>
      </c>
      <c r="K784" s="23" t="n">
        <f aca="false">39.74</f>
        <v>39.74</v>
      </c>
      <c r="L784" s="23" t="n">
        <f aca="false">74.62</f>
        <v>74.62</v>
      </c>
      <c r="M784" s="22" t="n">
        <v>16</v>
      </c>
      <c r="N784" s="22" t="n">
        <v>16</v>
      </c>
      <c r="O784" s="22" t="n">
        <v>51</v>
      </c>
      <c r="P784" s="23" t="n">
        <f aca="false">24.66</f>
        <v>24.66</v>
      </c>
      <c r="Q784" s="23" t="n">
        <f aca="false">78.24</f>
        <v>78.24</v>
      </c>
      <c r="R784" s="22" t="n">
        <v>8.2</v>
      </c>
      <c r="S784" s="22" t="n">
        <v>17.5</v>
      </c>
      <c r="T784" s="22" t="n">
        <v>237</v>
      </c>
      <c r="U784" s="24" t="s">
        <v>29</v>
      </c>
      <c r="V784" s="15"/>
      <c r="W784" s="16"/>
      <c r="X784" s="16"/>
      <c r="Y784" s="16"/>
    </row>
    <row r="785" customFormat="false" ht="14.15" hidden="false" customHeight="false" outlineLevel="0" collapsed="false">
      <c r="A785" s="9"/>
      <c r="B785" s="10"/>
      <c r="C785" s="10"/>
      <c r="D785" s="10"/>
      <c r="E785" s="10"/>
      <c r="F785" s="10"/>
      <c r="G785" s="10"/>
      <c r="H785" s="10"/>
      <c r="I785" s="25" t="n">
        <v>4</v>
      </c>
      <c r="J785" s="25"/>
      <c r="K785" s="26" t="n">
        <f aca="false">37.23</f>
        <v>37.23</v>
      </c>
      <c r="L785" s="26" t="n">
        <f aca="false">72.55</f>
        <v>72.55</v>
      </c>
      <c r="M785" s="25" t="n">
        <v>12</v>
      </c>
      <c r="N785" s="25" t="n">
        <v>20</v>
      </c>
      <c r="O785" s="25" t="n">
        <v>48.1</v>
      </c>
      <c r="P785" s="26" t="n">
        <f aca="false">23.23</f>
        <v>23.23</v>
      </c>
      <c r="Q785" s="26" t="n">
        <f aca="false">87.15</f>
        <v>87.15</v>
      </c>
      <c r="R785" s="25" t="n">
        <v>8.4</v>
      </c>
      <c r="S785" s="25" t="n">
        <v>18.4</v>
      </c>
      <c r="T785" s="25" t="n">
        <v>222</v>
      </c>
      <c r="U785" s="27" t="s">
        <v>97</v>
      </c>
      <c r="V785" s="21"/>
      <c r="W785" s="16"/>
      <c r="X785" s="16"/>
      <c r="Y785" s="16"/>
    </row>
    <row r="786" customFormat="false" ht="15.75" hidden="false" customHeight="true" outlineLevel="0" collapsed="false">
      <c r="A786" s="9" t="s">
        <v>43</v>
      </c>
      <c r="B786" s="10" t="s">
        <v>44</v>
      </c>
      <c r="C786" s="11" t="s">
        <v>265</v>
      </c>
      <c r="D786" s="10" t="s">
        <v>28</v>
      </c>
      <c r="E786" s="10" t="s">
        <v>28</v>
      </c>
      <c r="F786" s="10"/>
      <c r="G786" s="10" t="n">
        <v>31</v>
      </c>
      <c r="H786" s="10" t="n">
        <v>4.6</v>
      </c>
      <c r="I786" s="12" t="n">
        <v>1</v>
      </c>
      <c r="J786" s="12"/>
      <c r="K786" s="13" t="n">
        <f aca="false">43.03</f>
        <v>43.03</v>
      </c>
      <c r="L786" s="13" t="n">
        <f aca="false">98.23</f>
        <v>98.23</v>
      </c>
      <c r="M786" s="12" t="n">
        <v>16</v>
      </c>
      <c r="N786" s="12" t="n">
        <v>24</v>
      </c>
      <c r="O786" s="12" t="n">
        <v>76.5</v>
      </c>
      <c r="P786" s="13" t="n">
        <f aca="false">27.97</f>
        <v>27.97</v>
      </c>
      <c r="Q786" s="13" t="n">
        <f aca="false">110.58</f>
        <v>110.58</v>
      </c>
      <c r="R786" s="12" t="n">
        <v>15.3</v>
      </c>
      <c r="S786" s="12" t="n">
        <v>16.6</v>
      </c>
      <c r="T786" s="12" t="n">
        <v>359</v>
      </c>
      <c r="U786" s="14" t="s">
        <v>29</v>
      </c>
      <c r="V786" s="15"/>
      <c r="W786" s="16" t="str">
        <f aca="false">A786</f>
        <v>JB</v>
      </c>
      <c r="X786" s="17" t="e">
        <f aca="false">ifs(C786="","",X786="",NOW(),TRUE(),X786)</f>
        <v>#VALUE!</v>
      </c>
      <c r="Y786" s="17" t="e">
        <f aca="false">ifs(COUNTA(K786:U789)&lt;44,"",Y786="",NOW(),TRUE(),Y786)</f>
        <v>#VALUE!</v>
      </c>
    </row>
    <row r="787" customFormat="false" ht="14.15" hidden="false" customHeight="false" outlineLevel="0" collapsed="false">
      <c r="A787" s="9"/>
      <c r="B787" s="10"/>
      <c r="C787" s="10"/>
      <c r="D787" s="10"/>
      <c r="E787" s="10"/>
      <c r="F787" s="10"/>
      <c r="G787" s="10"/>
      <c r="H787" s="10"/>
      <c r="I787" s="18" t="n">
        <v>2</v>
      </c>
      <c r="J787" s="18" t="s">
        <v>50</v>
      </c>
      <c r="K787" s="19" t="n">
        <f aca="false">40.79</f>
        <v>40.79</v>
      </c>
      <c r="L787" s="19" t="n">
        <f aca="false">120.92</f>
        <v>120.92</v>
      </c>
      <c r="M787" s="18" t="n">
        <v>13</v>
      </c>
      <c r="N787" s="18" t="n">
        <v>33</v>
      </c>
      <c r="O787" s="18" t="n">
        <v>92.4</v>
      </c>
      <c r="P787" s="19" t="n">
        <f aca="false">28.19</f>
        <v>28.19</v>
      </c>
      <c r="Q787" s="19" t="n">
        <f aca="false">135.82</f>
        <v>135.82</v>
      </c>
      <c r="R787" s="18" t="n">
        <v>18.8</v>
      </c>
      <c r="S787" s="18" t="n">
        <v>19.3</v>
      </c>
      <c r="T787" s="18" t="n">
        <v>371</v>
      </c>
      <c r="U787" s="20" t="s">
        <v>29</v>
      </c>
      <c r="V787" s="21"/>
      <c r="W787" s="16"/>
      <c r="X787" s="16"/>
      <c r="Y787" s="16"/>
    </row>
    <row r="788" customFormat="false" ht="14.15" hidden="false" customHeight="false" outlineLevel="0" collapsed="false">
      <c r="A788" s="9"/>
      <c r="B788" s="10"/>
      <c r="C788" s="10"/>
      <c r="D788" s="10"/>
      <c r="E788" s="10"/>
      <c r="F788" s="10"/>
      <c r="G788" s="10"/>
      <c r="H788" s="10"/>
      <c r="I788" s="22" t="n">
        <v>3</v>
      </c>
      <c r="J788" s="22" t="s">
        <v>47</v>
      </c>
      <c r="K788" s="23" t="n">
        <f aca="false">40.28</f>
        <v>40.28</v>
      </c>
      <c r="L788" s="23" t="n">
        <f aca="false">81.99</f>
        <v>81.99</v>
      </c>
      <c r="M788" s="22" t="n">
        <v>16</v>
      </c>
      <c r="N788" s="22" t="n">
        <v>20</v>
      </c>
      <c r="O788" s="22" t="n">
        <v>51.3</v>
      </c>
      <c r="P788" s="23" t="n">
        <f aca="false">27.56</f>
        <v>27.56</v>
      </c>
      <c r="Q788" s="23" t="n">
        <f aca="false">101.1</f>
        <v>101.1</v>
      </c>
      <c r="R788" s="22" t="n">
        <v>13.5</v>
      </c>
      <c r="S788" s="22" t="n">
        <v>14.5</v>
      </c>
      <c r="T788" s="22" t="n">
        <v>253</v>
      </c>
      <c r="U788" s="24" t="s">
        <v>29</v>
      </c>
      <c r="V788" s="15"/>
      <c r="W788" s="16"/>
      <c r="X788" s="16"/>
      <c r="Y788" s="16"/>
    </row>
    <row r="789" customFormat="false" ht="14.15" hidden="false" customHeight="false" outlineLevel="0" collapsed="false">
      <c r="A789" s="9"/>
      <c r="B789" s="10"/>
      <c r="C789" s="10"/>
      <c r="D789" s="10"/>
      <c r="E789" s="10"/>
      <c r="F789" s="10"/>
      <c r="G789" s="10"/>
      <c r="H789" s="10"/>
      <c r="I789" s="25" t="n">
        <v>4</v>
      </c>
      <c r="J789" s="25" t="s">
        <v>111</v>
      </c>
      <c r="K789" s="26" t="n">
        <f aca="false">39.55</f>
        <v>39.55</v>
      </c>
      <c r="L789" s="26" t="n">
        <f aca="false">95.27</f>
        <v>95.27</v>
      </c>
      <c r="M789" s="25" t="n">
        <v>14</v>
      </c>
      <c r="N789" s="25" t="n">
        <v>22</v>
      </c>
      <c r="O789" s="25" t="n">
        <v>56.8</v>
      </c>
      <c r="P789" s="26" t="n">
        <f aca="false">26.19</f>
        <v>26.19</v>
      </c>
      <c r="Q789" s="26" t="n">
        <f aca="false">112.2</f>
        <v>112.2</v>
      </c>
      <c r="R789" s="25" t="n">
        <v>12.1</v>
      </c>
      <c r="S789" s="25" t="n">
        <v>15.5</v>
      </c>
      <c r="T789" s="25" t="n">
        <v>288</v>
      </c>
      <c r="U789" s="27" t="s">
        <v>29</v>
      </c>
      <c r="V789" s="21"/>
      <c r="W789" s="16"/>
      <c r="X789" s="16"/>
      <c r="Y789" s="16"/>
    </row>
    <row r="790" customFormat="false" ht="15.75" hidden="false" customHeight="true" outlineLevel="0" collapsed="false">
      <c r="A790" s="9" t="s">
        <v>43</v>
      </c>
      <c r="B790" s="10" t="s">
        <v>44</v>
      </c>
      <c r="C790" s="11" t="s">
        <v>266</v>
      </c>
      <c r="D790" s="10" t="s">
        <v>28</v>
      </c>
      <c r="E790" s="10" t="s">
        <v>28</v>
      </c>
      <c r="F790" s="10"/>
      <c r="G790" s="10" t="n">
        <v>5</v>
      </c>
      <c r="H790" s="10" t="n">
        <v>2</v>
      </c>
      <c r="I790" s="12" t="n">
        <v>1</v>
      </c>
      <c r="J790" s="12" t="s">
        <v>47</v>
      </c>
      <c r="K790" s="13" t="n">
        <f aca="false">45.5</f>
        <v>45.5</v>
      </c>
      <c r="L790" s="13" t="n">
        <f aca="false">89.68</f>
        <v>89.68</v>
      </c>
      <c r="M790" s="12" t="n">
        <v>16</v>
      </c>
      <c r="N790" s="12" t="n">
        <v>24</v>
      </c>
      <c r="O790" s="12" t="n">
        <v>84.6</v>
      </c>
      <c r="P790" s="13" t="n">
        <f aca="false">29.28</f>
        <v>29.28</v>
      </c>
      <c r="Q790" s="13" t="n">
        <f aca="false">100.22</f>
        <v>100.22</v>
      </c>
      <c r="R790" s="12" t="n">
        <v>14</v>
      </c>
      <c r="S790" s="12" t="n">
        <v>22.5</v>
      </c>
      <c r="T790" s="12" t="n">
        <v>318</v>
      </c>
      <c r="U790" s="14" t="s">
        <v>58</v>
      </c>
      <c r="V790" s="15"/>
      <c r="W790" s="16" t="str">
        <f aca="false">A790</f>
        <v>JB</v>
      </c>
      <c r="X790" s="17" t="e">
        <f aca="false">ifs(C790="","",X790="",NOW(),TRUE(),X790)</f>
        <v>#VALUE!</v>
      </c>
      <c r="Y790" s="17" t="e">
        <f aca="false">ifs(COUNTA(K790:U793)&lt;44,"",Y790="",NOW(),TRUE(),Y790)</f>
        <v>#VALUE!</v>
      </c>
    </row>
    <row r="791" customFormat="false" ht="14.15" hidden="false" customHeight="false" outlineLevel="0" collapsed="false">
      <c r="A791" s="9"/>
      <c r="B791" s="10"/>
      <c r="C791" s="10"/>
      <c r="D791" s="10"/>
      <c r="E791" s="10"/>
      <c r="F791" s="10"/>
      <c r="G791" s="10"/>
      <c r="H791" s="10"/>
      <c r="I791" s="18" t="n">
        <v>2</v>
      </c>
      <c r="J791" s="18" t="s">
        <v>47</v>
      </c>
      <c r="K791" s="19" t="n">
        <f aca="false">46.48</f>
        <v>46.48</v>
      </c>
      <c r="L791" s="19" t="n">
        <f aca="false">125.13</f>
        <v>125.13</v>
      </c>
      <c r="M791" s="18" t="n">
        <v>16</v>
      </c>
      <c r="N791" s="18" t="n">
        <v>34</v>
      </c>
      <c r="O791" s="18" t="n">
        <v>113.4</v>
      </c>
      <c r="P791" s="19" t="n">
        <f aca="false">29.65</f>
        <v>29.65</v>
      </c>
      <c r="Q791" s="19" t="n">
        <f aca="false">125.07</f>
        <v>125.07</v>
      </c>
      <c r="R791" s="18" t="n">
        <v>21.3</v>
      </c>
      <c r="S791" s="18" t="n">
        <v>21.3</v>
      </c>
      <c r="T791" s="18" t="n">
        <v>433</v>
      </c>
      <c r="U791" s="20" t="s">
        <v>58</v>
      </c>
      <c r="V791" s="21"/>
      <c r="W791" s="16"/>
      <c r="X791" s="16"/>
      <c r="Y791" s="16"/>
    </row>
    <row r="792" customFormat="false" ht="14.15" hidden="false" customHeight="false" outlineLevel="0" collapsed="false">
      <c r="A792" s="9"/>
      <c r="B792" s="10"/>
      <c r="C792" s="10"/>
      <c r="D792" s="10"/>
      <c r="E792" s="10"/>
      <c r="F792" s="10"/>
      <c r="G792" s="10"/>
      <c r="H792" s="10"/>
      <c r="I792" s="22" t="n">
        <v>3</v>
      </c>
      <c r="J792" s="22" t="s">
        <v>147</v>
      </c>
      <c r="K792" s="23" t="n">
        <f aca="false">43.47</f>
        <v>43.47</v>
      </c>
      <c r="L792" s="23" t="n">
        <f aca="false">89.04</f>
        <v>89.04</v>
      </c>
      <c r="M792" s="22" t="n">
        <v>14</v>
      </c>
      <c r="N792" s="22" t="n">
        <v>22</v>
      </c>
      <c r="O792" s="22" t="n">
        <v>661</v>
      </c>
      <c r="P792" s="23" t="n">
        <f aca="false">29.11</f>
        <v>29.11</v>
      </c>
      <c r="Q792" s="23" t="n">
        <f aca="false">98.6</f>
        <v>98.6</v>
      </c>
      <c r="R792" s="22" t="n">
        <v>13.5</v>
      </c>
      <c r="S792" s="22" t="n">
        <v>22</v>
      </c>
      <c r="T792" s="22" t="n">
        <v>241</v>
      </c>
      <c r="U792" s="24" t="s">
        <v>58</v>
      </c>
      <c r="V792" s="15"/>
      <c r="W792" s="16"/>
      <c r="X792" s="16"/>
      <c r="Y792" s="16"/>
    </row>
    <row r="793" customFormat="false" ht="14.15" hidden="false" customHeight="false" outlineLevel="0" collapsed="false">
      <c r="A793" s="9"/>
      <c r="B793" s="10"/>
      <c r="C793" s="10"/>
      <c r="D793" s="10"/>
      <c r="E793" s="10"/>
      <c r="F793" s="10"/>
      <c r="G793" s="10"/>
      <c r="H793" s="10"/>
      <c r="I793" s="25" t="n">
        <v>4</v>
      </c>
      <c r="J793" s="25" t="s">
        <v>35</v>
      </c>
      <c r="K793" s="26" t="n">
        <f aca="false">36.96</f>
        <v>36.96</v>
      </c>
      <c r="L793" s="26" t="n">
        <f aca="false">64.53</f>
        <v>64.53</v>
      </c>
      <c r="M793" s="25" t="n">
        <v>12</v>
      </c>
      <c r="N793" s="25" t="n">
        <v>15</v>
      </c>
      <c r="O793" s="25" t="n">
        <v>37</v>
      </c>
      <c r="P793" s="26" t="n">
        <f aca="false">23.73</f>
        <v>23.73</v>
      </c>
      <c r="Q793" s="26" t="n">
        <f aca="false">69.7</f>
        <v>69.7</v>
      </c>
      <c r="R793" s="25" t="n">
        <v>6.9</v>
      </c>
      <c r="S793" s="25" t="n">
        <v>19.2</v>
      </c>
      <c r="T793" s="25" t="n">
        <v>158</v>
      </c>
      <c r="U793" s="27" t="s">
        <v>58</v>
      </c>
      <c r="V793" s="21"/>
      <c r="W793" s="16"/>
      <c r="X793" s="16"/>
      <c r="Y793" s="16"/>
    </row>
    <row r="794" customFormat="false" ht="15.75" hidden="false" customHeight="true" outlineLevel="0" collapsed="false">
      <c r="A794" s="9" t="s">
        <v>43</v>
      </c>
      <c r="B794" s="10" t="s">
        <v>44</v>
      </c>
      <c r="C794" s="11" t="s">
        <v>267</v>
      </c>
      <c r="D794" s="10" t="s">
        <v>28</v>
      </c>
      <c r="E794" s="10" t="s">
        <v>28</v>
      </c>
      <c r="F794" s="10"/>
      <c r="G794" s="10" t="n">
        <v>5</v>
      </c>
      <c r="H794" s="10" t="n">
        <v>1</v>
      </c>
      <c r="I794" s="12" t="n">
        <v>1</v>
      </c>
      <c r="J794" s="12" t="s">
        <v>103</v>
      </c>
      <c r="K794" s="13" t="n">
        <f aca="false">37.38</f>
        <v>37.38</v>
      </c>
      <c r="L794" s="13" t="n">
        <f aca="false">91.15</f>
        <v>91.15</v>
      </c>
      <c r="M794" s="12" t="n">
        <v>10</v>
      </c>
      <c r="N794" s="12" t="n">
        <v>24</v>
      </c>
      <c r="O794" s="12" t="n">
        <v>49.3</v>
      </c>
      <c r="P794" s="13" t="n">
        <f aca="false">30.78</f>
        <v>30.78</v>
      </c>
      <c r="Q794" s="13" t="n">
        <f aca="false">101.67</f>
        <v>101.67</v>
      </c>
      <c r="R794" s="12" t="n">
        <v>9</v>
      </c>
      <c r="S794" s="12" t="n">
        <v>20.7</v>
      </c>
      <c r="T794" s="12" t="n">
        <v>197</v>
      </c>
      <c r="U794" s="14" t="s">
        <v>29</v>
      </c>
      <c r="V794" s="15"/>
      <c r="W794" s="16" t="str">
        <f aca="false">A794</f>
        <v>JB</v>
      </c>
      <c r="X794" s="17" t="e">
        <f aca="false">ifs(C794="","",X794="",NOW(),TRUE(),X794)</f>
        <v>#VALUE!</v>
      </c>
      <c r="Y794" s="17" t="e">
        <f aca="false">ifs(COUNTA(K794:U797)&lt;44,"",Y794="",NOW(),TRUE(),Y794)</f>
        <v>#VALUE!</v>
      </c>
    </row>
    <row r="795" customFormat="false" ht="14.15" hidden="false" customHeight="false" outlineLevel="0" collapsed="false">
      <c r="A795" s="9"/>
      <c r="B795" s="10"/>
      <c r="C795" s="10"/>
      <c r="D795" s="10"/>
      <c r="E795" s="10"/>
      <c r="F795" s="10"/>
      <c r="G795" s="10"/>
      <c r="H795" s="10"/>
      <c r="I795" s="18" t="n">
        <v>2</v>
      </c>
      <c r="J795" s="18" t="s">
        <v>33</v>
      </c>
      <c r="K795" s="19" t="n">
        <f aca="false">39.43</f>
        <v>39.43</v>
      </c>
      <c r="L795" s="19" t="n">
        <f aca="false">97.01</f>
        <v>97.01</v>
      </c>
      <c r="M795" s="18" t="n">
        <v>14</v>
      </c>
      <c r="N795" s="18" t="n">
        <v>26</v>
      </c>
      <c r="O795" s="18" t="n">
        <v>60.1</v>
      </c>
      <c r="P795" s="19" t="n">
        <f aca="false">26.17</f>
        <v>26.17</v>
      </c>
      <c r="Q795" s="19" t="n">
        <f aca="false">113.87</f>
        <v>113.87</v>
      </c>
      <c r="R795" s="18" t="n">
        <v>10.4</v>
      </c>
      <c r="S795" s="18" t="n">
        <v>100</v>
      </c>
      <c r="T795" s="18" t="n">
        <v>255</v>
      </c>
      <c r="U795" s="20" t="s">
        <v>29</v>
      </c>
      <c r="V795" s="21"/>
      <c r="W795" s="16"/>
      <c r="X795" s="16"/>
      <c r="Y795" s="16"/>
    </row>
    <row r="796" customFormat="false" ht="14.15" hidden="false" customHeight="false" outlineLevel="0" collapsed="false">
      <c r="A796" s="9"/>
      <c r="B796" s="10"/>
      <c r="C796" s="10"/>
      <c r="D796" s="10"/>
      <c r="E796" s="10"/>
      <c r="F796" s="10"/>
      <c r="G796" s="10"/>
      <c r="H796" s="10"/>
      <c r="I796" s="22" t="n">
        <v>3</v>
      </c>
      <c r="J796" s="22" t="s">
        <v>46</v>
      </c>
      <c r="K796" s="23" t="n">
        <f aca="false">40.24</f>
        <v>40.24</v>
      </c>
      <c r="L796" s="23" t="n">
        <f aca="false">85.74</f>
        <v>85.74</v>
      </c>
      <c r="M796" s="22" t="n">
        <v>12</v>
      </c>
      <c r="N796" s="22" t="n">
        <v>20</v>
      </c>
      <c r="O796" s="22" t="n">
        <v>53.8</v>
      </c>
      <c r="P796" s="23" t="n">
        <f aca="false">26.5</f>
        <v>26.5</v>
      </c>
      <c r="Q796" s="23" t="n">
        <f aca="false">123.19</f>
        <v>123.19</v>
      </c>
      <c r="R796" s="22" t="n">
        <v>9.8</v>
      </c>
      <c r="S796" s="22" t="n">
        <v>19.7</v>
      </c>
      <c r="T796" s="22" t="n">
        <v>224</v>
      </c>
      <c r="U796" s="24" t="s">
        <v>29</v>
      </c>
      <c r="V796" s="15"/>
      <c r="W796" s="16"/>
      <c r="X796" s="16"/>
      <c r="Y796" s="16"/>
    </row>
    <row r="797" customFormat="false" ht="14.15" hidden="false" customHeight="false" outlineLevel="0" collapsed="false">
      <c r="A797" s="9"/>
      <c r="B797" s="10"/>
      <c r="C797" s="10"/>
      <c r="D797" s="10"/>
      <c r="E797" s="10"/>
      <c r="F797" s="10"/>
      <c r="G797" s="10"/>
      <c r="H797" s="10"/>
      <c r="I797" s="25" t="n">
        <v>4</v>
      </c>
      <c r="J797" s="25" t="s">
        <v>103</v>
      </c>
      <c r="K797" s="26" t="n">
        <f aca="false">38.27</f>
        <v>38.27</v>
      </c>
      <c r="L797" s="26" t="n">
        <f aca="false">83.34</f>
        <v>83.34</v>
      </c>
      <c r="M797" s="25" t="n">
        <v>10</v>
      </c>
      <c r="N797" s="25" t="n">
        <v>22</v>
      </c>
      <c r="O797" s="25" t="n">
        <v>39</v>
      </c>
      <c r="P797" s="26" t="n">
        <f aca="false">23.39</f>
        <v>23.39</v>
      </c>
      <c r="Q797" s="26" t="n">
        <f aca="false">82.64</f>
        <v>82.64</v>
      </c>
      <c r="R797" s="25" t="n">
        <v>7.1</v>
      </c>
      <c r="S797" s="25" t="n">
        <v>16.7</v>
      </c>
      <c r="T797" s="25" t="n">
        <v>184</v>
      </c>
      <c r="U797" s="27" t="s">
        <v>29</v>
      </c>
      <c r="V797" s="21"/>
      <c r="W797" s="16"/>
      <c r="X797" s="16"/>
      <c r="Y797" s="16"/>
    </row>
    <row r="798" customFormat="false" ht="15.75" hidden="false" customHeight="true" outlineLevel="0" collapsed="false">
      <c r="A798" s="9" t="s">
        <v>43</v>
      </c>
      <c r="B798" s="10" t="s">
        <v>44</v>
      </c>
      <c r="C798" s="11" t="s">
        <v>268</v>
      </c>
      <c r="D798" s="10" t="s">
        <v>28</v>
      </c>
      <c r="E798" s="10" t="s">
        <v>28</v>
      </c>
      <c r="F798" s="10"/>
      <c r="G798" s="10" t="n">
        <v>35</v>
      </c>
      <c r="H798" s="10" t="n">
        <v>8.4</v>
      </c>
      <c r="I798" s="12" t="n">
        <v>1</v>
      </c>
      <c r="J798" s="12" t="s">
        <v>49</v>
      </c>
      <c r="K798" s="13" t="n">
        <f aca="false">41.48</f>
        <v>41.48</v>
      </c>
      <c r="L798" s="13" t="n">
        <f aca="false">122.49</f>
        <v>122.49</v>
      </c>
      <c r="M798" s="12" t="n">
        <v>16</v>
      </c>
      <c r="N798" s="12" t="n">
        <v>28</v>
      </c>
      <c r="O798" s="12" t="n">
        <v>96.9</v>
      </c>
      <c r="P798" s="13" t="n">
        <f aca="false">24.58</f>
        <v>24.58</v>
      </c>
      <c r="Q798" s="13" t="n">
        <f aca="false">141.61</f>
        <v>141.61</v>
      </c>
      <c r="R798" s="12" t="n">
        <v>11</v>
      </c>
      <c r="S798" s="12" t="n">
        <v>18.4</v>
      </c>
      <c r="T798" s="12" t="n">
        <v>469</v>
      </c>
      <c r="U798" s="14" t="s">
        <v>29</v>
      </c>
      <c r="V798" s="15"/>
      <c r="W798" s="16" t="str">
        <f aca="false">A798</f>
        <v>JB</v>
      </c>
      <c r="X798" s="17" t="e">
        <f aca="false">ifs(C798="","",X798="",NOW(),TRUE(),X798)</f>
        <v>#VALUE!</v>
      </c>
      <c r="Y798" s="17" t="e">
        <f aca="false">ifs(COUNTA(K798:U801)&lt;44,"",Y798="",NOW(),TRUE(),Y798)</f>
        <v>#VALUE!</v>
      </c>
    </row>
    <row r="799" customFormat="false" ht="14.15" hidden="false" customHeight="false" outlineLevel="0" collapsed="false">
      <c r="A799" s="9"/>
      <c r="B799" s="10"/>
      <c r="C799" s="10"/>
      <c r="D799" s="10"/>
      <c r="E799" s="10"/>
      <c r="F799" s="10"/>
      <c r="G799" s="10"/>
      <c r="H799" s="10"/>
      <c r="I799" s="18" t="n">
        <v>2</v>
      </c>
      <c r="J799" s="18" t="s">
        <v>49</v>
      </c>
      <c r="K799" s="19" t="n">
        <f aca="false">41.15</f>
        <v>41.15</v>
      </c>
      <c r="L799" s="19" t="n">
        <f aca="false">108.11</f>
        <v>108.11</v>
      </c>
      <c r="M799" s="18" t="n">
        <v>17</v>
      </c>
      <c r="N799" s="18" t="n">
        <v>24</v>
      </c>
      <c r="O799" s="18" t="n">
        <v>94.7</v>
      </c>
      <c r="P799" s="19" t="n">
        <f aca="false">27.59</f>
        <v>27.59</v>
      </c>
      <c r="Q799" s="19" t="n">
        <f aca="false">129.34</f>
        <v>129.34</v>
      </c>
      <c r="R799" s="18" t="n">
        <v>11.2</v>
      </c>
      <c r="S799" s="18" t="n">
        <v>19.6</v>
      </c>
      <c r="T799" s="18" t="n">
        <v>444</v>
      </c>
      <c r="U799" s="20" t="s">
        <v>29</v>
      </c>
      <c r="V799" s="21"/>
      <c r="W799" s="16"/>
      <c r="X799" s="16"/>
      <c r="Y799" s="16"/>
    </row>
    <row r="800" customFormat="false" ht="14.15" hidden="false" customHeight="false" outlineLevel="0" collapsed="false">
      <c r="A800" s="9"/>
      <c r="B800" s="10"/>
      <c r="C800" s="10"/>
      <c r="D800" s="10"/>
      <c r="E800" s="10"/>
      <c r="F800" s="10"/>
      <c r="G800" s="10"/>
      <c r="H800" s="10"/>
      <c r="I800" s="22" t="n">
        <v>3</v>
      </c>
      <c r="J800" s="22"/>
      <c r="K800" s="23" t="n">
        <f aca="false">42.08</f>
        <v>42.08</v>
      </c>
      <c r="L800" s="23" t="n">
        <f aca="false">150.43</f>
        <v>150.43</v>
      </c>
      <c r="M800" s="22" t="n">
        <v>16</v>
      </c>
      <c r="N800" s="22" t="n">
        <v>32</v>
      </c>
      <c r="O800" s="22" t="n">
        <v>136.1</v>
      </c>
      <c r="P800" s="23" t="n">
        <f aca="false">24.93</f>
        <v>24.93</v>
      </c>
      <c r="Q800" s="23" t="n">
        <f aca="false">157.54</f>
        <v>157.54</v>
      </c>
      <c r="R800" s="22" t="n">
        <v>13.2</v>
      </c>
      <c r="S800" s="22" t="n">
        <v>23</v>
      </c>
      <c r="T800" s="22" t="n">
        <v>553</v>
      </c>
      <c r="U800" s="24" t="s">
        <v>29</v>
      </c>
      <c r="V800" s="15"/>
      <c r="W800" s="16"/>
      <c r="X800" s="16"/>
      <c r="Y800" s="16"/>
    </row>
    <row r="801" customFormat="false" ht="14.15" hidden="false" customHeight="false" outlineLevel="0" collapsed="false">
      <c r="A801" s="9"/>
      <c r="B801" s="10"/>
      <c r="C801" s="10"/>
      <c r="D801" s="10"/>
      <c r="E801" s="10"/>
      <c r="F801" s="10"/>
      <c r="G801" s="10"/>
      <c r="H801" s="10"/>
      <c r="I801" s="25" t="n">
        <v>4</v>
      </c>
      <c r="J801" s="25" t="s">
        <v>49</v>
      </c>
      <c r="K801" s="26" t="n">
        <f aca="false">41.56</f>
        <v>41.56</v>
      </c>
      <c r="L801" s="26" t="n">
        <f aca="false">101.9</f>
        <v>101.9</v>
      </c>
      <c r="M801" s="25" t="n">
        <v>16</v>
      </c>
      <c r="N801" s="25" t="n">
        <v>22</v>
      </c>
      <c r="O801" s="25" t="n">
        <v>74.6</v>
      </c>
      <c r="P801" s="26" t="n">
        <f aca="false">25.81</f>
        <v>25.81</v>
      </c>
      <c r="Q801" s="26" t="n">
        <f aca="false">118.05</f>
        <v>118.05</v>
      </c>
      <c r="R801" s="25" t="n">
        <v>9.5</v>
      </c>
      <c r="S801" s="25" t="n">
        <v>21.9</v>
      </c>
      <c r="T801" s="25"/>
      <c r="U801" s="27" t="s">
        <v>29</v>
      </c>
      <c r="V801" s="21"/>
      <c r="W801" s="16"/>
      <c r="X801" s="16"/>
      <c r="Y801" s="16"/>
    </row>
    <row r="802" customFormat="false" ht="15.75" hidden="false" customHeight="true" outlineLevel="0" collapsed="false">
      <c r="A802" s="9" t="s">
        <v>259</v>
      </c>
      <c r="B802" s="10" t="s">
        <v>26</v>
      </c>
      <c r="C802" s="11" t="s">
        <v>269</v>
      </c>
      <c r="D802" s="10" t="s">
        <v>28</v>
      </c>
      <c r="E802" s="10" t="s">
        <v>28</v>
      </c>
      <c r="F802" s="10"/>
      <c r="G802" s="10" t="n">
        <v>6</v>
      </c>
      <c r="H802" s="10" t="n">
        <v>1.25</v>
      </c>
      <c r="I802" s="12" t="n">
        <v>1</v>
      </c>
      <c r="J802" s="12" t="s">
        <v>49</v>
      </c>
      <c r="K802" s="13" t="n">
        <f aca="false">45.92</f>
        <v>45.92</v>
      </c>
      <c r="L802" s="13" t="n">
        <f aca="false">162.16</f>
        <v>162.16</v>
      </c>
      <c r="M802" s="12" t="n">
        <v>14</v>
      </c>
      <c r="N802" s="12" t="n">
        <v>42</v>
      </c>
      <c r="O802" s="12" t="n">
        <v>177.6</v>
      </c>
      <c r="P802" s="13" t="n">
        <f aca="false">28.07</f>
        <v>28.07</v>
      </c>
      <c r="Q802" s="13" t="n">
        <f aca="false">179.91</f>
        <v>179.91</v>
      </c>
      <c r="R802" s="12" t="n">
        <v>25.7</v>
      </c>
      <c r="S802" s="12" t="n">
        <v>23.3</v>
      </c>
      <c r="T802" s="12" t="n">
        <v>630</v>
      </c>
      <c r="U802" s="14" t="s">
        <v>29</v>
      </c>
      <c r="V802" s="15"/>
      <c r="W802" s="16" t="str">
        <f aca="false">A802</f>
        <v>SG</v>
      </c>
      <c r="X802" s="17" t="e">
        <f aca="false">ifs(C802="","",X802="",NOW(),TRUE(),X802)</f>
        <v>#VALUE!</v>
      </c>
      <c r="Y802" s="17" t="e">
        <f aca="false">ifs(COUNTA(K802:U805)&lt;44,"",Y802="",NOW(),TRUE(),Y802)</f>
        <v>#VALUE!</v>
      </c>
    </row>
    <row r="803" customFormat="false" ht="14.15" hidden="false" customHeight="false" outlineLevel="0" collapsed="false">
      <c r="A803" s="9"/>
      <c r="B803" s="10"/>
      <c r="C803" s="10"/>
      <c r="D803" s="10"/>
      <c r="E803" s="10"/>
      <c r="F803" s="10"/>
      <c r="G803" s="10"/>
      <c r="H803" s="10"/>
      <c r="I803" s="18" t="n">
        <v>2</v>
      </c>
      <c r="J803" s="18" t="s">
        <v>49</v>
      </c>
      <c r="K803" s="19" t="n">
        <f aca="false">44.2</f>
        <v>44.2</v>
      </c>
      <c r="L803" s="19" t="n">
        <f aca="false">145.62</f>
        <v>145.62</v>
      </c>
      <c r="M803" s="18" t="n">
        <v>14</v>
      </c>
      <c r="N803" s="18" t="n">
        <v>40</v>
      </c>
      <c r="O803" s="18" t="n">
        <v>155.65</v>
      </c>
      <c r="P803" s="19" t="n">
        <f aca="false">26.99</f>
        <v>26.99</v>
      </c>
      <c r="Q803" s="19" t="n">
        <f aca="false">167.23</f>
        <v>167.23</v>
      </c>
      <c r="R803" s="18" t="n">
        <v>23.25</v>
      </c>
      <c r="S803" s="18" t="n">
        <v>25.5</v>
      </c>
      <c r="T803" s="18" t="n">
        <v>558</v>
      </c>
      <c r="U803" s="20" t="s">
        <v>29</v>
      </c>
      <c r="V803" s="21"/>
      <c r="W803" s="16"/>
      <c r="X803" s="16"/>
      <c r="Y803" s="16"/>
    </row>
    <row r="804" customFormat="false" ht="14.15" hidden="false" customHeight="false" outlineLevel="0" collapsed="false">
      <c r="A804" s="9"/>
      <c r="B804" s="10"/>
      <c r="C804" s="10"/>
      <c r="D804" s="10"/>
      <c r="E804" s="10"/>
      <c r="F804" s="10"/>
      <c r="G804" s="10"/>
      <c r="H804" s="10"/>
      <c r="I804" s="22" t="n">
        <v>3</v>
      </c>
      <c r="J804" s="22"/>
      <c r="K804" s="23" t="n">
        <f aca="false">45.15</f>
        <v>45.15</v>
      </c>
      <c r="L804" s="23" t="n">
        <f aca="false">154.8</f>
        <v>154.8</v>
      </c>
      <c r="M804" s="22" t="n">
        <v>16</v>
      </c>
      <c r="N804" s="22" t="n">
        <v>39</v>
      </c>
      <c r="O804" s="22" t="n">
        <v>173.2</v>
      </c>
      <c r="P804" s="23" t="n">
        <f aca="false">29.03</f>
        <v>29.03</v>
      </c>
      <c r="Q804" s="23" t="n">
        <f aca="false">173.73</f>
        <v>173.73</v>
      </c>
      <c r="R804" s="22" t="n">
        <v>25.75</v>
      </c>
      <c r="S804" s="22" t="n">
        <v>24.15</v>
      </c>
      <c r="T804" s="22" t="n">
        <v>631</v>
      </c>
      <c r="U804" s="24" t="s">
        <v>29</v>
      </c>
      <c r="V804" s="15"/>
      <c r="W804" s="16"/>
      <c r="X804" s="16"/>
      <c r="Y804" s="16"/>
    </row>
    <row r="805" customFormat="false" ht="14.15" hidden="false" customHeight="false" outlineLevel="0" collapsed="false">
      <c r="A805" s="9"/>
      <c r="B805" s="10"/>
      <c r="C805" s="10"/>
      <c r="D805" s="10"/>
      <c r="E805" s="10"/>
      <c r="F805" s="10"/>
      <c r="G805" s="10"/>
      <c r="H805" s="10"/>
      <c r="I805" s="25" t="n">
        <v>4</v>
      </c>
      <c r="J805" s="25" t="s">
        <v>49</v>
      </c>
      <c r="K805" s="26" t="n">
        <f aca="false">43.3</f>
        <v>43.3</v>
      </c>
      <c r="L805" s="26" t="n">
        <f aca="false">137.14</f>
        <v>137.14</v>
      </c>
      <c r="M805" s="25" t="n">
        <v>14</v>
      </c>
      <c r="N805" s="25" t="n">
        <v>36</v>
      </c>
      <c r="O805" s="25" t="n">
        <v>141.85</v>
      </c>
      <c r="P805" s="26" t="n">
        <f aca="false">27.67</f>
        <v>27.67</v>
      </c>
      <c r="Q805" s="26" t="n">
        <f aca="false">163.23</f>
        <v>163.23</v>
      </c>
      <c r="R805" s="25" t="n">
        <v>20.1</v>
      </c>
      <c r="S805" s="25" t="n">
        <v>23.9</v>
      </c>
      <c r="T805" s="25" t="n">
        <v>563</v>
      </c>
      <c r="U805" s="27" t="s">
        <v>29</v>
      </c>
      <c r="V805" s="21"/>
      <c r="W805" s="16"/>
      <c r="X805" s="16"/>
      <c r="Y805" s="16"/>
    </row>
    <row r="806" customFormat="false" ht="15.75" hidden="false" customHeight="true" outlineLevel="0" collapsed="false">
      <c r="A806" s="9" t="s">
        <v>259</v>
      </c>
      <c r="B806" s="10" t="s">
        <v>26</v>
      </c>
      <c r="C806" s="11" t="s">
        <v>270</v>
      </c>
      <c r="D806" s="10" t="s">
        <v>28</v>
      </c>
      <c r="E806" s="10" t="s">
        <v>28</v>
      </c>
      <c r="F806" s="10"/>
      <c r="G806" s="10" t="n">
        <v>27</v>
      </c>
      <c r="H806" s="10" t="n">
        <v>6.1</v>
      </c>
      <c r="I806" s="12" t="n">
        <v>1</v>
      </c>
      <c r="J806" s="12"/>
      <c r="K806" s="13" t="n">
        <f aca="false">42.83</f>
        <v>42.83</v>
      </c>
      <c r="L806" s="13" t="n">
        <f aca="false">150.82</f>
        <v>150.82</v>
      </c>
      <c r="M806" s="12" t="n">
        <v>16</v>
      </c>
      <c r="N806" s="12" t="n">
        <v>36</v>
      </c>
      <c r="O806" s="12" t="n">
        <v>148.5</v>
      </c>
      <c r="P806" s="13" t="n">
        <f aca="false">24.73</f>
        <v>24.73</v>
      </c>
      <c r="Q806" s="13" t="n">
        <f aca="false">163.26</f>
        <v>163.26</v>
      </c>
      <c r="R806" s="12" t="n">
        <v>16.1</v>
      </c>
      <c r="S806" s="12" t="n">
        <v>24.1</v>
      </c>
      <c r="T806" s="12" t="n">
        <v>566</v>
      </c>
      <c r="U806" s="14" t="s">
        <v>29</v>
      </c>
      <c r="V806" s="15"/>
      <c r="W806" s="16" t="str">
        <f aca="false">A806</f>
        <v>SG</v>
      </c>
      <c r="X806" s="17" t="e">
        <f aca="false">ifs(C806="","",X806="",NOW(),TRUE(),X806)</f>
        <v>#VALUE!</v>
      </c>
      <c r="Y806" s="17" t="e">
        <f aca="false">ifs(COUNTA(K806:U809)&lt;44,"",Y806="",NOW(),TRUE(),Y806)</f>
        <v>#VALUE!</v>
      </c>
    </row>
    <row r="807" customFormat="false" ht="14.15" hidden="false" customHeight="false" outlineLevel="0" collapsed="false">
      <c r="A807" s="9"/>
      <c r="B807" s="10"/>
      <c r="C807" s="10"/>
      <c r="D807" s="10"/>
      <c r="E807" s="10"/>
      <c r="F807" s="10"/>
      <c r="G807" s="10"/>
      <c r="H807" s="10"/>
      <c r="I807" s="18" t="n">
        <v>2</v>
      </c>
      <c r="J807" s="18"/>
      <c r="K807" s="19" t="n">
        <f aca="false">41.54</f>
        <v>41.54</v>
      </c>
      <c r="L807" s="19" t="n">
        <f aca="false">134.04</f>
        <v>134.04</v>
      </c>
      <c r="M807" s="18" t="n">
        <v>14</v>
      </c>
      <c r="N807" s="18" t="n">
        <v>34</v>
      </c>
      <c r="O807" s="18" t="n">
        <v>121</v>
      </c>
      <c r="P807" s="19" t="n">
        <f aca="false">26.23</f>
        <v>26.23</v>
      </c>
      <c r="Q807" s="19" t="n">
        <f aca="false">145.43</f>
        <v>145.43</v>
      </c>
      <c r="R807" s="18" t="n">
        <v>15.4</v>
      </c>
      <c r="S807" s="18" t="n">
        <v>24.1</v>
      </c>
      <c r="T807" s="18" t="n">
        <v>466</v>
      </c>
      <c r="U807" s="20" t="s">
        <v>29</v>
      </c>
      <c r="V807" s="21"/>
      <c r="W807" s="16"/>
      <c r="X807" s="16"/>
      <c r="Y807" s="16"/>
    </row>
    <row r="808" customFormat="false" ht="14.15" hidden="false" customHeight="false" outlineLevel="0" collapsed="false">
      <c r="A808" s="9"/>
      <c r="B808" s="10"/>
      <c r="C808" s="10"/>
      <c r="D808" s="10"/>
      <c r="E808" s="10"/>
      <c r="F808" s="10"/>
      <c r="G808" s="10"/>
      <c r="H808" s="10"/>
      <c r="I808" s="22" t="n">
        <v>3</v>
      </c>
      <c r="J808" s="22" t="s">
        <v>47</v>
      </c>
      <c r="K808" s="23" t="n">
        <f aca="false">44.32</f>
        <v>44.32</v>
      </c>
      <c r="L808" s="23" t="n">
        <f aca="false">141.81</f>
        <v>141.81</v>
      </c>
      <c r="M808" s="22" t="n">
        <v>16</v>
      </c>
      <c r="N808" s="22" t="n">
        <v>34</v>
      </c>
      <c r="O808" s="22" t="n">
        <v>144.85</v>
      </c>
      <c r="P808" s="23" t="n">
        <f aca="false">25.24</f>
        <v>25.24</v>
      </c>
      <c r="Q808" s="23" t="n">
        <f aca="false">154.25</f>
        <v>154.25</v>
      </c>
      <c r="R808" s="22" t="n">
        <v>16.8</v>
      </c>
      <c r="S808" s="22" t="n">
        <v>24.4</v>
      </c>
      <c r="T808" s="22" t="n">
        <v>532</v>
      </c>
      <c r="U808" s="24" t="s">
        <v>29</v>
      </c>
      <c r="V808" s="15"/>
      <c r="W808" s="16"/>
      <c r="X808" s="16"/>
      <c r="Y808" s="16"/>
    </row>
    <row r="809" customFormat="false" ht="14.15" hidden="false" customHeight="false" outlineLevel="0" collapsed="false">
      <c r="A809" s="9"/>
      <c r="B809" s="10"/>
      <c r="C809" s="10"/>
      <c r="D809" s="10"/>
      <c r="E809" s="10"/>
      <c r="F809" s="10"/>
      <c r="G809" s="10"/>
      <c r="H809" s="10"/>
      <c r="I809" s="25" t="n">
        <v>4</v>
      </c>
      <c r="J809" s="25"/>
      <c r="K809" s="26" t="n">
        <f aca="false">46.53</f>
        <v>46.53</v>
      </c>
      <c r="L809" s="26" t="n">
        <f aca="false">163.39</f>
        <v>163.39</v>
      </c>
      <c r="M809" s="25" t="n">
        <v>14</v>
      </c>
      <c r="N809" s="25" t="n">
        <v>36</v>
      </c>
      <c r="O809" s="25" t="n">
        <v>174.55</v>
      </c>
      <c r="P809" s="26" t="n">
        <f aca="false">27</f>
        <v>27</v>
      </c>
      <c r="Q809" s="26" t="n">
        <f aca="false">167.21</f>
        <v>167.21</v>
      </c>
      <c r="R809" s="25" t="n">
        <v>21.5</v>
      </c>
      <c r="S809" s="25" t="n">
        <v>29.35</v>
      </c>
      <c r="T809" s="25" t="n">
        <v>520</v>
      </c>
      <c r="U809" s="27" t="s">
        <v>29</v>
      </c>
      <c r="V809" s="21"/>
      <c r="W809" s="16"/>
      <c r="X809" s="16"/>
      <c r="Y809" s="16"/>
    </row>
    <row r="810" customFormat="false" ht="15.75" hidden="false" customHeight="true" outlineLevel="0" collapsed="false">
      <c r="A810" s="9" t="s">
        <v>259</v>
      </c>
      <c r="B810" s="10" t="s">
        <v>26</v>
      </c>
      <c r="C810" s="11" t="s">
        <v>271</v>
      </c>
      <c r="D810" s="10" t="s">
        <v>28</v>
      </c>
      <c r="E810" s="10" t="s">
        <v>73</v>
      </c>
      <c r="F810" s="10"/>
      <c r="G810" s="10" t="n">
        <v>44</v>
      </c>
      <c r="H810" s="10" t="n">
        <v>8.8</v>
      </c>
      <c r="I810" s="12" t="n">
        <v>1</v>
      </c>
      <c r="J810" s="12"/>
      <c r="K810" s="13" t="n">
        <f aca="false">45.03</f>
        <v>45.03</v>
      </c>
      <c r="L810" s="13" t="n">
        <f aca="false">133.51</f>
        <v>133.51</v>
      </c>
      <c r="M810" s="12" t="n">
        <v>16</v>
      </c>
      <c r="N810" s="12" t="n">
        <v>30</v>
      </c>
      <c r="O810" s="12" t="n">
        <v>130.5</v>
      </c>
      <c r="P810" s="13" t="n">
        <f aca="false">29.64</f>
        <v>29.64</v>
      </c>
      <c r="Q810" s="13" t="n">
        <f aca="false">144.97</f>
        <v>144.97</v>
      </c>
      <c r="R810" s="12" t="n">
        <v>18.55</v>
      </c>
      <c r="S810" s="12" t="n">
        <v>24.7</v>
      </c>
      <c r="T810" s="12" t="n">
        <v>463</v>
      </c>
      <c r="U810" s="14" t="s">
        <v>29</v>
      </c>
      <c r="V810" s="15"/>
      <c r="W810" s="16" t="str">
        <f aca="false">A810</f>
        <v>SG</v>
      </c>
      <c r="X810" s="17" t="e">
        <f aca="false">ifs(C810="","",X810="",NOW(),TRUE(),X810)</f>
        <v>#VALUE!</v>
      </c>
      <c r="Y810" s="17" t="e">
        <f aca="false">ifs(COUNTA(K810:U813)&lt;44,"",Y810="",NOW(),TRUE(),Y810)</f>
        <v>#VALUE!</v>
      </c>
    </row>
    <row r="811" customFormat="false" ht="14.15" hidden="false" customHeight="false" outlineLevel="0" collapsed="false">
      <c r="A811" s="9"/>
      <c r="B811" s="10"/>
      <c r="C811" s="10"/>
      <c r="D811" s="10"/>
      <c r="E811" s="10"/>
      <c r="F811" s="10"/>
      <c r="G811" s="10"/>
      <c r="H811" s="10"/>
      <c r="I811" s="18" t="n">
        <v>2</v>
      </c>
      <c r="J811" s="18"/>
      <c r="K811" s="19" t="n">
        <f aca="false">35.11</f>
        <v>35.11</v>
      </c>
      <c r="L811" s="19" t="n">
        <f aca="false">136.05</f>
        <v>136.05</v>
      </c>
      <c r="M811" s="18" t="n">
        <v>16</v>
      </c>
      <c r="N811" s="18" t="n">
        <v>30</v>
      </c>
      <c r="O811" s="18" t="n">
        <v>131.35</v>
      </c>
      <c r="P811" s="19" t="n">
        <v>24.34</v>
      </c>
      <c r="Q811" s="19" t="n">
        <v>137.12</v>
      </c>
      <c r="R811" s="18" t="n">
        <v>14.1</v>
      </c>
      <c r="S811" s="18" t="n">
        <v>24.3</v>
      </c>
      <c r="T811" s="18" t="n">
        <v>488</v>
      </c>
      <c r="U811" s="20" t="s">
        <v>29</v>
      </c>
      <c r="V811" s="21"/>
      <c r="W811" s="16"/>
      <c r="X811" s="16"/>
      <c r="Y811" s="16"/>
    </row>
    <row r="812" customFormat="false" ht="14.15" hidden="false" customHeight="false" outlineLevel="0" collapsed="false">
      <c r="A812" s="9"/>
      <c r="B812" s="10"/>
      <c r="C812" s="10"/>
      <c r="D812" s="10"/>
      <c r="E812" s="10"/>
      <c r="F812" s="10"/>
      <c r="G812" s="10"/>
      <c r="H812" s="10"/>
      <c r="I812" s="22" t="n">
        <v>3</v>
      </c>
      <c r="J812" s="22" t="s">
        <v>36</v>
      </c>
      <c r="K812" s="23" t="n">
        <f aca="false">44.09</f>
        <v>44.09</v>
      </c>
      <c r="L812" s="23" t="n">
        <f aca="false">143.07</f>
        <v>143.07</v>
      </c>
      <c r="M812" s="22" t="n">
        <v>14</v>
      </c>
      <c r="N812" s="22" t="n">
        <v>34</v>
      </c>
      <c r="O812" s="22" t="n">
        <v>134.85</v>
      </c>
      <c r="P812" s="23" t="n">
        <f aca="false">26.38</f>
        <v>26.38</v>
      </c>
      <c r="Q812" s="23" t="n">
        <f aca="false">162.58</f>
        <v>162.58</v>
      </c>
      <c r="R812" s="22" t="n">
        <v>16.4</v>
      </c>
      <c r="S812" s="22" t="n">
        <v>25.85</v>
      </c>
      <c r="T812" s="22" t="n">
        <v>459</v>
      </c>
      <c r="U812" s="24" t="s">
        <v>58</v>
      </c>
      <c r="V812" s="15"/>
      <c r="W812" s="16"/>
      <c r="X812" s="16"/>
      <c r="Y812" s="16"/>
    </row>
    <row r="813" customFormat="false" ht="13.8" hidden="false" customHeight="false" outlineLevel="0" collapsed="false">
      <c r="A813" s="9"/>
      <c r="B813" s="10"/>
      <c r="C813" s="10"/>
      <c r="D813" s="10"/>
      <c r="E813" s="10"/>
      <c r="F813" s="10"/>
      <c r="G813" s="10"/>
      <c r="H813" s="10"/>
      <c r="I813" s="25" t="n">
        <v>4</v>
      </c>
      <c r="J813" s="25"/>
      <c r="K813" s="26"/>
      <c r="L813" s="26"/>
      <c r="M813" s="25"/>
      <c r="N813" s="25"/>
      <c r="O813" s="25"/>
      <c r="P813" s="26"/>
      <c r="Q813" s="26"/>
      <c r="R813" s="25"/>
      <c r="S813" s="25"/>
      <c r="T813" s="25"/>
      <c r="U813" s="27"/>
      <c r="V813" s="21"/>
      <c r="W813" s="16"/>
      <c r="X813" s="16"/>
      <c r="Y813" s="16"/>
    </row>
    <row r="814" customFormat="false" ht="15.75" hidden="false" customHeight="true" outlineLevel="0" collapsed="false">
      <c r="A814" s="9" t="s">
        <v>259</v>
      </c>
      <c r="B814" s="10" t="s">
        <v>26</v>
      </c>
      <c r="C814" s="11" t="s">
        <v>272</v>
      </c>
      <c r="D814" s="10" t="s">
        <v>28</v>
      </c>
      <c r="E814" s="10" t="s">
        <v>28</v>
      </c>
      <c r="F814" s="10"/>
      <c r="G814" s="10" t="n">
        <v>78</v>
      </c>
      <c r="H814" s="10" t="n">
        <v>23.65</v>
      </c>
      <c r="I814" s="12" t="n">
        <v>1</v>
      </c>
      <c r="J814" s="12" t="s">
        <v>120</v>
      </c>
      <c r="K814" s="13" t="n">
        <f aca="false">47.5</f>
        <v>47.5</v>
      </c>
      <c r="L814" s="13" t="n">
        <f aca="false">161.94</f>
        <v>161.94</v>
      </c>
      <c r="M814" s="12" t="n">
        <v>14</v>
      </c>
      <c r="N814" s="12" t="n">
        <v>35</v>
      </c>
      <c r="O814" s="12" t="n">
        <v>202.5</v>
      </c>
      <c r="P814" s="13" t="n">
        <f aca="false">28.48</f>
        <v>28.48</v>
      </c>
      <c r="Q814" s="13" t="n">
        <f aca="false">180.09</f>
        <v>180.09</v>
      </c>
      <c r="R814" s="12" t="n">
        <v>25.25</v>
      </c>
      <c r="S814" s="12" t="n">
        <v>35.7</v>
      </c>
      <c r="T814" s="12" t="n">
        <v>506</v>
      </c>
      <c r="U814" s="14" t="s">
        <v>58</v>
      </c>
      <c r="V814" s="15"/>
      <c r="W814" s="16" t="str">
        <f aca="false">A814</f>
        <v>SG</v>
      </c>
      <c r="X814" s="17" t="e">
        <f aca="false">ifs(C814="","",X814="",NOW(),TRUE(),X814)</f>
        <v>#VALUE!</v>
      </c>
      <c r="Y814" s="17" t="e">
        <f aca="false">ifs(COUNTA(K814:U817)&lt;44,"",Y814="",NOW(),TRUE(),Y814)</f>
        <v>#VALUE!</v>
      </c>
    </row>
    <row r="815" customFormat="false" ht="14.15" hidden="false" customHeight="false" outlineLevel="0" collapsed="false">
      <c r="A815" s="9"/>
      <c r="B815" s="10"/>
      <c r="C815" s="10"/>
      <c r="D815" s="10"/>
      <c r="E815" s="10"/>
      <c r="F815" s="10"/>
      <c r="G815" s="10"/>
      <c r="H815" s="10"/>
      <c r="I815" s="18" t="n">
        <v>2</v>
      </c>
      <c r="J815" s="18"/>
      <c r="K815" s="19" t="n">
        <f aca="false">45.34</f>
        <v>45.34</v>
      </c>
      <c r="L815" s="19" t="n">
        <f aca="false">181.97</f>
        <v>181.97</v>
      </c>
      <c r="M815" s="18" t="n">
        <v>14</v>
      </c>
      <c r="N815" s="18" t="n">
        <v>40</v>
      </c>
      <c r="O815" s="18" t="n">
        <v>210.8</v>
      </c>
      <c r="P815" s="19" t="n">
        <f aca="false">29.17</f>
        <v>29.17</v>
      </c>
      <c r="Q815" s="19" t="n">
        <f aca="false">195.54</f>
        <v>195.54</v>
      </c>
      <c r="R815" s="18" t="n">
        <v>25.45</v>
      </c>
      <c r="S815" s="18" t="n">
        <v>32.85</v>
      </c>
      <c r="T815" s="18" t="n">
        <v>565</v>
      </c>
      <c r="U815" s="20" t="s">
        <v>58</v>
      </c>
      <c r="V815" s="21"/>
      <c r="W815" s="16"/>
      <c r="X815" s="16"/>
      <c r="Y815" s="16"/>
    </row>
    <row r="816" customFormat="false" ht="14.15" hidden="false" customHeight="false" outlineLevel="0" collapsed="false">
      <c r="A816" s="9"/>
      <c r="B816" s="10"/>
      <c r="C816" s="10"/>
      <c r="D816" s="10"/>
      <c r="E816" s="10"/>
      <c r="F816" s="10"/>
      <c r="G816" s="10"/>
      <c r="H816" s="10"/>
      <c r="I816" s="22" t="n">
        <v>3</v>
      </c>
      <c r="J816" s="22" t="s">
        <v>36</v>
      </c>
      <c r="K816" s="23" t="n">
        <f aca="false">46.61</f>
        <v>46.61</v>
      </c>
      <c r="L816" s="23" t="n">
        <f aca="false">184.2</f>
        <v>184.2</v>
      </c>
      <c r="M816" s="22" t="n">
        <v>14</v>
      </c>
      <c r="N816" s="22" t="n">
        <v>40</v>
      </c>
      <c r="O816" s="22" t="n">
        <v>221.35</v>
      </c>
      <c r="P816" s="23" t="n">
        <f aca="false">27.61</f>
        <v>27.61</v>
      </c>
      <c r="Q816" s="23" t="n">
        <f aca="false">194</f>
        <v>194</v>
      </c>
      <c r="R816" s="22" t="n">
        <v>27.35</v>
      </c>
      <c r="S816" s="22" t="n">
        <v>37.15</v>
      </c>
      <c r="T816" s="22" t="n">
        <v>553</v>
      </c>
      <c r="U816" s="24" t="s">
        <v>58</v>
      </c>
      <c r="V816" s="15"/>
      <c r="W816" s="16"/>
      <c r="X816" s="16"/>
      <c r="Y816" s="16"/>
    </row>
    <row r="817" customFormat="false" ht="14.15" hidden="false" customHeight="false" outlineLevel="0" collapsed="false">
      <c r="A817" s="9"/>
      <c r="B817" s="10"/>
      <c r="C817" s="10"/>
      <c r="D817" s="10"/>
      <c r="E817" s="10"/>
      <c r="F817" s="10"/>
      <c r="G817" s="10"/>
      <c r="H817" s="10"/>
      <c r="I817" s="25" t="n">
        <v>4</v>
      </c>
      <c r="J817" s="25"/>
      <c r="K817" s="26" t="n">
        <f aca="false">48.58</f>
        <v>48.58</v>
      </c>
      <c r="L817" s="26" t="n">
        <f aca="false">176</f>
        <v>176</v>
      </c>
      <c r="M817" s="25" t="n">
        <v>14</v>
      </c>
      <c r="N817" s="25" t="n">
        <v>40</v>
      </c>
      <c r="O817" s="25" t="n">
        <v>218.6</v>
      </c>
      <c r="P817" s="26" t="n">
        <f aca="false">27.73</f>
        <v>27.73</v>
      </c>
      <c r="Q817" s="26" t="n">
        <f aca="false">185.15</f>
        <v>185.15</v>
      </c>
      <c r="R817" s="25" t="n">
        <v>25.95</v>
      </c>
      <c r="S817" s="25" t="n">
        <v>37.3</v>
      </c>
      <c r="T817" s="25" t="n">
        <v>530</v>
      </c>
      <c r="U817" s="27" t="s">
        <v>58</v>
      </c>
      <c r="V817" s="21"/>
      <c r="W817" s="16"/>
      <c r="X817" s="16"/>
      <c r="Y817" s="16"/>
    </row>
    <row r="818" customFormat="false" ht="15.75" hidden="false" customHeight="true" outlineLevel="0" collapsed="false">
      <c r="A818" s="9" t="s">
        <v>259</v>
      </c>
      <c r="B818" s="10" t="s">
        <v>26</v>
      </c>
      <c r="C818" s="11" t="s">
        <v>273</v>
      </c>
      <c r="D818" s="10" t="s">
        <v>28</v>
      </c>
      <c r="E818" s="10" t="s">
        <v>28</v>
      </c>
      <c r="F818" s="10"/>
      <c r="G818" s="10" t="n">
        <v>2</v>
      </c>
      <c r="H818" s="10" t="n">
        <v>0.45</v>
      </c>
      <c r="I818" s="12" t="n">
        <v>1</v>
      </c>
      <c r="J818" s="12"/>
      <c r="K818" s="13" t="n">
        <f aca="false">45.61</f>
        <v>45.61</v>
      </c>
      <c r="L818" s="13" t="n">
        <f aca="false">172.79</f>
        <v>172.79</v>
      </c>
      <c r="M818" s="12" t="n">
        <v>16</v>
      </c>
      <c r="N818" s="12" t="n">
        <v>42</v>
      </c>
      <c r="O818" s="12" t="n">
        <v>191.55</v>
      </c>
      <c r="P818" s="13" t="n">
        <f aca="false">30.45</f>
        <v>30.45</v>
      </c>
      <c r="Q818" s="13" t="n">
        <f aca="false">186</f>
        <v>186</v>
      </c>
      <c r="R818" s="12" t="n">
        <v>32.9</v>
      </c>
      <c r="S818" s="12" t="n">
        <v>24.1</v>
      </c>
      <c r="T818" s="12" t="n">
        <v>682</v>
      </c>
      <c r="U818" s="14" t="s">
        <v>29</v>
      </c>
      <c r="V818" s="15"/>
      <c r="W818" s="16" t="str">
        <f aca="false">A818</f>
        <v>SG</v>
      </c>
      <c r="X818" s="17" t="e">
        <f aca="false">ifs(C818="","",X818="",NOW(),TRUE(),X818)</f>
        <v>#VALUE!</v>
      </c>
      <c r="Y818" s="17" t="e">
        <f aca="false">ifs(COUNTA(K818:U821)&lt;44,"",Y818="",NOW(),TRUE(),Y818)</f>
        <v>#VALUE!</v>
      </c>
    </row>
    <row r="819" customFormat="false" ht="14.15" hidden="false" customHeight="false" outlineLevel="0" collapsed="false">
      <c r="A819" s="9"/>
      <c r="B819" s="10"/>
      <c r="C819" s="10"/>
      <c r="D819" s="10"/>
      <c r="E819" s="10"/>
      <c r="F819" s="10"/>
      <c r="G819" s="10"/>
      <c r="H819" s="10"/>
      <c r="I819" s="18" t="n">
        <v>2</v>
      </c>
      <c r="J819" s="18" t="s">
        <v>46</v>
      </c>
      <c r="K819" s="19" t="n">
        <f aca="false">45.34</f>
        <v>45.34</v>
      </c>
      <c r="L819" s="19" t="n">
        <f aca="false">137.62</f>
        <v>137.62</v>
      </c>
      <c r="M819" s="18" t="n">
        <v>16</v>
      </c>
      <c r="N819" s="18" t="n">
        <v>31</v>
      </c>
      <c r="O819" s="18" t="n">
        <v>159</v>
      </c>
      <c r="P819" s="19" t="n">
        <f aca="false">29.36</f>
        <v>29.36</v>
      </c>
      <c r="Q819" s="19" t="n">
        <f aca="false">164.23</f>
        <v>164.23</v>
      </c>
      <c r="R819" s="18" t="n">
        <v>29.75</v>
      </c>
      <c r="S819" s="18" t="n">
        <v>22.7</v>
      </c>
      <c r="T819" s="18" t="n">
        <v>535</v>
      </c>
      <c r="U819" s="20" t="s">
        <v>29</v>
      </c>
      <c r="V819" s="21"/>
      <c r="W819" s="16"/>
      <c r="X819" s="16"/>
      <c r="Y819" s="16"/>
    </row>
    <row r="820" customFormat="false" ht="14.15" hidden="false" customHeight="false" outlineLevel="0" collapsed="false">
      <c r="A820" s="9"/>
      <c r="B820" s="10"/>
      <c r="C820" s="10"/>
      <c r="D820" s="10"/>
      <c r="E820" s="10"/>
      <c r="F820" s="10"/>
      <c r="G820" s="10"/>
      <c r="H820" s="10"/>
      <c r="I820" s="22" t="n">
        <v>3</v>
      </c>
      <c r="J820" s="22" t="s">
        <v>49</v>
      </c>
      <c r="K820" s="23" t="n">
        <f aca="false">46.29</f>
        <v>46.29</v>
      </c>
      <c r="L820" s="23" t="n">
        <f aca="false">138.73</f>
        <v>138.73</v>
      </c>
      <c r="M820" s="22" t="n">
        <v>18</v>
      </c>
      <c r="N820" s="22" t="n">
        <v>35</v>
      </c>
      <c r="O820" s="22" t="n">
        <v>164.55</v>
      </c>
      <c r="P820" s="23" t="n">
        <f aca="false">31.69</f>
        <v>31.69</v>
      </c>
      <c r="Q820" s="23" t="n">
        <f aca="false">162.5</f>
        <v>162.5</v>
      </c>
      <c r="R820" s="22" t="n">
        <v>32.75</v>
      </c>
      <c r="S820" s="22" t="n">
        <v>22.9</v>
      </c>
      <c r="T820" s="22" t="n">
        <v>618</v>
      </c>
      <c r="U820" s="24" t="s">
        <v>29</v>
      </c>
      <c r="V820" s="15"/>
      <c r="W820" s="16"/>
      <c r="X820" s="16"/>
      <c r="Y820" s="16"/>
    </row>
    <row r="821" customFormat="false" ht="14.15" hidden="false" customHeight="false" outlineLevel="0" collapsed="false">
      <c r="A821" s="9"/>
      <c r="B821" s="10"/>
      <c r="C821" s="10"/>
      <c r="D821" s="10"/>
      <c r="E821" s="10"/>
      <c r="F821" s="10"/>
      <c r="G821" s="10"/>
      <c r="H821" s="10"/>
      <c r="I821" s="25" t="n">
        <v>4</v>
      </c>
      <c r="J821" s="25" t="s">
        <v>46</v>
      </c>
      <c r="K821" s="26" t="n">
        <f aca="false">48.82</f>
        <v>48.82</v>
      </c>
      <c r="L821" s="26" t="n">
        <f aca="false">146.18</f>
        <v>146.18</v>
      </c>
      <c r="M821" s="25" t="n">
        <v>16</v>
      </c>
      <c r="N821" s="25" t="n">
        <v>40</v>
      </c>
      <c r="O821" s="25" t="n">
        <v>178.45</v>
      </c>
      <c r="P821" s="26" t="n">
        <f aca="false">30.04</f>
        <v>30.04</v>
      </c>
      <c r="Q821" s="26" t="n">
        <f aca="false">168.1</f>
        <v>168.1</v>
      </c>
      <c r="R821" s="25" t="n">
        <v>33.25</v>
      </c>
      <c r="S821" s="25" t="n">
        <v>25.55</v>
      </c>
      <c r="T821" s="25" t="n">
        <v>635</v>
      </c>
      <c r="U821" s="27" t="s">
        <v>29</v>
      </c>
      <c r="V821" s="21"/>
      <c r="W821" s="16"/>
      <c r="X821" s="16"/>
      <c r="Y821" s="16"/>
    </row>
    <row r="822" customFormat="false" ht="15.75" hidden="false" customHeight="true" outlineLevel="0" collapsed="false">
      <c r="A822" s="9" t="s">
        <v>259</v>
      </c>
      <c r="B822" s="10" t="s">
        <v>26</v>
      </c>
      <c r="C822" s="11" t="s">
        <v>274</v>
      </c>
      <c r="D822" s="10" t="s">
        <v>28</v>
      </c>
      <c r="E822" s="10" t="s">
        <v>28</v>
      </c>
      <c r="F822" s="10"/>
      <c r="G822" s="10" t="n">
        <v>0</v>
      </c>
      <c r="H822" s="10" t="n">
        <v>0</v>
      </c>
      <c r="I822" s="12" t="n">
        <v>1</v>
      </c>
      <c r="J822" s="12" t="s">
        <v>49</v>
      </c>
      <c r="K822" s="13" t="n">
        <f aca="false">43.09</f>
        <v>43.09</v>
      </c>
      <c r="L822" s="13" t="n">
        <f aca="false">194</f>
        <v>194</v>
      </c>
      <c r="M822" s="12" t="n">
        <v>12</v>
      </c>
      <c r="N822" s="12" t="n">
        <v>48</v>
      </c>
      <c r="O822" s="12" t="n">
        <v>201.5</v>
      </c>
      <c r="P822" s="13" t="n">
        <f aca="false">26.68</f>
        <v>26.68</v>
      </c>
      <c r="Q822" s="13" t="n">
        <f aca="false">206.08</f>
        <v>206.08</v>
      </c>
      <c r="R822" s="12" t="n">
        <v>27.45</v>
      </c>
      <c r="S822" s="12" t="n">
        <v>27.65</v>
      </c>
      <c r="T822" s="12" t="n">
        <v>617</v>
      </c>
      <c r="U822" s="27" t="s">
        <v>97</v>
      </c>
      <c r="V822" s="15"/>
      <c r="W822" s="16" t="str">
        <f aca="false">A822</f>
        <v>SG</v>
      </c>
      <c r="X822" s="17" t="e">
        <f aca="false">ifs(C822="","",X822="",NOW(),TRUE(),X822)</f>
        <v>#VALUE!</v>
      </c>
      <c r="Y822" s="17" t="e">
        <f aca="false">ifs(COUNTA(K822:U825)&lt;44,"",Y822="",NOW(),TRUE(),Y822)</f>
        <v>#VALUE!</v>
      </c>
    </row>
    <row r="823" customFormat="false" ht="14.15" hidden="false" customHeight="false" outlineLevel="0" collapsed="false">
      <c r="A823" s="9"/>
      <c r="B823" s="10"/>
      <c r="C823" s="10"/>
      <c r="D823" s="10"/>
      <c r="E823" s="10"/>
      <c r="F823" s="10"/>
      <c r="G823" s="10"/>
      <c r="H823" s="10"/>
      <c r="I823" s="18" t="n">
        <v>2</v>
      </c>
      <c r="J823" s="18" t="s">
        <v>46</v>
      </c>
      <c r="K823" s="19" t="n">
        <f aca="false">45.77</f>
        <v>45.77</v>
      </c>
      <c r="L823" s="19" t="n">
        <f aca="false">160.56</f>
        <v>160.56</v>
      </c>
      <c r="M823" s="18" t="n">
        <v>16</v>
      </c>
      <c r="N823" s="18" t="n">
        <v>38</v>
      </c>
      <c r="O823" s="18" t="n">
        <v>161.85</v>
      </c>
      <c r="P823" s="19" t="n">
        <f aca="false">26.99</f>
        <v>26.99</v>
      </c>
      <c r="Q823" s="19" t="n">
        <f aca="false">177.44</f>
        <v>177.44</v>
      </c>
      <c r="R823" s="18" t="n">
        <v>22.35</v>
      </c>
      <c r="S823" s="18" t="n">
        <v>25.5</v>
      </c>
      <c r="T823" s="18" t="n">
        <v>553</v>
      </c>
      <c r="U823" s="27" t="s">
        <v>97</v>
      </c>
      <c r="V823" s="21"/>
      <c r="W823" s="16"/>
      <c r="X823" s="16"/>
      <c r="Y823" s="16"/>
    </row>
    <row r="824" customFormat="false" ht="14.15" hidden="false" customHeight="false" outlineLevel="0" collapsed="false">
      <c r="A824" s="9"/>
      <c r="B824" s="10"/>
      <c r="C824" s="10"/>
      <c r="D824" s="10"/>
      <c r="E824" s="10"/>
      <c r="F824" s="10"/>
      <c r="G824" s="10"/>
      <c r="H824" s="10"/>
      <c r="I824" s="22" t="n">
        <v>3</v>
      </c>
      <c r="J824" s="22" t="s">
        <v>46</v>
      </c>
      <c r="K824" s="23" t="n">
        <f aca="false">43.98</f>
        <v>43.98</v>
      </c>
      <c r="L824" s="23" t="n">
        <f aca="false">134.97</f>
        <v>134.97</v>
      </c>
      <c r="M824" s="22" t="n">
        <v>14</v>
      </c>
      <c r="N824" s="22" t="n">
        <v>36</v>
      </c>
      <c r="O824" s="22" t="n">
        <v>149.1</v>
      </c>
      <c r="P824" s="23" t="n">
        <f aca="false">26.62</f>
        <v>26.62</v>
      </c>
      <c r="Q824" s="23" t="n">
        <f aca="false">166.67</f>
        <v>166.67</v>
      </c>
      <c r="R824" s="22" t="n">
        <v>22.05</v>
      </c>
      <c r="S824" s="22" t="n">
        <v>28.55</v>
      </c>
      <c r="T824" s="22" t="n">
        <v>447</v>
      </c>
      <c r="U824" s="27" t="s">
        <v>97</v>
      </c>
      <c r="V824" s="15"/>
      <c r="W824" s="16"/>
      <c r="X824" s="16"/>
      <c r="Y824" s="16"/>
    </row>
    <row r="825" customFormat="false" ht="14.15" hidden="false" customHeight="false" outlineLevel="0" collapsed="false">
      <c r="A825" s="9"/>
      <c r="B825" s="10"/>
      <c r="C825" s="10"/>
      <c r="D825" s="10"/>
      <c r="E825" s="10"/>
      <c r="F825" s="10"/>
      <c r="G825" s="10"/>
      <c r="H825" s="10"/>
      <c r="I825" s="25" t="n">
        <v>4</v>
      </c>
      <c r="J825" s="25" t="s">
        <v>49</v>
      </c>
      <c r="K825" s="26" t="n">
        <f aca="false">42.15</f>
        <v>42.15</v>
      </c>
      <c r="L825" s="26" t="n">
        <f aca="false">163.14</f>
        <v>163.14</v>
      </c>
      <c r="M825" s="25" t="n">
        <v>12</v>
      </c>
      <c r="N825" s="25" t="n">
        <v>40</v>
      </c>
      <c r="O825" s="25" t="n">
        <v>164.4</v>
      </c>
      <c r="P825" s="26" t="n">
        <f aca="false">25.68</f>
        <v>25.68</v>
      </c>
      <c r="Q825" s="26" t="n">
        <f aca="false">181.67</f>
        <v>181.67</v>
      </c>
      <c r="R825" s="25" t="n">
        <v>23.65</v>
      </c>
      <c r="S825" s="25" t="n">
        <v>30.4</v>
      </c>
      <c r="T825" s="25" t="n">
        <v>474</v>
      </c>
      <c r="U825" s="27" t="s">
        <v>97</v>
      </c>
      <c r="V825" s="21"/>
      <c r="W825" s="16"/>
      <c r="X825" s="16"/>
      <c r="Y825" s="16"/>
    </row>
    <row r="826" customFormat="false" ht="15.75" hidden="false" customHeight="true" outlineLevel="0" collapsed="false">
      <c r="A826" s="9" t="s">
        <v>259</v>
      </c>
      <c r="B826" s="10" t="s">
        <v>26</v>
      </c>
      <c r="C826" s="11" t="s">
        <v>275</v>
      </c>
      <c r="D826" s="10" t="s">
        <v>28</v>
      </c>
      <c r="E826" s="10" t="s">
        <v>28</v>
      </c>
      <c r="F826" s="10"/>
      <c r="G826" s="10" t="n">
        <v>0</v>
      </c>
      <c r="H826" s="10" t="n">
        <v>0</v>
      </c>
      <c r="I826" s="12" t="n">
        <v>1</v>
      </c>
      <c r="J826" s="12"/>
      <c r="K826" s="13" t="n">
        <f aca="false">40.71</f>
        <v>40.71</v>
      </c>
      <c r="L826" s="13" t="n">
        <f aca="false">157.93</f>
        <v>157.93</v>
      </c>
      <c r="M826" s="12" t="n">
        <v>12</v>
      </c>
      <c r="N826" s="12" t="n">
        <v>35</v>
      </c>
      <c r="O826" s="12" t="n">
        <v>137.9</v>
      </c>
      <c r="P826" s="13" t="n">
        <f aca="false">22.98</f>
        <v>22.98</v>
      </c>
      <c r="Q826" s="13" t="n">
        <f aca="false">160.77</f>
        <v>160.77</v>
      </c>
      <c r="R826" s="12" t="n">
        <v>18.2</v>
      </c>
      <c r="S826" s="12" t="n">
        <v>30.35</v>
      </c>
      <c r="T826" s="12" t="n">
        <v>409</v>
      </c>
      <c r="U826" s="14" t="s">
        <v>29</v>
      </c>
      <c r="V826" s="15"/>
      <c r="W826" s="16" t="str">
        <f aca="false">A826</f>
        <v>SG</v>
      </c>
      <c r="X826" s="17" t="e">
        <f aca="false">ifs(C826="","",X826="",NOW(),TRUE(),X826)</f>
        <v>#VALUE!</v>
      </c>
      <c r="Y826" s="17" t="e">
        <f aca="false">ifs(COUNTA(K826:U829)&lt;44,"",Y826="",NOW(),TRUE(),Y826)</f>
        <v>#VALUE!</v>
      </c>
    </row>
    <row r="827" customFormat="false" ht="14.15" hidden="false" customHeight="false" outlineLevel="0" collapsed="false">
      <c r="A827" s="9"/>
      <c r="B827" s="10"/>
      <c r="C827" s="10"/>
      <c r="D827" s="10"/>
      <c r="E827" s="10"/>
      <c r="F827" s="10"/>
      <c r="G827" s="10"/>
      <c r="H827" s="10"/>
      <c r="I827" s="18" t="n">
        <v>2</v>
      </c>
      <c r="J827" s="18" t="s">
        <v>46</v>
      </c>
      <c r="K827" s="19" t="n">
        <f aca="false">45.73</f>
        <v>45.73</v>
      </c>
      <c r="L827" s="19" t="n">
        <f aca="false">137.36</f>
        <v>137.36</v>
      </c>
      <c r="M827" s="18" t="n">
        <v>16</v>
      </c>
      <c r="N827" s="18" t="n">
        <v>35</v>
      </c>
      <c r="O827" s="18" t="n">
        <v>153.4</v>
      </c>
      <c r="P827" s="19" t="n">
        <f aca="false">26.51</f>
        <v>26.51</v>
      </c>
      <c r="Q827" s="19" t="n">
        <f aca="false">165.08</f>
        <v>165.08</v>
      </c>
      <c r="R827" s="18" t="n">
        <v>22.35</v>
      </c>
      <c r="S827" s="18" t="n">
        <v>24.6</v>
      </c>
      <c r="T827" s="18" t="n">
        <v>541</v>
      </c>
      <c r="U827" s="20" t="s">
        <v>29</v>
      </c>
      <c r="V827" s="21"/>
      <c r="W827" s="16"/>
      <c r="X827" s="16"/>
      <c r="Y827" s="16"/>
    </row>
    <row r="828" customFormat="false" ht="14.15" hidden="false" customHeight="false" outlineLevel="0" collapsed="false">
      <c r="A828" s="9"/>
      <c r="B828" s="10"/>
      <c r="C828" s="10"/>
      <c r="D828" s="10"/>
      <c r="E828" s="10"/>
      <c r="F828" s="10"/>
      <c r="G828" s="10"/>
      <c r="H828" s="10"/>
      <c r="I828" s="22" t="n">
        <v>3</v>
      </c>
      <c r="J828" s="22" t="s">
        <v>46</v>
      </c>
      <c r="K828" s="23" t="n">
        <f aca="false">42.96</f>
        <v>42.96</v>
      </c>
      <c r="L828" s="23" t="n">
        <f aca="false">132.72</f>
        <v>132.72</v>
      </c>
      <c r="M828" s="22" t="n">
        <v>14</v>
      </c>
      <c r="N828" s="22" t="n">
        <v>36</v>
      </c>
      <c r="O828" s="22" t="n">
        <v>135.85</v>
      </c>
      <c r="P828" s="23" t="n">
        <f aca="false">23.92</f>
        <v>23.92</v>
      </c>
      <c r="Q828" s="23" t="n">
        <f aca="false">159.97</f>
        <v>159.97</v>
      </c>
      <c r="R828" s="22" t="n">
        <v>15.05</v>
      </c>
      <c r="S828" s="22" t="n">
        <v>25.9</v>
      </c>
      <c r="T828" s="22" t="n">
        <v>487</v>
      </c>
      <c r="U828" s="24" t="s">
        <v>29</v>
      </c>
      <c r="V828" s="15"/>
      <c r="W828" s="16"/>
      <c r="X828" s="16"/>
      <c r="Y828" s="16"/>
    </row>
    <row r="829" customFormat="false" ht="14.15" hidden="false" customHeight="false" outlineLevel="0" collapsed="false">
      <c r="A829" s="9"/>
      <c r="B829" s="10"/>
      <c r="C829" s="10"/>
      <c r="D829" s="10"/>
      <c r="E829" s="10"/>
      <c r="F829" s="10"/>
      <c r="G829" s="10"/>
      <c r="H829" s="10"/>
      <c r="I829" s="25" t="n">
        <v>4</v>
      </c>
      <c r="J829" s="25"/>
      <c r="K829" s="26" t="n">
        <f aca="false">45.9</f>
        <v>45.9</v>
      </c>
      <c r="L829" s="26" t="n">
        <f aca="false">181.65</f>
        <v>181.65</v>
      </c>
      <c r="M829" s="25" t="n">
        <v>16</v>
      </c>
      <c r="N829" s="25" t="n">
        <v>39</v>
      </c>
      <c r="O829" s="25" t="n">
        <v>196.1</v>
      </c>
      <c r="P829" s="26" t="n">
        <f aca="false">27.6</f>
        <v>27.6</v>
      </c>
      <c r="Q829" s="26" t="n">
        <f aca="false">181.72</f>
        <v>181.72</v>
      </c>
      <c r="R829" s="25" t="n">
        <v>23.45</v>
      </c>
      <c r="S829" s="25" t="n">
        <v>27.9</v>
      </c>
      <c r="T829" s="25" t="n">
        <v>640</v>
      </c>
      <c r="U829" s="27" t="s">
        <v>29</v>
      </c>
      <c r="V829" s="21"/>
      <c r="W829" s="16"/>
      <c r="X829" s="16"/>
      <c r="Y829" s="16"/>
    </row>
    <row r="830" customFormat="false" ht="15.75" hidden="false" customHeight="true" outlineLevel="0" collapsed="false">
      <c r="A830" s="9" t="s">
        <v>158</v>
      </c>
      <c r="B830" s="10" t="s">
        <v>176</v>
      </c>
      <c r="C830" s="11" t="s">
        <v>276</v>
      </c>
      <c r="D830" s="10" t="s">
        <v>28</v>
      </c>
      <c r="E830" s="10" t="s">
        <v>28</v>
      </c>
      <c r="F830" s="10"/>
      <c r="G830" s="10" t="n">
        <v>6</v>
      </c>
      <c r="H830" s="10" t="n">
        <v>1.87</v>
      </c>
      <c r="I830" s="12" t="n">
        <v>1</v>
      </c>
      <c r="J830" s="12" t="s">
        <v>46</v>
      </c>
      <c r="K830" s="13" t="n">
        <f aca="false">46.18</f>
        <v>46.18</v>
      </c>
      <c r="L830" s="13" t="n">
        <f aca="false">169.84</f>
        <v>169.84</v>
      </c>
      <c r="M830" s="12" t="n">
        <v>14</v>
      </c>
      <c r="N830" s="12" t="n">
        <v>42</v>
      </c>
      <c r="O830" s="12" t="n">
        <v>183.13</v>
      </c>
      <c r="P830" s="13" t="n">
        <f aca="false">28.16</f>
        <v>28.16</v>
      </c>
      <c r="Q830" s="13" t="n">
        <f aca="false">186.17</f>
        <v>186.17</v>
      </c>
      <c r="R830" s="12" t="n">
        <v>27.14</v>
      </c>
      <c r="S830" s="12" t="n">
        <v>27.08</v>
      </c>
      <c r="T830" s="12" t="n">
        <v>569</v>
      </c>
      <c r="U830" s="14" t="s">
        <v>58</v>
      </c>
      <c r="V830" s="15"/>
      <c r="W830" s="16" t="str">
        <f aca="false">A830</f>
        <v>AK</v>
      </c>
      <c r="X830" s="17" t="e">
        <f aca="false">ifs(C830="","",X830="",NOW(),TRUE(),X830)</f>
        <v>#VALUE!</v>
      </c>
      <c r="Y830" s="17" t="e">
        <f aca="false">ifs(COUNTA(K830:U833)&lt;44,"",Y830="",NOW(),TRUE(),Y830)</f>
        <v>#VALUE!</v>
      </c>
    </row>
    <row r="831" customFormat="false" ht="14.15" hidden="false" customHeight="false" outlineLevel="0" collapsed="false">
      <c r="A831" s="9"/>
      <c r="B831" s="10"/>
      <c r="C831" s="10"/>
      <c r="D831" s="10"/>
      <c r="E831" s="10"/>
      <c r="F831" s="10"/>
      <c r="G831" s="10"/>
      <c r="H831" s="10"/>
      <c r="I831" s="18" t="n">
        <v>2</v>
      </c>
      <c r="J831" s="18" t="s">
        <v>49</v>
      </c>
      <c r="K831" s="19" t="n">
        <f aca="false">44.62</f>
        <v>44.62</v>
      </c>
      <c r="L831" s="19" t="n">
        <f aca="false">171.58</f>
        <v>171.58</v>
      </c>
      <c r="M831" s="18" t="n">
        <v>14</v>
      </c>
      <c r="N831" s="18" t="n">
        <v>44</v>
      </c>
      <c r="O831" s="18" t="n">
        <v>181.34</v>
      </c>
      <c r="P831" s="19" t="n">
        <f aca="false">25.83</f>
        <v>25.83</v>
      </c>
      <c r="Q831" s="19" t="n">
        <f aca="false">182.36</f>
        <v>182.36</v>
      </c>
      <c r="R831" s="18" t="n">
        <v>28.1</v>
      </c>
      <c r="S831" s="18" t="n">
        <v>24.79</v>
      </c>
      <c r="T831" s="18" t="n">
        <v>602</v>
      </c>
      <c r="U831" s="20" t="s">
        <v>58</v>
      </c>
      <c r="V831" s="21"/>
      <c r="W831" s="16"/>
      <c r="X831" s="16"/>
      <c r="Y831" s="16"/>
    </row>
    <row r="832" customFormat="false" ht="14.15" hidden="false" customHeight="false" outlineLevel="0" collapsed="false">
      <c r="A832" s="9"/>
      <c r="B832" s="10"/>
      <c r="C832" s="10"/>
      <c r="D832" s="10"/>
      <c r="E832" s="10"/>
      <c r="F832" s="10"/>
      <c r="G832" s="10"/>
      <c r="H832" s="10"/>
      <c r="I832" s="22" t="n">
        <v>3</v>
      </c>
      <c r="J832" s="22" t="s">
        <v>50</v>
      </c>
      <c r="K832" s="23" t="n">
        <f aca="false">44.99</f>
        <v>44.99</v>
      </c>
      <c r="L832" s="23" t="n">
        <f aca="false">175.57</f>
        <v>175.57</v>
      </c>
      <c r="M832" s="22" t="n">
        <v>16</v>
      </c>
      <c r="N832" s="22" t="n">
        <v>36</v>
      </c>
      <c r="O832" s="22" t="n">
        <v>178.13</v>
      </c>
      <c r="P832" s="23" t="n">
        <f aca="false">25.95</f>
        <v>25.95</v>
      </c>
      <c r="Q832" s="23" t="n">
        <f aca="false">189.41</f>
        <v>189.41</v>
      </c>
      <c r="R832" s="22" t="n">
        <v>29.14</v>
      </c>
      <c r="S832" s="22" t="n">
        <v>28.16</v>
      </c>
      <c r="T832" s="22" t="n">
        <v>525</v>
      </c>
      <c r="U832" s="24" t="s">
        <v>58</v>
      </c>
      <c r="V832" s="15"/>
      <c r="W832" s="16"/>
      <c r="X832" s="16"/>
      <c r="Y832" s="16"/>
    </row>
    <row r="833" customFormat="false" ht="14.15" hidden="false" customHeight="false" outlineLevel="0" collapsed="false">
      <c r="A833" s="9"/>
      <c r="B833" s="10"/>
      <c r="C833" s="10"/>
      <c r="D833" s="10"/>
      <c r="E833" s="10"/>
      <c r="F833" s="10"/>
      <c r="G833" s="10"/>
      <c r="H833" s="10"/>
      <c r="I833" s="25" t="n">
        <v>4</v>
      </c>
      <c r="J833" s="25" t="s">
        <v>46</v>
      </c>
      <c r="K833" s="26" t="n">
        <f aca="false">41.96</f>
        <v>41.96</v>
      </c>
      <c r="L833" s="26" t="n">
        <f aca="false">144.96</f>
        <v>144.96</v>
      </c>
      <c r="M833" s="25" t="n">
        <v>12</v>
      </c>
      <c r="N833" s="25" t="n">
        <v>32</v>
      </c>
      <c r="O833" s="25" t="n">
        <v>128.47</v>
      </c>
      <c r="P833" s="26" t="n">
        <f aca="false">27.14</f>
        <v>27.14</v>
      </c>
      <c r="Q833" s="26" t="n">
        <f aca="false">164.25</f>
        <v>164.25</v>
      </c>
      <c r="R833" s="25" t="n">
        <v>22.93</v>
      </c>
      <c r="S833" s="25" t="n">
        <v>24.36</v>
      </c>
      <c r="T833" s="25" t="n">
        <v>431</v>
      </c>
      <c r="U833" s="27" t="s">
        <v>58</v>
      </c>
      <c r="V833" s="21"/>
      <c r="W833" s="16"/>
      <c r="X833" s="16"/>
      <c r="Y833" s="16"/>
    </row>
    <row r="834" customFormat="false" ht="15.75" hidden="false" customHeight="true" outlineLevel="0" collapsed="false">
      <c r="A834" s="9" t="s">
        <v>158</v>
      </c>
      <c r="B834" s="10" t="s">
        <v>176</v>
      </c>
      <c r="C834" s="11" t="s">
        <v>277</v>
      </c>
      <c r="D834" s="10" t="s">
        <v>28</v>
      </c>
      <c r="E834" s="10" t="s">
        <v>28</v>
      </c>
      <c r="F834" s="10"/>
      <c r="G834" s="10" t="n">
        <v>29</v>
      </c>
      <c r="H834" s="10" t="n">
        <v>6.62</v>
      </c>
      <c r="I834" s="12" t="n">
        <v>1</v>
      </c>
      <c r="J834" s="12" t="s">
        <v>49</v>
      </c>
      <c r="K834" s="13" t="n">
        <f aca="false">44.97</f>
        <v>44.97</v>
      </c>
      <c r="L834" s="13" t="n">
        <f aca="false">160.52</f>
        <v>160.52</v>
      </c>
      <c r="M834" s="12" t="n">
        <v>16</v>
      </c>
      <c r="N834" s="12" t="n">
        <v>38</v>
      </c>
      <c r="O834" s="12" t="n">
        <v>146.4</v>
      </c>
      <c r="P834" s="13" t="n">
        <f aca="false">25.3</f>
        <v>25.3</v>
      </c>
      <c r="Q834" s="13" t="n">
        <f aca="false">169.13</f>
        <v>169.13</v>
      </c>
      <c r="R834" s="12" t="n">
        <v>14.75</v>
      </c>
      <c r="S834" s="12" t="n">
        <v>21.26</v>
      </c>
      <c r="T834" s="12" t="n">
        <v>598</v>
      </c>
      <c r="U834" s="14" t="s">
        <v>97</v>
      </c>
      <c r="V834" s="15"/>
      <c r="W834" s="16" t="str">
        <f aca="false">A834</f>
        <v>AK</v>
      </c>
      <c r="X834" s="17" t="e">
        <f aca="false">ifs(C834="","",X834="",NOW(),TRUE(),X834)</f>
        <v>#VALUE!</v>
      </c>
      <c r="Y834" s="17" t="e">
        <f aca="false">ifs(COUNTA(K834:U837)&lt;44,"",Y834="",NOW(),TRUE(),Y834)</f>
        <v>#VALUE!</v>
      </c>
    </row>
    <row r="835" customFormat="false" ht="14.15" hidden="false" customHeight="false" outlineLevel="0" collapsed="false">
      <c r="A835" s="9"/>
      <c r="B835" s="10"/>
      <c r="C835" s="10"/>
      <c r="D835" s="10"/>
      <c r="E835" s="10"/>
      <c r="F835" s="10"/>
      <c r="G835" s="10"/>
      <c r="H835" s="10"/>
      <c r="I835" s="18" t="n">
        <v>2</v>
      </c>
      <c r="J835" s="18" t="s">
        <v>49</v>
      </c>
      <c r="K835" s="19" t="n">
        <f aca="false">41.71</f>
        <v>41.71</v>
      </c>
      <c r="L835" s="19" t="n">
        <f aca="false">104.18</f>
        <v>104.18</v>
      </c>
      <c r="M835" s="18" t="n">
        <v>14</v>
      </c>
      <c r="N835" s="18" t="n">
        <v>29</v>
      </c>
      <c r="O835" s="18" t="n">
        <v>82.76</v>
      </c>
      <c r="P835" s="19" t="n">
        <f aca="false">27.1</f>
        <v>27.1</v>
      </c>
      <c r="Q835" s="19" t="n">
        <f aca="false">133.34</f>
        <v>133.34</v>
      </c>
      <c r="R835" s="18" t="n">
        <v>12.04</v>
      </c>
      <c r="S835" s="18" t="n">
        <v>23.05</v>
      </c>
      <c r="T835" s="18" t="n">
        <v>304</v>
      </c>
      <c r="U835" s="20" t="s">
        <v>97</v>
      </c>
      <c r="V835" s="21"/>
      <c r="W835" s="16"/>
      <c r="X835" s="16"/>
      <c r="Y835" s="16"/>
    </row>
    <row r="836" customFormat="false" ht="14.15" hidden="false" customHeight="false" outlineLevel="0" collapsed="false">
      <c r="A836" s="9"/>
      <c r="B836" s="10"/>
      <c r="C836" s="10"/>
      <c r="D836" s="10"/>
      <c r="E836" s="10"/>
      <c r="F836" s="10"/>
      <c r="G836" s="10"/>
      <c r="H836" s="10"/>
      <c r="I836" s="22" t="n">
        <v>3</v>
      </c>
      <c r="J836" s="22" t="s">
        <v>49</v>
      </c>
      <c r="K836" s="23" t="n">
        <f aca="false">46.32</f>
        <v>46.32</v>
      </c>
      <c r="L836" s="23" t="n">
        <f aca="false">118.48</f>
        <v>118.48</v>
      </c>
      <c r="M836" s="22" t="n">
        <v>20</v>
      </c>
      <c r="N836" s="22" t="n">
        <v>23</v>
      </c>
      <c r="O836" s="22" t="n">
        <v>111.38</v>
      </c>
      <c r="P836" s="23" t="n">
        <f aca="false">28.61</f>
        <v>28.61</v>
      </c>
      <c r="Q836" s="23" t="n">
        <f aca="false">133.88</f>
        <v>133.88</v>
      </c>
      <c r="R836" s="22" t="n">
        <v>14.2</v>
      </c>
      <c r="S836" s="22" t="n">
        <v>21.47</v>
      </c>
      <c r="T836" s="22" t="n">
        <v>435</v>
      </c>
      <c r="U836" s="24" t="s">
        <v>97</v>
      </c>
      <c r="V836" s="15"/>
      <c r="W836" s="16"/>
      <c r="X836" s="16"/>
      <c r="Y836" s="16"/>
    </row>
    <row r="837" customFormat="false" ht="14.15" hidden="false" customHeight="false" outlineLevel="0" collapsed="false">
      <c r="A837" s="9"/>
      <c r="B837" s="10"/>
      <c r="C837" s="10"/>
      <c r="D837" s="10"/>
      <c r="E837" s="10"/>
      <c r="F837" s="10"/>
      <c r="G837" s="10"/>
      <c r="H837" s="10"/>
      <c r="I837" s="25" t="n">
        <v>4</v>
      </c>
      <c r="J837" s="25" t="s">
        <v>49</v>
      </c>
      <c r="K837" s="26" t="n">
        <f aca="false">42.25</f>
        <v>42.25</v>
      </c>
      <c r="L837" s="26" t="n">
        <f aca="false">105.49</f>
        <v>105.49</v>
      </c>
      <c r="M837" s="25" t="n">
        <v>14</v>
      </c>
      <c r="N837" s="25" t="n">
        <v>27</v>
      </c>
      <c r="O837" s="25" t="n">
        <v>76.1</v>
      </c>
      <c r="P837" s="26" t="n">
        <f aca="false">26.37</f>
        <v>26.37</v>
      </c>
      <c r="Q837" s="26" t="n">
        <f aca="false">121.1</f>
        <v>121.1</v>
      </c>
      <c r="R837" s="25" t="n">
        <v>10.8</v>
      </c>
      <c r="S837" s="25" t="n">
        <v>23.6</v>
      </c>
      <c r="T837" s="25" t="n">
        <v>275</v>
      </c>
      <c r="U837" s="27" t="s">
        <v>97</v>
      </c>
      <c r="V837" s="21"/>
      <c r="W837" s="16"/>
      <c r="X837" s="16"/>
      <c r="Y837" s="16"/>
    </row>
    <row r="838" customFormat="false" ht="15.75" hidden="false" customHeight="true" outlineLevel="0" collapsed="false">
      <c r="A838" s="9" t="s">
        <v>158</v>
      </c>
      <c r="B838" s="10" t="s">
        <v>176</v>
      </c>
      <c r="C838" s="11" t="s">
        <v>278</v>
      </c>
      <c r="D838" s="10" t="s">
        <v>28</v>
      </c>
      <c r="E838" s="10" t="s">
        <v>28</v>
      </c>
      <c r="F838" s="10"/>
      <c r="G838" s="10" t="n">
        <v>17</v>
      </c>
      <c r="H838" s="10" t="n">
        <v>3.73</v>
      </c>
      <c r="I838" s="12" t="n">
        <v>1</v>
      </c>
      <c r="J838" s="12" t="s">
        <v>104</v>
      </c>
      <c r="K838" s="13" t="n">
        <f aca="false">46.38</f>
        <v>46.38</v>
      </c>
      <c r="L838" s="13" t="n">
        <f aca="false">172.74</f>
        <v>172.74</v>
      </c>
      <c r="M838" s="12" t="n">
        <v>16</v>
      </c>
      <c r="N838" s="12" t="n">
        <v>36</v>
      </c>
      <c r="O838" s="12" t="n">
        <v>187.7</v>
      </c>
      <c r="P838" s="13" t="n">
        <f aca="false">28.63</f>
        <v>28.63</v>
      </c>
      <c r="Q838" s="13" t="n">
        <f aca="false">173.91</f>
        <v>173.91</v>
      </c>
      <c r="R838" s="12" t="n">
        <v>28.5</v>
      </c>
      <c r="S838" s="12" t="n">
        <v>26.9</v>
      </c>
      <c r="T838" s="12" t="n">
        <v>586</v>
      </c>
      <c r="U838" s="14" t="s">
        <v>29</v>
      </c>
      <c r="V838" s="15"/>
      <c r="W838" s="16" t="str">
        <f aca="false">A838</f>
        <v>AK</v>
      </c>
      <c r="X838" s="17" t="e">
        <f aca="false">ifs(C838="","",X838="",NOW(),TRUE(),X838)</f>
        <v>#VALUE!</v>
      </c>
      <c r="Y838" s="17" t="e">
        <f aca="false">ifs(COUNTA(K838:U841)&lt;44,"",Y838="",NOW(),TRUE(),Y838)</f>
        <v>#VALUE!</v>
      </c>
    </row>
    <row r="839" customFormat="false" ht="14.15" hidden="false" customHeight="false" outlineLevel="0" collapsed="false">
      <c r="A839" s="9"/>
      <c r="B839" s="10"/>
      <c r="C839" s="10"/>
      <c r="D839" s="10"/>
      <c r="E839" s="10"/>
      <c r="F839" s="10"/>
      <c r="G839" s="10"/>
      <c r="H839" s="10"/>
      <c r="I839" s="18" t="n">
        <v>2</v>
      </c>
      <c r="J839" s="18" t="s">
        <v>33</v>
      </c>
      <c r="K839" s="19" t="n">
        <f aca="false">38.45</f>
        <v>38.45</v>
      </c>
      <c r="L839" s="19" t="n">
        <f aca="false">96.14</f>
        <v>96.14</v>
      </c>
      <c r="M839" s="18" t="n">
        <v>12</v>
      </c>
      <c r="N839" s="18" t="n">
        <v>18</v>
      </c>
      <c r="O839" s="18" t="n">
        <v>60.56</v>
      </c>
      <c r="P839" s="19" t="n">
        <f aca="false">23.98</f>
        <v>23.98</v>
      </c>
      <c r="Q839" s="19" t="n">
        <f aca="false">118.13</f>
        <v>118.13</v>
      </c>
      <c r="R839" s="18" t="n">
        <v>9.99</v>
      </c>
      <c r="S839" s="18" t="n">
        <v>24.88</v>
      </c>
      <c r="T839" s="18" t="n">
        <v>199</v>
      </c>
      <c r="U839" s="20" t="s">
        <v>29</v>
      </c>
      <c r="V839" s="21"/>
      <c r="W839" s="16"/>
      <c r="X839" s="16"/>
      <c r="Y839" s="16"/>
    </row>
    <row r="840" customFormat="false" ht="14.15" hidden="false" customHeight="false" outlineLevel="0" collapsed="false">
      <c r="A840" s="9"/>
      <c r="B840" s="10"/>
      <c r="C840" s="10"/>
      <c r="D840" s="10"/>
      <c r="E840" s="10"/>
      <c r="F840" s="10"/>
      <c r="G840" s="10"/>
      <c r="H840" s="10"/>
      <c r="I840" s="22" t="n">
        <v>3</v>
      </c>
      <c r="J840" s="22" t="s">
        <v>57</v>
      </c>
      <c r="K840" s="23" t="n">
        <f aca="false">37.64</f>
        <v>37.64</v>
      </c>
      <c r="L840" s="23" t="n">
        <f aca="false">81.9</f>
        <v>81.9</v>
      </c>
      <c r="M840" s="22" t="n">
        <v>14</v>
      </c>
      <c r="N840" s="22" t="n">
        <v>14</v>
      </c>
      <c r="O840" s="22" t="n">
        <v>54.45</v>
      </c>
      <c r="P840" s="23" t="n">
        <f aca="false">23.63</f>
        <v>23.63</v>
      </c>
      <c r="Q840" s="23" t="n">
        <f aca="false">123.14</f>
        <v>123.14</v>
      </c>
      <c r="R840" s="22" t="n">
        <v>9</v>
      </c>
      <c r="S840" s="22" t="n">
        <v>23.59</v>
      </c>
      <c r="T840" s="22" t="n">
        <v>188</v>
      </c>
      <c r="U840" s="24" t="s">
        <v>29</v>
      </c>
      <c r="V840" s="15"/>
      <c r="W840" s="16"/>
      <c r="X840" s="16"/>
      <c r="Y840" s="16"/>
    </row>
    <row r="841" customFormat="false" ht="14.15" hidden="false" customHeight="false" outlineLevel="0" collapsed="false">
      <c r="A841" s="9"/>
      <c r="B841" s="10"/>
      <c r="C841" s="10"/>
      <c r="D841" s="10"/>
      <c r="E841" s="10"/>
      <c r="F841" s="10"/>
      <c r="G841" s="10"/>
      <c r="H841" s="10"/>
      <c r="I841" s="25" t="n">
        <v>4</v>
      </c>
      <c r="J841" s="25" t="s">
        <v>33</v>
      </c>
      <c r="K841" s="26" t="n">
        <f aca="false">37.28</f>
        <v>37.28</v>
      </c>
      <c r="L841" s="26" t="n">
        <f aca="false">84.5</f>
        <v>84.5</v>
      </c>
      <c r="M841" s="25" t="n">
        <v>12</v>
      </c>
      <c r="N841" s="25" t="n">
        <v>20</v>
      </c>
      <c r="O841" s="25" t="n">
        <v>58.09</v>
      </c>
      <c r="P841" s="26" t="n">
        <f aca="false">24.64</f>
        <v>24.64</v>
      </c>
      <c r="Q841" s="26" t="n">
        <f aca="false">126.01</f>
        <v>126.01</v>
      </c>
      <c r="R841" s="25" t="n">
        <v>8.27</v>
      </c>
      <c r="S841" s="25" t="n">
        <v>21.35</v>
      </c>
      <c r="T841" s="25" t="n">
        <v>228</v>
      </c>
      <c r="U841" s="27" t="s">
        <v>29</v>
      </c>
      <c r="V841" s="21"/>
      <c r="W841" s="16"/>
      <c r="X841" s="16"/>
      <c r="Y841" s="16"/>
    </row>
    <row r="842" customFormat="false" ht="15.75" hidden="false" customHeight="true" outlineLevel="0" collapsed="false">
      <c r="A842" s="9" t="s">
        <v>158</v>
      </c>
      <c r="B842" s="10" t="s">
        <v>176</v>
      </c>
      <c r="C842" s="11" t="s">
        <v>279</v>
      </c>
      <c r="D842" s="10" t="s">
        <v>28</v>
      </c>
      <c r="E842" s="10" t="s">
        <v>28</v>
      </c>
      <c r="F842" s="10"/>
      <c r="G842" s="10" t="n">
        <v>41</v>
      </c>
      <c r="H842" s="10" t="n">
        <v>9.33</v>
      </c>
      <c r="I842" s="12" t="n">
        <v>1</v>
      </c>
      <c r="J842" s="12" t="s">
        <v>49</v>
      </c>
      <c r="K842" s="13" t="n">
        <f aca="false">40.61</f>
        <v>40.61</v>
      </c>
      <c r="L842" s="13" t="n">
        <f aca="false">142.61</f>
        <v>142.61</v>
      </c>
      <c r="M842" s="12" t="n">
        <v>14</v>
      </c>
      <c r="N842" s="12" t="n">
        <v>28</v>
      </c>
      <c r="O842" s="12" t="n">
        <v>107.3</v>
      </c>
      <c r="P842" s="13" t="n">
        <f aca="false">24.06</f>
        <v>24.06</v>
      </c>
      <c r="Q842" s="13" t="n">
        <f aca="false">150.25</f>
        <v>150.25</v>
      </c>
      <c r="R842" s="12" t="n">
        <v>12.78</v>
      </c>
      <c r="S842" s="12" t="n">
        <v>23.28</v>
      </c>
      <c r="T842" s="12" t="n">
        <v>411</v>
      </c>
      <c r="U842" s="14" t="s">
        <v>58</v>
      </c>
      <c r="V842" s="15"/>
      <c r="W842" s="16" t="str">
        <f aca="false">A842</f>
        <v>AK</v>
      </c>
      <c r="X842" s="17" t="e">
        <f aca="false">ifs(C842="","",X842="",NOW(),TRUE(),X842)</f>
        <v>#VALUE!</v>
      </c>
      <c r="Y842" s="17" t="e">
        <f aca="false">ifs(COUNTA(K842:U845)&lt;44,"",Y842="",NOW(),TRUE(),Y842)</f>
        <v>#VALUE!</v>
      </c>
    </row>
    <row r="843" customFormat="false" ht="14.15" hidden="false" customHeight="false" outlineLevel="0" collapsed="false">
      <c r="A843" s="9"/>
      <c r="B843" s="10"/>
      <c r="C843" s="10"/>
      <c r="D843" s="10"/>
      <c r="E843" s="10"/>
      <c r="F843" s="10"/>
      <c r="G843" s="10"/>
      <c r="H843" s="10"/>
      <c r="I843" s="18" t="n">
        <v>2</v>
      </c>
      <c r="J843" s="18" t="s">
        <v>49</v>
      </c>
      <c r="K843" s="19" t="n">
        <f aca="false">36.71</f>
        <v>36.71</v>
      </c>
      <c r="L843" s="19" t="n">
        <f aca="false">115.37</f>
        <v>115.37</v>
      </c>
      <c r="M843" s="18" t="n">
        <v>12</v>
      </c>
      <c r="N843" s="18" t="n">
        <v>22</v>
      </c>
      <c r="O843" s="18" t="n">
        <v>74.89</v>
      </c>
      <c r="P843" s="19" t="n">
        <f aca="false">22.02</f>
        <v>22.02</v>
      </c>
      <c r="Q843" s="19" t="n">
        <f aca="false">143.05</f>
        <v>143.05</v>
      </c>
      <c r="R843" s="18" t="n">
        <v>9.68</v>
      </c>
      <c r="S843" s="18" t="n">
        <v>23.15</v>
      </c>
      <c r="T843" s="18" t="n">
        <v>273</v>
      </c>
      <c r="U843" s="20" t="s">
        <v>58</v>
      </c>
      <c r="V843" s="21"/>
      <c r="W843" s="16"/>
      <c r="X843" s="16"/>
      <c r="Y843" s="16"/>
    </row>
    <row r="844" customFormat="false" ht="14.15" hidden="false" customHeight="false" outlineLevel="0" collapsed="false">
      <c r="A844" s="9"/>
      <c r="B844" s="10"/>
      <c r="C844" s="10"/>
      <c r="D844" s="10"/>
      <c r="E844" s="10"/>
      <c r="F844" s="10"/>
      <c r="G844" s="10"/>
      <c r="H844" s="10"/>
      <c r="I844" s="22" t="n">
        <v>3</v>
      </c>
      <c r="J844" s="22" t="s">
        <v>49</v>
      </c>
      <c r="K844" s="23" t="n">
        <f aca="false">39.9</f>
        <v>39.9</v>
      </c>
      <c r="L844" s="23" t="n">
        <f aca="false">93.64</f>
        <v>93.64</v>
      </c>
      <c r="M844" s="22" t="n">
        <v>16</v>
      </c>
      <c r="N844" s="22" t="n">
        <v>20</v>
      </c>
      <c r="O844" s="22" t="n">
        <v>67.72</v>
      </c>
      <c r="P844" s="23" t="n">
        <f aca="false">25.08</f>
        <v>25.08</v>
      </c>
      <c r="Q844" s="23" t="n">
        <f aca="false">124.05</f>
        <v>124.05</v>
      </c>
      <c r="R844" s="22" t="n">
        <v>8.8</v>
      </c>
      <c r="S844" s="22" t="n">
        <v>22.25</v>
      </c>
      <c r="T844" s="22" t="n">
        <v>253</v>
      </c>
      <c r="U844" s="24" t="s">
        <v>58</v>
      </c>
      <c r="V844" s="15"/>
      <c r="W844" s="16"/>
      <c r="X844" s="16"/>
      <c r="Y844" s="16"/>
    </row>
    <row r="845" customFormat="false" ht="14.15" hidden="false" customHeight="false" outlineLevel="0" collapsed="false">
      <c r="A845" s="9"/>
      <c r="B845" s="10"/>
      <c r="C845" s="10"/>
      <c r="D845" s="10"/>
      <c r="E845" s="10"/>
      <c r="F845" s="10"/>
      <c r="G845" s="10"/>
      <c r="H845" s="10"/>
      <c r="I845" s="25" t="n">
        <v>4</v>
      </c>
      <c r="J845" s="25" t="s">
        <v>49</v>
      </c>
      <c r="K845" s="26" t="n">
        <f aca="false">38.26</f>
        <v>38.26</v>
      </c>
      <c r="L845" s="26" t="n">
        <f aca="false">94.7</f>
        <v>94.7</v>
      </c>
      <c r="M845" s="25" t="n">
        <v>14</v>
      </c>
      <c r="N845" s="25" t="n">
        <v>18</v>
      </c>
      <c r="O845" s="25" t="n">
        <v>71.18</v>
      </c>
      <c r="P845" s="26" t="n">
        <f aca="false">23.83</f>
        <v>23.83</v>
      </c>
      <c r="Q845" s="26" t="n">
        <f aca="false">138.51</f>
        <v>138.51</v>
      </c>
      <c r="R845" s="25" t="n">
        <v>8.93</v>
      </c>
      <c r="S845" s="25" t="n">
        <v>24.39</v>
      </c>
      <c r="T845" s="25" t="n">
        <v>251</v>
      </c>
      <c r="U845" s="27" t="s">
        <v>58</v>
      </c>
      <c r="V845" s="21"/>
      <c r="W845" s="16"/>
      <c r="X845" s="16"/>
      <c r="Y845" s="16"/>
    </row>
    <row r="846" customFormat="false" ht="15.75" hidden="false" customHeight="true" outlineLevel="0" collapsed="false">
      <c r="A846" s="9" t="s">
        <v>158</v>
      </c>
      <c r="B846" s="10" t="s">
        <v>176</v>
      </c>
      <c r="C846" s="11" t="s">
        <v>280</v>
      </c>
      <c r="D846" s="10" t="s">
        <v>28</v>
      </c>
      <c r="E846" s="10" t="s">
        <v>28</v>
      </c>
      <c r="F846" s="10"/>
      <c r="G846" s="10" t="n">
        <v>51</v>
      </c>
      <c r="H846" s="10" t="n">
        <v>10.96</v>
      </c>
      <c r="I846" s="12" t="n">
        <v>1</v>
      </c>
      <c r="J846" s="12" t="s">
        <v>49</v>
      </c>
      <c r="K846" s="13" t="n">
        <f aca="false">42.91</f>
        <v>42.91</v>
      </c>
      <c r="L846" s="13" t="n">
        <f aca="false">122.52</f>
        <v>122.52</v>
      </c>
      <c r="M846" s="12" t="n">
        <v>18</v>
      </c>
      <c r="N846" s="12" t="n">
        <v>27</v>
      </c>
      <c r="O846" s="12" t="n">
        <v>113.75</v>
      </c>
      <c r="P846" s="13" t="n">
        <f aca="false">23.4</f>
        <v>23.4</v>
      </c>
      <c r="Q846" s="13" t="n">
        <f aca="false">153.6</f>
        <v>153.6</v>
      </c>
      <c r="R846" s="12" t="n">
        <v>12.63</v>
      </c>
      <c r="S846" s="12" t="n">
        <v>21.9</v>
      </c>
      <c r="T846" s="12" t="n">
        <v>445</v>
      </c>
      <c r="U846" s="14" t="s">
        <v>58</v>
      </c>
      <c r="V846" s="15"/>
      <c r="W846" s="16" t="str">
        <f aca="false">A846</f>
        <v>AK</v>
      </c>
      <c r="X846" s="17" t="e">
        <f aca="false">ifs(C846="","",X846="",NOW(),TRUE(),X846)</f>
        <v>#VALUE!</v>
      </c>
      <c r="Y846" s="17" t="e">
        <f aca="false">ifs(COUNTA(K846:U849)&lt;44,"",Y846="",NOW(),TRUE(),Y846)</f>
        <v>#VALUE!</v>
      </c>
    </row>
    <row r="847" customFormat="false" ht="14.15" hidden="false" customHeight="false" outlineLevel="0" collapsed="false">
      <c r="A847" s="9"/>
      <c r="B847" s="10"/>
      <c r="C847" s="10"/>
      <c r="D847" s="10"/>
      <c r="E847" s="10"/>
      <c r="F847" s="10"/>
      <c r="G847" s="10"/>
      <c r="H847" s="10"/>
      <c r="I847" s="18" t="n">
        <v>2</v>
      </c>
      <c r="J847" s="18" t="s">
        <v>49</v>
      </c>
      <c r="K847" s="19" t="n">
        <f aca="false">37.79</f>
        <v>37.79</v>
      </c>
      <c r="L847" s="19" t="n">
        <f aca="false">111.18</f>
        <v>111.18</v>
      </c>
      <c r="M847" s="18" t="n">
        <v>16</v>
      </c>
      <c r="N847" s="18" t="n">
        <v>20</v>
      </c>
      <c r="O847" s="18" t="n">
        <v>83.56</v>
      </c>
      <c r="P847" s="19" t="n">
        <f aca="false">22.69</f>
        <v>22.69</v>
      </c>
      <c r="Q847" s="19" t="n">
        <f aca="false">131.78</f>
        <v>131.78</v>
      </c>
      <c r="R847" s="18" t="n">
        <v>7</v>
      </c>
      <c r="S847" s="18" t="n">
        <v>20.64</v>
      </c>
      <c r="T847" s="18" t="n">
        <v>354</v>
      </c>
      <c r="U847" s="20" t="s">
        <v>58</v>
      </c>
      <c r="V847" s="21"/>
      <c r="W847" s="16"/>
      <c r="X847" s="16"/>
      <c r="Y847" s="16"/>
    </row>
    <row r="848" customFormat="false" ht="14.15" hidden="false" customHeight="false" outlineLevel="0" collapsed="false">
      <c r="A848" s="9"/>
      <c r="B848" s="10"/>
      <c r="C848" s="10"/>
      <c r="D848" s="10"/>
      <c r="E848" s="10"/>
      <c r="F848" s="10"/>
      <c r="G848" s="10"/>
      <c r="H848" s="10"/>
      <c r="I848" s="22" t="n">
        <v>3</v>
      </c>
      <c r="J848" s="22" t="s">
        <v>33</v>
      </c>
      <c r="K848" s="23" t="n">
        <f aca="false">43.74</f>
        <v>43.74</v>
      </c>
      <c r="L848" s="23" t="n">
        <f aca="false">102.9</f>
        <v>102.9</v>
      </c>
      <c r="M848" s="22" t="n">
        <v>16</v>
      </c>
      <c r="N848" s="22" t="n">
        <v>20</v>
      </c>
      <c r="O848" s="22" t="n">
        <v>90.62</v>
      </c>
      <c r="P848" s="23" t="n">
        <f aca="false">25.78</f>
        <v>25.78</v>
      </c>
      <c r="Q848" s="23" t="n">
        <f aca="false">131.9</f>
        <v>131.9</v>
      </c>
      <c r="R848" s="22" t="n">
        <v>9.38</v>
      </c>
      <c r="S848" s="22" t="n">
        <v>23.84</v>
      </c>
      <c r="T848" s="22" t="n">
        <v>342</v>
      </c>
      <c r="U848" s="24" t="s">
        <v>58</v>
      </c>
      <c r="V848" s="15"/>
      <c r="W848" s="16"/>
      <c r="X848" s="16"/>
      <c r="Y848" s="16"/>
    </row>
    <row r="849" customFormat="false" ht="14.15" hidden="false" customHeight="false" outlineLevel="0" collapsed="false">
      <c r="A849" s="9"/>
      <c r="B849" s="10"/>
      <c r="C849" s="10"/>
      <c r="D849" s="10"/>
      <c r="E849" s="10"/>
      <c r="F849" s="10"/>
      <c r="G849" s="10"/>
      <c r="H849" s="10"/>
      <c r="I849" s="25" t="n">
        <v>4</v>
      </c>
      <c r="J849" s="25" t="s">
        <v>33</v>
      </c>
      <c r="K849" s="26" t="n">
        <f aca="false">40.02</f>
        <v>40.02</v>
      </c>
      <c r="L849" s="26" t="n">
        <f aca="false">73.24</f>
        <v>73.24</v>
      </c>
      <c r="M849" s="25" t="n">
        <v>17</v>
      </c>
      <c r="N849" s="25" t="n">
        <v>16</v>
      </c>
      <c r="O849" s="25" t="n">
        <v>42.54</v>
      </c>
      <c r="P849" s="26" t="n">
        <f aca="false">22.15</f>
        <v>22.15</v>
      </c>
      <c r="Q849" s="26" t="n">
        <f aca="false">96.53</f>
        <v>96.53</v>
      </c>
      <c r="R849" s="25" t="n">
        <v>4.58</v>
      </c>
      <c r="S849" s="25" t="n">
        <v>23.54</v>
      </c>
      <c r="T849" s="25" t="n">
        <v>157</v>
      </c>
      <c r="U849" s="27" t="s">
        <v>58</v>
      </c>
      <c r="V849" s="21"/>
      <c r="W849" s="16"/>
      <c r="X849" s="16"/>
      <c r="Y849" s="16"/>
    </row>
    <row r="850" customFormat="false" ht="15.75" hidden="false" customHeight="true" outlineLevel="0" collapsed="false">
      <c r="A850" s="9" t="s">
        <v>158</v>
      </c>
      <c r="B850" s="10" t="s">
        <v>176</v>
      </c>
      <c r="C850" s="11" t="s">
        <v>281</v>
      </c>
      <c r="D850" s="10" t="s">
        <v>28</v>
      </c>
      <c r="E850" s="10" t="s">
        <v>28</v>
      </c>
      <c r="F850" s="10"/>
      <c r="G850" s="10" t="n">
        <v>20</v>
      </c>
      <c r="H850" s="10" t="n">
        <v>3.26</v>
      </c>
      <c r="I850" s="12" t="n">
        <v>1</v>
      </c>
      <c r="J850" s="12" t="s">
        <v>49</v>
      </c>
      <c r="K850" s="13" t="n">
        <f aca="false">37.21</f>
        <v>37.21</v>
      </c>
      <c r="L850" s="13" t="n">
        <f aca="false">80.23</f>
        <v>80.23</v>
      </c>
      <c r="M850" s="12" t="n">
        <v>14</v>
      </c>
      <c r="N850" s="12" t="n">
        <v>18</v>
      </c>
      <c r="O850" s="12" t="n">
        <v>51.76</v>
      </c>
      <c r="P850" s="13" t="n">
        <f aca="false">25.74</f>
        <v>25.74</v>
      </c>
      <c r="Q850" s="13" t="n">
        <f aca="false">95.48</f>
        <v>95.48</v>
      </c>
      <c r="R850" s="12" t="n">
        <v>10.58</v>
      </c>
      <c r="S850" s="12" t="n">
        <v>19.48</v>
      </c>
      <c r="T850" s="12" t="n">
        <v>207</v>
      </c>
      <c r="U850" s="14" t="s">
        <v>29</v>
      </c>
      <c r="V850" s="15"/>
      <c r="W850" s="16" t="str">
        <f aca="false">A850</f>
        <v>AK</v>
      </c>
      <c r="X850" s="17" t="e">
        <f aca="false">ifs(C850="","",X850="",NOW(),TRUE(),X850)</f>
        <v>#VALUE!</v>
      </c>
      <c r="Y850" s="17" t="e">
        <f aca="false">ifs(COUNTA(K850:U853)&lt;44,"",Y850="",NOW(),TRUE(),Y850)</f>
        <v>#VALUE!</v>
      </c>
    </row>
    <row r="851" customFormat="false" ht="14.15" hidden="false" customHeight="false" outlineLevel="0" collapsed="false">
      <c r="A851" s="9"/>
      <c r="B851" s="10"/>
      <c r="C851" s="10"/>
      <c r="D851" s="10"/>
      <c r="E851" s="10"/>
      <c r="F851" s="10"/>
      <c r="G851" s="10"/>
      <c r="H851" s="10"/>
      <c r="I851" s="18" t="n">
        <v>2</v>
      </c>
      <c r="J851" s="18" t="s">
        <v>46</v>
      </c>
      <c r="K851" s="19" t="n">
        <f aca="false">36.58</f>
        <v>36.58</v>
      </c>
      <c r="L851" s="19" t="n">
        <f aca="false">63.6</f>
        <v>63.6</v>
      </c>
      <c r="M851" s="18" t="n">
        <v>14</v>
      </c>
      <c r="N851" s="18" t="n">
        <v>15</v>
      </c>
      <c r="O851" s="18" t="n">
        <v>45.75</v>
      </c>
      <c r="P851" s="19" t="n">
        <f aca="false">25.84</f>
        <v>25.84</v>
      </c>
      <c r="Q851" s="19" t="n">
        <f aca="false">100.15</f>
        <v>100.15</v>
      </c>
      <c r="R851" s="18" t="n">
        <v>9.85</v>
      </c>
      <c r="S851" s="18" t="n">
        <v>20.57</v>
      </c>
      <c r="T851" s="18" t="n">
        <v>171</v>
      </c>
      <c r="U851" s="20" t="s">
        <v>29</v>
      </c>
      <c r="V851" s="21"/>
      <c r="W851" s="16"/>
      <c r="X851" s="16"/>
      <c r="Y851" s="16"/>
    </row>
    <row r="852" customFormat="false" ht="14.15" hidden="false" customHeight="false" outlineLevel="0" collapsed="false">
      <c r="A852" s="9"/>
      <c r="B852" s="10"/>
      <c r="C852" s="10"/>
      <c r="D852" s="10"/>
      <c r="E852" s="10"/>
      <c r="F852" s="10"/>
      <c r="G852" s="10"/>
      <c r="H852" s="10"/>
      <c r="I852" s="22" t="n">
        <v>3</v>
      </c>
      <c r="J852" s="22" t="s">
        <v>46</v>
      </c>
      <c r="K852" s="23" t="n">
        <f aca="false">36.85</f>
        <v>36.85</v>
      </c>
      <c r="L852" s="23" t="n">
        <f aca="false">78.72</f>
        <v>78.72</v>
      </c>
      <c r="M852" s="22" t="n">
        <v>12</v>
      </c>
      <c r="N852" s="22" t="n">
        <v>20</v>
      </c>
      <c r="O852" s="22" t="n">
        <v>54.96</v>
      </c>
      <c r="P852" s="23" t="n">
        <f aca="false">25.42</f>
        <v>25.42</v>
      </c>
      <c r="Q852" s="23" t="n">
        <f aca="false">116.05</f>
        <v>116.05</v>
      </c>
      <c r="R852" s="22" t="n">
        <v>11.08</v>
      </c>
      <c r="S852" s="22" t="n">
        <v>20.74</v>
      </c>
      <c r="T852" s="22" t="n">
        <v>206</v>
      </c>
      <c r="U852" s="24" t="s">
        <v>29</v>
      </c>
      <c r="V852" s="15"/>
      <c r="W852" s="16"/>
      <c r="X852" s="16"/>
      <c r="Y852" s="16"/>
    </row>
    <row r="853" customFormat="false" ht="14.15" hidden="false" customHeight="false" outlineLevel="0" collapsed="false">
      <c r="A853" s="9"/>
      <c r="B853" s="10"/>
      <c r="C853" s="10"/>
      <c r="D853" s="10"/>
      <c r="E853" s="10"/>
      <c r="F853" s="10"/>
      <c r="G853" s="10"/>
      <c r="H853" s="10"/>
      <c r="I853" s="25" t="n">
        <v>4</v>
      </c>
      <c r="J853" s="25" t="s">
        <v>46</v>
      </c>
      <c r="K853" s="26" t="n">
        <f aca="false">36.82</f>
        <v>36.82</v>
      </c>
      <c r="L853" s="26" t="n">
        <f aca="false">78.43</f>
        <v>78.43</v>
      </c>
      <c r="M853" s="25" t="n">
        <v>14</v>
      </c>
      <c r="N853" s="25" t="n">
        <v>17</v>
      </c>
      <c r="O853" s="25" t="n">
        <v>43.33</v>
      </c>
      <c r="P853" s="26" t="n">
        <f aca="false">26.19</f>
        <v>26.19</v>
      </c>
      <c r="Q853" s="26" t="n">
        <f aca="false">108.34</f>
        <v>108.34</v>
      </c>
      <c r="R853" s="25" t="n">
        <v>10.28</v>
      </c>
      <c r="S853" s="25" t="n">
        <v>18.36</v>
      </c>
      <c r="T853" s="25" t="n">
        <v>175</v>
      </c>
      <c r="U853" s="27" t="s">
        <v>29</v>
      </c>
      <c r="V853" s="21"/>
      <c r="W853" s="16"/>
      <c r="X853" s="16"/>
      <c r="Y853" s="16"/>
    </row>
    <row r="854" customFormat="false" ht="15.75" hidden="false" customHeight="true" outlineLevel="0" collapsed="false">
      <c r="A854" s="9" t="s">
        <v>158</v>
      </c>
      <c r="B854" s="10" t="s">
        <v>176</v>
      </c>
      <c r="C854" s="11" t="s">
        <v>282</v>
      </c>
      <c r="D854" s="10" t="s">
        <v>28</v>
      </c>
      <c r="E854" s="10" t="s">
        <v>28</v>
      </c>
      <c r="F854" s="10"/>
      <c r="G854" s="10" t="n">
        <v>23</v>
      </c>
      <c r="H854" s="10" t="n">
        <v>3.05</v>
      </c>
      <c r="I854" s="12" t="n">
        <v>1</v>
      </c>
      <c r="J854" s="12" t="s">
        <v>46</v>
      </c>
      <c r="K854" s="13" t="n">
        <f aca="false">38.94</f>
        <v>38.94</v>
      </c>
      <c r="L854" s="13" t="n">
        <f aca="false">79.77</f>
        <v>79.77</v>
      </c>
      <c r="M854" s="12" t="n">
        <v>12</v>
      </c>
      <c r="N854" s="12" t="n">
        <v>25</v>
      </c>
      <c r="O854" s="12" t="n">
        <v>67.73</v>
      </c>
      <c r="P854" s="13" t="n">
        <f aca="false">23.83</f>
        <v>23.83</v>
      </c>
      <c r="Q854" s="13" t="n">
        <f aca="false">111.9</f>
        <v>111.9</v>
      </c>
      <c r="R854" s="12" t="n">
        <v>13.07</v>
      </c>
      <c r="S854" s="12" t="n">
        <v>23.02</v>
      </c>
      <c r="T854" s="12" t="n">
        <v>239</v>
      </c>
      <c r="U854" s="14" t="s">
        <v>29</v>
      </c>
      <c r="V854" s="15"/>
      <c r="W854" s="16" t="str">
        <f aca="false">A854</f>
        <v>AK</v>
      </c>
      <c r="X854" s="17" t="e">
        <f aca="false">ifs(C854="","",X854="",NOW(),TRUE(),X854)</f>
        <v>#VALUE!</v>
      </c>
      <c r="Y854" s="17" t="e">
        <f aca="false">ifs(COUNTA(K854:U857)&lt;44,"",Y854="",NOW(),TRUE(),Y854)</f>
        <v>#VALUE!</v>
      </c>
    </row>
    <row r="855" customFormat="false" ht="14.15" hidden="false" customHeight="false" outlineLevel="0" collapsed="false">
      <c r="A855" s="9"/>
      <c r="B855" s="10"/>
      <c r="C855" s="10"/>
      <c r="D855" s="10"/>
      <c r="E855" s="10"/>
      <c r="F855" s="10"/>
      <c r="G855" s="10"/>
      <c r="H855" s="10"/>
      <c r="I855" s="18" t="n">
        <v>2</v>
      </c>
      <c r="J855" s="18" t="s">
        <v>46</v>
      </c>
      <c r="K855" s="19" t="n">
        <f aca="false">42.37</f>
        <v>42.37</v>
      </c>
      <c r="L855" s="19" t="n">
        <f aca="false">96.56</f>
        <v>96.56</v>
      </c>
      <c r="M855" s="18" t="n">
        <v>14</v>
      </c>
      <c r="N855" s="18" t="n">
        <v>24</v>
      </c>
      <c r="O855" s="18" t="n">
        <v>91.6</v>
      </c>
      <c r="P855" s="19" t="n">
        <f aca="false">26.86</f>
        <v>26.86</v>
      </c>
      <c r="Q855" s="19" t="n">
        <f aca="false">126.2</f>
        <v>126.2</v>
      </c>
      <c r="R855" s="18" t="n">
        <v>16.52</v>
      </c>
      <c r="S855" s="18" t="n">
        <v>23.43</v>
      </c>
      <c r="T855" s="18" t="n">
        <v>314</v>
      </c>
      <c r="U855" s="20" t="s">
        <v>29</v>
      </c>
      <c r="V855" s="21"/>
      <c r="W855" s="16"/>
      <c r="X855" s="16"/>
      <c r="Y855" s="16"/>
    </row>
    <row r="856" customFormat="false" ht="14.15" hidden="false" customHeight="false" outlineLevel="0" collapsed="false">
      <c r="A856" s="9"/>
      <c r="B856" s="10"/>
      <c r="C856" s="10"/>
      <c r="D856" s="10"/>
      <c r="E856" s="10"/>
      <c r="F856" s="10"/>
      <c r="G856" s="10"/>
      <c r="H856" s="10"/>
      <c r="I856" s="22" t="n">
        <v>3</v>
      </c>
      <c r="J856" s="22" t="s">
        <v>46</v>
      </c>
      <c r="K856" s="23" t="n">
        <f aca="false">38.25</f>
        <v>38.25</v>
      </c>
      <c r="L856" s="23" t="n">
        <f aca="false">71.54</f>
        <v>71.54</v>
      </c>
      <c r="M856" s="22" t="n">
        <v>14</v>
      </c>
      <c r="N856" s="22" t="n">
        <v>18</v>
      </c>
      <c r="O856" s="22" t="n">
        <v>56.09</v>
      </c>
      <c r="P856" s="23" t="n">
        <f aca="false">23.24</f>
        <v>23.24</v>
      </c>
      <c r="Q856" s="23" t="n">
        <f aca="false">102.48</f>
        <v>102.48</v>
      </c>
      <c r="R856" s="22" t="n">
        <v>10.95</v>
      </c>
      <c r="S856" s="22" t="n">
        <v>20.6</v>
      </c>
      <c r="T856" s="22" t="n">
        <v>214</v>
      </c>
      <c r="U856" s="24" t="s">
        <v>29</v>
      </c>
      <c r="V856" s="15"/>
      <c r="W856" s="16"/>
      <c r="X856" s="16"/>
      <c r="Y856" s="16"/>
    </row>
    <row r="857" customFormat="false" ht="14.15" hidden="false" customHeight="false" outlineLevel="0" collapsed="false">
      <c r="A857" s="9"/>
      <c r="B857" s="10"/>
      <c r="C857" s="10"/>
      <c r="D857" s="10"/>
      <c r="E857" s="10"/>
      <c r="F857" s="10"/>
      <c r="G857" s="10"/>
      <c r="H857" s="10"/>
      <c r="I857" s="25" t="n">
        <v>4</v>
      </c>
      <c r="J857" s="25" t="s">
        <v>46</v>
      </c>
      <c r="K857" s="26" t="n">
        <f aca="false">39.65</f>
        <v>39.65</v>
      </c>
      <c r="L857" s="26" t="n">
        <f aca="false">82.12</f>
        <v>82.12</v>
      </c>
      <c r="M857" s="25" t="n">
        <v>14</v>
      </c>
      <c r="N857" s="25" t="n">
        <v>19</v>
      </c>
      <c r="O857" s="25" t="n">
        <v>56.9</v>
      </c>
      <c r="P857" s="26" t="n">
        <f aca="false">27.16</f>
        <v>27.16</v>
      </c>
      <c r="Q857" s="26" t="n">
        <f aca="false">103.78</f>
        <v>103.78</v>
      </c>
      <c r="R857" s="25" t="n">
        <v>13.24</v>
      </c>
      <c r="S857" s="25" t="n">
        <v>18.7</v>
      </c>
      <c r="T857" s="25" t="n">
        <v>236</v>
      </c>
      <c r="U857" s="27" t="s">
        <v>29</v>
      </c>
      <c r="V857" s="21"/>
      <c r="W857" s="16"/>
      <c r="X857" s="16"/>
      <c r="Y857" s="16"/>
    </row>
    <row r="858" customFormat="false" ht="15.75" hidden="false" customHeight="true" outlineLevel="0" collapsed="false">
      <c r="A858" s="9" t="s">
        <v>158</v>
      </c>
      <c r="B858" s="10" t="s">
        <v>176</v>
      </c>
      <c r="C858" s="11" t="s">
        <v>283</v>
      </c>
      <c r="D858" s="10" t="s">
        <v>28</v>
      </c>
      <c r="E858" s="10" t="s">
        <v>28</v>
      </c>
      <c r="F858" s="10"/>
      <c r="G858" s="10" t="n">
        <v>4</v>
      </c>
      <c r="H858" s="10" t="n">
        <v>1.17</v>
      </c>
      <c r="I858" s="12" t="n">
        <v>1</v>
      </c>
      <c r="J858" s="12" t="s">
        <v>284</v>
      </c>
      <c r="K858" s="13" t="n">
        <f aca="false">39.36</f>
        <v>39.36</v>
      </c>
      <c r="L858" s="13" t="n">
        <f aca="false">156.26</f>
        <v>156.26</v>
      </c>
      <c r="M858" s="12" t="n">
        <v>10</v>
      </c>
      <c r="N858" s="12" t="n">
        <v>25</v>
      </c>
      <c r="O858" s="12" t="n">
        <v>66.38</v>
      </c>
      <c r="P858" s="13" t="n">
        <f aca="false">25.67</f>
        <v>25.67</v>
      </c>
      <c r="Q858" s="13" t="n">
        <f aca="false">153.47</f>
        <v>153.47</v>
      </c>
      <c r="R858" s="12" t="n">
        <v>17.04</v>
      </c>
      <c r="S858" s="12" t="n">
        <v>36.26</v>
      </c>
      <c r="T858" s="12" t="n">
        <v>135</v>
      </c>
      <c r="U858" s="14" t="s">
        <v>58</v>
      </c>
      <c r="V858" s="15"/>
      <c r="W858" s="16" t="str">
        <f aca="false">A858</f>
        <v>AK</v>
      </c>
      <c r="X858" s="17" t="e">
        <f aca="false">ifs(C858="","",X858="",NOW(),TRUE(),X858)</f>
        <v>#VALUE!</v>
      </c>
      <c r="Y858" s="17" t="e">
        <f aca="false">ifs(COUNTA(K858:U861)&lt;44,"",Y858="",NOW(),TRUE(),Y858)</f>
        <v>#VALUE!</v>
      </c>
    </row>
    <row r="859" customFormat="false" ht="14.15" hidden="false" customHeight="false" outlineLevel="0" collapsed="false">
      <c r="A859" s="9"/>
      <c r="B859" s="10"/>
      <c r="C859" s="10"/>
      <c r="D859" s="10"/>
      <c r="E859" s="10"/>
      <c r="F859" s="10"/>
      <c r="G859" s="10"/>
      <c r="H859" s="10"/>
      <c r="I859" s="18" t="n">
        <v>2</v>
      </c>
      <c r="J859" s="18" t="s">
        <v>285</v>
      </c>
      <c r="K859" s="19" t="n">
        <f aca="false">38.3</f>
        <v>38.3</v>
      </c>
      <c r="L859" s="19" t="n">
        <f aca="false">81.73</f>
        <v>81.73</v>
      </c>
      <c r="M859" s="18" t="n">
        <v>10</v>
      </c>
      <c r="N859" s="18" t="n">
        <v>18</v>
      </c>
      <c r="O859" s="18" t="n">
        <v>55.64</v>
      </c>
      <c r="P859" s="19" t="n">
        <f aca="false">22.79</f>
        <v>22.79</v>
      </c>
      <c r="Q859" s="19" t="n">
        <f aca="false">94.74</f>
        <v>94.74</v>
      </c>
      <c r="R859" s="18" t="n">
        <v>7.94</v>
      </c>
      <c r="S859" s="18" t="n">
        <v>29.94</v>
      </c>
      <c r="T859" s="18" t="n">
        <v>154</v>
      </c>
      <c r="U859" s="20" t="s">
        <v>58</v>
      </c>
      <c r="V859" s="21"/>
      <c r="W859" s="16"/>
      <c r="X859" s="16"/>
      <c r="Y859" s="16"/>
    </row>
    <row r="860" customFormat="false" ht="14.15" hidden="false" customHeight="false" outlineLevel="0" collapsed="false">
      <c r="A860" s="9"/>
      <c r="B860" s="10"/>
      <c r="C860" s="10"/>
      <c r="D860" s="10"/>
      <c r="E860" s="10"/>
      <c r="F860" s="10"/>
      <c r="G860" s="10"/>
      <c r="H860" s="10"/>
      <c r="I860" s="22" t="n">
        <v>3</v>
      </c>
      <c r="J860" s="22" t="s">
        <v>33</v>
      </c>
      <c r="K860" s="23" t="n">
        <f aca="false">42.83</f>
        <v>42.83</v>
      </c>
      <c r="L860" s="23" t="n">
        <f aca="false">110.9</f>
        <v>110.9</v>
      </c>
      <c r="M860" s="22" t="n">
        <v>12</v>
      </c>
      <c r="N860" s="22" t="n">
        <v>29</v>
      </c>
      <c r="O860" s="22" t="n">
        <v>93.58</v>
      </c>
      <c r="P860" s="23" t="n">
        <f aca="false">23.06</f>
        <v>23.06</v>
      </c>
      <c r="Q860" s="23" t="n">
        <f aca="false">128.1</f>
        <v>128.1</v>
      </c>
      <c r="R860" s="22" t="n">
        <v>12.28</v>
      </c>
      <c r="S860" s="22" t="n">
        <v>30.4</v>
      </c>
      <c r="T860" s="22" t="n">
        <v>135</v>
      </c>
      <c r="U860" s="24" t="s">
        <v>58</v>
      </c>
      <c r="V860" s="15"/>
      <c r="W860" s="16"/>
      <c r="X860" s="16"/>
      <c r="Y860" s="16"/>
    </row>
    <row r="861" customFormat="false" ht="14.15" hidden="false" customHeight="false" outlineLevel="0" collapsed="false">
      <c r="A861" s="9"/>
      <c r="B861" s="10"/>
      <c r="C861" s="10"/>
      <c r="D861" s="10"/>
      <c r="E861" s="10"/>
      <c r="F861" s="10"/>
      <c r="G861" s="10"/>
      <c r="H861" s="10"/>
      <c r="I861" s="25" t="n">
        <v>4</v>
      </c>
      <c r="J861" s="25" t="s">
        <v>111</v>
      </c>
      <c r="K861" s="26" t="n">
        <f aca="false">40.27</f>
        <v>40.27</v>
      </c>
      <c r="L861" s="26" t="n">
        <f aca="false">41.01</f>
        <v>41.01</v>
      </c>
      <c r="M861" s="25" t="n">
        <v>12</v>
      </c>
      <c r="N861" s="25" t="n">
        <v>7</v>
      </c>
      <c r="O861" s="25" t="n">
        <v>37.47</v>
      </c>
      <c r="P861" s="26" t="n">
        <f aca="false">17.28</f>
        <v>17.28</v>
      </c>
      <c r="Q861" s="26" t="n">
        <f aca="false">136.61</f>
        <v>136.61</v>
      </c>
      <c r="R861" s="25" t="n">
        <v>12.87</v>
      </c>
      <c r="S861" s="25"/>
      <c r="T861" s="25" t="n">
        <v>54</v>
      </c>
      <c r="U861" s="27" t="s">
        <v>58</v>
      </c>
      <c r="V861" s="21"/>
      <c r="W861" s="16"/>
      <c r="X861" s="16"/>
      <c r="Y861" s="16"/>
    </row>
    <row r="862" customFormat="false" ht="15.75" hidden="false" customHeight="true" outlineLevel="0" collapsed="false">
      <c r="A862" s="9" t="s">
        <v>158</v>
      </c>
      <c r="B862" s="10" t="s">
        <v>176</v>
      </c>
      <c r="C862" s="11" t="s">
        <v>286</v>
      </c>
      <c r="D862" s="10" t="s">
        <v>28</v>
      </c>
      <c r="E862" s="10" t="s">
        <v>28</v>
      </c>
      <c r="F862" s="10"/>
      <c r="G862" s="10" t="n">
        <v>15</v>
      </c>
      <c r="H862" s="10" t="n">
        <v>3.16</v>
      </c>
      <c r="I862" s="12" t="n">
        <v>1</v>
      </c>
      <c r="J862" s="12" t="s">
        <v>49</v>
      </c>
      <c r="K862" s="13" t="n">
        <f aca="false">41.16</f>
        <v>41.16</v>
      </c>
      <c r="L862" s="13" t="n">
        <f aca="false">119.99</f>
        <v>119.99</v>
      </c>
      <c r="M862" s="12" t="n">
        <v>12</v>
      </c>
      <c r="N862" s="12" t="n">
        <v>30</v>
      </c>
      <c r="O862" s="12" t="n">
        <v>84.66</v>
      </c>
      <c r="P862" s="13" t="n">
        <f aca="false">27.14</f>
        <v>27.14</v>
      </c>
      <c r="Q862" s="13" t="n">
        <f aca="false">119.2</f>
        <v>119.2</v>
      </c>
      <c r="R862" s="12" t="n">
        <v>10.16</v>
      </c>
      <c r="S862" s="12" t="n">
        <v>25.72</v>
      </c>
      <c r="T862" s="12" t="n">
        <v>279</v>
      </c>
      <c r="U862" s="14" t="s">
        <v>58</v>
      </c>
      <c r="V862" s="15"/>
      <c r="W862" s="16" t="str">
        <f aca="false">A862</f>
        <v>AK</v>
      </c>
      <c r="X862" s="17" t="e">
        <f aca="false">ifs(C862="","",X862="",NOW(),TRUE(),X862)</f>
        <v>#VALUE!</v>
      </c>
      <c r="Y862" s="17" t="e">
        <f aca="false">ifs(COUNTA(K862:U865)&lt;44,"",Y862="",NOW(),TRUE(),Y862)</f>
        <v>#VALUE!</v>
      </c>
    </row>
    <row r="863" customFormat="false" ht="14.15" hidden="false" customHeight="false" outlineLevel="0" collapsed="false">
      <c r="A863" s="9"/>
      <c r="B863" s="10"/>
      <c r="C863" s="10"/>
      <c r="D863" s="10"/>
      <c r="E863" s="10"/>
      <c r="F863" s="10"/>
      <c r="G863" s="10"/>
      <c r="H863" s="10"/>
      <c r="I863" s="18" t="n">
        <v>2</v>
      </c>
      <c r="J863" s="18" t="s">
        <v>33</v>
      </c>
      <c r="K863" s="19" t="n">
        <f aca="false">40.8</f>
        <v>40.8</v>
      </c>
      <c r="L863" s="19" t="n">
        <f aca="false">97.66</f>
        <v>97.66</v>
      </c>
      <c r="M863" s="18" t="n">
        <v>16</v>
      </c>
      <c r="N863" s="18" t="n">
        <v>25</v>
      </c>
      <c r="O863" s="18" t="n">
        <v>72.13</v>
      </c>
      <c r="P863" s="19" t="n">
        <f aca="false">22.86</f>
        <v>22.86</v>
      </c>
      <c r="Q863" s="19" t="n">
        <f aca="false">116.94</f>
        <v>116.94</v>
      </c>
      <c r="R863" s="18" t="n">
        <v>7.96</v>
      </c>
      <c r="S863" s="18" t="n">
        <v>21.83</v>
      </c>
      <c r="T863" s="18" t="n">
        <v>288</v>
      </c>
      <c r="U863" s="20" t="s">
        <v>58</v>
      </c>
      <c r="V863" s="21"/>
      <c r="W863" s="16"/>
      <c r="X863" s="16"/>
      <c r="Y863" s="16"/>
    </row>
    <row r="864" customFormat="false" ht="14.15" hidden="false" customHeight="false" outlineLevel="0" collapsed="false">
      <c r="A864" s="9"/>
      <c r="B864" s="10"/>
      <c r="C864" s="10"/>
      <c r="D864" s="10"/>
      <c r="E864" s="10"/>
      <c r="F864" s="10"/>
      <c r="G864" s="10"/>
      <c r="H864" s="10"/>
      <c r="I864" s="22" t="n">
        <v>3</v>
      </c>
      <c r="J864" s="22" t="s">
        <v>49</v>
      </c>
      <c r="K864" s="23" t="n">
        <f aca="false">37.38</f>
        <v>37.38</v>
      </c>
      <c r="L864" s="23" t="n">
        <f aca="false">93.06</f>
        <v>93.06</v>
      </c>
      <c r="M864" s="22" t="n">
        <v>12</v>
      </c>
      <c r="N864" s="22" t="n">
        <v>20</v>
      </c>
      <c r="O864" s="22" t="n">
        <v>54.89</v>
      </c>
      <c r="P864" s="23" t="n">
        <f aca="false">19.6</f>
        <v>19.6</v>
      </c>
      <c r="Q864" s="23" t="n">
        <f aca="false">95.77</f>
        <v>95.77</v>
      </c>
      <c r="R864" s="22" t="n">
        <v>5.99</v>
      </c>
      <c r="S864" s="22" t="n">
        <v>23.64</v>
      </c>
      <c r="T864" s="22" t="n">
        <v>205</v>
      </c>
      <c r="U864" s="24" t="s">
        <v>58</v>
      </c>
      <c r="V864" s="15"/>
      <c r="W864" s="16"/>
      <c r="X864" s="16"/>
      <c r="Y864" s="16"/>
    </row>
    <row r="865" customFormat="false" ht="14.15" hidden="false" customHeight="false" outlineLevel="0" collapsed="false">
      <c r="A865" s="9"/>
      <c r="B865" s="10"/>
      <c r="C865" s="10"/>
      <c r="D865" s="10"/>
      <c r="E865" s="10"/>
      <c r="F865" s="10"/>
      <c r="G865" s="10"/>
      <c r="H865" s="10"/>
      <c r="I865" s="25" t="n">
        <v>4</v>
      </c>
      <c r="J865" s="25" t="s">
        <v>46</v>
      </c>
      <c r="K865" s="26" t="n">
        <f aca="false">37.56</f>
        <v>37.56</v>
      </c>
      <c r="L865" s="26" t="n">
        <f aca="false">85.91</f>
        <v>85.91</v>
      </c>
      <c r="M865" s="25" t="n">
        <v>10</v>
      </c>
      <c r="N865" s="25" t="n">
        <v>20</v>
      </c>
      <c r="O865" s="25" t="n">
        <v>46.53</v>
      </c>
      <c r="P865" s="26" t="n">
        <f aca="false">19.17</f>
        <v>19.17</v>
      </c>
      <c r="Q865" s="26" t="n">
        <f aca="false">84.39</f>
        <v>84.39</v>
      </c>
      <c r="R865" s="25" t="n">
        <v>4.29</v>
      </c>
      <c r="S865" s="25" t="n">
        <v>26.72</v>
      </c>
      <c r="T865" s="25" t="n">
        <v>156</v>
      </c>
      <c r="U865" s="27" t="s">
        <v>58</v>
      </c>
      <c r="V865" s="21"/>
      <c r="W865" s="16"/>
      <c r="X865" s="16"/>
      <c r="Y865" s="16"/>
    </row>
    <row r="866" customFormat="false" ht="15.75" hidden="false" customHeight="true" outlineLevel="0" collapsed="false">
      <c r="A866" s="9" t="s">
        <v>226</v>
      </c>
      <c r="B866" s="10" t="s">
        <v>44</v>
      </c>
      <c r="C866" s="11" t="s">
        <v>287</v>
      </c>
      <c r="D866" s="10" t="s">
        <v>28</v>
      </c>
      <c r="E866" s="10" t="s">
        <v>28</v>
      </c>
      <c r="F866" s="10"/>
      <c r="G866" s="10" t="n">
        <v>4</v>
      </c>
      <c r="H866" s="10" t="n">
        <v>1</v>
      </c>
      <c r="I866" s="12" t="n">
        <v>1</v>
      </c>
      <c r="J866" s="12" t="s">
        <v>47</v>
      </c>
      <c r="K866" s="13" t="n">
        <f aca="false">44.74</f>
        <v>44.74</v>
      </c>
      <c r="L866" s="13" t="n">
        <f aca="false">155.9</f>
        <v>155.9</v>
      </c>
      <c r="M866" s="12" t="n">
        <v>14</v>
      </c>
      <c r="N866" s="12" t="n">
        <v>34</v>
      </c>
      <c r="O866" s="12" t="n">
        <v>152.5</v>
      </c>
      <c r="P866" s="13" t="n">
        <f aca="false">28.05</f>
        <v>28.05</v>
      </c>
      <c r="Q866" s="13" t="n">
        <f aca="false">166.52</f>
        <v>166.52</v>
      </c>
      <c r="R866" s="12" t="n">
        <v>24.9</v>
      </c>
      <c r="S866" s="12" t="n">
        <v>25.7</v>
      </c>
      <c r="T866" s="12" t="n">
        <v>509</v>
      </c>
      <c r="U866" s="14" t="s">
        <v>29</v>
      </c>
      <c r="V866" s="15"/>
      <c r="W866" s="16" t="str">
        <f aca="false">A866</f>
        <v>OK</v>
      </c>
      <c r="X866" s="17" t="e">
        <f aca="false">ifs(C866="","",X866="",NOW(),TRUE(),X866)</f>
        <v>#VALUE!</v>
      </c>
      <c r="Y866" s="17" t="e">
        <f aca="false">ifs(COUNTA(K866:U869)&lt;44,"",Y866="",NOW(),TRUE(),Y866)</f>
        <v>#VALUE!</v>
      </c>
    </row>
    <row r="867" customFormat="false" ht="14.15" hidden="false" customHeight="false" outlineLevel="0" collapsed="false">
      <c r="A867" s="9"/>
      <c r="B867" s="10"/>
      <c r="C867" s="10"/>
      <c r="D867" s="10"/>
      <c r="E867" s="10"/>
      <c r="F867" s="10"/>
      <c r="G867" s="10"/>
      <c r="H867" s="10"/>
      <c r="I867" s="18" t="n">
        <v>2</v>
      </c>
      <c r="J867" s="18" t="s">
        <v>49</v>
      </c>
      <c r="K867" s="19" t="n">
        <f aca="false">41.31</f>
        <v>41.31</v>
      </c>
      <c r="L867" s="19" t="n">
        <f aca="false">110.78</f>
        <v>110.78</v>
      </c>
      <c r="M867" s="18" t="n">
        <v>14</v>
      </c>
      <c r="N867" s="18" t="n">
        <v>26</v>
      </c>
      <c r="O867" s="18" t="n">
        <v>90.5</v>
      </c>
      <c r="P867" s="19" t="n">
        <f aca="false">27.59</f>
        <v>27.59</v>
      </c>
      <c r="Q867" s="19" t="n">
        <f aca="false">128.01</f>
        <v>128.01</v>
      </c>
      <c r="R867" s="18" t="n">
        <v>15.1</v>
      </c>
      <c r="S867" s="18" t="n">
        <v>21.5</v>
      </c>
      <c r="T867" s="18" t="n">
        <v>337</v>
      </c>
      <c r="U867" s="20" t="s">
        <v>29</v>
      </c>
      <c r="V867" s="21"/>
      <c r="W867" s="16"/>
      <c r="X867" s="16"/>
      <c r="Y867" s="16"/>
    </row>
    <row r="868" customFormat="false" ht="14.15" hidden="false" customHeight="false" outlineLevel="0" collapsed="false">
      <c r="A868" s="9"/>
      <c r="B868" s="10"/>
      <c r="C868" s="10"/>
      <c r="D868" s="10"/>
      <c r="E868" s="10"/>
      <c r="F868" s="10"/>
      <c r="G868" s="10"/>
      <c r="H868" s="10"/>
      <c r="I868" s="22" t="n">
        <v>3</v>
      </c>
      <c r="J868" s="22" t="s">
        <v>49</v>
      </c>
      <c r="K868" s="23" t="n">
        <f aca="false">42.64</f>
        <v>42.64</v>
      </c>
      <c r="L868" s="23" t="n">
        <f aca="false">119.79</f>
        <v>119.79</v>
      </c>
      <c r="M868" s="22" t="n">
        <v>14</v>
      </c>
      <c r="N868" s="22" t="n">
        <v>28</v>
      </c>
      <c r="O868" s="22" t="n">
        <v>111.3</v>
      </c>
      <c r="P868" s="23" t="n">
        <f aca="false">27.07</f>
        <v>27.07</v>
      </c>
      <c r="Q868" s="23" t="n">
        <f aca="false">134.85</f>
        <v>134.85</v>
      </c>
      <c r="R868" s="22" t="n">
        <v>17.9</v>
      </c>
      <c r="S868" s="22" t="n">
        <v>22.5</v>
      </c>
      <c r="T868" s="22" t="n">
        <v>433</v>
      </c>
      <c r="U868" s="24" t="s">
        <v>29</v>
      </c>
      <c r="V868" s="15"/>
      <c r="W868" s="16"/>
      <c r="X868" s="16"/>
      <c r="Y868" s="16"/>
    </row>
    <row r="869" customFormat="false" ht="14.15" hidden="false" customHeight="false" outlineLevel="0" collapsed="false">
      <c r="A869" s="9"/>
      <c r="B869" s="10"/>
      <c r="C869" s="10"/>
      <c r="D869" s="10"/>
      <c r="E869" s="10"/>
      <c r="F869" s="10"/>
      <c r="G869" s="10"/>
      <c r="H869" s="10"/>
      <c r="I869" s="25" t="n">
        <v>4</v>
      </c>
      <c r="J869" s="25" t="s">
        <v>49</v>
      </c>
      <c r="K869" s="26" t="n">
        <f aca="false">37.4</f>
        <v>37.4</v>
      </c>
      <c r="L869" s="26" t="n">
        <f aca="false">103.51</f>
        <v>103.51</v>
      </c>
      <c r="M869" s="25" t="n">
        <v>12</v>
      </c>
      <c r="N869" s="25" t="n">
        <v>22</v>
      </c>
      <c r="O869" s="25" t="n">
        <v>71.8</v>
      </c>
      <c r="P869" s="26" t="n">
        <f aca="false">24.96</f>
        <v>24.96</v>
      </c>
      <c r="Q869" s="26" t="n">
        <f aca="false">123.08</f>
        <v>123.08</v>
      </c>
      <c r="R869" s="25" t="n">
        <v>12.1</v>
      </c>
      <c r="S869" s="25" t="n">
        <v>19.1</v>
      </c>
      <c r="T869" s="25" t="n">
        <v>316</v>
      </c>
      <c r="U869" s="27" t="s">
        <v>97</v>
      </c>
      <c r="V869" s="21"/>
      <c r="W869" s="16"/>
      <c r="X869" s="16"/>
      <c r="Y869" s="16"/>
    </row>
    <row r="870" customFormat="false" ht="15.75" hidden="false" customHeight="true" outlineLevel="0" collapsed="false">
      <c r="A870" s="9" t="s">
        <v>226</v>
      </c>
      <c r="B870" s="10" t="s">
        <v>44</v>
      </c>
      <c r="C870" s="11" t="s">
        <v>288</v>
      </c>
      <c r="D870" s="10" t="s">
        <v>28</v>
      </c>
      <c r="E870" s="10" t="s">
        <v>28</v>
      </c>
      <c r="F870" s="10"/>
      <c r="G870" s="10" t="n">
        <v>32</v>
      </c>
      <c r="H870" s="10" t="n">
        <v>5.7</v>
      </c>
      <c r="I870" s="12" t="n">
        <v>1</v>
      </c>
      <c r="J870" s="12"/>
      <c r="K870" s="13" t="n">
        <f aca="false">41</f>
        <v>41</v>
      </c>
      <c r="L870" s="13" t="n">
        <f aca="false">135.48</f>
        <v>135.48</v>
      </c>
      <c r="M870" s="12" t="n">
        <v>16</v>
      </c>
      <c r="N870" s="12" t="n">
        <v>33</v>
      </c>
      <c r="O870" s="12" t="n">
        <v>103.1</v>
      </c>
      <c r="P870" s="13" t="n">
        <f aca="false">27.68</f>
        <v>27.68</v>
      </c>
      <c r="Q870" s="13" t="n">
        <f aca="false">144.91</f>
        <v>144.91</v>
      </c>
      <c r="R870" s="12" t="n">
        <v>12.1</v>
      </c>
      <c r="S870" s="12" t="n">
        <v>16.2</v>
      </c>
      <c r="T870" s="12" t="n">
        <v>564</v>
      </c>
      <c r="U870" s="14" t="s">
        <v>29</v>
      </c>
      <c r="V870" s="15"/>
      <c r="W870" s="16" t="str">
        <f aca="false">A870</f>
        <v>OK</v>
      </c>
      <c r="X870" s="17" t="e">
        <f aca="false">ifs(C870="","",X870="",NOW(),TRUE(),X870)</f>
        <v>#VALUE!</v>
      </c>
      <c r="Y870" s="17" t="e">
        <f aca="false">ifs(COUNTA(K870:U873)&lt;44,"",Y870="",NOW(),TRUE(),Y870)</f>
        <v>#VALUE!</v>
      </c>
    </row>
    <row r="871" customFormat="false" ht="14.15" hidden="false" customHeight="false" outlineLevel="0" collapsed="false">
      <c r="A871" s="9"/>
      <c r="B871" s="10"/>
      <c r="C871" s="10"/>
      <c r="D871" s="10"/>
      <c r="E871" s="10"/>
      <c r="F871" s="10"/>
      <c r="G871" s="10"/>
      <c r="H871" s="10"/>
      <c r="I871" s="18" t="n">
        <v>2</v>
      </c>
      <c r="J871" s="18" t="s">
        <v>46</v>
      </c>
      <c r="K871" s="19" t="n">
        <f aca="false">39.71</f>
        <v>39.71</v>
      </c>
      <c r="L871" s="19" t="n">
        <f aca="false">125.57</f>
        <v>125.57</v>
      </c>
      <c r="M871" s="18" t="n">
        <v>18</v>
      </c>
      <c r="N871" s="18" t="n">
        <v>30</v>
      </c>
      <c r="O871" s="18" t="n">
        <v>97.7</v>
      </c>
      <c r="P871" s="19" t="n">
        <f aca="false">28.17</f>
        <v>28.17</v>
      </c>
      <c r="Q871" s="19" t="n">
        <f aca="false">143.87</f>
        <v>143.87</v>
      </c>
      <c r="R871" s="18" t="n">
        <v>11.6</v>
      </c>
      <c r="S871" s="18" t="n">
        <v>15.5</v>
      </c>
      <c r="T871" s="18" t="n">
        <v>529</v>
      </c>
      <c r="U871" s="20" t="s">
        <v>29</v>
      </c>
      <c r="V871" s="21"/>
      <c r="W871" s="16"/>
      <c r="X871" s="16"/>
      <c r="Y871" s="16"/>
    </row>
    <row r="872" customFormat="false" ht="14.15" hidden="false" customHeight="false" outlineLevel="0" collapsed="false">
      <c r="A872" s="9"/>
      <c r="B872" s="10"/>
      <c r="C872" s="10"/>
      <c r="D872" s="10"/>
      <c r="E872" s="10"/>
      <c r="F872" s="10"/>
      <c r="G872" s="10"/>
      <c r="H872" s="10"/>
      <c r="I872" s="22" t="n">
        <v>3</v>
      </c>
      <c r="J872" s="22" t="s">
        <v>46</v>
      </c>
      <c r="K872" s="23" t="n">
        <f aca="false">36.35</f>
        <v>36.35</v>
      </c>
      <c r="L872" s="23" t="n">
        <f aca="false">111.36</f>
        <v>111.36</v>
      </c>
      <c r="M872" s="22" t="n">
        <v>14</v>
      </c>
      <c r="N872" s="22" t="n">
        <v>28</v>
      </c>
      <c r="O872" s="22" t="n">
        <v>58.9</v>
      </c>
      <c r="P872" s="23" t="n">
        <f aca="false">25</f>
        <v>25</v>
      </c>
      <c r="Q872" s="23" t="n">
        <f aca="false">124.83</f>
        <v>124.83</v>
      </c>
      <c r="R872" s="22" t="n">
        <v>9.5</v>
      </c>
      <c r="S872" s="22" t="n">
        <v>15.6</v>
      </c>
      <c r="T872" s="22" t="n">
        <v>307</v>
      </c>
      <c r="U872" s="24" t="s">
        <v>29</v>
      </c>
      <c r="V872" s="15"/>
      <c r="W872" s="16"/>
      <c r="X872" s="16"/>
      <c r="Y872" s="16"/>
    </row>
    <row r="873" customFormat="false" ht="14.15" hidden="false" customHeight="false" outlineLevel="0" collapsed="false">
      <c r="A873" s="9"/>
      <c r="B873" s="10"/>
      <c r="C873" s="10"/>
      <c r="D873" s="10"/>
      <c r="E873" s="10"/>
      <c r="F873" s="10"/>
      <c r="G873" s="10"/>
      <c r="H873" s="10"/>
      <c r="I873" s="25" t="n">
        <v>4</v>
      </c>
      <c r="J873" s="25" t="s">
        <v>46</v>
      </c>
      <c r="K873" s="26" t="n">
        <f aca="false">39.1</f>
        <v>39.1</v>
      </c>
      <c r="L873" s="26" t="n">
        <f aca="false">102.13</f>
        <v>102.13</v>
      </c>
      <c r="M873" s="25" t="n">
        <v>16</v>
      </c>
      <c r="N873" s="25" t="n">
        <v>23</v>
      </c>
      <c r="O873" s="25" t="n">
        <v>61</v>
      </c>
      <c r="P873" s="26" t="n">
        <f aca="false">26.98</f>
        <v>26.98</v>
      </c>
      <c r="Q873" s="26" t="n">
        <f aca="false">107.05</f>
        <v>107.05</v>
      </c>
      <c r="R873" s="25" t="n">
        <v>7.1</v>
      </c>
      <c r="S873" s="25" t="n">
        <v>16.9</v>
      </c>
      <c r="T873" s="25" t="n">
        <v>311</v>
      </c>
      <c r="U873" s="27" t="s">
        <v>29</v>
      </c>
      <c r="V873" s="21"/>
      <c r="W873" s="16"/>
      <c r="X873" s="16"/>
      <c r="Y873" s="16"/>
    </row>
    <row r="874" customFormat="false" ht="15.75" hidden="false" customHeight="true" outlineLevel="0" collapsed="false">
      <c r="A874" s="9" t="s">
        <v>226</v>
      </c>
      <c r="B874" s="10" t="s">
        <v>44</v>
      </c>
      <c r="C874" s="11" t="s">
        <v>289</v>
      </c>
      <c r="D874" s="10" t="s">
        <v>28</v>
      </c>
      <c r="E874" s="10" t="s">
        <v>28</v>
      </c>
      <c r="F874" s="10"/>
      <c r="G874" s="10" t="n">
        <v>4</v>
      </c>
      <c r="H874" s="10" t="n">
        <v>0.2</v>
      </c>
      <c r="I874" s="12" t="n">
        <v>1</v>
      </c>
      <c r="J874" s="12" t="s">
        <v>49</v>
      </c>
      <c r="K874" s="13" t="n">
        <f aca="false">46.92</f>
        <v>46.92</v>
      </c>
      <c r="L874" s="13" t="n">
        <f aca="false">127.53</f>
        <v>127.53</v>
      </c>
      <c r="M874" s="12" t="n">
        <v>18</v>
      </c>
      <c r="N874" s="12" t="n">
        <v>33</v>
      </c>
      <c r="O874" s="12" t="n">
        <v>133.4</v>
      </c>
      <c r="P874" s="13" t="n">
        <f aca="false">28.95</f>
        <v>28.95</v>
      </c>
      <c r="Q874" s="13" t="n">
        <f aca="false">145.8</f>
        <v>145.8</v>
      </c>
      <c r="R874" s="12" t="n">
        <v>20.9</v>
      </c>
      <c r="S874" s="12" t="n">
        <v>18.8</v>
      </c>
      <c r="T874" s="12" t="n">
        <v>576</v>
      </c>
      <c r="U874" s="14" t="s">
        <v>29</v>
      </c>
      <c r="V874" s="15"/>
      <c r="W874" s="16" t="str">
        <f aca="false">A874</f>
        <v>OK</v>
      </c>
      <c r="X874" s="17" t="e">
        <f aca="false">ifs(C874="","",X874="",NOW(),TRUE(),X874)</f>
        <v>#VALUE!</v>
      </c>
      <c r="Y874" s="17" t="e">
        <f aca="false">ifs(COUNTA(K874:U877)&lt;44,"",Y874="",NOW(),TRUE(),Y874)</f>
        <v>#VALUE!</v>
      </c>
    </row>
    <row r="875" customFormat="false" ht="14.15" hidden="false" customHeight="false" outlineLevel="0" collapsed="false">
      <c r="A875" s="9"/>
      <c r="B875" s="10"/>
      <c r="C875" s="10"/>
      <c r="D875" s="10"/>
      <c r="E875" s="10"/>
      <c r="F875" s="10"/>
      <c r="G875" s="10"/>
      <c r="H875" s="10"/>
      <c r="I875" s="18" t="n">
        <v>2</v>
      </c>
      <c r="J875" s="18" t="s">
        <v>49</v>
      </c>
      <c r="K875" s="19" t="n">
        <f aca="false">43.4</f>
        <v>43.4</v>
      </c>
      <c r="L875" s="19" t="n">
        <f aca="false">133.76</f>
        <v>133.76</v>
      </c>
      <c r="M875" s="18" t="n">
        <v>18</v>
      </c>
      <c r="N875" s="18" t="n">
        <v>40</v>
      </c>
      <c r="O875" s="18" t="n">
        <v>131.8</v>
      </c>
      <c r="P875" s="19" t="n">
        <f aca="false">29.46</f>
        <v>29.46</v>
      </c>
      <c r="Q875" s="19" t="n">
        <f aca="false">152.32</f>
        <v>152.32</v>
      </c>
      <c r="R875" s="18" t="n">
        <v>24.1</v>
      </c>
      <c r="S875" s="18" t="n">
        <v>18.6</v>
      </c>
      <c r="T875" s="18" t="n">
        <v>581</v>
      </c>
      <c r="U875" s="20" t="s">
        <v>29</v>
      </c>
      <c r="V875" s="21"/>
      <c r="W875" s="16"/>
      <c r="X875" s="16"/>
      <c r="Y875" s="16"/>
    </row>
    <row r="876" customFormat="false" ht="14.15" hidden="false" customHeight="false" outlineLevel="0" collapsed="false">
      <c r="A876" s="9"/>
      <c r="B876" s="10"/>
      <c r="C876" s="10"/>
      <c r="D876" s="10"/>
      <c r="E876" s="10"/>
      <c r="F876" s="10"/>
      <c r="G876" s="10"/>
      <c r="H876" s="10"/>
      <c r="I876" s="22" t="n">
        <v>3</v>
      </c>
      <c r="J876" s="22" t="s">
        <v>46</v>
      </c>
      <c r="K876" s="23" t="n">
        <f aca="false">41.51</f>
        <v>41.51</v>
      </c>
      <c r="L876" s="23" t="n">
        <f aca="false">114.67</f>
        <v>114.67</v>
      </c>
      <c r="M876" s="22" t="n">
        <v>15</v>
      </c>
      <c r="N876" s="22" t="n">
        <v>28</v>
      </c>
      <c r="O876" s="22" t="n">
        <v>91.8</v>
      </c>
      <c r="P876" s="23" t="n">
        <f aca="false">28.55</f>
        <v>28.55</v>
      </c>
      <c r="Q876" s="23" t="n">
        <f aca="false">127.03</f>
        <v>127.03</v>
      </c>
      <c r="R876" s="22" t="n">
        <v>17.7</v>
      </c>
      <c r="S876" s="22" t="n">
        <v>17.1</v>
      </c>
      <c r="T876" s="22" t="n">
        <v>327</v>
      </c>
      <c r="U876" s="24" t="s">
        <v>29</v>
      </c>
      <c r="V876" s="15"/>
      <c r="W876" s="16"/>
      <c r="X876" s="16"/>
      <c r="Y876" s="16"/>
    </row>
    <row r="877" customFormat="false" ht="14.15" hidden="false" customHeight="false" outlineLevel="0" collapsed="false">
      <c r="A877" s="9"/>
      <c r="B877" s="10"/>
      <c r="C877" s="10"/>
      <c r="D877" s="10"/>
      <c r="E877" s="10"/>
      <c r="F877" s="10"/>
      <c r="G877" s="10"/>
      <c r="H877" s="10"/>
      <c r="I877" s="25" t="n">
        <v>4</v>
      </c>
      <c r="J877" s="25" t="s">
        <v>46</v>
      </c>
      <c r="K877" s="26" t="n">
        <f aca="false">40.95</f>
        <v>40.95</v>
      </c>
      <c r="L877" s="26" t="n">
        <f aca="false">104.13</f>
        <v>104.13</v>
      </c>
      <c r="M877" s="25" t="n">
        <v>15</v>
      </c>
      <c r="N877" s="25" t="n">
        <v>21</v>
      </c>
      <c r="O877" s="25" t="n">
        <v>75.8</v>
      </c>
      <c r="P877" s="26" t="n">
        <f aca="false">25.51</f>
        <v>25.51</v>
      </c>
      <c r="Q877" s="26" t="n">
        <f aca="false">108.59</f>
        <v>108.59</v>
      </c>
      <c r="R877" s="25" t="n">
        <v>14.2</v>
      </c>
      <c r="S877" s="25" t="n">
        <v>16.8</v>
      </c>
      <c r="T877" s="25" t="n">
        <v>397</v>
      </c>
      <c r="U877" s="27" t="s">
        <v>29</v>
      </c>
      <c r="V877" s="21"/>
      <c r="W877" s="16"/>
      <c r="X877" s="16"/>
      <c r="Y877" s="16"/>
    </row>
    <row r="878" customFormat="false" ht="15.75" hidden="false" customHeight="true" outlineLevel="0" collapsed="false">
      <c r="A878" s="9" t="s">
        <v>226</v>
      </c>
      <c r="B878" s="10" t="s">
        <v>44</v>
      </c>
      <c r="C878" s="11" t="s">
        <v>290</v>
      </c>
      <c r="D878" s="10" t="s">
        <v>28</v>
      </c>
      <c r="E878" s="10" t="s">
        <v>28</v>
      </c>
      <c r="F878" s="10"/>
      <c r="G878" s="10" t="n">
        <v>77</v>
      </c>
      <c r="H878" s="10" t="n">
        <v>14.3</v>
      </c>
      <c r="I878" s="12" t="n">
        <v>1</v>
      </c>
      <c r="J878" s="12" t="s">
        <v>120</v>
      </c>
      <c r="K878" s="13" t="n">
        <f aca="false">49.22</f>
        <v>49.22</v>
      </c>
      <c r="L878" s="13" t="n">
        <f aca="false">164.27</f>
        <v>164.27</v>
      </c>
      <c r="M878" s="12" t="n">
        <v>14</v>
      </c>
      <c r="N878" s="12" t="n">
        <v>40</v>
      </c>
      <c r="O878" s="12" t="n">
        <v>189.7</v>
      </c>
      <c r="P878" s="13" t="n">
        <f aca="false">29.63</f>
        <v>29.63</v>
      </c>
      <c r="Q878" s="13" t="n">
        <f aca="false">166.82</f>
        <v>166.82</v>
      </c>
      <c r="R878" s="12" t="n">
        <v>21.1</v>
      </c>
      <c r="S878" s="12" t="n">
        <v>23.7</v>
      </c>
      <c r="T878" s="12" t="n">
        <v>719</v>
      </c>
      <c r="U878" s="14" t="s">
        <v>29</v>
      </c>
      <c r="V878" s="15"/>
      <c r="W878" s="16" t="str">
        <f aca="false">A878</f>
        <v>OK</v>
      </c>
      <c r="X878" s="17" t="e">
        <f aca="false">ifs(C878="","",X878="",NOW(),TRUE(),X878)</f>
        <v>#VALUE!</v>
      </c>
      <c r="Y878" s="17" t="e">
        <f aca="false">ifs(COUNTA(K878:U881)&lt;44,"",Y878="",NOW(),TRUE(),Y878)</f>
        <v>#VALUE!</v>
      </c>
    </row>
    <row r="879" customFormat="false" ht="14.15" hidden="false" customHeight="false" outlineLevel="0" collapsed="false">
      <c r="A879" s="9"/>
      <c r="B879" s="10"/>
      <c r="C879" s="10"/>
      <c r="D879" s="10"/>
      <c r="E879" s="10"/>
      <c r="F879" s="10"/>
      <c r="G879" s="10"/>
      <c r="H879" s="10"/>
      <c r="I879" s="18" t="n">
        <v>2</v>
      </c>
      <c r="J879" s="18" t="s">
        <v>120</v>
      </c>
      <c r="K879" s="19" t="n">
        <f aca="false">48.75</f>
        <v>48.75</v>
      </c>
      <c r="L879" s="19" t="n">
        <f aca="false">171.44</f>
        <v>171.44</v>
      </c>
      <c r="M879" s="18" t="n">
        <v>16</v>
      </c>
      <c r="N879" s="18" t="n">
        <v>42</v>
      </c>
      <c r="O879" s="18" t="n">
        <v>185.2</v>
      </c>
      <c r="P879" s="19" t="n">
        <f aca="false">30.07</f>
        <v>30.07</v>
      </c>
      <c r="Q879" s="19" t="n">
        <f aca="false">177.22</f>
        <v>177.22</v>
      </c>
      <c r="R879" s="18" t="n">
        <v>20.8</v>
      </c>
      <c r="S879" s="18" t="n">
        <v>19.3</v>
      </c>
      <c r="T879" s="18" t="n">
        <v>792</v>
      </c>
      <c r="U879" s="20" t="s">
        <v>29</v>
      </c>
      <c r="V879" s="21"/>
      <c r="W879" s="16"/>
      <c r="X879" s="16"/>
      <c r="Y879" s="16"/>
    </row>
    <row r="880" customFormat="false" ht="14.15" hidden="false" customHeight="false" outlineLevel="0" collapsed="false">
      <c r="A880" s="9"/>
      <c r="B880" s="10"/>
      <c r="C880" s="10"/>
      <c r="D880" s="10"/>
      <c r="E880" s="10"/>
      <c r="F880" s="10"/>
      <c r="G880" s="10"/>
      <c r="H880" s="10"/>
      <c r="I880" s="22" t="n">
        <v>3</v>
      </c>
      <c r="J880" s="22" t="s">
        <v>47</v>
      </c>
      <c r="K880" s="23" t="n">
        <f aca="false">46.01</f>
        <v>46.01</v>
      </c>
      <c r="L880" s="23" t="n">
        <f aca="false">130.13</f>
        <v>130.13</v>
      </c>
      <c r="M880" s="22" t="n">
        <v>14</v>
      </c>
      <c r="N880" s="22" t="n">
        <v>24</v>
      </c>
      <c r="O880" s="22" t="n">
        <v>119.9</v>
      </c>
      <c r="P880" s="23" t="n">
        <f aca="false">28.17</f>
        <v>28.17</v>
      </c>
      <c r="Q880" s="23" t="n">
        <f aca="false">128.09</f>
        <v>128.09</v>
      </c>
      <c r="R880" s="22" t="n">
        <v>13.5</v>
      </c>
      <c r="S880" s="22" t="n">
        <v>20.6</v>
      </c>
      <c r="T880" s="22" t="n">
        <v>492</v>
      </c>
      <c r="U880" s="24" t="s">
        <v>29</v>
      </c>
      <c r="V880" s="15"/>
      <c r="W880" s="16"/>
      <c r="X880" s="16"/>
      <c r="Y880" s="16"/>
    </row>
    <row r="881" customFormat="false" ht="14.15" hidden="false" customHeight="false" outlineLevel="0" collapsed="false">
      <c r="A881" s="9"/>
      <c r="B881" s="10"/>
      <c r="C881" s="10"/>
      <c r="D881" s="10"/>
      <c r="E881" s="10"/>
      <c r="F881" s="10"/>
      <c r="G881" s="10"/>
      <c r="H881" s="10"/>
      <c r="I881" s="25" t="n">
        <v>4</v>
      </c>
      <c r="J881" s="25" t="s">
        <v>49</v>
      </c>
      <c r="K881" s="26" t="n">
        <f aca="false">46.35</f>
        <v>46.35</v>
      </c>
      <c r="L881" s="26" t="n">
        <f aca="false">131.48</f>
        <v>131.48</v>
      </c>
      <c r="M881" s="25" t="n">
        <v>16</v>
      </c>
      <c r="N881" s="25" t="n">
        <v>27</v>
      </c>
      <c r="O881" s="25" t="n">
        <v>111.6</v>
      </c>
      <c r="P881" s="26" t="n">
        <v>27.88</v>
      </c>
      <c r="Q881" s="26" t="n">
        <f aca="false">147.19</f>
        <v>147.19</v>
      </c>
      <c r="R881" s="25" t="n">
        <v>14.6</v>
      </c>
      <c r="S881" s="25" t="n">
        <v>19.6</v>
      </c>
      <c r="T881" s="25" t="n">
        <v>361</v>
      </c>
      <c r="U881" s="27" t="s">
        <v>29</v>
      </c>
      <c r="V881" s="21"/>
      <c r="W881" s="16"/>
      <c r="X881" s="16"/>
      <c r="Y881" s="16"/>
    </row>
    <row r="882" customFormat="false" ht="15.75" hidden="false" customHeight="true" outlineLevel="0" collapsed="false">
      <c r="A882" s="9" t="s">
        <v>226</v>
      </c>
      <c r="B882" s="10" t="s">
        <v>44</v>
      </c>
      <c r="C882" s="11" t="s">
        <v>291</v>
      </c>
      <c r="D882" s="10" t="s">
        <v>28</v>
      </c>
      <c r="E882" s="10" t="s">
        <v>28</v>
      </c>
      <c r="F882" s="10"/>
      <c r="G882" s="10" t="n">
        <v>48</v>
      </c>
      <c r="H882" s="10" t="n">
        <v>13.2</v>
      </c>
      <c r="I882" s="12" t="n">
        <v>1</v>
      </c>
      <c r="J882" s="12" t="s">
        <v>57</v>
      </c>
      <c r="K882" s="13" t="n">
        <f aca="false">47.57</f>
        <v>47.57</v>
      </c>
      <c r="L882" s="13" t="n">
        <f aca="false">136.57</f>
        <v>136.57</v>
      </c>
      <c r="M882" s="12" t="n">
        <v>16</v>
      </c>
      <c r="N882" s="12" t="n">
        <v>24</v>
      </c>
      <c r="O882" s="12" t="n">
        <v>130</v>
      </c>
      <c r="P882" s="13" t="n">
        <f aca="false">31.45</f>
        <v>31.45</v>
      </c>
      <c r="Q882" s="13" t="n">
        <f aca="false">149.48</f>
        <v>149.48</v>
      </c>
      <c r="R882" s="12" t="n">
        <v>17.4</v>
      </c>
      <c r="S882" s="12" t="n">
        <v>23.4</v>
      </c>
      <c r="T882" s="12" t="n">
        <v>469</v>
      </c>
      <c r="U882" s="14" t="s">
        <v>58</v>
      </c>
      <c r="V882" s="15"/>
      <c r="W882" s="16" t="str">
        <f aca="false">A882</f>
        <v>OK</v>
      </c>
      <c r="X882" s="17" t="e">
        <f aca="false">ifs(C882="","",X882="",NOW(),TRUE(),X882)</f>
        <v>#VALUE!</v>
      </c>
      <c r="Y882" s="17" t="e">
        <f aca="false">ifs(COUNTA(K882:U885)&lt;44,"",Y882="",NOW(),TRUE(),Y882)</f>
        <v>#VALUE!</v>
      </c>
    </row>
    <row r="883" customFormat="false" ht="14.15" hidden="false" customHeight="false" outlineLevel="0" collapsed="false">
      <c r="A883" s="9"/>
      <c r="B883" s="10"/>
      <c r="C883" s="10"/>
      <c r="D883" s="10"/>
      <c r="E883" s="10"/>
      <c r="F883" s="10"/>
      <c r="G883" s="10"/>
      <c r="H883" s="10"/>
      <c r="I883" s="18" t="n">
        <v>2</v>
      </c>
      <c r="J883" s="18"/>
      <c r="K883" s="19" t="n">
        <f aca="false">47.69</f>
        <v>47.69</v>
      </c>
      <c r="L883" s="19" t="n">
        <f aca="false">152.45</f>
        <v>152.45</v>
      </c>
      <c r="M883" s="18" t="n">
        <v>16</v>
      </c>
      <c r="N883" s="18" t="n">
        <v>31</v>
      </c>
      <c r="O883" s="18" t="n">
        <v>138.3</v>
      </c>
      <c r="P883" s="19" t="n">
        <f aca="false">32.55</f>
        <v>32.55</v>
      </c>
      <c r="Q883" s="19" t="n">
        <f aca="false">160.29</f>
        <v>160.29</v>
      </c>
      <c r="R883" s="18" t="n">
        <v>17.1</v>
      </c>
      <c r="S883" s="18" t="n">
        <v>21.9</v>
      </c>
      <c r="T883" s="18" t="n">
        <v>513</v>
      </c>
      <c r="U883" s="20" t="s">
        <v>58</v>
      </c>
      <c r="V883" s="21"/>
      <c r="W883" s="16"/>
      <c r="X883" s="16"/>
      <c r="Y883" s="16"/>
    </row>
    <row r="884" customFormat="false" ht="14.15" hidden="false" customHeight="false" outlineLevel="0" collapsed="false">
      <c r="A884" s="9"/>
      <c r="B884" s="10"/>
      <c r="C884" s="10"/>
      <c r="D884" s="10"/>
      <c r="E884" s="10"/>
      <c r="F884" s="10"/>
      <c r="G884" s="10"/>
      <c r="H884" s="10"/>
      <c r="I884" s="22" t="n">
        <v>3</v>
      </c>
      <c r="J884" s="22" t="s">
        <v>49</v>
      </c>
      <c r="K884" s="23" t="n">
        <f aca="false">47.08</f>
        <v>47.08</v>
      </c>
      <c r="L884" s="23" t="n">
        <f aca="false">122.74</f>
        <v>122.74</v>
      </c>
      <c r="M884" s="22" t="n">
        <v>16</v>
      </c>
      <c r="N884" s="22" t="n">
        <v>24</v>
      </c>
      <c r="O884" s="22" t="n">
        <v>118.3</v>
      </c>
      <c r="P884" s="23" t="n">
        <f aca="false">31.97</f>
        <v>31.97</v>
      </c>
      <c r="Q884" s="23" t="n">
        <f aca="false">140.97</f>
        <v>140.97</v>
      </c>
      <c r="R884" s="22" t="n">
        <v>15.7</v>
      </c>
      <c r="S884" s="22" t="n">
        <v>29.6</v>
      </c>
      <c r="T884" s="22" t="n">
        <v>337</v>
      </c>
      <c r="U884" s="24" t="s">
        <v>58</v>
      </c>
      <c r="V884" s="15"/>
      <c r="W884" s="16"/>
      <c r="X884" s="16"/>
      <c r="Y884" s="16"/>
    </row>
    <row r="885" customFormat="false" ht="14.15" hidden="false" customHeight="false" outlineLevel="0" collapsed="false">
      <c r="A885" s="9"/>
      <c r="B885" s="10"/>
      <c r="C885" s="10"/>
      <c r="D885" s="10"/>
      <c r="E885" s="10"/>
      <c r="F885" s="10"/>
      <c r="G885" s="10"/>
      <c r="H885" s="10"/>
      <c r="I885" s="25" t="n">
        <v>4</v>
      </c>
      <c r="J885" s="25" t="s">
        <v>49</v>
      </c>
      <c r="K885" s="26" t="n">
        <f aca="false">44.85</f>
        <v>44.85</v>
      </c>
      <c r="L885" s="26" t="n">
        <f aca="false">105.99</f>
        <v>105.99</v>
      </c>
      <c r="M885" s="25" t="n">
        <v>18</v>
      </c>
      <c r="N885" s="25" t="n">
        <v>22</v>
      </c>
      <c r="O885" s="25" t="n">
        <v>87.5</v>
      </c>
      <c r="P885" s="26" t="n">
        <f aca="false">32.86</f>
        <v>32.86</v>
      </c>
      <c r="Q885" s="26" t="n">
        <f aca="false">123.6</f>
        <v>123.6</v>
      </c>
      <c r="R885" s="25" t="n">
        <v>15.8</v>
      </c>
      <c r="S885" s="25" t="n">
        <v>25.7</v>
      </c>
      <c r="T885" s="25" t="n">
        <v>267</v>
      </c>
      <c r="U885" s="27" t="s">
        <v>32</v>
      </c>
      <c r="V885" s="21"/>
      <c r="W885" s="16"/>
      <c r="X885" s="16"/>
      <c r="Y885" s="16"/>
    </row>
    <row r="886" customFormat="false" ht="15.75" hidden="false" customHeight="true" outlineLevel="0" collapsed="false">
      <c r="A886" s="9" t="s">
        <v>226</v>
      </c>
      <c r="B886" s="10" t="s">
        <v>44</v>
      </c>
      <c r="C886" s="11" t="s">
        <v>293</v>
      </c>
      <c r="D886" s="10" t="s">
        <v>28</v>
      </c>
      <c r="E886" s="10" t="s">
        <v>28</v>
      </c>
      <c r="F886" s="10"/>
      <c r="G886" s="10" t="n">
        <v>9</v>
      </c>
      <c r="H886" s="10" t="n">
        <v>1.7</v>
      </c>
      <c r="I886" s="12" t="n">
        <v>1</v>
      </c>
      <c r="J886" s="12" t="s">
        <v>47</v>
      </c>
      <c r="K886" s="13" t="n">
        <f aca="false">41.66</f>
        <v>41.66</v>
      </c>
      <c r="L886" s="13" t="n">
        <f aca="false">136.73</f>
        <v>136.73</v>
      </c>
      <c r="M886" s="12" t="n">
        <v>14</v>
      </c>
      <c r="N886" s="12" t="n">
        <v>32</v>
      </c>
      <c r="O886" s="12" t="n">
        <v>126.7</v>
      </c>
      <c r="P886" s="13" t="n">
        <f aca="false">27.38</f>
        <v>27.38</v>
      </c>
      <c r="Q886" s="13" t="n">
        <f aca="false">150.16</f>
        <v>150.16</v>
      </c>
      <c r="R886" s="12" t="n">
        <v>19.4</v>
      </c>
      <c r="S886" s="12" t="n">
        <v>22.9</v>
      </c>
      <c r="T886" s="12" t="n">
        <v>457</v>
      </c>
      <c r="U886" s="14" t="s">
        <v>97</v>
      </c>
      <c r="V886" s="15"/>
      <c r="W886" s="16" t="str">
        <f aca="false">A886</f>
        <v>OK</v>
      </c>
      <c r="X886" s="17" t="e">
        <f aca="false">ifs(C886="","",X886="",NOW(),TRUE(),X886)</f>
        <v>#VALUE!</v>
      </c>
      <c r="Y886" s="17" t="e">
        <f aca="false">ifs(COUNTA(K886:U889)&lt;44,"",Y886="",NOW(),TRUE(),Y886)</f>
        <v>#VALUE!</v>
      </c>
    </row>
    <row r="887" customFormat="false" ht="14.15" hidden="false" customHeight="false" outlineLevel="0" collapsed="false">
      <c r="A887" s="9"/>
      <c r="B887" s="10"/>
      <c r="C887" s="10"/>
      <c r="D887" s="10"/>
      <c r="E887" s="10"/>
      <c r="F887" s="10"/>
      <c r="G887" s="10"/>
      <c r="H887" s="10"/>
      <c r="I887" s="18" t="n">
        <v>2</v>
      </c>
      <c r="J887" s="18" t="s">
        <v>46</v>
      </c>
      <c r="K887" s="19" t="n">
        <f aca="false">40.56</f>
        <v>40.56</v>
      </c>
      <c r="L887" s="19" t="n">
        <f aca="false">119.1</f>
        <v>119.1</v>
      </c>
      <c r="M887" s="18" t="n">
        <v>14</v>
      </c>
      <c r="N887" s="18" t="n">
        <v>27</v>
      </c>
      <c r="O887" s="18" t="n">
        <v>90.1</v>
      </c>
      <c r="P887" s="19" t="n">
        <f aca="false">23.38</f>
        <v>23.38</v>
      </c>
      <c r="Q887" s="19" t="n">
        <f aca="false">138.21</f>
        <v>138.21</v>
      </c>
      <c r="R887" s="18" t="n">
        <v>14.2</v>
      </c>
      <c r="S887" s="18" t="n">
        <v>20</v>
      </c>
      <c r="T887" s="18" t="n">
        <v>376</v>
      </c>
      <c r="U887" s="20" t="s">
        <v>97</v>
      </c>
      <c r="V887" s="21"/>
      <c r="W887" s="16"/>
      <c r="X887" s="16"/>
      <c r="Y887" s="16"/>
    </row>
    <row r="888" customFormat="false" ht="14.15" hidden="false" customHeight="false" outlineLevel="0" collapsed="false">
      <c r="A888" s="9"/>
      <c r="B888" s="10"/>
      <c r="C888" s="10"/>
      <c r="D888" s="10"/>
      <c r="E888" s="10"/>
      <c r="F888" s="10"/>
      <c r="G888" s="10"/>
      <c r="H888" s="10"/>
      <c r="I888" s="22" t="n">
        <v>3</v>
      </c>
      <c r="J888" s="22" t="s">
        <v>46</v>
      </c>
      <c r="K888" s="23" t="n">
        <f aca="false">38.43</f>
        <v>38.43</v>
      </c>
      <c r="L888" s="23" t="n">
        <f aca="false">102.76</f>
        <v>102.76</v>
      </c>
      <c r="M888" s="22" t="n">
        <v>16</v>
      </c>
      <c r="N888" s="22" t="n">
        <v>22</v>
      </c>
      <c r="O888" s="22" t="n">
        <v>70.7</v>
      </c>
      <c r="P888" s="23" t="n">
        <f aca="false">23.83</f>
        <v>23.83</v>
      </c>
      <c r="Q888" s="23" t="n">
        <f aca="false">118.08</f>
        <v>118.08</v>
      </c>
      <c r="R888" s="22" t="n">
        <v>11.5</v>
      </c>
      <c r="S888" s="22" t="n">
        <v>16.4</v>
      </c>
      <c r="T888" s="22" t="n">
        <v>356</v>
      </c>
      <c r="U888" s="24" t="s">
        <v>97</v>
      </c>
      <c r="V888" s="15"/>
      <c r="W888" s="16"/>
      <c r="X888" s="16"/>
      <c r="Y888" s="16"/>
    </row>
    <row r="889" customFormat="false" ht="14.15" hidden="false" customHeight="false" outlineLevel="0" collapsed="false">
      <c r="A889" s="9"/>
      <c r="B889" s="10"/>
      <c r="C889" s="10"/>
      <c r="D889" s="10"/>
      <c r="E889" s="10"/>
      <c r="F889" s="10"/>
      <c r="G889" s="10"/>
      <c r="H889" s="10"/>
      <c r="I889" s="25" t="n">
        <v>4</v>
      </c>
      <c r="J889" s="25" t="s">
        <v>46</v>
      </c>
      <c r="K889" s="26" t="n">
        <f aca="false">38.69</f>
        <v>38.69</v>
      </c>
      <c r="L889" s="26" t="n">
        <f aca="false">105.96</f>
        <v>105.96</v>
      </c>
      <c r="M889" s="25" t="n">
        <v>16</v>
      </c>
      <c r="N889" s="25" t="n">
        <v>27</v>
      </c>
      <c r="O889" s="25" t="n">
        <v>84.2</v>
      </c>
      <c r="P889" s="26" t="n">
        <f aca="false">24.8</f>
        <v>24.8</v>
      </c>
      <c r="Q889" s="26" t="n">
        <f aca="false">125.01</f>
        <v>125.01</v>
      </c>
      <c r="R889" s="25" t="n">
        <v>13.6</v>
      </c>
      <c r="S889" s="25" t="n">
        <v>18.5</v>
      </c>
      <c r="T889" s="25" t="n">
        <v>374</v>
      </c>
      <c r="U889" s="27" t="s">
        <v>29</v>
      </c>
      <c r="V889" s="21"/>
      <c r="W889" s="16"/>
      <c r="X889" s="16"/>
      <c r="Y889" s="16"/>
    </row>
    <row r="890" customFormat="false" ht="15.75" hidden="false" customHeight="true" outlineLevel="0" collapsed="false">
      <c r="A890" s="9" t="s">
        <v>226</v>
      </c>
      <c r="B890" s="10" t="s">
        <v>44</v>
      </c>
      <c r="C890" s="11" t="s">
        <v>294</v>
      </c>
      <c r="D890" s="10" t="s">
        <v>28</v>
      </c>
      <c r="E890" s="10" t="s">
        <v>28</v>
      </c>
      <c r="F890" s="10"/>
      <c r="G890" s="10" t="n">
        <v>20</v>
      </c>
      <c r="H890" s="10" t="n">
        <v>2.5</v>
      </c>
      <c r="I890" s="12" t="n">
        <v>1</v>
      </c>
      <c r="J890" s="12" t="s">
        <v>47</v>
      </c>
      <c r="K890" s="13" t="n">
        <f aca="false">43.54</f>
        <v>43.54</v>
      </c>
      <c r="L890" s="13" t="n">
        <f aca="false">147.48</f>
        <v>147.48</v>
      </c>
      <c r="M890" s="12" t="n">
        <v>16</v>
      </c>
      <c r="N890" s="12" t="n">
        <v>38</v>
      </c>
      <c r="O890" s="12" t="n">
        <v>139</v>
      </c>
      <c r="P890" s="13" t="n">
        <f aca="false">28.02</f>
        <v>28.02</v>
      </c>
      <c r="Q890" s="13" t="n">
        <f aca="false">165.24</f>
        <v>165.24</v>
      </c>
      <c r="R890" s="12" t="n">
        <v>21.3</v>
      </c>
      <c r="S890" s="12" t="n">
        <v>19.2</v>
      </c>
      <c r="T890" s="12" t="n">
        <v>589</v>
      </c>
      <c r="U890" s="14" t="s">
        <v>29</v>
      </c>
      <c r="V890" s="15"/>
      <c r="W890" s="16" t="str">
        <f aca="false">A890</f>
        <v>OK</v>
      </c>
      <c r="X890" s="17" t="e">
        <f aca="false">ifs(C890="","",X890="",NOW(),TRUE(),X890)</f>
        <v>#VALUE!</v>
      </c>
      <c r="Y890" s="17" t="e">
        <f aca="false">ifs(COUNTA(K890:U893)&lt;44,"",Y890="",NOW(),TRUE(),Y890)</f>
        <v>#VALUE!</v>
      </c>
    </row>
    <row r="891" customFormat="false" ht="14.15" hidden="false" customHeight="false" outlineLevel="0" collapsed="false">
      <c r="A891" s="9"/>
      <c r="B891" s="10"/>
      <c r="C891" s="10"/>
      <c r="D891" s="10"/>
      <c r="E891" s="10"/>
      <c r="F891" s="10"/>
      <c r="G891" s="10"/>
      <c r="H891" s="10"/>
      <c r="I891" s="18" t="n">
        <v>2</v>
      </c>
      <c r="J891" s="18" t="s">
        <v>49</v>
      </c>
      <c r="K891" s="19" t="n">
        <f aca="false">38.84</f>
        <v>38.84</v>
      </c>
      <c r="L891" s="19" t="n">
        <f aca="false">117.37</f>
        <v>117.37</v>
      </c>
      <c r="M891" s="18" t="n">
        <v>12</v>
      </c>
      <c r="N891" s="18" t="n">
        <v>32</v>
      </c>
      <c r="O891" s="18" t="n">
        <v>77</v>
      </c>
      <c r="P891" s="19" t="n">
        <f aca="false">25.81</f>
        <v>25.81</v>
      </c>
      <c r="Q891" s="19" t="n">
        <f aca="false">135.24</f>
        <v>135.24</v>
      </c>
      <c r="R891" s="18" t="n">
        <v>12.8</v>
      </c>
      <c r="S891" s="18" t="n">
        <v>20.4</v>
      </c>
      <c r="T891" s="18" t="n">
        <v>325</v>
      </c>
      <c r="U891" s="20" t="s">
        <v>29</v>
      </c>
      <c r="V891" s="21"/>
      <c r="W891" s="16"/>
      <c r="X891" s="16"/>
      <c r="Y891" s="16"/>
    </row>
    <row r="892" customFormat="false" ht="14.15" hidden="false" customHeight="false" outlineLevel="0" collapsed="false">
      <c r="A892" s="9"/>
      <c r="B892" s="10"/>
      <c r="C892" s="10"/>
      <c r="D892" s="10"/>
      <c r="E892" s="10"/>
      <c r="F892" s="10"/>
      <c r="G892" s="10"/>
      <c r="H892" s="10"/>
      <c r="I892" s="22" t="n">
        <v>3</v>
      </c>
      <c r="J892" s="22" t="s">
        <v>47</v>
      </c>
      <c r="K892" s="23" t="n">
        <f aca="false">38.64</f>
        <v>38.64</v>
      </c>
      <c r="L892" s="23" t="n">
        <f aca="false">99.6</f>
        <v>99.6</v>
      </c>
      <c r="M892" s="22" t="n">
        <v>12</v>
      </c>
      <c r="N892" s="22" t="n">
        <v>19</v>
      </c>
      <c r="O892" s="22" t="n">
        <v>66.6</v>
      </c>
      <c r="P892" s="23" t="n">
        <f aca="false">24.71</f>
        <v>24.71</v>
      </c>
      <c r="Q892" s="23" t="n">
        <f aca="false">135.87</f>
        <v>135.87</v>
      </c>
      <c r="R892" s="22" t="n">
        <v>11.9</v>
      </c>
      <c r="S892" s="22" t="n">
        <v>21.4</v>
      </c>
      <c r="T892" s="22" t="n">
        <v>249</v>
      </c>
      <c r="U892" s="24" t="s">
        <v>29</v>
      </c>
      <c r="V892" s="15"/>
      <c r="W892" s="16"/>
      <c r="X892" s="16"/>
      <c r="Y892" s="16"/>
    </row>
    <row r="893" customFormat="false" ht="14.15" hidden="false" customHeight="false" outlineLevel="0" collapsed="false">
      <c r="A893" s="9"/>
      <c r="B893" s="10"/>
      <c r="C893" s="10"/>
      <c r="D893" s="10"/>
      <c r="E893" s="10"/>
      <c r="F893" s="10"/>
      <c r="G893" s="10"/>
      <c r="H893" s="10"/>
      <c r="I893" s="25" t="n">
        <v>4</v>
      </c>
      <c r="J893" s="25" t="s">
        <v>47</v>
      </c>
      <c r="K893" s="26" t="n">
        <f aca="false">36.87</f>
        <v>36.87</v>
      </c>
      <c r="L893" s="26" t="n">
        <f aca="false">85.97</f>
        <v>85.97</v>
      </c>
      <c r="M893" s="25" t="n">
        <v>12</v>
      </c>
      <c r="N893" s="25" t="n">
        <v>21</v>
      </c>
      <c r="O893" s="25" t="n">
        <v>52.3</v>
      </c>
      <c r="P893" s="26" t="n">
        <f aca="false">24.61</f>
        <v>24.61</v>
      </c>
      <c r="Q893" s="26" t="n">
        <f aca="false">103.71</f>
        <v>103.71</v>
      </c>
      <c r="R893" s="25" t="n">
        <v>6.3</v>
      </c>
      <c r="S893" s="25" t="n">
        <v>19.7</v>
      </c>
      <c r="T893" s="25" t="n">
        <v>229</v>
      </c>
      <c r="U893" s="27" t="s">
        <v>29</v>
      </c>
      <c r="V893" s="21"/>
      <c r="W893" s="16"/>
      <c r="X893" s="16"/>
      <c r="Y893" s="16"/>
    </row>
  </sheetData>
  <autoFilter ref="A1:Y893"/>
  <mergeCells count="669">
    <mergeCell ref="W2:W5"/>
    <mergeCell ref="X2:X5"/>
    <mergeCell ref="Y2:Y5"/>
    <mergeCell ref="W6:W9"/>
    <mergeCell ref="X6:X9"/>
    <mergeCell ref="Y6:Y9"/>
    <mergeCell ref="W10:W13"/>
    <mergeCell ref="X10:X13"/>
    <mergeCell ref="Y10:Y13"/>
    <mergeCell ref="W14:W17"/>
    <mergeCell ref="X14:X17"/>
    <mergeCell ref="Y14:Y17"/>
    <mergeCell ref="W18:W21"/>
    <mergeCell ref="X18:X21"/>
    <mergeCell ref="Y18:Y21"/>
    <mergeCell ref="W22:W25"/>
    <mergeCell ref="X22:X25"/>
    <mergeCell ref="Y22:Y25"/>
    <mergeCell ref="W26:W29"/>
    <mergeCell ref="X26:X29"/>
    <mergeCell ref="Y26:Y29"/>
    <mergeCell ref="W30:W33"/>
    <mergeCell ref="X30:X33"/>
    <mergeCell ref="Y30:Y33"/>
    <mergeCell ref="W34:W37"/>
    <mergeCell ref="X34:X37"/>
    <mergeCell ref="Y34:Y37"/>
    <mergeCell ref="W38:W41"/>
    <mergeCell ref="X38:X41"/>
    <mergeCell ref="Y38:Y41"/>
    <mergeCell ref="W42:W45"/>
    <mergeCell ref="X42:X45"/>
    <mergeCell ref="Y42:Y45"/>
    <mergeCell ref="W46:W49"/>
    <mergeCell ref="X46:X49"/>
    <mergeCell ref="Y46:Y49"/>
    <mergeCell ref="W50:W53"/>
    <mergeCell ref="X50:X53"/>
    <mergeCell ref="Y50:Y53"/>
    <mergeCell ref="W54:W57"/>
    <mergeCell ref="X54:X57"/>
    <mergeCell ref="Y54:Y57"/>
    <mergeCell ref="W58:W61"/>
    <mergeCell ref="X58:X61"/>
    <mergeCell ref="Y58:Y61"/>
    <mergeCell ref="W62:W65"/>
    <mergeCell ref="X62:X65"/>
    <mergeCell ref="Y62:Y65"/>
    <mergeCell ref="W66:W69"/>
    <mergeCell ref="X66:X69"/>
    <mergeCell ref="Y66:Y69"/>
    <mergeCell ref="W70:W73"/>
    <mergeCell ref="X70:X73"/>
    <mergeCell ref="Y70:Y73"/>
    <mergeCell ref="W74:W77"/>
    <mergeCell ref="X74:X77"/>
    <mergeCell ref="Y74:Y77"/>
    <mergeCell ref="W78:W81"/>
    <mergeCell ref="X78:X81"/>
    <mergeCell ref="Y78:Y81"/>
    <mergeCell ref="W82:W85"/>
    <mergeCell ref="X82:X85"/>
    <mergeCell ref="Y82:Y85"/>
    <mergeCell ref="W86:W89"/>
    <mergeCell ref="X86:X89"/>
    <mergeCell ref="Y86:Y89"/>
    <mergeCell ref="W90:W93"/>
    <mergeCell ref="X90:X93"/>
    <mergeCell ref="Y90:Y93"/>
    <mergeCell ref="W94:W97"/>
    <mergeCell ref="X94:X97"/>
    <mergeCell ref="Y94:Y97"/>
    <mergeCell ref="W98:W101"/>
    <mergeCell ref="X98:X101"/>
    <mergeCell ref="Y98:Y101"/>
    <mergeCell ref="W102:W105"/>
    <mergeCell ref="X102:X105"/>
    <mergeCell ref="Y102:Y105"/>
    <mergeCell ref="W106:W109"/>
    <mergeCell ref="X106:X109"/>
    <mergeCell ref="Y106:Y109"/>
    <mergeCell ref="W110:W113"/>
    <mergeCell ref="X110:X113"/>
    <mergeCell ref="Y110:Y113"/>
    <mergeCell ref="W114:W117"/>
    <mergeCell ref="X114:X117"/>
    <mergeCell ref="Y114:Y117"/>
    <mergeCell ref="W118:W121"/>
    <mergeCell ref="X118:X121"/>
    <mergeCell ref="Y118:Y121"/>
    <mergeCell ref="W122:W125"/>
    <mergeCell ref="X122:X125"/>
    <mergeCell ref="Y122:Y125"/>
    <mergeCell ref="W126:W129"/>
    <mergeCell ref="X126:X129"/>
    <mergeCell ref="Y126:Y129"/>
    <mergeCell ref="W130:W133"/>
    <mergeCell ref="X130:X133"/>
    <mergeCell ref="Y130:Y133"/>
    <mergeCell ref="W134:W137"/>
    <mergeCell ref="X134:X137"/>
    <mergeCell ref="Y134:Y137"/>
    <mergeCell ref="W138:W141"/>
    <mergeCell ref="X138:X141"/>
    <mergeCell ref="Y138:Y141"/>
    <mergeCell ref="W142:W145"/>
    <mergeCell ref="X142:X145"/>
    <mergeCell ref="Y142:Y145"/>
    <mergeCell ref="W146:W149"/>
    <mergeCell ref="X146:X149"/>
    <mergeCell ref="Y146:Y149"/>
    <mergeCell ref="W150:W153"/>
    <mergeCell ref="X150:X153"/>
    <mergeCell ref="Y150:Y153"/>
    <mergeCell ref="W154:W157"/>
    <mergeCell ref="X154:X157"/>
    <mergeCell ref="Y154:Y157"/>
    <mergeCell ref="W158:W161"/>
    <mergeCell ref="X158:X161"/>
    <mergeCell ref="Y158:Y161"/>
    <mergeCell ref="W162:W165"/>
    <mergeCell ref="X162:X165"/>
    <mergeCell ref="Y162:Y165"/>
    <mergeCell ref="W166:W169"/>
    <mergeCell ref="X166:X169"/>
    <mergeCell ref="Y166:Y169"/>
    <mergeCell ref="W170:W173"/>
    <mergeCell ref="X170:X173"/>
    <mergeCell ref="Y170:Y173"/>
    <mergeCell ref="W174:W177"/>
    <mergeCell ref="X174:X177"/>
    <mergeCell ref="Y174:Y177"/>
    <mergeCell ref="W178:W181"/>
    <mergeCell ref="X178:X181"/>
    <mergeCell ref="Y178:Y181"/>
    <mergeCell ref="W182:W185"/>
    <mergeCell ref="X182:X185"/>
    <mergeCell ref="Y182:Y185"/>
    <mergeCell ref="W186:W189"/>
    <mergeCell ref="X186:X189"/>
    <mergeCell ref="Y186:Y189"/>
    <mergeCell ref="W190:W193"/>
    <mergeCell ref="X190:X193"/>
    <mergeCell ref="Y190:Y193"/>
    <mergeCell ref="W194:W197"/>
    <mergeCell ref="X194:X197"/>
    <mergeCell ref="Y194:Y197"/>
    <mergeCell ref="W198:W201"/>
    <mergeCell ref="X198:X201"/>
    <mergeCell ref="Y198:Y201"/>
    <mergeCell ref="W202:W205"/>
    <mergeCell ref="X202:X205"/>
    <mergeCell ref="Y202:Y205"/>
    <mergeCell ref="W206:W209"/>
    <mergeCell ref="X206:X209"/>
    <mergeCell ref="Y206:Y209"/>
    <mergeCell ref="W210:W213"/>
    <mergeCell ref="X210:X213"/>
    <mergeCell ref="Y210:Y213"/>
    <mergeCell ref="W214:W217"/>
    <mergeCell ref="X214:X217"/>
    <mergeCell ref="Y214:Y217"/>
    <mergeCell ref="W218:W221"/>
    <mergeCell ref="X218:X221"/>
    <mergeCell ref="Y218:Y221"/>
    <mergeCell ref="W222:W225"/>
    <mergeCell ref="X222:X225"/>
    <mergeCell ref="Y222:Y225"/>
    <mergeCell ref="W226:W229"/>
    <mergeCell ref="X226:X229"/>
    <mergeCell ref="Y226:Y229"/>
    <mergeCell ref="W230:W233"/>
    <mergeCell ref="X230:X233"/>
    <mergeCell ref="Y230:Y233"/>
    <mergeCell ref="W234:W237"/>
    <mergeCell ref="X234:X237"/>
    <mergeCell ref="Y234:Y237"/>
    <mergeCell ref="W238:W241"/>
    <mergeCell ref="X238:X241"/>
    <mergeCell ref="Y238:Y241"/>
    <mergeCell ref="W242:W245"/>
    <mergeCell ref="X242:X245"/>
    <mergeCell ref="Y242:Y245"/>
    <mergeCell ref="W246:W249"/>
    <mergeCell ref="X246:X249"/>
    <mergeCell ref="Y246:Y249"/>
    <mergeCell ref="W250:W253"/>
    <mergeCell ref="X250:X253"/>
    <mergeCell ref="Y250:Y253"/>
    <mergeCell ref="W254:W257"/>
    <mergeCell ref="X254:X257"/>
    <mergeCell ref="Y254:Y257"/>
    <mergeCell ref="W258:W261"/>
    <mergeCell ref="X258:X261"/>
    <mergeCell ref="Y258:Y261"/>
    <mergeCell ref="W262:W265"/>
    <mergeCell ref="X262:X265"/>
    <mergeCell ref="Y262:Y265"/>
    <mergeCell ref="W266:W269"/>
    <mergeCell ref="X266:X269"/>
    <mergeCell ref="Y266:Y269"/>
    <mergeCell ref="W270:W273"/>
    <mergeCell ref="X270:X273"/>
    <mergeCell ref="Y270:Y273"/>
    <mergeCell ref="W274:W277"/>
    <mergeCell ref="X274:X277"/>
    <mergeCell ref="Y274:Y277"/>
    <mergeCell ref="W278:W281"/>
    <mergeCell ref="X278:X281"/>
    <mergeCell ref="Y278:Y281"/>
    <mergeCell ref="W282:W285"/>
    <mergeCell ref="X282:X285"/>
    <mergeCell ref="Y282:Y285"/>
    <mergeCell ref="W286:W289"/>
    <mergeCell ref="X286:X289"/>
    <mergeCell ref="Y286:Y289"/>
    <mergeCell ref="W290:W293"/>
    <mergeCell ref="X290:X293"/>
    <mergeCell ref="Y290:Y293"/>
    <mergeCell ref="W294:W297"/>
    <mergeCell ref="X294:X297"/>
    <mergeCell ref="Y294:Y297"/>
    <mergeCell ref="W298:W301"/>
    <mergeCell ref="X298:X301"/>
    <mergeCell ref="Y298:Y301"/>
    <mergeCell ref="W302:W305"/>
    <mergeCell ref="X302:X305"/>
    <mergeCell ref="Y302:Y305"/>
    <mergeCell ref="W306:W309"/>
    <mergeCell ref="X306:X309"/>
    <mergeCell ref="Y306:Y309"/>
    <mergeCell ref="W310:W313"/>
    <mergeCell ref="X310:X313"/>
    <mergeCell ref="Y310:Y313"/>
    <mergeCell ref="W314:W317"/>
    <mergeCell ref="X314:X317"/>
    <mergeCell ref="Y314:Y317"/>
    <mergeCell ref="W318:W321"/>
    <mergeCell ref="X318:X321"/>
    <mergeCell ref="Y318:Y321"/>
    <mergeCell ref="W322:W325"/>
    <mergeCell ref="X322:X325"/>
    <mergeCell ref="Y322:Y325"/>
    <mergeCell ref="W326:W329"/>
    <mergeCell ref="X326:X329"/>
    <mergeCell ref="Y326:Y329"/>
    <mergeCell ref="W330:W333"/>
    <mergeCell ref="X330:X333"/>
    <mergeCell ref="Y330:Y333"/>
    <mergeCell ref="W334:W337"/>
    <mergeCell ref="X334:X337"/>
    <mergeCell ref="Y334:Y337"/>
    <mergeCell ref="W338:W341"/>
    <mergeCell ref="X338:X341"/>
    <mergeCell ref="Y338:Y341"/>
    <mergeCell ref="W342:W345"/>
    <mergeCell ref="X342:X345"/>
    <mergeCell ref="Y342:Y345"/>
    <mergeCell ref="W346:W349"/>
    <mergeCell ref="X346:X349"/>
    <mergeCell ref="Y346:Y349"/>
    <mergeCell ref="W350:W353"/>
    <mergeCell ref="X350:X353"/>
    <mergeCell ref="Y350:Y353"/>
    <mergeCell ref="W354:W357"/>
    <mergeCell ref="X354:X357"/>
    <mergeCell ref="Y354:Y357"/>
    <mergeCell ref="W358:W361"/>
    <mergeCell ref="X358:X361"/>
    <mergeCell ref="Y358:Y361"/>
    <mergeCell ref="W362:W365"/>
    <mergeCell ref="X362:X365"/>
    <mergeCell ref="Y362:Y365"/>
    <mergeCell ref="W366:W369"/>
    <mergeCell ref="X366:X369"/>
    <mergeCell ref="Y366:Y369"/>
    <mergeCell ref="W370:W373"/>
    <mergeCell ref="X370:X373"/>
    <mergeCell ref="Y370:Y373"/>
    <mergeCell ref="W374:W377"/>
    <mergeCell ref="X374:X377"/>
    <mergeCell ref="Y374:Y377"/>
    <mergeCell ref="W378:W381"/>
    <mergeCell ref="X378:X381"/>
    <mergeCell ref="Y378:Y381"/>
    <mergeCell ref="W382:W385"/>
    <mergeCell ref="X382:X385"/>
    <mergeCell ref="Y382:Y385"/>
    <mergeCell ref="W386:W389"/>
    <mergeCell ref="X386:X389"/>
    <mergeCell ref="Y386:Y389"/>
    <mergeCell ref="W390:W393"/>
    <mergeCell ref="X390:X393"/>
    <mergeCell ref="Y390:Y393"/>
    <mergeCell ref="W394:W397"/>
    <mergeCell ref="X394:X397"/>
    <mergeCell ref="Y394:Y397"/>
    <mergeCell ref="W398:W401"/>
    <mergeCell ref="X398:X401"/>
    <mergeCell ref="Y398:Y401"/>
    <mergeCell ref="W402:W405"/>
    <mergeCell ref="X402:X405"/>
    <mergeCell ref="Y402:Y405"/>
    <mergeCell ref="W406:W409"/>
    <mergeCell ref="X406:X409"/>
    <mergeCell ref="Y406:Y409"/>
    <mergeCell ref="W410:W413"/>
    <mergeCell ref="X410:X413"/>
    <mergeCell ref="Y410:Y413"/>
    <mergeCell ref="W414:W417"/>
    <mergeCell ref="X414:X417"/>
    <mergeCell ref="Y414:Y417"/>
    <mergeCell ref="W418:W421"/>
    <mergeCell ref="X418:X421"/>
    <mergeCell ref="Y418:Y421"/>
    <mergeCell ref="W422:W425"/>
    <mergeCell ref="X422:X425"/>
    <mergeCell ref="Y422:Y425"/>
    <mergeCell ref="W426:W429"/>
    <mergeCell ref="X426:X429"/>
    <mergeCell ref="Y426:Y429"/>
    <mergeCell ref="W430:W433"/>
    <mergeCell ref="X430:X433"/>
    <mergeCell ref="Y430:Y433"/>
    <mergeCell ref="W434:W437"/>
    <mergeCell ref="X434:X437"/>
    <mergeCell ref="Y434:Y437"/>
    <mergeCell ref="W438:W441"/>
    <mergeCell ref="X438:X441"/>
    <mergeCell ref="Y438:Y441"/>
    <mergeCell ref="W442:W445"/>
    <mergeCell ref="X442:X445"/>
    <mergeCell ref="Y442:Y445"/>
    <mergeCell ref="W446:W449"/>
    <mergeCell ref="X446:X449"/>
    <mergeCell ref="Y446:Y449"/>
    <mergeCell ref="W450:W453"/>
    <mergeCell ref="X450:X453"/>
    <mergeCell ref="Y450:Y453"/>
    <mergeCell ref="W454:W457"/>
    <mergeCell ref="X454:X457"/>
    <mergeCell ref="Y454:Y457"/>
    <mergeCell ref="W458:W461"/>
    <mergeCell ref="X458:X461"/>
    <mergeCell ref="Y458:Y461"/>
    <mergeCell ref="W462:W465"/>
    <mergeCell ref="X462:X465"/>
    <mergeCell ref="Y462:Y465"/>
    <mergeCell ref="W466:W469"/>
    <mergeCell ref="X466:X469"/>
    <mergeCell ref="Y466:Y469"/>
    <mergeCell ref="W470:W473"/>
    <mergeCell ref="X470:X473"/>
    <mergeCell ref="Y470:Y473"/>
    <mergeCell ref="W474:W477"/>
    <mergeCell ref="X474:X477"/>
    <mergeCell ref="Y474:Y477"/>
    <mergeCell ref="W478:W481"/>
    <mergeCell ref="X478:X481"/>
    <mergeCell ref="Y478:Y481"/>
    <mergeCell ref="W482:W485"/>
    <mergeCell ref="X482:X485"/>
    <mergeCell ref="Y482:Y485"/>
    <mergeCell ref="W486:W489"/>
    <mergeCell ref="X486:X489"/>
    <mergeCell ref="Y486:Y489"/>
    <mergeCell ref="W490:W493"/>
    <mergeCell ref="X490:X493"/>
    <mergeCell ref="Y490:Y493"/>
    <mergeCell ref="W494:W497"/>
    <mergeCell ref="X494:X497"/>
    <mergeCell ref="Y494:Y497"/>
    <mergeCell ref="W498:W501"/>
    <mergeCell ref="X498:X501"/>
    <mergeCell ref="Y498:Y501"/>
    <mergeCell ref="W502:W505"/>
    <mergeCell ref="X502:X505"/>
    <mergeCell ref="Y502:Y505"/>
    <mergeCell ref="W506:W509"/>
    <mergeCell ref="X506:X509"/>
    <mergeCell ref="Y506:Y509"/>
    <mergeCell ref="W510:W513"/>
    <mergeCell ref="X510:X513"/>
    <mergeCell ref="Y510:Y513"/>
    <mergeCell ref="W514:W517"/>
    <mergeCell ref="X514:X517"/>
    <mergeCell ref="Y514:Y517"/>
    <mergeCell ref="W518:W521"/>
    <mergeCell ref="X518:X521"/>
    <mergeCell ref="Y518:Y521"/>
    <mergeCell ref="W522:W525"/>
    <mergeCell ref="X522:X525"/>
    <mergeCell ref="Y522:Y525"/>
    <mergeCell ref="W526:W529"/>
    <mergeCell ref="X526:X529"/>
    <mergeCell ref="Y526:Y529"/>
    <mergeCell ref="W530:W533"/>
    <mergeCell ref="X530:X533"/>
    <mergeCell ref="Y530:Y533"/>
    <mergeCell ref="W534:W537"/>
    <mergeCell ref="X534:X537"/>
    <mergeCell ref="Y534:Y537"/>
    <mergeCell ref="W538:W541"/>
    <mergeCell ref="X538:X541"/>
    <mergeCell ref="Y538:Y541"/>
    <mergeCell ref="W542:W545"/>
    <mergeCell ref="X542:X545"/>
    <mergeCell ref="Y542:Y545"/>
    <mergeCell ref="W546:W549"/>
    <mergeCell ref="X546:X549"/>
    <mergeCell ref="Y546:Y549"/>
    <mergeCell ref="W550:W553"/>
    <mergeCell ref="X550:X553"/>
    <mergeCell ref="Y550:Y553"/>
    <mergeCell ref="W554:W557"/>
    <mergeCell ref="X554:X557"/>
    <mergeCell ref="Y554:Y557"/>
    <mergeCell ref="W558:W561"/>
    <mergeCell ref="X558:X561"/>
    <mergeCell ref="Y558:Y561"/>
    <mergeCell ref="W562:W565"/>
    <mergeCell ref="X562:X565"/>
    <mergeCell ref="Y562:Y565"/>
    <mergeCell ref="W566:W569"/>
    <mergeCell ref="X566:X569"/>
    <mergeCell ref="Y566:Y569"/>
    <mergeCell ref="W570:W573"/>
    <mergeCell ref="X570:X573"/>
    <mergeCell ref="Y570:Y573"/>
    <mergeCell ref="W574:W577"/>
    <mergeCell ref="X574:X577"/>
    <mergeCell ref="Y574:Y577"/>
    <mergeCell ref="W578:W581"/>
    <mergeCell ref="X578:X581"/>
    <mergeCell ref="Y578:Y581"/>
    <mergeCell ref="W582:W585"/>
    <mergeCell ref="X582:X585"/>
    <mergeCell ref="Y582:Y585"/>
    <mergeCell ref="W586:W589"/>
    <mergeCell ref="X586:X589"/>
    <mergeCell ref="Y586:Y589"/>
    <mergeCell ref="W590:W593"/>
    <mergeCell ref="X590:X593"/>
    <mergeCell ref="Y590:Y593"/>
    <mergeCell ref="W594:W597"/>
    <mergeCell ref="X594:X597"/>
    <mergeCell ref="Y594:Y597"/>
    <mergeCell ref="W598:W601"/>
    <mergeCell ref="X598:X601"/>
    <mergeCell ref="Y598:Y601"/>
    <mergeCell ref="W602:W605"/>
    <mergeCell ref="X602:X605"/>
    <mergeCell ref="Y602:Y605"/>
    <mergeCell ref="W606:W609"/>
    <mergeCell ref="X606:X609"/>
    <mergeCell ref="Y606:Y609"/>
    <mergeCell ref="W610:W613"/>
    <mergeCell ref="X610:X613"/>
    <mergeCell ref="Y610:Y613"/>
    <mergeCell ref="W614:W617"/>
    <mergeCell ref="X614:X617"/>
    <mergeCell ref="Y614:Y617"/>
    <mergeCell ref="W618:W621"/>
    <mergeCell ref="X618:X621"/>
    <mergeCell ref="Y618:Y621"/>
    <mergeCell ref="W622:W625"/>
    <mergeCell ref="X622:X625"/>
    <mergeCell ref="Y622:Y625"/>
    <mergeCell ref="W626:W629"/>
    <mergeCell ref="X626:X629"/>
    <mergeCell ref="Y626:Y629"/>
    <mergeCell ref="W630:W633"/>
    <mergeCell ref="X630:X633"/>
    <mergeCell ref="Y630:Y633"/>
    <mergeCell ref="W634:W637"/>
    <mergeCell ref="X634:X637"/>
    <mergeCell ref="Y634:Y637"/>
    <mergeCell ref="W638:W641"/>
    <mergeCell ref="X638:X641"/>
    <mergeCell ref="Y638:Y641"/>
    <mergeCell ref="W642:W645"/>
    <mergeCell ref="X642:X645"/>
    <mergeCell ref="Y642:Y645"/>
    <mergeCell ref="W646:W649"/>
    <mergeCell ref="X646:X649"/>
    <mergeCell ref="Y646:Y649"/>
    <mergeCell ref="W650:W653"/>
    <mergeCell ref="X650:X653"/>
    <mergeCell ref="Y650:Y653"/>
    <mergeCell ref="W654:W657"/>
    <mergeCell ref="X654:X657"/>
    <mergeCell ref="Y654:Y657"/>
    <mergeCell ref="W658:W661"/>
    <mergeCell ref="X658:X661"/>
    <mergeCell ref="Y658:Y661"/>
    <mergeCell ref="W662:W665"/>
    <mergeCell ref="X662:X665"/>
    <mergeCell ref="Y662:Y665"/>
    <mergeCell ref="W666:W669"/>
    <mergeCell ref="X666:X669"/>
    <mergeCell ref="Y666:Y669"/>
    <mergeCell ref="W670:W673"/>
    <mergeCell ref="X670:X673"/>
    <mergeCell ref="Y670:Y673"/>
    <mergeCell ref="W674:W677"/>
    <mergeCell ref="X674:X677"/>
    <mergeCell ref="Y674:Y677"/>
    <mergeCell ref="W678:W681"/>
    <mergeCell ref="X678:X681"/>
    <mergeCell ref="Y678:Y681"/>
    <mergeCell ref="W682:W685"/>
    <mergeCell ref="X682:X685"/>
    <mergeCell ref="Y682:Y685"/>
    <mergeCell ref="W686:W689"/>
    <mergeCell ref="X686:X689"/>
    <mergeCell ref="Y686:Y689"/>
    <mergeCell ref="W690:W693"/>
    <mergeCell ref="X690:X693"/>
    <mergeCell ref="Y690:Y693"/>
    <mergeCell ref="W694:W697"/>
    <mergeCell ref="X694:X697"/>
    <mergeCell ref="Y694:Y697"/>
    <mergeCell ref="W698:W701"/>
    <mergeCell ref="X698:X701"/>
    <mergeCell ref="Y698:Y701"/>
    <mergeCell ref="W702:W705"/>
    <mergeCell ref="X702:X705"/>
    <mergeCell ref="Y702:Y705"/>
    <mergeCell ref="W706:W709"/>
    <mergeCell ref="X706:X709"/>
    <mergeCell ref="Y706:Y709"/>
    <mergeCell ref="W710:W713"/>
    <mergeCell ref="X710:X713"/>
    <mergeCell ref="Y710:Y713"/>
    <mergeCell ref="W714:W717"/>
    <mergeCell ref="X714:X717"/>
    <mergeCell ref="Y714:Y717"/>
    <mergeCell ref="W718:W721"/>
    <mergeCell ref="X718:X721"/>
    <mergeCell ref="Y718:Y721"/>
    <mergeCell ref="W722:W725"/>
    <mergeCell ref="X722:X725"/>
    <mergeCell ref="Y722:Y725"/>
    <mergeCell ref="W726:W729"/>
    <mergeCell ref="X726:X729"/>
    <mergeCell ref="Y726:Y729"/>
    <mergeCell ref="W730:W733"/>
    <mergeCell ref="X730:X733"/>
    <mergeCell ref="Y730:Y733"/>
    <mergeCell ref="W734:W737"/>
    <mergeCell ref="X734:X737"/>
    <mergeCell ref="Y734:Y737"/>
    <mergeCell ref="W738:W741"/>
    <mergeCell ref="X738:X741"/>
    <mergeCell ref="Y738:Y741"/>
    <mergeCell ref="W742:W745"/>
    <mergeCell ref="X742:X745"/>
    <mergeCell ref="Y742:Y745"/>
    <mergeCell ref="W746:W749"/>
    <mergeCell ref="X746:X749"/>
    <mergeCell ref="Y746:Y749"/>
    <mergeCell ref="W750:W753"/>
    <mergeCell ref="X750:X753"/>
    <mergeCell ref="Y750:Y753"/>
    <mergeCell ref="W754:W757"/>
    <mergeCell ref="X754:X757"/>
    <mergeCell ref="Y754:Y757"/>
    <mergeCell ref="W758:W761"/>
    <mergeCell ref="X758:X761"/>
    <mergeCell ref="Y758:Y761"/>
    <mergeCell ref="W762:W765"/>
    <mergeCell ref="X762:X765"/>
    <mergeCell ref="Y762:Y765"/>
    <mergeCell ref="W766:W769"/>
    <mergeCell ref="X766:X769"/>
    <mergeCell ref="Y766:Y769"/>
    <mergeCell ref="W770:W773"/>
    <mergeCell ref="X770:X773"/>
    <mergeCell ref="Y770:Y773"/>
    <mergeCell ref="W774:W777"/>
    <mergeCell ref="X774:X777"/>
    <mergeCell ref="Y774:Y777"/>
    <mergeCell ref="W778:W781"/>
    <mergeCell ref="X778:X781"/>
    <mergeCell ref="Y778:Y781"/>
    <mergeCell ref="W782:W785"/>
    <mergeCell ref="X782:X785"/>
    <mergeCell ref="Y782:Y785"/>
    <mergeCell ref="W786:W789"/>
    <mergeCell ref="X786:X789"/>
    <mergeCell ref="Y786:Y789"/>
    <mergeCell ref="W790:W793"/>
    <mergeCell ref="X790:X793"/>
    <mergeCell ref="Y790:Y793"/>
    <mergeCell ref="W794:W797"/>
    <mergeCell ref="X794:X797"/>
    <mergeCell ref="Y794:Y797"/>
    <mergeCell ref="W798:W801"/>
    <mergeCell ref="X798:X801"/>
    <mergeCell ref="Y798:Y801"/>
    <mergeCell ref="W802:W805"/>
    <mergeCell ref="X802:X805"/>
    <mergeCell ref="Y802:Y805"/>
    <mergeCell ref="W806:W809"/>
    <mergeCell ref="X806:X809"/>
    <mergeCell ref="Y806:Y809"/>
    <mergeCell ref="W810:W813"/>
    <mergeCell ref="X810:X813"/>
    <mergeCell ref="Y810:Y813"/>
    <mergeCell ref="W814:W817"/>
    <mergeCell ref="X814:X817"/>
    <mergeCell ref="Y814:Y817"/>
    <mergeCell ref="W818:W821"/>
    <mergeCell ref="X818:X821"/>
    <mergeCell ref="Y818:Y821"/>
    <mergeCell ref="W822:W825"/>
    <mergeCell ref="X822:X825"/>
    <mergeCell ref="Y822:Y825"/>
    <mergeCell ref="W826:W829"/>
    <mergeCell ref="X826:X829"/>
    <mergeCell ref="Y826:Y829"/>
    <mergeCell ref="W830:W833"/>
    <mergeCell ref="X830:X833"/>
    <mergeCell ref="Y830:Y833"/>
    <mergeCell ref="W834:W837"/>
    <mergeCell ref="X834:X837"/>
    <mergeCell ref="Y834:Y837"/>
    <mergeCell ref="W838:W841"/>
    <mergeCell ref="X838:X841"/>
    <mergeCell ref="Y838:Y841"/>
    <mergeCell ref="W842:W845"/>
    <mergeCell ref="X842:X845"/>
    <mergeCell ref="Y842:Y845"/>
    <mergeCell ref="W846:W849"/>
    <mergeCell ref="X846:X849"/>
    <mergeCell ref="Y846:Y849"/>
    <mergeCell ref="W850:W853"/>
    <mergeCell ref="X850:X853"/>
    <mergeCell ref="Y850:Y853"/>
    <mergeCell ref="W854:W857"/>
    <mergeCell ref="X854:X857"/>
    <mergeCell ref="Y854:Y857"/>
    <mergeCell ref="W858:W861"/>
    <mergeCell ref="X858:X861"/>
    <mergeCell ref="Y858:Y861"/>
    <mergeCell ref="W862:W865"/>
    <mergeCell ref="X862:X865"/>
    <mergeCell ref="Y862:Y865"/>
    <mergeCell ref="W866:W869"/>
    <mergeCell ref="X866:X869"/>
    <mergeCell ref="Y866:Y869"/>
    <mergeCell ref="W870:W873"/>
    <mergeCell ref="X870:X873"/>
    <mergeCell ref="Y870:Y873"/>
    <mergeCell ref="W874:W877"/>
    <mergeCell ref="X874:X877"/>
    <mergeCell ref="Y874:Y877"/>
    <mergeCell ref="W878:W881"/>
    <mergeCell ref="X878:X881"/>
    <mergeCell ref="Y878:Y881"/>
    <mergeCell ref="W882:W885"/>
    <mergeCell ref="X882:X885"/>
    <mergeCell ref="Y882:Y885"/>
    <mergeCell ref="W886:W889"/>
    <mergeCell ref="X886:X889"/>
    <mergeCell ref="Y886:Y889"/>
    <mergeCell ref="W890:W893"/>
    <mergeCell ref="X890:X893"/>
    <mergeCell ref="Y890:Y893"/>
  </mergeCells>
  <conditionalFormatting sqref="D2:D893">
    <cfRule type="cellIs" priority="2" operator="equal" aboveAverage="0" equalAverage="0" bottom="0" percent="0" rank="0" text="" dxfId="0">
      <formula>"=Parameter Restrictions"</formula>
    </cfRule>
  </conditionalFormatting>
  <conditionalFormatting sqref="G2:G893">
    <cfRule type="expression" priority="3" aboveAverage="0" equalAverage="0" bottom="0" percent="0" rank="0" text="" dxfId="1">
      <formula>OR(G2&gt;VALUE(INDIRECT("'Parameter Restrictions'!$G$3")),G2&lt;VALUE(INDIRECT("'Parameter Restrictions'!$G$2")))</formula>
    </cfRule>
  </conditionalFormatting>
  <conditionalFormatting sqref="H2:H893">
    <cfRule type="expression" priority="4" aboveAverage="0" equalAverage="0" bottom="0" percent="0" rank="0" text="" dxfId="1">
      <formula>OR(H2&gt;VALUE(INDIRECT("'Parameter Restrictions'!$H$3")),H2&lt;VALUE(INDIRECT("'Parameter Restrictions'!$H$2")))</formula>
    </cfRule>
  </conditionalFormatting>
  <conditionalFormatting sqref="K2:T893">
    <cfRule type="expression" priority="5" aboveAverage="0" equalAverage="0" bottom="0" percent="0" rank="0" text="" dxfId="2">
      <formula>LEN(TRIM(K2))=0</formula>
    </cfRule>
  </conditionalFormatting>
  <conditionalFormatting sqref="K2:K893">
    <cfRule type="expression" priority="6" aboveAverage="0" equalAverage="0" bottom="0" percent="0" rank="0" text="" dxfId="3">
      <formula>OR(K2&gt;VALUE(INDIRECT("'Parameter Restrictions'!$K$3")),K2&lt;VALUE(INDIRECT("'Parameter Restrictions'!$K$2")))</formula>
    </cfRule>
  </conditionalFormatting>
  <conditionalFormatting sqref="M2:M893">
    <cfRule type="expression" priority="7" aboveAverage="0" equalAverage="0" bottom="0" percent="0" rank="0" text="" dxfId="3">
      <formula>OR(M2&gt;VALUE(INDIRECT("'Parameter Restrictions'!$M$3")),M2&lt;VALUE(INDIRECT("'Parameter Restrictions'!$M$2")))</formula>
    </cfRule>
  </conditionalFormatting>
  <conditionalFormatting sqref="O2:O893">
    <cfRule type="expression" priority="8" aboveAverage="0" equalAverage="0" bottom="0" percent="0" rank="0" text="" dxfId="3">
      <formula>OR(O2&gt;VALUE(INDIRECT("'Parameter Restrictions'!$O$3")),O2&lt;VALUE(INDIRECT("'Parameter Restrictions'!$O$2")))</formula>
    </cfRule>
  </conditionalFormatting>
  <conditionalFormatting sqref="P2:P893">
    <cfRule type="expression" priority="9" aboveAverage="0" equalAverage="0" bottom="0" percent="0" rank="0" text="" dxfId="3">
      <formula>OR(P2&gt;VALUE(INDIRECT("'Parameter Restrictions'!$P$3")),P2&lt;VALUE(INDIRECT("'Parameter Restrictions'!$P$2")))</formula>
    </cfRule>
  </conditionalFormatting>
  <conditionalFormatting sqref="Q2:Q893">
    <cfRule type="expression" priority="10" aboveAverage="0" equalAverage="0" bottom="0" percent="0" rank="0" text="" dxfId="3">
      <formula>OR(Q2&gt;VALUE(INDIRECT("'Parameter Restrictions'!$Q$3")),Q2&lt;VALUE(INDIRECT("'Parameter Restrictions'!$Q$2")))</formula>
    </cfRule>
  </conditionalFormatting>
  <conditionalFormatting sqref="R2:R893">
    <cfRule type="expression" priority="11" aboveAverage="0" equalAverage="0" bottom="0" percent="0" rank="0" text="" dxfId="4">
      <formula>OR(R2&gt;VALUE(INDIRECT("'Parameter Restrictions'!$R$3")),R2&lt;VALUE(INDIRECT("'Parameter Restrictions'!$R$2")))</formula>
    </cfRule>
  </conditionalFormatting>
  <conditionalFormatting sqref="S2:S893">
    <cfRule type="expression" priority="12" aboveAverage="0" equalAverage="0" bottom="0" percent="0" rank="0" text="" dxfId="4">
      <formula>OR(S2&gt;VALUE(INDIRECT("'Parameter Restrictions'!$S$3")),S2&lt;VALUE(INDIRECT("'Parameter Restrictions'!$S$2")))</formula>
    </cfRule>
  </conditionalFormatting>
  <conditionalFormatting sqref="T2:T893">
    <cfRule type="expression" priority="13" aboveAverage="0" equalAverage="0" bottom="0" percent="0" rank="0" text="" dxfId="3">
      <formula>OR(T2&gt;VALUE(INDIRECT("'Parameter Restrictions'!$T$3")),T2&lt;VALUE(INDIRECT("'Parameter Restrictions'!$T$2")))</formula>
    </cfRule>
  </conditionalFormatting>
  <conditionalFormatting sqref="L2:L893">
    <cfRule type="expression" priority="14" aboveAverage="0" equalAverage="0" bottom="0" percent="0" rank="0" text="" dxfId="3">
      <formula>OR(L2&gt;VALUE(INDIRECT("'Parameter Restrictions'!$L$3")),L2&lt;VALUE(INDIRECT("'Parameter Restrictions'!$L$2")))</formula>
    </cfRule>
  </conditionalFormatting>
  <conditionalFormatting sqref="N2:N893">
    <cfRule type="expression" priority="15" aboveAverage="0" equalAverage="0" bottom="0" percent="0" rank="0" text="" dxfId="3">
      <formula>OR(N2&gt;VALUE(INDIRECT("'Parameter Restrictions'!$N$3")),N2&lt;VALUE(INDIRECT("'Parameter Restrictions'!$N$2")))</formula>
    </cfRule>
  </conditionalFormatting>
  <dataValidations count="6">
    <dataValidation allowBlank="true" errorStyle="stop" operator="between" prompt="Please scan QR code of the station you are working at" showDropDown="false" showErrorMessage="true" showInputMessage="true" sqref="B2 B6 B10 B14 B18 B22 B26 B30 B34 B38 B42 B46 B50 B54 B58 B62 B66 B70 B74 B78 B82 B86 B90 B94 B98 B102 B106 B110 B114 B118 B122 B126 B130 B134 B138 B142 B146 B150 B154 B158 B162 B166 B170 B174 B178 B182 B186 B190 B194 B198 B202 B206 B210 B214 B218 B222 B226 B230 B234 B238 B242 B246 B250 B254 B258 B262 B266 B270 B274 B278 B282 B286 B290 B294 B298 B302 B306 B310 B314 B318 B322 B326 B330 B334 B338 B342 B346 B350 B354 B358 B362 B366 B370 B374 B378 B382 B386 B390 B394 B398 B406 B410 B414 B418 B422 B426 B430 B434 B438 B442 B446 B450 B454 B458 B462 B466 B470 B474 B478 B482 B486 B490 B494 B498 B502 B506 B510 B514 B518 B522 B526 B530 B534 B538 B542 B546 B550 B554 B558 B562 B566 B570 B574 B578 B582 B586 B590 B594 B598 B602 B606 B610 B614 B618 B622 B626 B630 B634 B638 B642 B646 B650 B654 B658 B662 B666 B670 B674 B678 B682 B686 B690 B694 B698 B702 B706 B710 B714 B718 B722 B726 B730 B734 B738 B742 B746 B750 B754 B758 B762 B766 B770 B774 B778 B782 B786 B790 B794 B798 B802 B806 B810 B814 B818 B822 B826 B830 B834 B838 B842 B846 B850 B854 B858 B862 B866 B870 B874 B878 B882 B886 B890" type="list">
      <formula1>'Parameter Restrictions'!$B$2:$B$8</formula1>
      <formula2>0</formula2>
    </dataValidation>
    <dataValidation allowBlank="true" errorStyle="stop" operator="between" showDropDown="false" showErrorMessage="true" showInputMessage="false" sqref="D2 D6 D10 D14 D18 D22 D26 D30 D34 D38 D42 D46 D50 D54 D58 D62 D66 D70 D74 D78 D82 D86 D90 D94 D98 D102 D106 D110 D114 D118 D122 D126 D130 D134 D138 D142 D146 D150 D154 D158 D162 D166 D170 D174 D178 D182 D186 D190 D194 D198 D202 D206 D210 D214 D218 D222 D226 D230 D234 D238 D242 D246 D250 D254 D258 D262 D266 D270 D274 D278 D282 D286 D290 D294 D298 D302 D306 D310 D314 D318 D322 D326 D330 D334 D338 D342 D346 D350 D354 D358 D362 D366 D370 D374 D378 D382 D386 D390 D394 D398 D402 D406 D410 D414 D418 D422 D426 D430 D434 D438 D442 D446 D450 D454 D458 D462 D466 D470 D474 D478 D482 D486 D490 D494 D498 D502 D506 D510 D514 D518 D522 D526 D530 D534 D538 D542 D546 D550 D554 D558 D562 D566 D570 D574 D578 D582 D586 D590 D594 D598 D602 D606 D610 D614 D618 D622 D626 D630 D634 D638 D642 D646 D650 D654 D658 D662 D666 D670 D674 D678 D682 D686 D690 D694 D698 D702 D706 D710 D714 D718 D722 D726 D730 D734 D738 D742 D746 D750 D754 D758 D762 D766 D770 D774 D778 D782 D786 D790 D794 D798 D802 D806 D810 D814 D818 D822 D826 D830 D834 D838 D842 D846 D850 D854 D858 D862 D866 D870 D874 D878 D882 D886 D890" type="list">
      <formula1>'Parameter Restrictions'!$D$2:$D$8</formula1>
      <formula2>0</formula2>
    </dataValidation>
    <dataValidation allowBlank="true" errorStyle="stop" operator="between" showDropDown="false" showErrorMessage="false" showInputMessage="false" sqref="J2:J893" type="list">
      <formula1>'Parameter Restrictions'!$J$2:$J$100</formula1>
      <formula2>0</formula2>
    </dataValidation>
    <dataValidation allowBlank="true" errorStyle="stop" operator="between" showDropDown="false" showErrorMessage="true" showInputMessage="false" sqref="E2 E6 E10 E14 E18 E22 E26 E30 E34 E38 E42 E46 E50 E54 E58 E62 E66 E70 E74 E78 E82 E86 E90 E94 E98 E102 E106 E110 E114 E118 E122 E126 E130 E134 E138 E142 E146 E150 E154 E158 E162 E166 E170 E174 E178 E182 E186 E190 E194 E198 E202 E206 E210 E214 E218 E222 E226 E230 E234 E238 E242 E246 E250 E254 E258 E262 E266 E270 E274 E278 E282 E286 E290 E294 E298 E302 E306 E310 E314 E318 E322 E326 E330 E334 E338 E342 E346 E350 E354 E358 E362 E366 E370 E374 E378 E382 E386 E390 E394 E398 E402 E406 E410 E414 E418 E422 E426 E430 E434 E438 E442 E446 E450 E454 E458 E462 E466 E470 E474 E478 E482 E486 E490 E494 E498 E502 E506 E510 E514 E518 E522 E526 E530 E534 E538 E542 E546 E550 E554 E558 E562 E566 E570 E574 E578 E582 E586 E590 E594 E598 E602 E606 E610 E614 E618 E622 E626 E630 E634 E638 E642 E646 E650 E654 E658 E662 E666 E670 E674 E678 E682 E686 E690 E694 E698 E702 E706 E710 E714 E718 E722 E726 E730 E734 E738 E742 E746 E750 E754 E758 E762 E766 E770 E774 E778 E782 E786 E790 E794 E798 E802 E806 E810 E814 E818 E822 E826 E830 E834 E838 E842 E846 E850 E854 E858 E862 E866 E870 E874 E878 E882 E886 E890" type="list">
      <formula1>'Parameter Restrictions'!$E$2:$E$8</formula1>
      <formula2>0</formula2>
    </dataValidation>
    <dataValidation allowBlank="true" errorStyle="stop" operator="between" prompt="Please only enter in the first letters of your first and last names." showDropDown="false" showErrorMessage="true" showInputMessage="true" sqref="A2 A6 A10 A14 A18 A22 A26 A30 A34 A38 A42 A46 A50 A54 A58 A62 A66 A70 A74 A78 A82 A86 A90 A94 A98 A102 A106 A110 A114 A118 A122 A126 A130 A134 A138 A142 A146 A150 A154 A158 A162 A166 A170 A174 A178 A182 A186 A190 A194 A198 A202 A206 A210 A214 A218 A222 A226 A230 A234 A238 A242 A246 A250 A254 A258 A262 A266 A270 A274 A278 A282 A286 A290 A294 A298 A302 A306 A310 A314 A318 A322 A326 A330 A334 A338 A342 A346 A350 A354 A358 A362 A366 A370 A374 A378 A382 A386 A390 A394 A398 A402 A406 A410 A414 A418 A422 A426 A430 A434 A438 A442 A446 A450 A454 A458 A462 A466 A470 A474 A478 A482 A486 A490 A494 A498 A502 A506 A510 A514 A518 A522 A526 A530 A534 A538 A542 A546 A550 A554 A558 A562 A566 A570 A574 A578 A582 A586 A590 A594 A598 A602 A606 A610 A614 A618 A622 A626 A630 A634 A638 A642 A646 A650 A654 A658 A662 A666 A670 A674 A678 A682 A686 A690 A694 A698 A702 A706 A710 A714 A718 A722 A726 A730 A734 A738 A742 A746 A750 A754 A758 A762 A766 A770 A774 A778 A782 A786 A790 A794 A798 A802 A806 A810 A814 A818 A822 A826 A830 A834 A838 A842 A846 A850 A854 A858 A862 A866 A870 A874 A878 A882 A886 A890" type="list">
      <formula1>'Parameter Restrictions'!$A$2:$A$21</formula1>
      <formula2>0</formula2>
    </dataValidation>
    <dataValidation allowBlank="true" errorStyle="stop" operator="between" prompt="Only put the QR code value into this cell for ears from Hybrid plots. If the bag is missing a QR code or it is damaged, note this in the &quot;General Remarks&quot; section" showDropDown="true" showErrorMessage="true" showInputMessage="true" sqref="C2 C6 C10 C14 C18 C22 C26 C30 C34 C38 C42 C46 C50 C54 C58 C62 C66 C70 C74 C78 C82 C86 C90 C94 C98 C102 C106 C110 C114 C118 C122 C126 C130 C134 C138 C142 C146 C150 C154 C158 C162 C166 C170 C174 C178 C182 C186 C190 C194 C198 C202 C206 C210 C214 C218 C222 C226 C230 C234 C238 C242 C246 C250 C254 C258 C262 C266 C270 C274 C278 C282 C286 C290 C294 C298 C302 C306 C310 C314 C318 C322 C326 C330 C334 C338 C342 C346 C350 C354 C358 C362 C366 C370 C374 C378 C382 C386 C390 C394 C398 C402 C406 C410 C414 C418 C422 C426 C430 C434 C438 C442 C446 C450 C454 C458 C462 C466 C470 C474 C478 C482 C486 C490 C494 C498 C502 C506 C510 C514 C518 C522 C526 C530 C534 C538 C542 C546 C550 C554 C558 C562 C566 C570 C574 C578 C582 C586 C590 C594 C598 C602 C606 C610 C614 C618 C622 C626 C630 C634 C638 C642 C646 C650 C654 C658 C662 C666 C670 C674 C678 C682 C686 C690 C694 C698 C702 C706 C710 C714 C718 C722 C726 C730 C734 C738 C742 C746 C750 C754 C758 C762 C766 C770 C774 C778 C782 C786 C790 C794 C798 C802 C806 C810 C814 C818 C822 C826 C830 C834 C838 C842 C846 C850 C854 C858 C862 C866 C870 C874 C878 C882 C886 C890" type="custom">
      <formula1>NOT(ISERROR(SEARCH(("hybrid"),(#ref!))))</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108</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2024-02-06T13:31:17Z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