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sacoffey/Library/CloudStorage/Box-Box/Schnable Lab - Shared Folders/Trait Collection Phenotyping/2023 Yield Trials - HIPs/"/>
    </mc:Choice>
  </mc:AlternateContent>
  <xr:revisionPtr revIDLastSave="0" documentId="13_ncr:1_{D9284874-2CB6-B847-A615-78C77E16F5F9}" xr6:coauthVersionLast="47" xr6:coauthVersionMax="47" xr10:uidLastSave="{00000000-0000-0000-0000-000000000000}"/>
  <bookViews>
    <workbookView xWindow="240" yWindow="760" windowWidth="28920" windowHeight="18880" xr2:uid="{79AB9056-4D57-3249-8DF1-2D0DEF038B93}"/>
  </bookViews>
  <sheets>
    <sheet name="Sites Summary" sheetId="1" r:id="rId1"/>
    <sheet name="IMAGING DATES  UAV, Sat, Pheno" sheetId="8" r:id="rId2"/>
    <sheet name="Cost Esitmates" sheetId="6" r:id="rId3"/>
    <sheet name="Seed Estimate Updates - bulking" sheetId="7" r:id="rId4"/>
    <sheet name="Notes on Packaging up Envelopes" sheetId="5" r:id="rId5"/>
  </sheets>
  <definedNames>
    <definedName name="_xlnm._FilterDatabase" localSheetId="1" hidden="1">'IMAGING DATES  UAV, Sat, Pheno'!$A$13:$G$13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6" l="1"/>
  <c r="O17" i="1" l="1"/>
  <c r="O16" i="1"/>
  <c r="O14" i="1"/>
  <c r="O12" i="1"/>
  <c r="N5" i="1"/>
  <c r="N7" i="1"/>
  <c r="N9" i="1"/>
  <c r="N13" i="1"/>
  <c r="N12" i="1"/>
  <c r="N16" i="1"/>
  <c r="N17" i="1"/>
  <c r="E2" i="6"/>
  <c r="E13" i="6" l="1"/>
  <c r="E12" i="6"/>
  <c r="E11" i="6"/>
  <c r="E10" i="6"/>
  <c r="F2" i="6" l="1"/>
  <c r="G2" i="6" s="1"/>
  <c r="E3" i="6"/>
  <c r="E4" i="6"/>
  <c r="E18" i="6" l="1"/>
  <c r="F10" i="6"/>
  <c r="G28" i="7"/>
  <c r="H18" i="7"/>
  <c r="J29" i="7"/>
  <c r="D28" i="7"/>
  <c r="B28" i="7"/>
  <c r="D27" i="7"/>
  <c r="B27" i="7"/>
  <c r="B22" i="7"/>
  <c r="G22" i="7"/>
  <c r="H22" i="7"/>
  <c r="G21" i="7"/>
  <c r="H21" i="7"/>
  <c r="B21" i="7"/>
  <c r="B20" i="7"/>
  <c r="G20" i="7"/>
  <c r="H20" i="7"/>
  <c r="B19" i="7"/>
  <c r="G19" i="7"/>
  <c r="H19" i="7"/>
  <c r="B18" i="7"/>
  <c r="G18" i="7"/>
  <c r="B17" i="7"/>
  <c r="G17" i="7"/>
  <c r="B16" i="7"/>
  <c r="G16" i="7"/>
  <c r="B15" i="7"/>
  <c r="G15" i="7"/>
  <c r="G27" i="7"/>
  <c r="H27" i="7"/>
  <c r="G9" i="7"/>
  <c r="H9" i="7"/>
  <c r="G8" i="7"/>
  <c r="H8" i="7"/>
  <c r="G7" i="7"/>
  <c r="H7" i="7"/>
  <c r="G6" i="7"/>
  <c r="H6" i="7"/>
  <c r="G5" i="7"/>
  <c r="H5" i="7"/>
  <c r="G4" i="7"/>
  <c r="H4" i="7"/>
  <c r="G3" i="7"/>
  <c r="H3" i="7"/>
  <c r="G2" i="7"/>
  <c r="H2" i="7"/>
  <c r="J17" i="6"/>
  <c r="F13" i="6"/>
  <c r="G13" i="6" s="1"/>
  <c r="F12" i="6"/>
  <c r="G12" i="6" s="1"/>
  <c r="F11" i="6"/>
  <c r="G11" i="6" s="1"/>
  <c r="J10" i="6"/>
  <c r="J9" i="6"/>
  <c r="J8" i="6"/>
  <c r="J7" i="6"/>
  <c r="F6" i="6"/>
  <c r="G6" i="6" s="1"/>
  <c r="J6" i="6"/>
  <c r="F5" i="6"/>
  <c r="G5" i="6" s="1"/>
  <c r="J4" i="6"/>
  <c r="J3" i="6"/>
  <c r="H10" i="7"/>
  <c r="J10" i="7"/>
  <c r="J32" i="7"/>
  <c r="H29" i="7"/>
  <c r="H28" i="7"/>
  <c r="F3" i="6"/>
  <c r="G3" i="6" s="1"/>
  <c r="F8" i="6"/>
  <c r="G8" i="6" s="1"/>
  <c r="P16" i="1"/>
  <c r="P14" i="1"/>
  <c r="P8" i="1"/>
  <c r="P6" i="1"/>
  <c r="P4" i="1"/>
  <c r="N8" i="1"/>
  <c r="N6" i="1"/>
  <c r="N4" i="1"/>
  <c r="F9" i="6" l="1"/>
  <c r="G9" i="6" s="1"/>
  <c r="G10" i="6"/>
  <c r="G18" i="6" s="1"/>
  <c r="F4" i="6"/>
  <c r="G4" i="6" s="1"/>
  <c r="F7" i="6"/>
  <c r="G7" i="6" s="1"/>
  <c r="L24" i="6"/>
  <c r="J12" i="6"/>
  <c r="K24" i="6"/>
  <c r="F17" i="6"/>
  <c r="J11" i="6"/>
  <c r="J2" i="6"/>
  <c r="F18" i="6" l="1"/>
  <c r="G17" i="6"/>
  <c r="J24" i="6"/>
  <c r="J18" i="6"/>
  <c r="J26" i="6" l="1"/>
  <c r="J29" i="6"/>
  <c r="J28" i="6"/>
  <c r="J27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Lisa Coffey</author>
  </authors>
  <commentList>
    <comment ref="J11" authorId="0" shapeId="0" xr:uid="{65AFE4C4-A3D5-7246-A537-388C4C9D8D6E}">
      <text>
        <r>
          <rPr>
            <sz val="10"/>
            <color rgb="FF000000"/>
            <rFont val="Tahoma"/>
            <family val="2"/>
          </rPr>
          <t>Lisa Coffey:</t>
        </r>
        <r>
          <rPr>
            <b/>
            <sz val="12"/>
            <color rgb="FFFFFFFF"/>
            <rFont val="Calibri"/>
            <family val="2"/>
          </rPr>
          <t xml:space="preserve">
</t>
        </r>
        <r>
          <rPr>
            <b/>
            <sz val="12"/>
            <color rgb="FFFFFFFF"/>
            <rFont val="Calibri"/>
            <family val="2"/>
          </rPr>
          <t>b</t>
        </r>
        <r>
          <rPr>
            <sz val="10"/>
            <color rgb="FF000000"/>
            <rFont val="Calibri"/>
            <family val="2"/>
          </rPr>
          <t>borders and buffers add to the land at 600 plots per site</t>
        </r>
        <r>
          <rPr>
            <sz val="12"/>
            <color rgb="FF000000"/>
            <rFont val="Calibri"/>
            <family val="2"/>
          </rPr>
          <t xml:space="preserve">
</t>
        </r>
        <r>
          <rPr>
            <b/>
            <sz val="12"/>
            <color rgb="FFFFFFFF"/>
            <rFont val="Calibri"/>
            <family val="2"/>
          </rPr>
          <t xml:space="preserve">orders and buffers add to the land at 600 plots per site
</t>
        </r>
      </text>
    </comment>
  </commentList>
</comments>
</file>

<file path=xl/sharedStrings.xml><?xml version="1.0" encoding="utf-8"?>
<sst xmlns="http://schemas.openxmlformats.org/spreadsheetml/2006/main" count="487" uniqueCount="188">
  <si>
    <t>We had to drop to N=84 due to one line not having enough seeds</t>
  </si>
  <si>
    <t>SO</t>
  </si>
  <si>
    <t>Location (state if irrigated)</t>
  </si>
  <si>
    <t>Hybrid or Inbred</t>
  </si>
  <si>
    <t>Planting Team</t>
  </si>
  <si>
    <t>Rough GPS positioning</t>
  </si>
  <si>
    <t>Date Planted</t>
  </si>
  <si>
    <t>Crop Rotation</t>
  </si>
  <si>
    <t>N Treatment?</t>
  </si>
  <si>
    <t>N Rate Applied</t>
  </si>
  <si>
    <t>Note on Seed Work</t>
  </si>
  <si>
    <t>Number of Lines Used</t>
  </si>
  <si>
    <t># row plots (mostly 2 or 4 since yield)</t>
  </si>
  <si>
    <t># of reps per line</t>
  </si>
  <si>
    <t># of seeds planted per *rep* per line</t>
  </si>
  <si>
    <t># of seeds prepped (air planter)</t>
  </si>
  <si>
    <t>plot length (feet) includes alley</t>
  </si>
  <si>
    <t>row spacing (inches)</t>
  </si>
  <si>
    <t>Acres</t>
  </si>
  <si>
    <t>Weather Station Install Date</t>
  </si>
  <si>
    <t>Weather Station S/N</t>
  </si>
  <si>
    <t>Ground Control Point Deploy Date</t>
  </si>
  <si>
    <t>Sensor Install Dates</t>
  </si>
  <si>
    <t>Hand Harvest Dates</t>
  </si>
  <si>
    <t>Machine Plot Harvest Date</t>
  </si>
  <si>
    <t>Yield Data Available?</t>
  </si>
  <si>
    <t>Field Notes</t>
  </si>
  <si>
    <t>Sensor Notes</t>
  </si>
  <si>
    <t>Crawfordsville, IA</t>
  </si>
  <si>
    <t>Hybrid</t>
  </si>
  <si>
    <t>Jim Rouse, IA Crop</t>
  </si>
  <si>
    <t xml:space="preserve"> 41.194394°, -91.478950°</t>
  </si>
  <si>
    <t>corn on soy</t>
  </si>
  <si>
    <t>3 rates</t>
  </si>
  <si>
    <t>IA needed bulks made as 200 seeds per 4-row plot</t>
  </si>
  <si>
    <t>83-114</t>
  </si>
  <si>
    <t>4-row</t>
  </si>
  <si>
    <t>Inbred</t>
  </si>
  <si>
    <t>2-row</t>
  </si>
  <si>
    <t>Ames, IA</t>
  </si>
  <si>
    <t xml:space="preserve"> 42.014654°, -93.728797°</t>
  </si>
  <si>
    <t>83-119</t>
  </si>
  <si>
    <t>MO Valley, IA</t>
  </si>
  <si>
    <t xml:space="preserve"> 41.671045°, -95.945240°</t>
  </si>
  <si>
    <t>1 rate</t>
  </si>
  <si>
    <t>Schnable Lab</t>
  </si>
  <si>
    <t>Phield Cam</t>
  </si>
  <si>
    <t>n/a</t>
  </si>
  <si>
    <t>Lincoln, NE</t>
  </si>
  <si>
    <t>UNL staff</t>
  </si>
  <si>
    <t xml:space="preserve"> 40.859683°, -96.596310°</t>
  </si>
  <si>
    <t>liquid Urea</t>
  </si>
  <si>
    <t>82-110</t>
  </si>
  <si>
    <t>pre 6/1/23</t>
  </si>
  <si>
    <t>North Platte, NE (no irrigation)</t>
  </si>
  <si>
    <t>Jeff Golus</t>
  </si>
  <si>
    <t xml:space="preserve"> 41.086705°, -100.775034°</t>
  </si>
  <si>
    <t>1-2</t>
  </si>
  <si>
    <t>~6/2/23</t>
  </si>
  <si>
    <t>North Platte, NE - partial pivot irrigated</t>
  </si>
  <si>
    <t>Scottsbluff, NE - irrigated</t>
  </si>
  <si>
    <t>Dipak Santra</t>
  </si>
  <si>
    <t xml:space="preserve"> 41.953561°, -103.705627°</t>
  </si>
  <si>
    <t>wheat fall cover crop, burn down on 5/26/23</t>
  </si>
  <si>
    <t>82-107</t>
  </si>
  <si>
    <t># of Hybrid Lines Used:  HIPS is 5 commercial hybrids &amp; 45 in-house (G2F) &amp; then 35 lines that the lab has used in past N projects  &amp; then on 'standard' agronimic fields (150N and irrigated if possible), another 36 hybrids new to 2023 known as 'early release'</t>
  </si>
  <si>
    <t>Scheduling Goals</t>
  </si>
  <si>
    <r>
      <t xml:space="preserve">Satellite GOALS, 2x a month, starting in </t>
    </r>
    <r>
      <rPr>
        <strike/>
        <u/>
        <sz val="13"/>
        <color theme="1"/>
        <rFont val="Calibri (Body)"/>
      </rPr>
      <t>June</t>
    </r>
    <r>
      <rPr>
        <u/>
        <sz val="13"/>
        <color theme="1"/>
        <rFont val="Calibri"/>
        <family val="2"/>
        <scheme val="minor"/>
      </rPr>
      <t xml:space="preserve"> July</t>
    </r>
  </si>
  <si>
    <t>UAV goal:  have UAV done within 3 days of successful sattelite imagery</t>
  </si>
  <si>
    <t>Window 1</t>
  </si>
  <si>
    <t>July</t>
  </si>
  <si>
    <r>
      <t>Satellite Goal:  Image every 2 weeks from</t>
    </r>
    <r>
      <rPr>
        <strike/>
        <sz val="13"/>
        <color theme="1"/>
        <rFont val="Calibri (Body)"/>
      </rPr>
      <t xml:space="preserve"> June 1</t>
    </r>
    <r>
      <rPr>
        <sz val="13"/>
        <color theme="1"/>
        <rFont val="Calibri"/>
        <family val="2"/>
        <scheme val="minor"/>
      </rPr>
      <t xml:space="preserve"> July 1 - August </t>
    </r>
  </si>
  <si>
    <t>Window 2</t>
  </si>
  <si>
    <t>Due to orbital rotation &amp; weather events, some image events will be closer together</t>
  </si>
  <si>
    <t>Window 3</t>
  </si>
  <si>
    <t>Aug</t>
  </si>
  <si>
    <t>Window 4</t>
  </si>
  <si>
    <t>Window 5</t>
  </si>
  <si>
    <t>Sept</t>
  </si>
  <si>
    <t>UAV Hardware:</t>
  </si>
  <si>
    <t>Window 6</t>
  </si>
  <si>
    <t>Setp</t>
  </si>
  <si>
    <t>Date</t>
  </si>
  <si>
    <t>Type</t>
  </si>
  <si>
    <t>Location</t>
  </si>
  <si>
    <t>Window</t>
  </si>
  <si>
    <t>Notes</t>
  </si>
  <si>
    <t>Projected Next Satellite Date</t>
  </si>
  <si>
    <t>Comments</t>
  </si>
  <si>
    <t>satellite</t>
  </si>
  <si>
    <t>Scottsbluff, NE</t>
  </si>
  <si>
    <t>North Platte, NE</t>
  </si>
  <si>
    <t>UAV</t>
  </si>
  <si>
    <t>phenobot and lab fields done by Yan</t>
  </si>
  <si>
    <t>IOWA CROP PLANS FOR UAV FLIGHTS (they have to travel to remote sites_</t>
  </si>
  <si>
    <t>Planting Date</t>
  </si>
  <si>
    <t>Missouri Valley</t>
  </si>
  <si>
    <t>Ames</t>
  </si>
  <si>
    <t>Crawfordsville</t>
  </si>
  <si>
    <t>Site</t>
  </si>
  <si>
    <t>Project</t>
  </si>
  <si>
    <t>Planting Notes</t>
  </si>
  <si>
    <t>Total Plots 
(entires per N trt*rep)+solar panel</t>
  </si>
  <si>
    <t>rough sq ft</t>
  </si>
  <si>
    <t>rough acreage</t>
  </si>
  <si>
    <t>solar panels?</t>
  </si>
  <si>
    <t>Cost per plot</t>
  </si>
  <si>
    <t>YT Cost per Site</t>
  </si>
  <si>
    <t>Opt 1 UAV</t>
  </si>
  <si>
    <t>Opt 2 UAV</t>
  </si>
  <si>
    <t>Opt 3 UAV</t>
  </si>
  <si>
    <t>Opt 4 UAV</t>
  </si>
  <si>
    <t>MO Valley</t>
  </si>
  <si>
    <t>hybrids</t>
  </si>
  <si>
    <t>(no N rate possible)</t>
  </si>
  <si>
    <t>x</t>
  </si>
  <si>
    <t>Cville</t>
  </si>
  <si>
    <t>&lt;-LC needs to confirm these flight values, but likely a good approx.</t>
  </si>
  <si>
    <t>Lincoln</t>
  </si>
  <si>
    <t>North Platte - no irrigation</t>
  </si>
  <si>
    <t>N150 only</t>
  </si>
  <si>
    <t>North Platte - half irrigation</t>
  </si>
  <si>
    <t>North Platte - full irrigation</t>
  </si>
  <si>
    <t>Scottsbluff</t>
  </si>
  <si>
    <t>inbreds</t>
  </si>
  <si>
    <t>2-row plot, 10 COA</t>
  </si>
  <si>
    <t>UAV Goals</t>
  </si>
  <si>
    <t>try to collect rough FT from the images</t>
  </si>
  <si>
    <t>top-view leaf patterns</t>
  </si>
  <si>
    <t>IA Crop Fees</t>
  </si>
  <si>
    <t>North Platte</t>
  </si>
  <si>
    <t>Land Fees</t>
  </si>
  <si>
    <t>Land Fees + Opt 1 H&amp;I flights</t>
  </si>
  <si>
    <t>Land Fees + Opt 2 H&amp;I flights</t>
  </si>
  <si>
    <t>Land Fees + Opt 3 H&amp;I flights</t>
  </si>
  <si>
    <t>1st flight is discounted as they use part of it for germ rate</t>
  </si>
  <si>
    <t>Land Fees + Opt 4 H&amp;I flights</t>
  </si>
  <si>
    <t>Option 1: 1st flight +  every other week July - mid Aug to approx FT (1+3)</t>
  </si>
  <si>
    <t>Option 2: 1st flight +  weekly July - mid Aug to approx FT (1+6)</t>
  </si>
  <si>
    <t>Option 3: 1st flight +  June + every other week  July - mid Aug to approx FT (1+4)</t>
  </si>
  <si>
    <t>Option 4: 1st flight +  weekly July - mid Aug to approx FT (1+7)</t>
  </si>
  <si>
    <t>Inbreds</t>
  </si>
  <si>
    <t>entries</t>
  </si>
  <si>
    <t>reps</t>
  </si>
  <si>
    <t>treatments</t>
  </si>
  <si>
    <t>Plot Type (2 or 4)</t>
  </si>
  <si>
    <t>Length</t>
  </si>
  <si>
    <t># of plots</t>
  </si>
  <si>
    <t># of seeds</t>
  </si>
  <si>
    <t>~10'</t>
  </si>
  <si>
    <t>&lt;- pounds of seed</t>
  </si>
  <si>
    <t>Hybrids</t>
  </si>
  <si>
    <t>(standard)</t>
  </si>
  <si>
    <t>MO Valley, Ames, Cville</t>
  </si>
  <si>
    <t>Lincoln, NP 3 irr, Scotts</t>
  </si>
  <si>
    <t>(need seed amounts in pounds to get an idea for how much seed treating chemical is needed)</t>
  </si>
  <si>
    <t>2 people ride  regardless of doing 2 or 4-row plots</t>
  </si>
  <si>
    <t>Ideally do NOT staple the 2 packets of 4-row plot together, because they would need to remove staples and separate them out to 'left planting person' and 'right planting person'</t>
  </si>
  <si>
    <t>Keep the 2 evnelopes for a plot IDs in 2 different boxes</t>
  </si>
  <si>
    <t>2 people ride for regardless of doing 2 or 4-row plots</t>
  </si>
  <si>
    <r>
      <t xml:space="preserve">Hybrids : 2 envelopes for the 2-row </t>
    </r>
    <r>
      <rPr>
        <sz val="12"/>
        <color rgb="FFFF0000"/>
        <rFont val="Calibri (Body)"/>
      </rPr>
      <t>PAPERCLIPPED together</t>
    </r>
  </si>
  <si>
    <t>delayed notification about image capture because much area was in cloud, but field site was ok</t>
  </si>
  <si>
    <t>phenobot</t>
  </si>
  <si>
    <t>should be 10th &amp; 11th  I think - LC</t>
  </si>
  <si>
    <t>not deployed in 2023</t>
  </si>
  <si>
    <t>this site is done.</t>
  </si>
  <si>
    <t>on 6/15/13, 150 lb/a N as 32-0-0 surface applied with Y-Drop applicator</t>
  </si>
  <si>
    <r>
      <t xml:space="preserve">North Platte, NE - </t>
    </r>
    <r>
      <rPr>
        <u/>
        <sz val="12"/>
        <color theme="1"/>
        <rFont val="Calibri (Body)"/>
      </rPr>
      <t>underground</t>
    </r>
    <r>
      <rPr>
        <sz val="12"/>
        <color theme="1"/>
        <rFont val="Calibri"/>
        <family val="2"/>
        <scheme val="minor"/>
      </rPr>
      <t xml:space="preserve"> irrigated</t>
    </r>
  </si>
  <si>
    <t>Significant Hail Damage on night of July 22-23</t>
  </si>
  <si>
    <t>Flight</t>
  </si>
  <si>
    <t>1st</t>
  </si>
  <si>
    <t>2nd</t>
  </si>
  <si>
    <t>3rd</t>
  </si>
  <si>
    <t>4th</t>
  </si>
  <si>
    <t>yes</t>
  </si>
  <si>
    <t>9/29/23 - 10/1/23</t>
  </si>
  <si>
    <t>10/17/23 - 11/16/23</t>
  </si>
  <si>
    <t>6/28/23 - 6/30/23</t>
  </si>
  <si>
    <t>6/21/23 - 6/23/23</t>
  </si>
  <si>
    <t>6/19/23 - 6/20/23</t>
  </si>
  <si>
    <t>Est V stage noted by Huyu</t>
  </si>
  <si>
    <t>~V10</t>
  </si>
  <si>
    <t>~V13</t>
  </si>
  <si>
    <t>~V11</t>
  </si>
  <si>
    <t>7/5/23 - 7/10/23 (rain delay)</t>
  </si>
  <si>
    <t>75, 150, 225 N #/acre with 32% UAN</t>
  </si>
  <si>
    <t>160 N #/ acre with NH3</t>
  </si>
  <si>
    <t xml:space="preserve">The goal was 3 N levels, but there is concern about how well that worked out due to lack of rain to 'push down' any additional N applied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</si>
</sst>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  <numFmt numFmtId="166" formatCode="[$-409]d\-mmm;@"/>
  </numFmts>
  <fonts count="31" x14ac:knownFonts="1">
    <font>
      <sz val="12"/>
      <color theme="1"/>
      <name val="Calibri"/>
      <family val="2"/>
      <scheme val="minor"/>
    </font>
    <font>
      <sz val="12"/>
      <color rgb="FF00B0F0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sz val="12"/>
      <color rgb="FFFF0000"/>
      <name val="Calibri"/>
      <family val="2"/>
      <scheme val="minor"/>
    </font>
    <font>
      <sz val="10"/>
      <name val="Arial"/>
      <family val="2"/>
    </font>
    <font>
      <b/>
      <sz val="12"/>
      <color rgb="FFFF0000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2"/>
      <color theme="1" tint="4.9989318521683403E-2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2"/>
      <color rgb="FFFFFFFF"/>
      <name val="Calibri"/>
      <family val="2"/>
    </font>
    <font>
      <b/>
      <sz val="12"/>
      <color rgb="FF0070C0"/>
      <name val="Calibri"/>
      <family val="2"/>
      <scheme val="minor"/>
    </font>
    <font>
      <sz val="12"/>
      <color rgb="FFFF0000"/>
      <name val="Calibri (Body)"/>
    </font>
    <font>
      <sz val="10"/>
      <color rgb="FF000000"/>
      <name val="Calibri"/>
      <family val="2"/>
    </font>
    <font>
      <sz val="12"/>
      <color rgb="FF000000"/>
      <name val="Calibri"/>
      <family val="2"/>
    </font>
    <font>
      <sz val="13"/>
      <color theme="1"/>
      <name val="Calibri"/>
      <family val="2"/>
      <scheme val="minor"/>
    </font>
    <font>
      <u/>
      <sz val="13"/>
      <color theme="1"/>
      <name val="Calibri"/>
      <family val="2"/>
      <scheme val="minor"/>
    </font>
    <font>
      <sz val="13"/>
      <color theme="1"/>
      <name val="Helvetica"/>
      <family val="2"/>
    </font>
    <font>
      <b/>
      <sz val="12"/>
      <color theme="1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0" tint="-0.499984740745262"/>
      <name val="Calibri"/>
      <family val="2"/>
      <scheme val="minor"/>
    </font>
    <font>
      <sz val="12"/>
      <color rgb="FF000000"/>
      <name val="Calibri"/>
      <family val="2"/>
      <scheme val="minor"/>
    </font>
    <font>
      <sz val="13"/>
      <color theme="0" tint="-0.499984740745262"/>
      <name val="Calibri"/>
      <family val="2"/>
      <scheme val="minor"/>
    </font>
    <font>
      <sz val="12"/>
      <name val="Calibri"/>
      <family val="2"/>
      <scheme val="minor"/>
    </font>
    <font>
      <strike/>
      <u/>
      <sz val="13"/>
      <color theme="1"/>
      <name val="Calibri (Body)"/>
    </font>
    <font>
      <strike/>
      <sz val="13"/>
      <color theme="1"/>
      <name val="Calibri (Body)"/>
    </font>
    <font>
      <u/>
      <sz val="12"/>
      <color theme="1"/>
      <name val="Calibri (Body)"/>
    </font>
    <font>
      <sz val="12"/>
      <color rgb="FF0061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theme="2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4" fillId="0" borderId="0"/>
    <xf numFmtId="0" fontId="4" fillId="0" borderId="0"/>
    <xf numFmtId="43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28" fillId="12" borderId="0" applyNumberFormat="0" applyBorder="0" applyAlignment="0" applyProtection="0"/>
  </cellStyleXfs>
  <cellXfs count="124">
    <xf numFmtId="0" fontId="0" fillId="0" borderId="0" xfId="0"/>
    <xf numFmtId="0" fontId="0" fillId="0" borderId="1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1" fillId="0" borderId="0" xfId="0" applyFont="1"/>
    <xf numFmtId="14" fontId="0" fillId="0" borderId="0" xfId="0" applyNumberFormat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center" wrapText="1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6" fillId="0" borderId="0" xfId="0" applyFont="1"/>
    <xf numFmtId="0" fontId="7" fillId="0" borderId="0" xfId="0" applyFont="1" applyAlignment="1">
      <alignment horizontal="left"/>
    </xf>
    <xf numFmtId="0" fontId="0" fillId="0" borderId="2" xfId="0" applyBorder="1" applyAlignment="1">
      <alignment wrapText="1"/>
    </xf>
    <xf numFmtId="0" fontId="0" fillId="0" borderId="2" xfId="0" applyBorder="1" applyAlignment="1">
      <alignment horizontal="center" wrapText="1"/>
    </xf>
    <xf numFmtId="0" fontId="0" fillId="0" borderId="0" xfId="0" applyAlignment="1">
      <alignment wrapText="1"/>
    </xf>
    <xf numFmtId="0" fontId="0" fillId="4" borderId="0" xfId="0" applyFill="1"/>
    <xf numFmtId="0" fontId="0" fillId="4" borderId="0" xfId="0" applyFill="1" applyAlignment="1">
      <alignment horizontal="center"/>
    </xf>
    <xf numFmtId="164" fontId="0" fillId="4" borderId="0" xfId="3" applyNumberFormat="1" applyFont="1" applyFill="1" applyAlignment="1">
      <alignment horizontal="center"/>
    </xf>
    <xf numFmtId="165" fontId="0" fillId="4" borderId="0" xfId="3" applyNumberFormat="1" applyFont="1" applyFill="1" applyAlignment="1">
      <alignment horizontal="center"/>
    </xf>
    <xf numFmtId="44" fontId="0" fillId="4" borderId="0" xfId="4" applyFont="1" applyFill="1" applyAlignment="1">
      <alignment horizontal="center"/>
    </xf>
    <xf numFmtId="44" fontId="0" fillId="4" borderId="0" xfId="0" applyNumberFormat="1" applyFill="1" applyAlignment="1">
      <alignment horizontal="center"/>
    </xf>
    <xf numFmtId="44" fontId="0" fillId="4" borderId="0" xfId="0" applyNumberFormat="1" applyFill="1"/>
    <xf numFmtId="0" fontId="3" fillId="0" borderId="0" xfId="0" applyFont="1"/>
    <xf numFmtId="164" fontId="0" fillId="0" borderId="0" xfId="3" applyNumberFormat="1" applyFont="1" applyAlignment="1">
      <alignment horizontal="center"/>
    </xf>
    <xf numFmtId="165" fontId="0" fillId="0" borderId="0" xfId="3" applyNumberFormat="1" applyFont="1" applyAlignment="1">
      <alignment horizontal="center"/>
    </xf>
    <xf numFmtId="44" fontId="0" fillId="0" borderId="0" xfId="4" applyFont="1" applyAlignment="1">
      <alignment horizontal="center"/>
    </xf>
    <xf numFmtId="44" fontId="0" fillId="0" borderId="0" xfId="0" applyNumberFormat="1" applyAlignment="1">
      <alignment horizontal="center"/>
    </xf>
    <xf numFmtId="44" fontId="0" fillId="0" borderId="0" xfId="0" applyNumberFormat="1"/>
    <xf numFmtId="44" fontId="0" fillId="3" borderId="0" xfId="4" applyFont="1" applyFill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164" fontId="2" fillId="0" borderId="0" xfId="3" applyNumberFormat="1" applyFont="1" applyAlignment="1">
      <alignment horizontal="center"/>
    </xf>
    <xf numFmtId="165" fontId="2" fillId="0" borderId="0" xfId="3" applyNumberFormat="1" applyFont="1" applyAlignment="1">
      <alignment horizontal="center"/>
    </xf>
    <xf numFmtId="44" fontId="2" fillId="0" borderId="0" xfId="0" applyNumberFormat="1" applyFont="1" applyAlignment="1">
      <alignment horizontal="center"/>
    </xf>
    <xf numFmtId="0" fontId="0" fillId="0" borderId="2" xfId="0" applyBorder="1"/>
    <xf numFmtId="164" fontId="0" fillId="0" borderId="2" xfId="3" applyNumberFormat="1" applyFont="1" applyBorder="1" applyAlignment="1">
      <alignment horizontal="center"/>
    </xf>
    <xf numFmtId="165" fontId="0" fillId="0" borderId="2" xfId="3" applyNumberFormat="1" applyFont="1" applyBorder="1" applyAlignment="1">
      <alignment horizontal="center"/>
    </xf>
    <xf numFmtId="44" fontId="0" fillId="0" borderId="2" xfId="4" applyFont="1" applyBorder="1" applyAlignment="1">
      <alignment horizontal="center"/>
    </xf>
    <xf numFmtId="8" fontId="0" fillId="0" borderId="2" xfId="0" applyNumberFormat="1" applyBorder="1" applyAlignment="1">
      <alignment horizontal="right"/>
    </xf>
    <xf numFmtId="44" fontId="0" fillId="0" borderId="2" xfId="0" applyNumberFormat="1" applyBorder="1" applyAlignment="1">
      <alignment horizontal="center"/>
    </xf>
    <xf numFmtId="44" fontId="0" fillId="0" borderId="2" xfId="0" applyNumberFormat="1" applyBorder="1"/>
    <xf numFmtId="0" fontId="6" fillId="0" borderId="0" xfId="0" applyFont="1" applyAlignment="1">
      <alignment horizontal="left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44" fontId="0" fillId="0" borderId="8" xfId="0" applyNumberFormat="1" applyBorder="1" applyAlignment="1">
      <alignment horizontal="center"/>
    </xf>
    <xf numFmtId="44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44" fontId="0" fillId="0" borderId="9" xfId="0" applyNumberFormat="1" applyBorder="1" applyAlignment="1">
      <alignment horizontal="center"/>
    </xf>
    <xf numFmtId="44" fontId="2" fillId="0" borderId="0" xfId="4" applyFont="1" applyFill="1" applyAlignment="1">
      <alignment horizontal="center"/>
    </xf>
    <xf numFmtId="164" fontId="0" fillId="0" borderId="0" xfId="3" applyNumberFormat="1" applyFont="1" applyBorder="1"/>
    <xf numFmtId="164" fontId="0" fillId="0" borderId="0" xfId="0" applyNumberFormat="1"/>
    <xf numFmtId="0" fontId="2" fillId="0" borderId="0" xfId="0" applyFont="1" applyAlignment="1">
      <alignment horizontal="right"/>
    </xf>
    <xf numFmtId="0" fontId="0" fillId="0" borderId="2" xfId="0" applyBorder="1" applyAlignment="1">
      <alignment horizontal="right"/>
    </xf>
    <xf numFmtId="0" fontId="3" fillId="0" borderId="2" xfId="0" applyFont="1" applyBorder="1" applyAlignment="1">
      <alignment horizontal="center"/>
    </xf>
    <xf numFmtId="164" fontId="0" fillId="5" borderId="0" xfId="0" applyNumberFormat="1" applyFill="1"/>
    <xf numFmtId="43" fontId="11" fillId="0" borderId="0" xfId="0" applyNumberFormat="1" applyFont="1"/>
    <xf numFmtId="0" fontId="11" fillId="0" borderId="0" xfId="0" applyFont="1"/>
    <xf numFmtId="164" fontId="0" fillId="2" borderId="0" xfId="3" applyNumberFormat="1" applyFont="1" applyFill="1" applyBorder="1" applyAlignment="1">
      <alignment horizontal="right"/>
    </xf>
    <xf numFmtId="0" fontId="0" fillId="6" borderId="0" xfId="0" applyFill="1"/>
    <xf numFmtId="164" fontId="0" fillId="2" borderId="0" xfId="0" applyNumberFormat="1" applyFill="1"/>
    <xf numFmtId="164" fontId="0" fillId="0" borderId="0" xfId="3" applyNumberFormat="1" applyFont="1"/>
    <xf numFmtId="164" fontId="0" fillId="6" borderId="2" xfId="3" applyNumberFormat="1" applyFont="1" applyFill="1" applyBorder="1"/>
    <xf numFmtId="43" fontId="5" fillId="7" borderId="0" xfId="0" applyNumberFormat="1" applyFont="1" applyFill="1"/>
    <xf numFmtId="0" fontId="5" fillId="7" borderId="0" xfId="0" applyFont="1" applyFill="1"/>
    <xf numFmtId="165" fontId="0" fillId="8" borderId="0" xfId="0" applyNumberFormat="1" applyFill="1" applyAlignment="1">
      <alignment horizontal="center"/>
    </xf>
    <xf numFmtId="14" fontId="0" fillId="0" borderId="0" xfId="0" applyNumberFormat="1"/>
    <xf numFmtId="0" fontId="15" fillId="0" borderId="2" xfId="0" applyFont="1" applyBorder="1"/>
    <xf numFmtId="0" fontId="15" fillId="0" borderId="0" xfId="0" applyFont="1"/>
    <xf numFmtId="0" fontId="15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8" fillId="9" borderId="12" xfId="0" applyFont="1" applyFill="1" applyBorder="1" applyAlignment="1">
      <alignment vertical="center"/>
    </xf>
    <xf numFmtId="0" fontId="0" fillId="0" borderId="13" xfId="0" applyBorder="1"/>
    <xf numFmtId="0" fontId="0" fillId="0" borderId="15" xfId="0" applyBorder="1"/>
    <xf numFmtId="0" fontId="0" fillId="0" borderId="19" xfId="0" applyBorder="1"/>
    <xf numFmtId="0" fontId="0" fillId="9" borderId="11" xfId="0" applyFill="1" applyBorder="1"/>
    <xf numFmtId="0" fontId="2" fillId="0" borderId="0" xfId="0" applyFont="1" applyAlignment="1">
      <alignment horizontal="center" wrapText="1"/>
    </xf>
    <xf numFmtId="14" fontId="2" fillId="0" borderId="0" xfId="0" applyNumberFormat="1" applyFont="1" applyAlignment="1">
      <alignment horizontal="center"/>
    </xf>
    <xf numFmtId="0" fontId="15" fillId="0" borderId="0" xfId="0" applyFont="1" applyAlignment="1">
      <alignment wrapText="1"/>
    </xf>
    <xf numFmtId="14" fontId="19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0" fontId="18" fillId="0" borderId="0" xfId="0" applyFont="1" applyAlignment="1">
      <alignment horizontal="center" wrapText="1"/>
    </xf>
    <xf numFmtId="0" fontId="0" fillId="10" borderId="0" xfId="0" applyFill="1" applyAlignment="1">
      <alignment horizontal="center"/>
    </xf>
    <xf numFmtId="14" fontId="2" fillId="0" borderId="0" xfId="0" applyNumberFormat="1" applyFont="1" applyAlignment="1">
      <alignment horizontal="center" wrapText="1"/>
    </xf>
    <xf numFmtId="0" fontId="21" fillId="0" borderId="0" xfId="0" applyFont="1" applyAlignment="1">
      <alignment horizontal="center" wrapText="1"/>
    </xf>
    <xf numFmtId="0" fontId="21" fillId="0" borderId="0" xfId="0" applyFont="1" applyAlignment="1">
      <alignment horizontal="center"/>
    </xf>
    <xf numFmtId="0" fontId="0" fillId="0" borderId="0" xfId="0" quotePrefix="1" applyAlignment="1">
      <alignment horizontal="center"/>
    </xf>
    <xf numFmtId="0" fontId="0" fillId="10" borderId="1" xfId="0" applyFill="1" applyBorder="1" applyAlignment="1">
      <alignment horizontal="center" wrapText="1"/>
    </xf>
    <xf numFmtId="0" fontId="3" fillId="10" borderId="0" xfId="0" applyFont="1" applyFill="1" applyAlignment="1">
      <alignment horizontal="center"/>
    </xf>
    <xf numFmtId="0" fontId="2" fillId="10" borderId="0" xfId="0" applyFont="1" applyFill="1" applyAlignment="1">
      <alignment horizontal="center"/>
    </xf>
    <xf numFmtId="0" fontId="17" fillId="0" borderId="0" xfId="0" applyFont="1" applyAlignment="1">
      <alignment horizontal="right"/>
    </xf>
    <xf numFmtId="0" fontId="23" fillId="0" borderId="0" xfId="0" applyFont="1" applyAlignment="1">
      <alignment horizontal="center"/>
    </xf>
    <xf numFmtId="14" fontId="24" fillId="0" borderId="0" xfId="0" applyNumberFormat="1" applyFont="1" applyAlignment="1">
      <alignment horizontal="center" wrapText="1"/>
    </xf>
    <xf numFmtId="14" fontId="0" fillId="0" borderId="0" xfId="0" applyNumberFormat="1" applyAlignment="1">
      <alignment horizontal="right"/>
    </xf>
    <xf numFmtId="0" fontId="22" fillId="0" borderId="0" xfId="0" applyFont="1" applyAlignment="1">
      <alignment horizontal="right"/>
    </xf>
    <xf numFmtId="14" fontId="24" fillId="0" borderId="0" xfId="0" applyNumberFormat="1" applyFont="1" applyAlignment="1">
      <alignment horizontal="center"/>
    </xf>
    <xf numFmtId="0" fontId="0" fillId="0" borderId="2" xfId="0" applyBorder="1" applyAlignment="1">
      <alignment horizontal="center"/>
    </xf>
    <xf numFmtId="0" fontId="3" fillId="7" borderId="0" xfId="0" applyFont="1" applyFill="1" applyAlignment="1">
      <alignment horizontal="center" wrapText="1"/>
    </xf>
    <xf numFmtId="16" fontId="0" fillId="0" borderId="20" xfId="0" applyNumberFormat="1" applyBorder="1" applyAlignment="1">
      <alignment horizontal="left" vertical="top" indent="1"/>
    </xf>
    <xf numFmtId="166" fontId="29" fillId="0" borderId="16" xfId="5" applyNumberFormat="1" applyFont="1" applyFill="1" applyBorder="1" applyAlignment="1">
      <alignment horizontal="left" vertical="center" indent="1"/>
    </xf>
    <xf numFmtId="166" fontId="29" fillId="0" borderId="14" xfId="5" applyNumberFormat="1" applyFont="1" applyFill="1" applyBorder="1" applyAlignment="1">
      <alignment horizontal="left" vertical="center" indent="1"/>
    </xf>
    <xf numFmtId="16" fontId="29" fillId="0" borderId="16" xfId="5" applyNumberFormat="1" applyFont="1" applyFill="1" applyBorder="1" applyAlignment="1">
      <alignment horizontal="left" vertical="center" indent="1"/>
    </xf>
    <xf numFmtId="166" fontId="29" fillId="0" borderId="17" xfId="5" applyNumberFormat="1" applyFont="1" applyFill="1" applyBorder="1" applyAlignment="1">
      <alignment horizontal="left" vertical="center" indent="1"/>
    </xf>
    <xf numFmtId="16" fontId="0" fillId="0" borderId="21" xfId="0" applyNumberFormat="1" applyBorder="1" applyAlignment="1">
      <alignment horizontal="left" vertical="top" indent="1"/>
    </xf>
    <xf numFmtId="16" fontId="29" fillId="0" borderId="18" xfId="0" applyNumberFormat="1" applyFont="1" applyBorder="1" applyAlignment="1">
      <alignment horizontal="left" vertical="top" indent="1"/>
    </xf>
    <xf numFmtId="166" fontId="29" fillId="0" borderId="22" xfId="5" applyNumberFormat="1" applyFont="1" applyFill="1" applyBorder="1" applyAlignment="1">
      <alignment horizontal="left" vertical="center" indent="1"/>
    </xf>
    <xf numFmtId="166" fontId="29" fillId="0" borderId="23" xfId="5" applyNumberFormat="1" applyFont="1" applyFill="1" applyBorder="1" applyAlignment="1">
      <alignment horizontal="left" vertical="center" indent="1"/>
    </xf>
    <xf numFmtId="16" fontId="30" fillId="13" borderId="24" xfId="0" applyNumberFormat="1" applyFont="1" applyFill="1" applyBorder="1" applyAlignment="1">
      <alignment horizontal="left" vertical="center" indent="1"/>
    </xf>
    <xf numFmtId="16" fontId="30" fillId="13" borderId="12" xfId="0" applyNumberFormat="1" applyFont="1" applyFill="1" applyBorder="1" applyAlignment="1">
      <alignment horizontal="left" vertical="center" indent="1"/>
    </xf>
    <xf numFmtId="14" fontId="0" fillId="6" borderId="0" xfId="0" applyNumberFormat="1" applyFill="1"/>
    <xf numFmtId="16" fontId="0" fillId="0" borderId="0" xfId="0" applyNumberFormat="1" applyAlignment="1">
      <alignment horizontal="left" vertical="top" indent="1"/>
    </xf>
    <xf numFmtId="166" fontId="29" fillId="0" borderId="0" xfId="5" applyNumberFormat="1" applyFont="1" applyFill="1" applyBorder="1" applyAlignment="1">
      <alignment horizontal="left" vertical="center" indent="1"/>
    </xf>
    <xf numFmtId="16" fontId="29" fillId="0" borderId="15" xfId="0" applyNumberFormat="1" applyFont="1" applyBorder="1" applyAlignment="1">
      <alignment horizontal="left" vertical="top" indent="1"/>
    </xf>
    <xf numFmtId="0" fontId="0" fillId="11" borderId="0" xfId="0" applyFill="1"/>
    <xf numFmtId="0" fontId="0" fillId="0" borderId="2" xfId="0" applyBorder="1" applyAlignment="1">
      <alignment horizontal="center"/>
    </xf>
    <xf numFmtId="0" fontId="18" fillId="9" borderId="10" xfId="0" applyFont="1" applyFill="1" applyBorder="1" applyAlignment="1">
      <alignment horizontal="center" vertical="center"/>
    </xf>
    <xf numFmtId="0" fontId="18" fillId="9" borderId="11" xfId="0" applyFont="1" applyFill="1" applyBorder="1" applyAlignment="1">
      <alignment horizontal="center" vertical="center"/>
    </xf>
  </cellXfs>
  <cellStyles count="6">
    <cellStyle name="Comma" xfId="3" builtinId="3"/>
    <cellStyle name="Currency" xfId="4" builtinId="4"/>
    <cellStyle name="Good" xfId="5" builtinId="26"/>
    <cellStyle name="Normal" xfId="0" builtinId="0"/>
    <cellStyle name="Normal 10" xfId="1" xr:uid="{B55E9C49-605C-8A4E-AE51-5C3E4D6D34E3}"/>
    <cellStyle name="Normal 2" xfId="2" xr:uid="{E0252077-9327-D74D-9D0D-ECD194AC7B0A}"/>
  </cellStyles>
  <dxfs count="1"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444500</xdr:colOff>
      <xdr:row>18</xdr:row>
      <xdr:rowOff>12700</xdr:rowOff>
    </xdr:from>
    <xdr:to>
      <xdr:col>19</xdr:col>
      <xdr:colOff>622300</xdr:colOff>
      <xdr:row>35</xdr:row>
      <xdr:rowOff>38100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4DEC10F2-B248-0295-C165-C77257AD765D}"/>
            </a:ext>
          </a:extLst>
        </xdr:cNvPr>
        <xdr:cNvSpPr txBox="1"/>
      </xdr:nvSpPr>
      <xdr:spPr>
        <a:xfrm>
          <a:off x="18491200" y="6261100"/>
          <a:ext cx="4318000" cy="3479800"/>
        </a:xfrm>
        <a:prstGeom prst="rect">
          <a:avLst/>
        </a:prstGeom>
        <a:solidFill>
          <a:schemeClr val="accent5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3000"/>
            <a:t>The details in green need to be confirmed</a:t>
          </a:r>
          <a:r>
            <a:rPr lang="en-US" sz="3000" baseline="0"/>
            <a:t> and updated for 2023 if needed</a:t>
          </a:r>
        </a:p>
        <a:p>
          <a:endParaRPr lang="en-US" sz="3000" baseline="0"/>
        </a:p>
        <a:p>
          <a:r>
            <a:rPr lang="en-US" sz="3000" baseline="0"/>
            <a:t>Lisa</a:t>
          </a:r>
        </a:p>
        <a:p>
          <a:r>
            <a:rPr lang="en-US" sz="3000" baseline="0"/>
            <a:t>4/20/23</a:t>
          </a:r>
          <a:endParaRPr lang="en-US" sz="30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1079500</xdr:colOff>
      <xdr:row>19</xdr:row>
      <xdr:rowOff>12700</xdr:rowOff>
    </xdr:from>
    <xdr:to>
      <xdr:col>17</xdr:col>
      <xdr:colOff>406400</xdr:colOff>
      <xdr:row>39</xdr:row>
      <xdr:rowOff>190500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EC707E0-5260-D608-0B1B-E1DCEAFF9F71}"/>
            </a:ext>
          </a:extLst>
        </xdr:cNvPr>
        <xdr:cNvSpPr txBox="1"/>
      </xdr:nvSpPr>
      <xdr:spPr>
        <a:xfrm>
          <a:off x="14795500" y="4318000"/>
          <a:ext cx="3835400" cy="4279900"/>
        </a:xfrm>
        <a:prstGeom prst="rect">
          <a:avLst/>
        </a:prstGeom>
        <a:solidFill>
          <a:schemeClr val="accent5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/>
            <a:t>total # of plots might be off a little depending on filler,</a:t>
          </a:r>
          <a:r>
            <a:rPr lang="en-US" sz="2000" baseline="0"/>
            <a:t> vs solar panel, etc</a:t>
          </a:r>
        </a:p>
        <a:p>
          <a:endParaRPr lang="en-US" sz="2000"/>
        </a:p>
        <a:p>
          <a:r>
            <a:rPr lang="en-US" sz="2000"/>
            <a:t>this worksheet has NOT been updated </a:t>
          </a:r>
          <a:r>
            <a:rPr lang="en-US" sz="2000" strike="sngStrike" baseline="0"/>
            <a:t>for cost per plots nor </a:t>
          </a:r>
          <a:r>
            <a:rPr lang="en-US" sz="2000"/>
            <a:t>flights</a:t>
          </a:r>
        </a:p>
        <a:p>
          <a:endParaRPr lang="en-US" sz="2000"/>
        </a:p>
        <a:p>
          <a:r>
            <a:rPr lang="en-US" sz="2000"/>
            <a:t>Lisa</a:t>
          </a:r>
        </a:p>
        <a:p>
          <a:r>
            <a:rPr lang="en-US" sz="2000"/>
            <a:t>5/12/23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812800</xdr:colOff>
      <xdr:row>4</xdr:row>
      <xdr:rowOff>165100</xdr:rowOff>
    </xdr:from>
    <xdr:to>
      <xdr:col>17</xdr:col>
      <xdr:colOff>165100</xdr:colOff>
      <xdr:row>11</xdr:row>
      <xdr:rowOff>127000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5B41211-0B1F-70BC-2E15-06417230F63C}"/>
            </a:ext>
          </a:extLst>
        </xdr:cNvPr>
        <xdr:cNvSpPr txBox="1"/>
      </xdr:nvSpPr>
      <xdr:spPr>
        <a:xfrm>
          <a:off x="12928600" y="977900"/>
          <a:ext cx="3479800" cy="138430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These numbers were based on possible plan in Jan/Feb</a:t>
          </a:r>
        </a:p>
        <a:p>
          <a:endParaRPr lang="en-US" sz="1100"/>
        </a:p>
        <a:p>
          <a:r>
            <a:rPr lang="en-US" sz="1100"/>
            <a:t>And</a:t>
          </a:r>
          <a:r>
            <a:rPr lang="en-US" sz="1100" baseline="0"/>
            <a:t> then less was done at North Platte due to land </a:t>
          </a:r>
        </a:p>
        <a:p>
          <a:r>
            <a:rPr lang="en-US" sz="1100" baseline="0"/>
            <a:t>And no inbreds were planted  at Scottsbluff due to... interest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74093-A31B-3D42-860A-23BB6A31A38B}">
  <dimension ref="A1:AMW23"/>
  <sheetViews>
    <sheetView tabSelected="1" workbookViewId="0">
      <pane xSplit="3" ySplit="3" topLeftCell="U4" activePane="bottomRight" state="frozen"/>
      <selection pane="topRight" activeCell="D1" sqref="D1"/>
      <selection pane="bottomLeft" activeCell="A2" sqref="A2"/>
      <selection pane="bottomRight" activeCell="Y18" sqref="Y18"/>
    </sheetView>
  </sheetViews>
  <sheetFormatPr baseColWidth="10" defaultColWidth="10.83203125" defaultRowHeight="16" x14ac:dyDescent="0.2"/>
  <cols>
    <col min="1" max="1" width="3.5" style="3" bestFit="1" customWidth="1"/>
    <col min="2" max="2" width="22.5" style="2" customWidth="1"/>
    <col min="3" max="3" width="14.1640625" style="2" bestFit="1" customWidth="1"/>
    <col min="4" max="4" width="18.1640625" style="3" customWidth="1"/>
    <col min="5" max="5" width="29.33203125" style="3" customWidth="1"/>
    <col min="6" max="6" width="13.83203125" style="3" customWidth="1"/>
    <col min="7" max="7" width="15" style="3" customWidth="1"/>
    <col min="8" max="8" width="16.1640625" style="3" customWidth="1"/>
    <col min="9" max="10" width="25" style="3" customWidth="1"/>
    <col min="11" max="16" width="10.83203125" style="3"/>
    <col min="17" max="17" width="11.1640625" style="3" customWidth="1"/>
    <col min="18" max="18" width="20.1640625" style="3" customWidth="1"/>
    <col min="19" max="21" width="12.1640625" style="3" customWidth="1"/>
    <col min="22" max="22" width="26" style="3" customWidth="1"/>
    <col min="23" max="24" width="21.1640625" style="3" customWidth="1"/>
    <col min="25" max="26" width="10.83203125" style="3"/>
    <col min="27" max="27" width="17.1640625" style="3" customWidth="1"/>
    <col min="28" max="16384" width="10.83203125" style="3"/>
  </cols>
  <sheetData>
    <row r="1" spans="1:1037" x14ac:dyDescent="0.2">
      <c r="A1" s="11"/>
    </row>
    <row r="2" spans="1:1037" x14ac:dyDescent="0.2">
      <c r="A2" s="8"/>
      <c r="K2" s="3" t="s">
        <v>0</v>
      </c>
    </row>
    <row r="3" spans="1:1037" ht="69" thickBot="1" x14ac:dyDescent="0.25">
      <c r="A3" s="3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  <c r="L3" s="1" t="s">
        <v>12</v>
      </c>
      <c r="M3" s="1" t="s">
        <v>13</v>
      </c>
      <c r="N3" s="94" t="s">
        <v>14</v>
      </c>
      <c r="O3" s="1" t="s">
        <v>15</v>
      </c>
      <c r="P3" s="94" t="s">
        <v>16</v>
      </c>
      <c r="Q3" s="1" t="s">
        <v>17</v>
      </c>
      <c r="R3" s="1" t="s">
        <v>18</v>
      </c>
      <c r="S3" s="1" t="s">
        <v>19</v>
      </c>
      <c r="T3" s="1" t="s">
        <v>20</v>
      </c>
      <c r="U3" s="1" t="s">
        <v>21</v>
      </c>
      <c r="V3" s="1" t="s">
        <v>22</v>
      </c>
      <c r="W3" s="1" t="s">
        <v>180</v>
      </c>
      <c r="X3" s="1" t="s">
        <v>23</v>
      </c>
      <c r="Y3" s="1" t="s">
        <v>24</v>
      </c>
      <c r="Z3" s="1" t="s">
        <v>25</v>
      </c>
      <c r="AA3" s="1" t="s">
        <v>26</v>
      </c>
      <c r="AB3" s="6" t="s">
        <v>27</v>
      </c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2"/>
      <c r="GJ3" s="2"/>
      <c r="GK3" s="2"/>
      <c r="GL3" s="2"/>
      <c r="GM3" s="2"/>
      <c r="GN3" s="2"/>
      <c r="GO3" s="2"/>
      <c r="GP3" s="2"/>
      <c r="GQ3" s="2"/>
      <c r="GR3" s="2"/>
      <c r="GS3" s="2"/>
      <c r="GT3" s="2"/>
      <c r="GU3" s="2"/>
      <c r="GV3" s="2"/>
      <c r="GW3" s="2"/>
      <c r="GX3" s="2"/>
      <c r="GY3" s="2"/>
      <c r="GZ3" s="2"/>
      <c r="HA3" s="2"/>
      <c r="HB3" s="2"/>
      <c r="HC3" s="2"/>
      <c r="HD3" s="2"/>
      <c r="HE3" s="2"/>
      <c r="HF3" s="2"/>
      <c r="HG3" s="2"/>
      <c r="HH3" s="2"/>
      <c r="HI3" s="2"/>
      <c r="HJ3" s="2"/>
      <c r="HK3" s="2"/>
      <c r="HL3" s="2"/>
      <c r="HM3" s="2"/>
      <c r="HN3" s="2"/>
      <c r="HO3" s="2"/>
      <c r="HP3" s="2"/>
      <c r="HQ3" s="2"/>
      <c r="HR3" s="2"/>
      <c r="HS3" s="2"/>
      <c r="HT3" s="2"/>
      <c r="HU3" s="2"/>
      <c r="HV3" s="2"/>
      <c r="HW3" s="2"/>
      <c r="HX3" s="2"/>
      <c r="HY3" s="2"/>
      <c r="HZ3" s="2"/>
      <c r="IA3" s="2"/>
      <c r="IB3" s="2"/>
      <c r="IC3" s="2"/>
      <c r="ID3" s="2"/>
      <c r="IE3" s="2"/>
      <c r="IF3" s="2"/>
      <c r="IG3" s="2"/>
      <c r="IH3" s="2"/>
      <c r="II3" s="2"/>
      <c r="IJ3" s="2"/>
      <c r="IK3" s="2"/>
      <c r="IL3" s="2"/>
      <c r="IM3" s="2"/>
      <c r="IN3" s="2"/>
      <c r="IO3" s="2"/>
      <c r="IP3" s="2"/>
      <c r="IQ3" s="2"/>
      <c r="IR3" s="2"/>
      <c r="IS3" s="2"/>
      <c r="IT3" s="2"/>
      <c r="IU3" s="2"/>
      <c r="IV3" s="2"/>
      <c r="IW3" s="2"/>
      <c r="IX3" s="2"/>
      <c r="IY3" s="2"/>
      <c r="IZ3" s="2"/>
      <c r="JA3" s="2"/>
      <c r="JB3" s="2"/>
      <c r="JC3" s="2"/>
      <c r="JD3" s="2"/>
      <c r="JE3" s="2"/>
      <c r="JF3" s="2"/>
      <c r="JG3" s="2"/>
      <c r="JH3" s="2"/>
      <c r="JI3" s="2"/>
      <c r="JJ3" s="2"/>
      <c r="JK3" s="2"/>
      <c r="JL3" s="2"/>
      <c r="JM3" s="2"/>
      <c r="JN3" s="2"/>
      <c r="JO3" s="2"/>
      <c r="JP3" s="2"/>
      <c r="JQ3" s="2"/>
      <c r="JR3" s="2"/>
      <c r="JS3" s="2"/>
      <c r="JT3" s="2"/>
      <c r="JU3" s="2"/>
      <c r="JV3" s="2"/>
      <c r="JW3" s="2"/>
      <c r="JX3" s="2"/>
      <c r="JY3" s="2"/>
      <c r="JZ3" s="2"/>
      <c r="KA3" s="2"/>
      <c r="KB3" s="2"/>
      <c r="KC3" s="2"/>
      <c r="KD3" s="2"/>
      <c r="KE3" s="2"/>
      <c r="KF3" s="2"/>
      <c r="KG3" s="2"/>
      <c r="KH3" s="2"/>
      <c r="KI3" s="2"/>
      <c r="KJ3" s="2"/>
      <c r="KK3" s="2"/>
      <c r="KL3" s="2"/>
      <c r="KM3" s="2"/>
      <c r="KN3" s="2"/>
      <c r="KO3" s="2"/>
      <c r="KP3" s="2"/>
      <c r="KQ3" s="2"/>
      <c r="KR3" s="2"/>
      <c r="KS3" s="2"/>
      <c r="KT3" s="2"/>
      <c r="KU3" s="2"/>
      <c r="KV3" s="2"/>
      <c r="KW3" s="2"/>
      <c r="KX3" s="2"/>
      <c r="KY3" s="2"/>
      <c r="KZ3" s="2"/>
      <c r="LA3" s="2"/>
      <c r="LB3" s="2"/>
      <c r="LC3" s="2"/>
      <c r="LD3" s="2"/>
      <c r="LE3" s="2"/>
      <c r="LF3" s="2"/>
      <c r="LG3" s="2"/>
      <c r="LH3" s="2"/>
      <c r="LI3" s="2"/>
      <c r="LJ3" s="2"/>
      <c r="LK3" s="2"/>
      <c r="LL3" s="2"/>
      <c r="LM3" s="2"/>
      <c r="LN3" s="2"/>
      <c r="LO3" s="2"/>
      <c r="LP3" s="2"/>
      <c r="LQ3" s="2"/>
      <c r="LR3" s="2"/>
      <c r="LS3" s="2"/>
      <c r="LT3" s="2"/>
      <c r="LU3" s="2"/>
      <c r="LV3" s="2"/>
      <c r="LW3" s="2"/>
      <c r="LX3" s="2"/>
      <c r="LY3" s="2"/>
      <c r="LZ3" s="2"/>
      <c r="MA3" s="2"/>
      <c r="MB3" s="2"/>
      <c r="MC3" s="2"/>
      <c r="MD3" s="2"/>
      <c r="ME3" s="2"/>
      <c r="MF3" s="2"/>
      <c r="MG3" s="2"/>
      <c r="MH3" s="2"/>
      <c r="MI3" s="2"/>
      <c r="MJ3" s="2"/>
      <c r="MK3" s="2"/>
      <c r="ML3" s="2"/>
      <c r="MM3" s="2"/>
      <c r="MN3" s="2"/>
      <c r="MO3" s="2"/>
      <c r="MP3" s="2"/>
      <c r="MQ3" s="2"/>
      <c r="MR3" s="2"/>
      <c r="MS3" s="2"/>
      <c r="MT3" s="2"/>
      <c r="MU3" s="2"/>
      <c r="MV3" s="2"/>
      <c r="MW3" s="2"/>
      <c r="MX3" s="2"/>
      <c r="MY3" s="2"/>
      <c r="MZ3" s="2"/>
      <c r="NA3" s="2"/>
      <c r="NB3" s="2"/>
      <c r="NC3" s="2"/>
      <c r="ND3" s="2"/>
      <c r="NE3" s="2"/>
      <c r="NF3" s="2"/>
      <c r="NG3" s="2"/>
      <c r="NH3" s="2"/>
      <c r="NI3" s="2"/>
      <c r="NJ3" s="2"/>
      <c r="NK3" s="2"/>
      <c r="NL3" s="2"/>
      <c r="NM3" s="2"/>
      <c r="NN3" s="2"/>
      <c r="NO3" s="2"/>
      <c r="NP3" s="2"/>
      <c r="NQ3" s="2"/>
      <c r="NR3" s="2"/>
      <c r="NS3" s="2"/>
      <c r="NT3" s="2"/>
      <c r="NU3" s="2"/>
      <c r="NV3" s="2"/>
      <c r="NW3" s="2"/>
      <c r="NX3" s="2"/>
      <c r="NY3" s="2"/>
      <c r="NZ3" s="2"/>
      <c r="OA3" s="2"/>
      <c r="OB3" s="2"/>
      <c r="OC3" s="2"/>
      <c r="OD3" s="2"/>
      <c r="OE3" s="2"/>
      <c r="OF3" s="2"/>
      <c r="OG3" s="2"/>
      <c r="OH3" s="2"/>
      <c r="OI3" s="2"/>
      <c r="OJ3" s="2"/>
      <c r="OK3" s="2"/>
      <c r="OL3" s="2"/>
      <c r="OM3" s="2"/>
      <c r="ON3" s="2"/>
      <c r="OO3" s="2"/>
      <c r="OP3" s="2"/>
      <c r="OQ3" s="2"/>
      <c r="OR3" s="2"/>
      <c r="OS3" s="2"/>
      <c r="OT3" s="2"/>
      <c r="OU3" s="2"/>
      <c r="OV3" s="2"/>
      <c r="OW3" s="2"/>
      <c r="OX3" s="2"/>
      <c r="OY3" s="2"/>
      <c r="OZ3" s="2"/>
      <c r="PA3" s="2"/>
      <c r="PB3" s="2"/>
      <c r="PC3" s="2"/>
      <c r="PD3" s="2"/>
      <c r="PE3" s="2"/>
      <c r="PF3" s="2"/>
      <c r="PG3" s="2"/>
      <c r="PH3" s="2"/>
      <c r="PI3" s="2"/>
      <c r="PJ3" s="2"/>
      <c r="PK3" s="2"/>
      <c r="PL3" s="2"/>
      <c r="PM3" s="2"/>
      <c r="PN3" s="2"/>
      <c r="PO3" s="2"/>
      <c r="PP3" s="2"/>
      <c r="PQ3" s="2"/>
      <c r="PR3" s="2"/>
      <c r="PS3" s="2"/>
      <c r="PT3" s="2"/>
      <c r="PU3" s="2"/>
      <c r="PV3" s="2"/>
      <c r="PW3" s="2"/>
      <c r="PX3" s="2"/>
      <c r="PY3" s="2"/>
      <c r="PZ3" s="2"/>
      <c r="QA3" s="2"/>
      <c r="QB3" s="2"/>
      <c r="QC3" s="2"/>
      <c r="QD3" s="2"/>
      <c r="QE3" s="2"/>
      <c r="QF3" s="2"/>
      <c r="QG3" s="2"/>
      <c r="QH3" s="2"/>
      <c r="QI3" s="2"/>
      <c r="QJ3" s="2"/>
      <c r="QK3" s="2"/>
      <c r="QL3" s="2"/>
      <c r="QM3" s="2"/>
      <c r="QN3" s="2"/>
      <c r="QO3" s="2"/>
      <c r="QP3" s="2"/>
      <c r="QQ3" s="2"/>
      <c r="QR3" s="2"/>
      <c r="QS3" s="2"/>
      <c r="QT3" s="2"/>
      <c r="QU3" s="2"/>
      <c r="QV3" s="2"/>
      <c r="QW3" s="2"/>
      <c r="QX3" s="2"/>
      <c r="QY3" s="2"/>
      <c r="QZ3" s="2"/>
      <c r="RA3" s="2"/>
      <c r="RB3" s="2"/>
      <c r="RC3" s="2"/>
      <c r="RD3" s="2"/>
      <c r="RE3" s="2"/>
      <c r="RF3" s="2"/>
      <c r="RG3" s="2"/>
      <c r="RH3" s="2"/>
      <c r="RI3" s="2"/>
      <c r="RJ3" s="2"/>
      <c r="RK3" s="2"/>
      <c r="RL3" s="2"/>
      <c r="RM3" s="2"/>
      <c r="RN3" s="2"/>
      <c r="RO3" s="2"/>
      <c r="RP3" s="2"/>
      <c r="RQ3" s="2"/>
      <c r="RR3" s="2"/>
      <c r="RS3" s="2"/>
      <c r="RT3" s="2"/>
      <c r="RU3" s="2"/>
      <c r="RV3" s="2"/>
      <c r="RW3" s="2"/>
      <c r="RX3" s="2"/>
      <c r="RY3" s="2"/>
      <c r="RZ3" s="2"/>
      <c r="SA3" s="2"/>
      <c r="SB3" s="2"/>
      <c r="SC3" s="2"/>
      <c r="SD3" s="2"/>
      <c r="SE3" s="2"/>
      <c r="SF3" s="2"/>
      <c r="SG3" s="2"/>
      <c r="SH3" s="2"/>
      <c r="SI3" s="2"/>
      <c r="SJ3" s="2"/>
      <c r="SK3" s="2"/>
      <c r="SL3" s="2"/>
      <c r="SM3" s="2"/>
      <c r="SN3" s="2"/>
      <c r="SO3" s="2"/>
      <c r="SP3" s="2"/>
      <c r="SQ3" s="2"/>
      <c r="SR3" s="2"/>
      <c r="SS3" s="2"/>
      <c r="ST3" s="2"/>
      <c r="SU3" s="2"/>
      <c r="SV3" s="2"/>
      <c r="SW3" s="2"/>
      <c r="SX3" s="2"/>
      <c r="SY3" s="2"/>
      <c r="SZ3" s="2"/>
      <c r="TA3" s="2"/>
      <c r="TB3" s="2"/>
      <c r="TC3" s="2"/>
      <c r="TD3" s="2"/>
      <c r="TE3" s="2"/>
      <c r="TF3" s="2"/>
      <c r="TG3" s="2"/>
      <c r="TH3" s="2"/>
      <c r="TI3" s="2"/>
      <c r="TJ3" s="2"/>
      <c r="TK3" s="2"/>
      <c r="TL3" s="2"/>
      <c r="TM3" s="2"/>
      <c r="TN3" s="2"/>
      <c r="TO3" s="2"/>
      <c r="TP3" s="2"/>
      <c r="TQ3" s="2"/>
      <c r="TR3" s="2"/>
      <c r="TS3" s="2"/>
      <c r="TT3" s="2"/>
      <c r="TU3" s="2"/>
      <c r="TV3" s="2"/>
      <c r="TW3" s="2"/>
      <c r="TX3" s="2"/>
      <c r="TY3" s="2"/>
      <c r="TZ3" s="2"/>
      <c r="UA3" s="2"/>
      <c r="UB3" s="2"/>
      <c r="UC3" s="2"/>
      <c r="UD3" s="2"/>
      <c r="UE3" s="2"/>
      <c r="UF3" s="2"/>
      <c r="UG3" s="2"/>
      <c r="UH3" s="2"/>
      <c r="UI3" s="2"/>
      <c r="UJ3" s="2"/>
      <c r="UK3" s="2"/>
      <c r="UL3" s="2"/>
      <c r="UM3" s="2"/>
      <c r="UN3" s="2"/>
      <c r="UO3" s="2"/>
      <c r="UP3" s="2"/>
      <c r="UQ3" s="2"/>
      <c r="UR3" s="2"/>
      <c r="US3" s="2"/>
      <c r="UT3" s="2"/>
      <c r="UU3" s="2"/>
      <c r="UV3" s="2"/>
      <c r="UW3" s="2"/>
      <c r="UX3" s="2"/>
      <c r="UY3" s="2"/>
      <c r="UZ3" s="2"/>
      <c r="VA3" s="2"/>
      <c r="VB3" s="2"/>
      <c r="VC3" s="2"/>
      <c r="VD3" s="2"/>
      <c r="VE3" s="2"/>
      <c r="VF3" s="2"/>
      <c r="VG3" s="2"/>
      <c r="VH3" s="2"/>
      <c r="VI3" s="2"/>
      <c r="VJ3" s="2"/>
      <c r="VK3" s="2"/>
      <c r="VL3" s="2"/>
      <c r="VM3" s="2"/>
      <c r="VN3" s="2"/>
      <c r="VO3" s="2"/>
      <c r="VP3" s="2"/>
      <c r="VQ3" s="2"/>
      <c r="VR3" s="2"/>
      <c r="VS3" s="2"/>
      <c r="VT3" s="2"/>
      <c r="VU3" s="2"/>
      <c r="VV3" s="2"/>
      <c r="VW3" s="2"/>
      <c r="VX3" s="2"/>
      <c r="VY3" s="2"/>
      <c r="VZ3" s="2"/>
      <c r="WA3" s="2"/>
      <c r="WB3" s="2"/>
      <c r="WC3" s="2"/>
      <c r="WD3" s="2"/>
      <c r="WE3" s="2"/>
      <c r="WF3" s="2"/>
      <c r="WG3" s="2"/>
      <c r="WH3" s="2"/>
      <c r="WI3" s="2"/>
      <c r="WJ3" s="2"/>
      <c r="WK3" s="2"/>
      <c r="WL3" s="2"/>
      <c r="WM3" s="2"/>
      <c r="WN3" s="2"/>
      <c r="WO3" s="2"/>
      <c r="WP3" s="2"/>
      <c r="WQ3" s="2"/>
      <c r="WR3" s="2"/>
      <c r="WS3" s="2"/>
      <c r="WT3" s="2"/>
      <c r="WU3" s="2"/>
      <c r="WV3" s="2"/>
      <c r="WW3" s="2"/>
      <c r="WX3" s="2"/>
      <c r="WY3" s="2"/>
      <c r="WZ3" s="2"/>
      <c r="XA3" s="2"/>
      <c r="XB3" s="2"/>
      <c r="XC3" s="2"/>
      <c r="XD3" s="2"/>
      <c r="XE3" s="2"/>
      <c r="XF3" s="2"/>
      <c r="XG3" s="2"/>
      <c r="XH3" s="2"/>
      <c r="XI3" s="2"/>
      <c r="XJ3" s="2"/>
      <c r="XK3" s="2"/>
      <c r="XL3" s="2"/>
      <c r="XM3" s="2"/>
      <c r="XN3" s="2"/>
      <c r="XO3" s="2"/>
      <c r="XP3" s="2"/>
      <c r="XQ3" s="2"/>
      <c r="XR3" s="2"/>
      <c r="XS3" s="2"/>
      <c r="XT3" s="2"/>
      <c r="XU3" s="2"/>
      <c r="XV3" s="2"/>
      <c r="XW3" s="2"/>
      <c r="XX3" s="2"/>
      <c r="XY3" s="2"/>
      <c r="XZ3" s="2"/>
      <c r="YA3" s="2"/>
      <c r="YB3" s="2"/>
      <c r="YC3" s="2"/>
      <c r="YD3" s="2"/>
      <c r="YE3" s="2"/>
      <c r="YF3" s="2"/>
      <c r="YG3" s="2"/>
      <c r="YH3" s="2"/>
      <c r="YI3" s="2"/>
      <c r="YJ3" s="2"/>
      <c r="YK3" s="2"/>
      <c r="YL3" s="2"/>
      <c r="YM3" s="2"/>
      <c r="YN3" s="2"/>
      <c r="YO3" s="2"/>
      <c r="YP3" s="2"/>
      <c r="YQ3" s="2"/>
      <c r="YR3" s="2"/>
      <c r="YS3" s="2"/>
      <c r="YT3" s="2"/>
      <c r="YU3" s="2"/>
      <c r="YV3" s="2"/>
      <c r="YW3" s="2"/>
      <c r="YX3" s="2"/>
      <c r="YY3" s="2"/>
      <c r="YZ3" s="2"/>
      <c r="ZA3" s="2"/>
      <c r="ZB3" s="2"/>
      <c r="ZC3" s="2"/>
      <c r="ZD3" s="2"/>
      <c r="ZE3" s="2"/>
      <c r="ZF3" s="2"/>
      <c r="ZG3" s="2"/>
      <c r="ZH3" s="2"/>
      <c r="ZI3" s="2"/>
      <c r="ZJ3" s="2"/>
      <c r="ZK3" s="2"/>
      <c r="ZL3" s="2"/>
      <c r="ZM3" s="2"/>
      <c r="ZN3" s="2"/>
      <c r="ZO3" s="2"/>
      <c r="ZP3" s="2"/>
      <c r="ZQ3" s="2"/>
      <c r="ZR3" s="2"/>
      <c r="ZS3" s="2"/>
      <c r="ZT3" s="2"/>
      <c r="ZU3" s="2"/>
      <c r="ZV3" s="2"/>
      <c r="ZW3" s="2"/>
      <c r="ZX3" s="2"/>
      <c r="ZY3" s="2"/>
      <c r="ZZ3" s="2"/>
      <c r="AAA3" s="2"/>
      <c r="AAB3" s="2"/>
      <c r="AAC3" s="2"/>
      <c r="AAD3" s="2"/>
      <c r="AAE3" s="2"/>
      <c r="AAF3" s="2"/>
      <c r="AAG3" s="2"/>
      <c r="AAH3" s="2"/>
      <c r="AAI3" s="2"/>
      <c r="AAJ3" s="2"/>
      <c r="AAK3" s="2"/>
      <c r="AAL3" s="2"/>
      <c r="AAM3" s="2"/>
      <c r="AAN3" s="2"/>
      <c r="AAO3" s="2"/>
      <c r="AAP3" s="2"/>
      <c r="AAQ3" s="2"/>
      <c r="AAR3" s="2"/>
      <c r="AAS3" s="2"/>
      <c r="AAT3" s="2"/>
      <c r="AAU3" s="2"/>
      <c r="AAV3" s="2"/>
      <c r="AAW3" s="2"/>
      <c r="AAX3" s="2"/>
      <c r="AAY3" s="2"/>
      <c r="AAZ3" s="2"/>
      <c r="ABA3" s="2"/>
      <c r="ABB3" s="2"/>
      <c r="ABC3" s="2"/>
      <c r="ABD3" s="2"/>
      <c r="ABE3" s="2"/>
      <c r="ABF3" s="2"/>
      <c r="ABG3" s="2"/>
      <c r="ABH3" s="2"/>
      <c r="ABI3" s="2"/>
      <c r="ABJ3" s="2"/>
      <c r="ABK3" s="2"/>
      <c r="ABL3" s="2"/>
      <c r="ABM3" s="2"/>
      <c r="ABN3" s="2"/>
      <c r="ABO3" s="2"/>
      <c r="ABP3" s="2"/>
      <c r="ABQ3" s="2"/>
      <c r="ABR3" s="2"/>
      <c r="ABS3" s="2"/>
      <c r="ABT3" s="2"/>
      <c r="ABU3" s="2"/>
      <c r="ABV3" s="2"/>
      <c r="ABW3" s="2"/>
      <c r="ABX3" s="2"/>
      <c r="ABY3" s="2"/>
      <c r="ABZ3" s="2"/>
      <c r="ACA3" s="2"/>
      <c r="ACB3" s="2"/>
      <c r="ACC3" s="2"/>
      <c r="ACD3" s="2"/>
      <c r="ACE3" s="2"/>
      <c r="ACF3" s="2"/>
      <c r="ACG3" s="2"/>
      <c r="ACH3" s="2"/>
      <c r="ACI3" s="2"/>
      <c r="ACJ3" s="2"/>
      <c r="ACK3" s="2"/>
      <c r="ACL3" s="2"/>
      <c r="ACM3" s="2"/>
      <c r="ACN3" s="2"/>
      <c r="ACO3" s="2"/>
      <c r="ACP3" s="2"/>
      <c r="ACQ3" s="2"/>
      <c r="ACR3" s="2"/>
      <c r="ACS3" s="2"/>
      <c r="ACT3" s="2"/>
      <c r="ACU3" s="2"/>
      <c r="ACV3" s="2"/>
      <c r="ACW3" s="2"/>
      <c r="ACX3" s="2"/>
      <c r="ACY3" s="2"/>
      <c r="ACZ3" s="2"/>
      <c r="ADA3" s="2"/>
      <c r="ADB3" s="2"/>
      <c r="ADC3" s="2"/>
      <c r="ADD3" s="2"/>
      <c r="ADE3" s="2"/>
      <c r="ADF3" s="2"/>
      <c r="ADG3" s="2"/>
      <c r="ADH3" s="2"/>
      <c r="ADI3" s="2"/>
      <c r="ADJ3" s="2"/>
      <c r="ADK3" s="2"/>
      <c r="ADL3" s="2"/>
      <c r="ADM3" s="2"/>
      <c r="ADN3" s="2"/>
      <c r="ADO3" s="2"/>
      <c r="ADP3" s="2"/>
      <c r="ADQ3" s="2"/>
      <c r="ADR3" s="2"/>
      <c r="ADS3" s="2"/>
      <c r="ADT3" s="2"/>
      <c r="ADU3" s="2"/>
      <c r="ADV3" s="2"/>
      <c r="ADW3" s="2"/>
      <c r="ADX3" s="2"/>
      <c r="ADY3" s="2"/>
      <c r="ADZ3" s="2"/>
      <c r="AEA3" s="2"/>
      <c r="AEB3" s="2"/>
      <c r="AEC3" s="2"/>
      <c r="AED3" s="2"/>
      <c r="AEE3" s="2"/>
      <c r="AEF3" s="2"/>
      <c r="AEG3" s="2"/>
      <c r="AEH3" s="2"/>
      <c r="AEI3" s="2"/>
      <c r="AEJ3" s="2"/>
      <c r="AEK3" s="2"/>
      <c r="AEL3" s="2"/>
      <c r="AEM3" s="2"/>
      <c r="AEN3" s="2"/>
      <c r="AEO3" s="2"/>
      <c r="AEP3" s="2"/>
      <c r="AEQ3" s="2"/>
      <c r="AER3" s="2"/>
      <c r="AES3" s="2"/>
      <c r="AET3" s="2"/>
      <c r="AEU3" s="2"/>
      <c r="AEV3" s="2"/>
      <c r="AEW3" s="2"/>
      <c r="AEX3" s="2"/>
      <c r="AEY3" s="2"/>
      <c r="AEZ3" s="2"/>
      <c r="AFA3" s="2"/>
      <c r="AFB3" s="2"/>
      <c r="AFC3" s="2"/>
      <c r="AFD3" s="2"/>
      <c r="AFE3" s="2"/>
      <c r="AFF3" s="2"/>
      <c r="AFG3" s="2"/>
      <c r="AFH3" s="2"/>
      <c r="AFI3" s="2"/>
      <c r="AFJ3" s="2"/>
      <c r="AFK3" s="2"/>
      <c r="AFL3" s="2"/>
      <c r="AFM3" s="2"/>
      <c r="AFN3" s="2"/>
      <c r="AFO3" s="2"/>
      <c r="AFP3" s="2"/>
      <c r="AFQ3" s="2"/>
      <c r="AFR3" s="2"/>
      <c r="AFS3" s="2"/>
      <c r="AFT3" s="2"/>
      <c r="AFU3" s="2"/>
      <c r="AFV3" s="2"/>
      <c r="AFW3" s="2"/>
      <c r="AFX3" s="2"/>
      <c r="AFY3" s="2"/>
      <c r="AFZ3" s="2"/>
      <c r="AGA3" s="2"/>
      <c r="AGB3" s="2"/>
      <c r="AGC3" s="2"/>
      <c r="AGD3" s="2"/>
      <c r="AGE3" s="2"/>
      <c r="AGF3" s="2"/>
      <c r="AGG3" s="2"/>
      <c r="AGH3" s="2"/>
      <c r="AGI3" s="2"/>
      <c r="AGJ3" s="2"/>
      <c r="AGK3" s="2"/>
      <c r="AGL3" s="2"/>
      <c r="AGM3" s="2"/>
      <c r="AGN3" s="2"/>
      <c r="AGO3" s="2"/>
      <c r="AGP3" s="2"/>
      <c r="AGQ3" s="2"/>
      <c r="AGR3" s="2"/>
      <c r="AGS3" s="2"/>
      <c r="AGT3" s="2"/>
      <c r="AGU3" s="2"/>
      <c r="AGV3" s="2"/>
      <c r="AGW3" s="2"/>
      <c r="AGX3" s="2"/>
      <c r="AGY3" s="2"/>
      <c r="AGZ3" s="2"/>
      <c r="AHA3" s="2"/>
      <c r="AHB3" s="2"/>
      <c r="AHC3" s="2"/>
      <c r="AHD3" s="2"/>
      <c r="AHE3" s="2"/>
      <c r="AHF3" s="2"/>
      <c r="AHG3" s="2"/>
      <c r="AHH3" s="2"/>
      <c r="AHI3" s="2"/>
      <c r="AHJ3" s="2"/>
      <c r="AHK3" s="2"/>
      <c r="AHL3" s="2"/>
      <c r="AHM3" s="2"/>
      <c r="AHN3" s="2"/>
      <c r="AHO3" s="2"/>
      <c r="AHP3" s="2"/>
      <c r="AHQ3" s="2"/>
      <c r="AHR3" s="2"/>
      <c r="AHS3" s="2"/>
      <c r="AHT3" s="2"/>
      <c r="AHU3" s="2"/>
      <c r="AHV3" s="2"/>
      <c r="AHW3" s="2"/>
      <c r="AHX3" s="2"/>
      <c r="AHY3" s="2"/>
      <c r="AHZ3" s="2"/>
      <c r="AIA3" s="2"/>
      <c r="AIB3" s="2"/>
      <c r="AIC3" s="2"/>
      <c r="AID3" s="2"/>
      <c r="AIE3" s="2"/>
      <c r="AIF3" s="2"/>
      <c r="AIG3" s="2"/>
      <c r="AIH3" s="2"/>
      <c r="AII3" s="2"/>
      <c r="AIJ3" s="2"/>
      <c r="AIK3" s="2"/>
      <c r="AIL3" s="2"/>
      <c r="AIM3" s="2"/>
      <c r="AIN3" s="2"/>
      <c r="AIO3" s="2"/>
      <c r="AIP3" s="2"/>
      <c r="AIQ3" s="2"/>
      <c r="AIR3" s="2"/>
      <c r="AIS3" s="2"/>
      <c r="AIT3" s="2"/>
      <c r="AIU3" s="2"/>
      <c r="AIV3" s="2"/>
      <c r="AIW3" s="2"/>
      <c r="AIX3" s="2"/>
      <c r="AIY3" s="2"/>
      <c r="AIZ3" s="2"/>
      <c r="AJA3" s="2"/>
      <c r="AJB3" s="2"/>
      <c r="AJC3" s="2"/>
      <c r="AJD3" s="2"/>
      <c r="AJE3" s="2"/>
      <c r="AJF3" s="2"/>
      <c r="AJG3" s="2"/>
      <c r="AJH3" s="2"/>
      <c r="AJI3" s="2"/>
      <c r="AJJ3" s="2"/>
      <c r="AJK3" s="2"/>
      <c r="AJL3" s="2"/>
      <c r="AJM3" s="2"/>
      <c r="AJN3" s="2"/>
      <c r="AJO3" s="2"/>
      <c r="AJP3" s="2"/>
      <c r="AJQ3" s="2"/>
      <c r="AJR3" s="2"/>
      <c r="AJS3" s="2"/>
      <c r="AJT3" s="2"/>
      <c r="AJU3" s="2"/>
      <c r="AJV3" s="2"/>
      <c r="AJW3" s="2"/>
      <c r="AJX3" s="2"/>
      <c r="AJY3" s="2"/>
      <c r="AJZ3" s="2"/>
      <c r="AKA3" s="2"/>
      <c r="AKB3" s="2"/>
      <c r="AKC3" s="2"/>
      <c r="AKD3" s="2"/>
      <c r="AKE3" s="2"/>
      <c r="AKF3" s="2"/>
      <c r="AKG3" s="2"/>
      <c r="AKH3" s="2"/>
      <c r="AKI3" s="2"/>
      <c r="AKJ3" s="2"/>
      <c r="AKK3" s="2"/>
      <c r="AKL3" s="2"/>
      <c r="AKM3" s="2"/>
      <c r="AKN3" s="2"/>
      <c r="AKO3" s="2"/>
      <c r="AKP3" s="2"/>
      <c r="AKQ3" s="2"/>
      <c r="AKR3" s="2"/>
      <c r="AKS3" s="2"/>
      <c r="AKT3" s="2"/>
      <c r="AKU3" s="2"/>
      <c r="AKV3" s="2"/>
      <c r="AKW3" s="2"/>
      <c r="AKX3" s="2"/>
      <c r="AKY3" s="2"/>
      <c r="AKZ3" s="2"/>
      <c r="ALA3" s="2"/>
      <c r="ALB3" s="2"/>
      <c r="ALC3" s="2"/>
      <c r="ALD3" s="2"/>
      <c r="ALE3" s="2"/>
      <c r="ALF3" s="2"/>
      <c r="ALG3" s="2"/>
      <c r="ALH3" s="2"/>
      <c r="ALI3" s="2"/>
      <c r="ALJ3" s="2"/>
      <c r="ALK3" s="2"/>
      <c r="ALL3" s="2"/>
      <c r="ALM3" s="2"/>
      <c r="ALN3" s="2"/>
      <c r="ALO3" s="2"/>
      <c r="ALP3" s="2"/>
      <c r="ALQ3" s="2"/>
      <c r="ALR3" s="2"/>
      <c r="ALS3" s="2"/>
      <c r="ALT3" s="2"/>
      <c r="ALU3" s="2"/>
      <c r="ALV3" s="2"/>
      <c r="ALW3" s="2"/>
      <c r="ALX3" s="2"/>
      <c r="ALY3" s="2"/>
      <c r="ALZ3" s="2"/>
      <c r="AMA3" s="2"/>
      <c r="AMB3" s="2"/>
      <c r="AMC3" s="2"/>
      <c r="AMD3" s="2"/>
      <c r="AME3" s="2"/>
      <c r="AMF3" s="2"/>
      <c r="AMG3" s="2"/>
      <c r="AMH3" s="2"/>
      <c r="AMI3" s="2"/>
      <c r="AMJ3" s="2"/>
      <c r="AMK3" s="2"/>
      <c r="AML3" s="2"/>
      <c r="AMM3" s="2"/>
      <c r="AMN3" s="2"/>
      <c r="AMO3" s="2"/>
      <c r="AMP3" s="2"/>
      <c r="AMQ3" s="2"/>
      <c r="AMR3" s="2"/>
      <c r="AMS3" s="2"/>
      <c r="AMT3" s="2"/>
      <c r="AMU3" s="2"/>
      <c r="AMV3" s="2"/>
      <c r="AMW3" s="2"/>
    </row>
    <row r="4" spans="1:1037" ht="34" x14ac:dyDescent="0.2">
      <c r="A4" s="3">
        <v>1</v>
      </c>
      <c r="B4" s="2" t="s">
        <v>28</v>
      </c>
      <c r="C4" s="2" t="s">
        <v>29</v>
      </c>
      <c r="D4" s="3" t="s">
        <v>30</v>
      </c>
      <c r="E4" s="3" t="s">
        <v>31</v>
      </c>
      <c r="F4" s="5">
        <v>45050</v>
      </c>
      <c r="G4" s="3" t="s">
        <v>32</v>
      </c>
      <c r="H4" s="2" t="s">
        <v>33</v>
      </c>
      <c r="I4" s="2" t="s">
        <v>185</v>
      </c>
      <c r="J4" s="2" t="s">
        <v>34</v>
      </c>
      <c r="K4" s="93" t="s">
        <v>35</v>
      </c>
      <c r="L4" s="3" t="s">
        <v>36</v>
      </c>
      <c r="M4" s="3">
        <v>2</v>
      </c>
      <c r="N4" s="89">
        <f>86*2</f>
        <v>172</v>
      </c>
      <c r="O4" s="3">
        <v>200</v>
      </c>
      <c r="P4" s="89">
        <f>17+3</f>
        <v>20</v>
      </c>
      <c r="Q4" s="3">
        <v>30</v>
      </c>
      <c r="S4" s="72">
        <v>45093</v>
      </c>
      <c r="T4"/>
      <c r="U4" s="72">
        <v>45093</v>
      </c>
      <c r="V4" s="3" t="s">
        <v>178</v>
      </c>
      <c r="W4" s="3" t="s">
        <v>181</v>
      </c>
      <c r="X4" s="3" t="s">
        <v>175</v>
      </c>
      <c r="Y4" s="5">
        <v>45201</v>
      </c>
      <c r="Z4" s="3" t="s">
        <v>174</v>
      </c>
    </row>
    <row r="5" spans="1:1037" ht="34" x14ac:dyDescent="0.2">
      <c r="A5" s="3">
        <v>1</v>
      </c>
      <c r="B5" s="2" t="s">
        <v>28</v>
      </c>
      <c r="C5" s="2" t="s">
        <v>37</v>
      </c>
      <c r="D5" s="3" t="s">
        <v>30</v>
      </c>
      <c r="E5" s="3" t="s">
        <v>31</v>
      </c>
      <c r="F5" s="5">
        <v>45050</v>
      </c>
      <c r="G5" s="3" t="s">
        <v>32</v>
      </c>
      <c r="H5" s="2" t="s">
        <v>33</v>
      </c>
      <c r="I5" s="2" t="s">
        <v>185</v>
      </c>
      <c r="J5" s="2"/>
      <c r="K5" s="10">
        <v>396</v>
      </c>
      <c r="L5" s="3" t="s">
        <v>38</v>
      </c>
      <c r="M5" s="3">
        <v>2</v>
      </c>
      <c r="N5" s="95">
        <f>86*2/2/2</f>
        <v>43</v>
      </c>
      <c r="O5" s="3">
        <v>50</v>
      </c>
      <c r="P5" s="95">
        <v>10</v>
      </c>
      <c r="Q5" s="3">
        <v>30</v>
      </c>
      <c r="S5" s="72">
        <v>45093</v>
      </c>
      <c r="T5" s="52"/>
      <c r="U5" s="72">
        <v>45093</v>
      </c>
      <c r="V5" s="32" t="s">
        <v>47</v>
      </c>
      <c r="W5" s="32"/>
      <c r="X5" s="3" t="s">
        <v>175</v>
      </c>
      <c r="Y5" s="32" t="s">
        <v>47</v>
      </c>
      <c r="Z5" s="32" t="s">
        <v>47</v>
      </c>
    </row>
    <row r="6" spans="1:1037" ht="34" x14ac:dyDescent="0.2">
      <c r="A6" s="3">
        <v>2</v>
      </c>
      <c r="B6" s="2" t="s">
        <v>39</v>
      </c>
      <c r="C6" s="2" t="s">
        <v>29</v>
      </c>
      <c r="D6" s="3" t="s">
        <v>30</v>
      </c>
      <c r="E6" s="3" t="s">
        <v>40</v>
      </c>
      <c r="F6" s="5">
        <v>45065</v>
      </c>
      <c r="G6" s="3" t="s">
        <v>32</v>
      </c>
      <c r="H6" s="2" t="s">
        <v>33</v>
      </c>
      <c r="I6" s="2" t="s">
        <v>185</v>
      </c>
      <c r="J6" s="2" t="s">
        <v>34</v>
      </c>
      <c r="K6" s="93" t="s">
        <v>41</v>
      </c>
      <c r="L6" s="3" t="s">
        <v>36</v>
      </c>
      <c r="M6" s="3">
        <v>2</v>
      </c>
      <c r="N6" s="89">
        <f>86*2</f>
        <v>172</v>
      </c>
      <c r="O6" s="3">
        <v>200</v>
      </c>
      <c r="P6" s="89">
        <f>17+3</f>
        <v>20</v>
      </c>
      <c r="Q6" s="3">
        <v>30</v>
      </c>
      <c r="S6" s="100">
        <v>45096</v>
      </c>
      <c r="T6" s="52"/>
      <c r="U6" s="100">
        <v>45090</v>
      </c>
      <c r="V6" s="3" t="s">
        <v>184</v>
      </c>
      <c r="W6" s="3" t="s">
        <v>182</v>
      </c>
      <c r="X6" s="5">
        <v>45214</v>
      </c>
      <c r="Y6" s="5">
        <v>45218</v>
      </c>
      <c r="Z6" s="3" t="s">
        <v>174</v>
      </c>
    </row>
    <row r="7" spans="1:1037" ht="34" x14ac:dyDescent="0.2">
      <c r="A7" s="3">
        <v>2</v>
      </c>
      <c r="B7" s="2" t="s">
        <v>39</v>
      </c>
      <c r="C7" s="2" t="s">
        <v>37</v>
      </c>
      <c r="D7" s="3" t="s">
        <v>30</v>
      </c>
      <c r="E7" s="3" t="s">
        <v>40</v>
      </c>
      <c r="F7" s="5">
        <v>45065</v>
      </c>
      <c r="G7" s="3" t="s">
        <v>32</v>
      </c>
      <c r="H7" s="2" t="s">
        <v>33</v>
      </c>
      <c r="I7" s="2" t="s">
        <v>185</v>
      </c>
      <c r="J7" s="2"/>
      <c r="K7" s="10">
        <v>396</v>
      </c>
      <c r="L7" s="3" t="s">
        <v>38</v>
      </c>
      <c r="M7" s="3">
        <v>2</v>
      </c>
      <c r="N7" s="95">
        <f>86*2/2/2</f>
        <v>43</v>
      </c>
      <c r="O7" s="3">
        <v>50</v>
      </c>
      <c r="P7" s="95">
        <v>10</v>
      </c>
      <c r="Q7" s="3">
        <v>30</v>
      </c>
      <c r="S7" s="100">
        <v>45096</v>
      </c>
      <c r="T7" s="52"/>
      <c r="U7" s="100">
        <v>45090</v>
      </c>
      <c r="V7" s="32" t="s">
        <v>47</v>
      </c>
      <c r="W7" s="32"/>
      <c r="X7" s="93" t="s">
        <v>176</v>
      </c>
      <c r="Y7" s="32" t="s">
        <v>47</v>
      </c>
      <c r="Z7" s="32" t="s">
        <v>47</v>
      </c>
      <c r="AA7"/>
    </row>
    <row r="8" spans="1:1037" ht="34" x14ac:dyDescent="0.2">
      <c r="A8" s="3">
        <v>3</v>
      </c>
      <c r="B8" s="2" t="s">
        <v>42</v>
      </c>
      <c r="C8" s="2" t="s">
        <v>29</v>
      </c>
      <c r="D8" s="3" t="s">
        <v>30</v>
      </c>
      <c r="E8" s="3" t="s">
        <v>43</v>
      </c>
      <c r="F8" s="5">
        <v>45048</v>
      </c>
      <c r="G8" s="3" t="s">
        <v>32</v>
      </c>
      <c r="H8" s="10" t="s">
        <v>44</v>
      </c>
      <c r="I8" s="2" t="s">
        <v>186</v>
      </c>
      <c r="J8" s="2" t="s">
        <v>34</v>
      </c>
      <c r="K8" s="3">
        <v>114</v>
      </c>
      <c r="L8" s="3" t="s">
        <v>36</v>
      </c>
      <c r="M8" s="3">
        <v>2</v>
      </c>
      <c r="N8" s="89">
        <f>86*2</f>
        <v>172</v>
      </c>
      <c r="O8" s="3">
        <v>200</v>
      </c>
      <c r="P8" s="89">
        <f>17+3</f>
        <v>20</v>
      </c>
      <c r="Q8" s="3">
        <v>30</v>
      </c>
      <c r="S8" s="100">
        <v>45091</v>
      </c>
      <c r="T8" s="52"/>
      <c r="U8" s="100">
        <v>45091</v>
      </c>
      <c r="V8" s="3" t="s">
        <v>179</v>
      </c>
      <c r="W8" s="3" t="s">
        <v>183</v>
      </c>
      <c r="X8" s="5">
        <v>45186</v>
      </c>
      <c r="Y8" s="5">
        <v>45194</v>
      </c>
      <c r="Z8" s="3" t="s">
        <v>174</v>
      </c>
      <c r="AA8"/>
    </row>
    <row r="9" spans="1:1037" ht="17" x14ac:dyDescent="0.2">
      <c r="A9" s="3">
        <v>3</v>
      </c>
      <c r="B9" s="2" t="s">
        <v>42</v>
      </c>
      <c r="C9" s="2" t="s">
        <v>37</v>
      </c>
      <c r="D9" s="3" t="s">
        <v>30</v>
      </c>
      <c r="E9" s="3" t="s">
        <v>43</v>
      </c>
      <c r="F9" s="5">
        <v>45048</v>
      </c>
      <c r="G9" s="3" t="s">
        <v>32</v>
      </c>
      <c r="H9" s="10" t="s">
        <v>44</v>
      </c>
      <c r="I9" s="2" t="s">
        <v>186</v>
      </c>
      <c r="J9" s="2"/>
      <c r="K9" s="10">
        <v>396</v>
      </c>
      <c r="L9" s="3" t="s">
        <v>38</v>
      </c>
      <c r="M9" s="3">
        <v>2</v>
      </c>
      <c r="N9" s="95">
        <f>86*2/2/2</f>
        <v>43</v>
      </c>
      <c r="O9" s="3">
        <v>50</v>
      </c>
      <c r="P9" s="95">
        <v>10</v>
      </c>
      <c r="Q9" s="3">
        <v>30</v>
      </c>
      <c r="S9" s="100">
        <v>45091</v>
      </c>
      <c r="T9" s="52"/>
      <c r="U9" s="100">
        <v>45091</v>
      </c>
      <c r="V9" s="32" t="s">
        <v>47</v>
      </c>
      <c r="W9" s="32"/>
      <c r="X9" s="5">
        <v>45186</v>
      </c>
      <c r="Y9" s="32" t="s">
        <v>47</v>
      </c>
      <c r="Z9" s="32" t="s">
        <v>47</v>
      </c>
      <c r="AA9"/>
    </row>
    <row r="10" spans="1:1037" s="32" customFormat="1" ht="17" x14ac:dyDescent="0.2">
      <c r="A10" s="32">
        <v>4</v>
      </c>
      <c r="B10" s="83" t="s">
        <v>39</v>
      </c>
      <c r="C10" s="83" t="s">
        <v>29</v>
      </c>
      <c r="D10" s="32" t="s">
        <v>45</v>
      </c>
      <c r="F10" s="84"/>
      <c r="G10" s="3"/>
      <c r="H10" s="32" t="s">
        <v>46</v>
      </c>
      <c r="I10" s="83"/>
      <c r="J10" s="83"/>
      <c r="N10" s="96"/>
      <c r="P10" s="96"/>
      <c r="Q10" s="92"/>
      <c r="R10" s="92"/>
      <c r="S10" s="58" t="s">
        <v>47</v>
      </c>
      <c r="T10" s="58"/>
      <c r="U10" s="58" t="s">
        <v>47</v>
      </c>
      <c r="V10" s="32" t="s">
        <v>47</v>
      </c>
      <c r="X10" s="32" t="s">
        <v>47</v>
      </c>
      <c r="Y10" s="32" t="s">
        <v>47</v>
      </c>
      <c r="Z10" s="32" t="s">
        <v>47</v>
      </c>
      <c r="AA10" s="31"/>
    </row>
    <row r="11" spans="1:1037" s="32" customFormat="1" ht="17" x14ac:dyDescent="0.2">
      <c r="A11" s="32">
        <v>4</v>
      </c>
      <c r="B11" s="83" t="s">
        <v>39</v>
      </c>
      <c r="C11" s="83" t="s">
        <v>37</v>
      </c>
      <c r="D11" s="32" t="s">
        <v>45</v>
      </c>
      <c r="F11" s="84"/>
      <c r="G11" s="3"/>
      <c r="H11" s="32" t="s">
        <v>46</v>
      </c>
      <c r="I11" s="83"/>
      <c r="J11" s="83"/>
      <c r="N11" s="96"/>
      <c r="P11" s="96"/>
      <c r="Q11" s="92"/>
      <c r="R11" s="92"/>
      <c r="S11" s="58" t="s">
        <v>47</v>
      </c>
      <c r="T11" s="58"/>
      <c r="U11" s="58" t="s">
        <v>47</v>
      </c>
      <c r="V11" s="32" t="s">
        <v>47</v>
      </c>
      <c r="X11" s="32" t="s">
        <v>47</v>
      </c>
      <c r="Y11" s="32" t="s">
        <v>47</v>
      </c>
      <c r="Z11" s="32" t="s">
        <v>47</v>
      </c>
      <c r="AA11" s="31"/>
    </row>
    <row r="12" spans="1:1037" ht="17" x14ac:dyDescent="0.2">
      <c r="A12" s="3">
        <v>5</v>
      </c>
      <c r="B12" s="2" t="s">
        <v>48</v>
      </c>
      <c r="C12" s="2" t="s">
        <v>29</v>
      </c>
      <c r="D12" s="2" t="s">
        <v>49</v>
      </c>
      <c r="E12" s="3" t="s">
        <v>50</v>
      </c>
      <c r="F12" s="5">
        <v>45062</v>
      </c>
      <c r="G12" s="3" t="s">
        <v>32</v>
      </c>
      <c r="H12" s="2" t="s">
        <v>33</v>
      </c>
      <c r="I12" s="2" t="s">
        <v>51</v>
      </c>
      <c r="K12" s="93" t="s">
        <v>52</v>
      </c>
      <c r="L12" s="3" t="s">
        <v>36</v>
      </c>
      <c r="M12" s="3">
        <v>2</v>
      </c>
      <c r="N12" s="89">
        <f>88*2</f>
        <v>176</v>
      </c>
      <c r="O12" s="3">
        <f>87*2</f>
        <v>174</v>
      </c>
      <c r="P12" s="89">
        <v>21</v>
      </c>
      <c r="Q12" s="3">
        <v>30</v>
      </c>
      <c r="S12" s="100">
        <v>45072</v>
      </c>
      <c r="T12" s="52"/>
      <c r="U12" s="52" t="s">
        <v>53</v>
      </c>
      <c r="V12" s="3" t="s">
        <v>177</v>
      </c>
      <c r="W12" s="3" t="s">
        <v>181</v>
      </c>
      <c r="X12" s="5">
        <v>45194</v>
      </c>
      <c r="Y12" s="72">
        <v>45222</v>
      </c>
      <c r="Z12" s="120"/>
      <c r="AA12"/>
    </row>
    <row r="13" spans="1:1037" ht="17" x14ac:dyDescent="0.2">
      <c r="A13" s="3">
        <v>5</v>
      </c>
      <c r="B13" s="2" t="s">
        <v>48</v>
      </c>
      <c r="C13" s="2" t="s">
        <v>37</v>
      </c>
      <c r="D13" s="2" t="s">
        <v>49</v>
      </c>
      <c r="E13" s="3" t="s">
        <v>50</v>
      </c>
      <c r="F13" s="5">
        <v>45055</v>
      </c>
      <c r="G13" s="3" t="s">
        <v>32</v>
      </c>
      <c r="H13" s="3" t="s">
        <v>44</v>
      </c>
      <c r="I13" s="2" t="s">
        <v>51</v>
      </c>
      <c r="K13" s="10">
        <v>396</v>
      </c>
      <c r="L13" s="3" t="s">
        <v>38</v>
      </c>
      <c r="M13" s="3">
        <v>2</v>
      </c>
      <c r="N13" s="95">
        <f>88*2/2/2</f>
        <v>44</v>
      </c>
      <c r="O13" s="10">
        <v>55</v>
      </c>
      <c r="P13" s="95">
        <v>10</v>
      </c>
      <c r="Q13" s="3">
        <v>30</v>
      </c>
      <c r="S13" s="100">
        <v>45072</v>
      </c>
      <c r="T13" s="52"/>
      <c r="U13" s="52" t="s">
        <v>53</v>
      </c>
      <c r="V13" s="32" t="s">
        <v>47</v>
      </c>
      <c r="W13" s="32"/>
      <c r="X13" s="5">
        <v>45199</v>
      </c>
      <c r="Y13" s="32" t="s">
        <v>47</v>
      </c>
      <c r="Z13" s="32" t="s">
        <v>47</v>
      </c>
    </row>
    <row r="14" spans="1:1037" ht="51" x14ac:dyDescent="0.2">
      <c r="A14" s="3">
        <v>6</v>
      </c>
      <c r="B14" s="2" t="s">
        <v>54</v>
      </c>
      <c r="C14" s="2" t="s">
        <v>29</v>
      </c>
      <c r="D14" s="3" t="s">
        <v>55</v>
      </c>
      <c r="E14" s="3" t="s">
        <v>56</v>
      </c>
      <c r="F14" s="99">
        <v>45056</v>
      </c>
      <c r="G14" s="3" t="s">
        <v>32</v>
      </c>
      <c r="H14" s="10" t="s">
        <v>44</v>
      </c>
      <c r="I14" s="2" t="s">
        <v>166</v>
      </c>
      <c r="J14" s="2"/>
      <c r="K14" s="3">
        <v>117</v>
      </c>
      <c r="L14" s="3" t="s">
        <v>36</v>
      </c>
      <c r="M14" s="93" t="s">
        <v>57</v>
      </c>
      <c r="N14" s="89">
        <v>170</v>
      </c>
      <c r="O14" s="3">
        <f>87*2</f>
        <v>174</v>
      </c>
      <c r="P14" s="89">
        <f>17.5+2.5</f>
        <v>20</v>
      </c>
      <c r="Q14" s="3">
        <v>30</v>
      </c>
      <c r="S14" s="101" t="s">
        <v>58</v>
      </c>
      <c r="T14" s="52"/>
      <c r="U14" s="100">
        <v>45079</v>
      </c>
      <c r="V14" s="3" t="s">
        <v>164</v>
      </c>
      <c r="X14" s="5">
        <v>45210</v>
      </c>
      <c r="Y14" s="72">
        <v>45218</v>
      </c>
      <c r="Z14" s="3" t="s">
        <v>174</v>
      </c>
    </row>
    <row r="15" spans="1:1037" s="32" customFormat="1" ht="34" x14ac:dyDescent="0.2">
      <c r="A15" s="32">
        <v>7</v>
      </c>
      <c r="B15" s="83" t="s">
        <v>59</v>
      </c>
      <c r="C15" s="83" t="s">
        <v>29</v>
      </c>
      <c r="D15" s="32" t="s">
        <v>55</v>
      </c>
      <c r="E15" s="3"/>
      <c r="F15" s="90"/>
      <c r="G15"/>
      <c r="H15" s="83" t="s">
        <v>33</v>
      </c>
      <c r="I15" s="83"/>
      <c r="J15" s="83"/>
      <c r="N15" s="96"/>
      <c r="P15" s="96"/>
      <c r="S15" s="58" t="s">
        <v>47</v>
      </c>
      <c r="T15" s="58"/>
      <c r="U15" s="58" t="s">
        <v>47</v>
      </c>
      <c r="V15" s="32" t="s">
        <v>47</v>
      </c>
      <c r="X15" s="32" t="s">
        <v>47</v>
      </c>
      <c r="Y15" s="32" t="s">
        <v>47</v>
      </c>
      <c r="Z15" s="32" t="s">
        <v>47</v>
      </c>
    </row>
    <row r="16" spans="1:1037" ht="51" x14ac:dyDescent="0.2">
      <c r="A16" s="3">
        <v>8</v>
      </c>
      <c r="B16" s="2" t="s">
        <v>167</v>
      </c>
      <c r="C16" s="2" t="s">
        <v>29</v>
      </c>
      <c r="D16" s="3" t="s">
        <v>55</v>
      </c>
      <c r="E16" s="3" t="s">
        <v>56</v>
      </c>
      <c r="F16" s="99">
        <v>45056</v>
      </c>
      <c r="G16" s="3" t="s">
        <v>32</v>
      </c>
      <c r="H16" s="10" t="s">
        <v>44</v>
      </c>
      <c r="I16" s="2" t="s">
        <v>166</v>
      </c>
      <c r="J16" s="2"/>
      <c r="K16" s="3">
        <v>83</v>
      </c>
      <c r="L16" s="3" t="s">
        <v>36</v>
      </c>
      <c r="M16" s="3">
        <v>2</v>
      </c>
      <c r="N16" s="89">
        <f>85*2</f>
        <v>170</v>
      </c>
      <c r="O16" s="3">
        <f>87*2</f>
        <v>174</v>
      </c>
      <c r="P16" s="89">
        <f>17.5+2.5</f>
        <v>20</v>
      </c>
      <c r="Q16" s="3">
        <v>30</v>
      </c>
      <c r="S16" s="52"/>
      <c r="T16" s="52"/>
      <c r="U16" s="100">
        <v>45079</v>
      </c>
      <c r="V16" s="3" t="s">
        <v>164</v>
      </c>
      <c r="X16" s="5">
        <v>45210</v>
      </c>
      <c r="Y16" s="72">
        <v>45218</v>
      </c>
      <c r="Z16" s="3" t="s">
        <v>174</v>
      </c>
      <c r="AA16" s="104" t="s">
        <v>168</v>
      </c>
    </row>
    <row r="17" spans="1:27" ht="136" x14ac:dyDescent="0.2">
      <c r="A17" s="3">
        <v>9</v>
      </c>
      <c r="B17" s="2" t="s">
        <v>60</v>
      </c>
      <c r="C17" s="2" t="s">
        <v>29</v>
      </c>
      <c r="D17" s="3" t="s">
        <v>61</v>
      </c>
      <c r="E17" s="3" t="s">
        <v>62</v>
      </c>
      <c r="F17" s="9">
        <v>45070</v>
      </c>
      <c r="G17" s="16" t="s">
        <v>63</v>
      </c>
      <c r="H17" s="2" t="s">
        <v>33</v>
      </c>
      <c r="I17" s="2"/>
      <c r="J17" s="2"/>
      <c r="K17" s="93" t="s">
        <v>64</v>
      </c>
      <c r="L17" s="3" t="s">
        <v>36</v>
      </c>
      <c r="M17" s="3">
        <v>2</v>
      </c>
      <c r="N17" s="89">
        <f>105*2</f>
        <v>210</v>
      </c>
      <c r="O17" s="3">
        <f>96*2</f>
        <v>192</v>
      </c>
      <c r="P17" s="89">
        <v>20</v>
      </c>
      <c r="Q17" s="2">
        <v>30</v>
      </c>
      <c r="R17" s="88"/>
      <c r="S17" s="100">
        <v>45091</v>
      </c>
      <c r="T17" s="52"/>
      <c r="U17" s="100">
        <v>45091</v>
      </c>
      <c r="V17" s="3" t="s">
        <v>164</v>
      </c>
      <c r="X17" s="5">
        <v>45224</v>
      </c>
      <c r="Y17" s="72">
        <v>45261</v>
      </c>
      <c r="Z17" s="120"/>
      <c r="AA17" s="104" t="s">
        <v>187</v>
      </c>
    </row>
    <row r="18" spans="1:27" s="32" customFormat="1" ht="17" x14ac:dyDescent="0.2">
      <c r="A18" s="32">
        <v>9</v>
      </c>
      <c r="B18" s="83" t="s">
        <v>60</v>
      </c>
      <c r="C18" s="83" t="s">
        <v>37</v>
      </c>
      <c r="D18" s="32" t="s">
        <v>61</v>
      </c>
      <c r="E18" s="3"/>
      <c r="F18" s="90"/>
      <c r="G18"/>
      <c r="H18" s="32" t="s">
        <v>44</v>
      </c>
      <c r="I18" s="83"/>
      <c r="J18" s="83"/>
      <c r="Q18" s="83"/>
      <c r="R18" s="91"/>
      <c r="S18"/>
      <c r="T18"/>
      <c r="U18"/>
      <c r="V18" s="3"/>
      <c r="W18" s="3"/>
      <c r="X18"/>
      <c r="Y18" s="32" t="s">
        <v>47</v>
      </c>
      <c r="Z18" s="32" t="s">
        <v>47</v>
      </c>
      <c r="AA18" s="83"/>
    </row>
    <row r="19" spans="1:27" x14ac:dyDescent="0.2">
      <c r="P19" s="4"/>
    </row>
    <row r="20" spans="1:27" x14ac:dyDescent="0.2">
      <c r="B20" s="13" t="s">
        <v>65</v>
      </c>
      <c r="C20" s="7"/>
    </row>
    <row r="21" spans="1:27" x14ac:dyDescent="0.2">
      <c r="B21" s="7"/>
      <c r="C21" s="7"/>
    </row>
    <row r="23" spans="1:27" x14ac:dyDescent="0.2">
      <c r="B23" s="11"/>
      <c r="C23" s="8"/>
    </row>
  </sheetData>
  <sortState xmlns:xlrd2="http://schemas.microsoft.com/office/spreadsheetml/2017/richdata2" ref="A4:AMX18">
    <sortCondition ref="A4:A18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EBEF6-D955-304A-9E6E-C543E0C3E271}">
  <dimension ref="A1:N66"/>
  <sheetViews>
    <sheetView workbookViewId="0">
      <pane ySplit="13" topLeftCell="A14" activePane="bottomLeft" state="frozen"/>
      <selection pane="bottomLeft" activeCell="E10" sqref="E10:E11"/>
    </sheetView>
  </sheetViews>
  <sheetFormatPr baseColWidth="10" defaultColWidth="11" defaultRowHeight="16" x14ac:dyDescent="0.2"/>
  <cols>
    <col min="3" max="3" width="20.5" customWidth="1"/>
    <col min="4" max="4" width="8.5" style="3" customWidth="1"/>
    <col min="5" max="5" width="50.6640625" customWidth="1"/>
    <col min="6" max="6" width="13.6640625" style="3" customWidth="1"/>
    <col min="8" max="8" width="29.1640625" bestFit="1" customWidth="1"/>
  </cols>
  <sheetData>
    <row r="1" spans="1:9" s="74" customFormat="1" ht="44" customHeight="1" x14ac:dyDescent="0.2">
      <c r="A1" s="73" t="s">
        <v>66</v>
      </c>
      <c r="D1" s="75"/>
      <c r="F1" s="75"/>
      <c r="H1" s="76" t="s">
        <v>67</v>
      </c>
    </row>
    <row r="2" spans="1:9" s="74" customFormat="1" ht="17" x14ac:dyDescent="0.2">
      <c r="A2" s="74" t="s">
        <v>68</v>
      </c>
      <c r="D2" s="75"/>
      <c r="F2" s="75"/>
      <c r="H2" s="97" t="s">
        <v>69</v>
      </c>
      <c r="I2" s="98" t="s">
        <v>70</v>
      </c>
    </row>
    <row r="3" spans="1:9" s="74" customFormat="1" ht="17" x14ac:dyDescent="0.2">
      <c r="A3" s="74" t="s">
        <v>71</v>
      </c>
      <c r="D3" s="75"/>
      <c r="F3" s="75"/>
      <c r="H3" s="97" t="s">
        <v>72</v>
      </c>
      <c r="I3" s="98" t="s">
        <v>70</v>
      </c>
    </row>
    <row r="4" spans="1:9" s="74" customFormat="1" ht="17" x14ac:dyDescent="0.2">
      <c r="A4" s="74" t="s">
        <v>73</v>
      </c>
      <c r="D4" s="75"/>
      <c r="F4" s="75"/>
      <c r="H4" s="97" t="s">
        <v>74</v>
      </c>
      <c r="I4" s="98" t="s">
        <v>75</v>
      </c>
    </row>
    <row r="5" spans="1:9" s="74" customFormat="1" ht="17" x14ac:dyDescent="0.2">
      <c r="D5" s="75"/>
      <c r="F5" s="75"/>
      <c r="H5" s="97" t="s">
        <v>76</v>
      </c>
      <c r="I5" s="98" t="s">
        <v>75</v>
      </c>
    </row>
    <row r="6" spans="1:9" s="74" customFormat="1" ht="17" x14ac:dyDescent="0.2">
      <c r="D6" s="75"/>
      <c r="F6" s="75"/>
      <c r="H6" s="97" t="s">
        <v>77</v>
      </c>
      <c r="I6" s="98" t="s">
        <v>78</v>
      </c>
    </row>
    <row r="7" spans="1:9" s="74" customFormat="1" ht="17" x14ac:dyDescent="0.2">
      <c r="A7" s="76" t="s">
        <v>79</v>
      </c>
      <c r="D7" s="75"/>
      <c r="F7" s="75"/>
      <c r="H7" s="97" t="s">
        <v>80</v>
      </c>
      <c r="I7" s="98" t="s">
        <v>81</v>
      </c>
    </row>
    <row r="8" spans="1:9" s="74" customFormat="1" ht="17" x14ac:dyDescent="0.2">
      <c r="D8" s="75"/>
      <c r="F8" s="75"/>
    </row>
    <row r="9" spans="1:9" s="74" customFormat="1" ht="17" x14ac:dyDescent="0.2">
      <c r="D9" s="75"/>
      <c r="F9" s="75"/>
      <c r="H9" s="77"/>
    </row>
    <row r="10" spans="1:9" s="74" customFormat="1" ht="17" x14ac:dyDescent="0.2">
      <c r="D10" s="75"/>
      <c r="F10" s="75"/>
      <c r="H10" s="77"/>
    </row>
    <row r="11" spans="1:9" s="74" customFormat="1" ht="17" x14ac:dyDescent="0.2">
      <c r="A11" s="85"/>
      <c r="D11" s="75"/>
      <c r="F11" s="75"/>
      <c r="H11" s="77"/>
    </row>
    <row r="13" spans="1:9" ht="34" x14ac:dyDescent="0.2">
      <c r="A13" t="s">
        <v>82</v>
      </c>
      <c r="B13" t="s">
        <v>83</v>
      </c>
      <c r="C13" t="s">
        <v>84</v>
      </c>
      <c r="D13" s="3" t="s">
        <v>85</v>
      </c>
      <c r="E13" t="s">
        <v>86</v>
      </c>
      <c r="F13" s="2" t="s">
        <v>87</v>
      </c>
      <c r="G13" t="s">
        <v>88</v>
      </c>
    </row>
    <row r="14" spans="1:9" x14ac:dyDescent="0.2">
      <c r="A14" s="72">
        <v>45071</v>
      </c>
      <c r="B14" s="72" t="s">
        <v>92</v>
      </c>
      <c r="C14" t="s">
        <v>28</v>
      </c>
    </row>
    <row r="15" spans="1:9" x14ac:dyDescent="0.2">
      <c r="A15" s="72">
        <v>45073</v>
      </c>
      <c r="B15" t="s">
        <v>92</v>
      </c>
      <c r="C15" t="s">
        <v>42</v>
      </c>
      <c r="F15" s="2"/>
    </row>
    <row r="16" spans="1:9" x14ac:dyDescent="0.2">
      <c r="A16" s="72">
        <v>45083</v>
      </c>
      <c r="B16" t="s">
        <v>92</v>
      </c>
      <c r="C16" t="s">
        <v>39</v>
      </c>
      <c r="F16" s="2"/>
    </row>
    <row r="17" spans="1:7" x14ac:dyDescent="0.2">
      <c r="A17" s="72">
        <v>45108</v>
      </c>
      <c r="B17" s="72" t="s">
        <v>89</v>
      </c>
      <c r="C17" t="s">
        <v>90</v>
      </c>
      <c r="D17" s="3">
        <v>1</v>
      </c>
      <c r="F17" s="9">
        <v>45121</v>
      </c>
    </row>
    <row r="18" spans="1:7" x14ac:dyDescent="0.2">
      <c r="A18" s="72">
        <v>45109</v>
      </c>
      <c r="B18" s="72" t="s">
        <v>89</v>
      </c>
      <c r="C18" t="s">
        <v>48</v>
      </c>
      <c r="D18" s="3">
        <v>1</v>
      </c>
      <c r="F18" s="9">
        <v>45122</v>
      </c>
    </row>
    <row r="19" spans="1:7" x14ac:dyDescent="0.2">
      <c r="A19" s="72">
        <v>45110</v>
      </c>
      <c r="B19" s="72" t="s">
        <v>89</v>
      </c>
      <c r="C19" t="s">
        <v>91</v>
      </c>
      <c r="D19" s="3">
        <v>1</v>
      </c>
      <c r="F19" s="9">
        <v>45124</v>
      </c>
    </row>
    <row r="20" spans="1:7" x14ac:dyDescent="0.2">
      <c r="A20" s="72">
        <v>45110</v>
      </c>
      <c r="B20" s="72" t="s">
        <v>89</v>
      </c>
      <c r="C20" t="s">
        <v>28</v>
      </c>
      <c r="D20" s="3">
        <v>1</v>
      </c>
      <c r="F20" s="9">
        <v>45124</v>
      </c>
    </row>
    <row r="21" spans="1:7" x14ac:dyDescent="0.2">
      <c r="A21" s="72">
        <v>45116</v>
      </c>
      <c r="B21" s="72" t="s">
        <v>89</v>
      </c>
      <c r="C21" t="s">
        <v>39</v>
      </c>
      <c r="D21" s="3">
        <v>1</v>
      </c>
      <c r="F21" s="102">
        <v>45130</v>
      </c>
    </row>
    <row r="22" spans="1:7" x14ac:dyDescent="0.2">
      <c r="A22" s="72">
        <v>45122</v>
      </c>
      <c r="B22" s="72" t="s">
        <v>89</v>
      </c>
      <c r="C22" t="s">
        <v>48</v>
      </c>
      <c r="D22" s="3">
        <v>2</v>
      </c>
      <c r="F22" s="5">
        <v>45139</v>
      </c>
    </row>
    <row r="23" spans="1:7" x14ac:dyDescent="0.2">
      <c r="A23" s="72">
        <v>45124</v>
      </c>
      <c r="B23" s="72" t="s">
        <v>89</v>
      </c>
      <c r="C23" t="s">
        <v>90</v>
      </c>
      <c r="D23" s="3">
        <v>2</v>
      </c>
      <c r="F23" s="84">
        <v>45139</v>
      </c>
    </row>
    <row r="24" spans="1:7" x14ac:dyDescent="0.2">
      <c r="A24" s="72">
        <v>45124</v>
      </c>
      <c r="B24" s="72" t="s">
        <v>92</v>
      </c>
      <c r="C24" t="s">
        <v>39</v>
      </c>
      <c r="F24" s="84"/>
    </row>
    <row r="25" spans="1:7" x14ac:dyDescent="0.2">
      <c r="A25" s="72">
        <v>45124</v>
      </c>
      <c r="B25" s="72" t="s">
        <v>92</v>
      </c>
      <c r="C25" t="s">
        <v>28</v>
      </c>
      <c r="F25" s="84"/>
    </row>
    <row r="26" spans="1:7" x14ac:dyDescent="0.2">
      <c r="A26" s="72">
        <v>45126</v>
      </c>
      <c r="B26" s="72" t="s">
        <v>92</v>
      </c>
      <c r="C26" t="s">
        <v>42</v>
      </c>
      <c r="F26" s="84"/>
    </row>
    <row r="27" spans="1:7" x14ac:dyDescent="0.2">
      <c r="A27" s="72">
        <v>45127</v>
      </c>
      <c r="B27" s="72" t="s">
        <v>89</v>
      </c>
      <c r="C27" t="s">
        <v>42</v>
      </c>
      <c r="G27" s="24" t="s">
        <v>161</v>
      </c>
    </row>
    <row r="28" spans="1:7" x14ac:dyDescent="0.2">
      <c r="A28" s="72">
        <v>45136</v>
      </c>
      <c r="B28" s="72" t="s">
        <v>89</v>
      </c>
      <c r="C28" t="s">
        <v>91</v>
      </c>
      <c r="D28" s="3">
        <v>2</v>
      </c>
      <c r="E28" s="16"/>
      <c r="F28" s="84">
        <v>45150</v>
      </c>
    </row>
    <row r="29" spans="1:7" x14ac:dyDescent="0.2">
      <c r="A29" s="72">
        <v>45137</v>
      </c>
      <c r="B29" s="72" t="s">
        <v>89</v>
      </c>
      <c r="C29" t="s">
        <v>39</v>
      </c>
      <c r="D29" s="3">
        <v>2</v>
      </c>
      <c r="E29" s="16"/>
      <c r="F29" s="84">
        <v>45152</v>
      </c>
    </row>
    <row r="30" spans="1:7" x14ac:dyDescent="0.2">
      <c r="A30" s="72">
        <v>45138</v>
      </c>
      <c r="B30" s="72" t="s">
        <v>92</v>
      </c>
      <c r="C30" t="s">
        <v>39</v>
      </c>
    </row>
    <row r="31" spans="1:7" x14ac:dyDescent="0.2">
      <c r="A31" s="72">
        <v>45139</v>
      </c>
      <c r="B31" s="72" t="s">
        <v>89</v>
      </c>
      <c r="C31" t="s">
        <v>90</v>
      </c>
      <c r="D31" s="3">
        <v>3</v>
      </c>
      <c r="E31" s="16"/>
      <c r="F31" s="84">
        <v>45153</v>
      </c>
    </row>
    <row r="32" spans="1:7" x14ac:dyDescent="0.2">
      <c r="A32" s="72">
        <v>45139</v>
      </c>
      <c r="B32" s="72" t="s">
        <v>92</v>
      </c>
      <c r="C32" t="s">
        <v>28</v>
      </c>
    </row>
    <row r="33" spans="1:14" x14ac:dyDescent="0.2">
      <c r="A33" s="72">
        <v>45139</v>
      </c>
      <c r="B33" s="72" t="s">
        <v>92</v>
      </c>
      <c r="C33" t="s">
        <v>42</v>
      </c>
    </row>
    <row r="34" spans="1:14" x14ac:dyDescent="0.2">
      <c r="A34" s="72">
        <v>45139</v>
      </c>
      <c r="B34" s="72" t="s">
        <v>92</v>
      </c>
      <c r="C34" t="s">
        <v>39</v>
      </c>
      <c r="E34" t="s">
        <v>93</v>
      </c>
      <c r="F34" s="84"/>
    </row>
    <row r="35" spans="1:14" ht="17" x14ac:dyDescent="0.2">
      <c r="A35" s="72">
        <v>45148</v>
      </c>
      <c r="B35" s="116" t="s">
        <v>162</v>
      </c>
      <c r="C35" t="s">
        <v>48</v>
      </c>
      <c r="E35" s="16" t="s">
        <v>163</v>
      </c>
      <c r="F35" s="84"/>
    </row>
    <row r="36" spans="1:14" x14ac:dyDescent="0.2">
      <c r="A36" s="72">
        <v>45150</v>
      </c>
      <c r="B36" s="72" t="s">
        <v>89</v>
      </c>
      <c r="C36" t="s">
        <v>48</v>
      </c>
      <c r="D36" s="3">
        <v>3</v>
      </c>
      <c r="F36" s="84">
        <v>45168</v>
      </c>
    </row>
    <row r="37" spans="1:14" x14ac:dyDescent="0.2">
      <c r="A37" s="72">
        <v>45150</v>
      </c>
      <c r="B37" s="72" t="s">
        <v>89</v>
      </c>
      <c r="C37" t="s">
        <v>39</v>
      </c>
      <c r="F37" s="5">
        <v>45165</v>
      </c>
    </row>
    <row r="38" spans="1:14" x14ac:dyDescent="0.2">
      <c r="A38" s="72">
        <v>45153</v>
      </c>
      <c r="B38" s="72" t="s">
        <v>92</v>
      </c>
      <c r="C38" t="s">
        <v>39</v>
      </c>
      <c r="F38" s="2"/>
      <c r="H38" s="121" t="s">
        <v>94</v>
      </c>
      <c r="I38" s="121"/>
      <c r="J38" s="121"/>
      <c r="K38" s="121"/>
      <c r="L38" s="121"/>
      <c r="M38" s="121"/>
      <c r="N38" s="121"/>
    </row>
    <row r="39" spans="1:14" x14ac:dyDescent="0.2">
      <c r="A39" s="72">
        <v>45154</v>
      </c>
      <c r="B39" s="72" t="s">
        <v>89</v>
      </c>
      <c r="C39" t="s">
        <v>91</v>
      </c>
      <c r="D39" s="3">
        <v>3</v>
      </c>
      <c r="F39" s="86">
        <v>45168</v>
      </c>
      <c r="H39" s="82"/>
      <c r="I39" s="82"/>
      <c r="J39" s="122" t="s">
        <v>169</v>
      </c>
      <c r="K39" s="123"/>
      <c r="L39" s="123"/>
      <c r="M39" s="123"/>
    </row>
    <row r="40" spans="1:14" x14ac:dyDescent="0.2">
      <c r="A40" s="72">
        <v>45154</v>
      </c>
      <c r="B40" s="72" t="s">
        <v>92</v>
      </c>
      <c r="C40" t="s">
        <v>28</v>
      </c>
      <c r="H40" s="78" t="s">
        <v>84</v>
      </c>
      <c r="I40" s="78" t="s">
        <v>95</v>
      </c>
      <c r="J40" s="114" t="s">
        <v>170</v>
      </c>
      <c r="K40" s="114" t="s">
        <v>171</v>
      </c>
      <c r="L40" s="114" t="s">
        <v>172</v>
      </c>
      <c r="M40" s="115" t="s">
        <v>173</v>
      </c>
    </row>
    <row r="41" spans="1:14" x14ac:dyDescent="0.2">
      <c r="A41" s="72">
        <v>45155</v>
      </c>
      <c r="B41" s="72" t="s">
        <v>89</v>
      </c>
      <c r="C41" t="s">
        <v>90</v>
      </c>
      <c r="D41" s="3">
        <v>4</v>
      </c>
      <c r="F41" s="86">
        <v>45170</v>
      </c>
      <c r="H41" s="79" t="s">
        <v>96</v>
      </c>
      <c r="I41" s="105">
        <v>45048</v>
      </c>
      <c r="J41" s="119">
        <v>45073</v>
      </c>
      <c r="K41" s="106">
        <v>45126</v>
      </c>
      <c r="L41" s="106">
        <v>45139</v>
      </c>
      <c r="M41" s="107">
        <v>45155</v>
      </c>
    </row>
    <row r="42" spans="1:14" x14ac:dyDescent="0.2">
      <c r="A42" s="72">
        <v>45155</v>
      </c>
      <c r="B42" t="s">
        <v>92</v>
      </c>
      <c r="C42" t="s">
        <v>42</v>
      </c>
      <c r="H42" s="80" t="s">
        <v>97</v>
      </c>
      <c r="I42" s="105">
        <v>45065</v>
      </c>
      <c r="J42" s="119">
        <v>45083</v>
      </c>
      <c r="K42" s="108">
        <v>45124</v>
      </c>
      <c r="L42" s="106">
        <v>45138</v>
      </c>
      <c r="M42" s="109">
        <v>45153</v>
      </c>
    </row>
    <row r="43" spans="1:14" x14ac:dyDescent="0.2">
      <c r="A43" s="72">
        <v>45156</v>
      </c>
      <c r="B43" s="72" t="s">
        <v>89</v>
      </c>
      <c r="C43" t="s">
        <v>42</v>
      </c>
      <c r="D43" s="3">
        <v>2</v>
      </c>
      <c r="F43" s="86">
        <v>45172</v>
      </c>
      <c r="H43" s="81" t="s">
        <v>98</v>
      </c>
      <c r="I43" s="110">
        <v>45050</v>
      </c>
      <c r="J43" s="111">
        <v>45071</v>
      </c>
      <c r="K43" s="112">
        <v>45124</v>
      </c>
      <c r="L43" s="112">
        <v>45139</v>
      </c>
      <c r="M43" s="113">
        <v>45154</v>
      </c>
    </row>
    <row r="44" spans="1:14" x14ac:dyDescent="0.2">
      <c r="A44" s="72">
        <v>45168</v>
      </c>
      <c r="B44" s="72" t="s">
        <v>89</v>
      </c>
      <c r="C44" t="s">
        <v>39</v>
      </c>
      <c r="F44" s="86">
        <v>45183</v>
      </c>
      <c r="I44" s="117"/>
      <c r="M44" s="118"/>
    </row>
    <row r="45" spans="1:14" x14ac:dyDescent="0.2">
      <c r="A45" s="72">
        <v>45169</v>
      </c>
      <c r="B45" s="72" t="s">
        <v>89</v>
      </c>
      <c r="C45" t="s">
        <v>48</v>
      </c>
      <c r="D45" s="3">
        <v>4</v>
      </c>
      <c r="F45" s="5">
        <v>45184</v>
      </c>
    </row>
    <row r="46" spans="1:14" x14ac:dyDescent="0.2">
      <c r="A46" s="72">
        <v>45170</v>
      </c>
      <c r="B46" s="72" t="s">
        <v>89</v>
      </c>
      <c r="C46" t="s">
        <v>90</v>
      </c>
      <c r="D46" s="3">
        <v>5</v>
      </c>
      <c r="F46" s="5">
        <v>45184</v>
      </c>
    </row>
    <row r="47" spans="1:14" x14ac:dyDescent="0.2">
      <c r="A47" s="72">
        <v>45170</v>
      </c>
      <c r="B47" s="72" t="s">
        <v>89</v>
      </c>
      <c r="C47" t="s">
        <v>91</v>
      </c>
      <c r="D47" s="3">
        <v>4</v>
      </c>
      <c r="F47" s="5">
        <v>45184</v>
      </c>
    </row>
    <row r="48" spans="1:14" x14ac:dyDescent="0.2">
      <c r="A48" s="72">
        <v>45171</v>
      </c>
      <c r="B48" s="72" t="s">
        <v>89</v>
      </c>
      <c r="C48" t="s">
        <v>39</v>
      </c>
      <c r="D48" s="3">
        <v>4</v>
      </c>
      <c r="F48" s="5">
        <v>45185</v>
      </c>
    </row>
    <row r="49" spans="1:6" x14ac:dyDescent="0.2">
      <c r="A49" s="72">
        <v>45173</v>
      </c>
      <c r="B49" s="72" t="s">
        <v>89</v>
      </c>
      <c r="C49" t="s">
        <v>28</v>
      </c>
      <c r="D49" s="3">
        <v>3</v>
      </c>
      <c r="F49" s="5">
        <v>45183</v>
      </c>
    </row>
    <row r="50" spans="1:6" x14ac:dyDescent="0.2">
      <c r="A50" s="72">
        <v>45176</v>
      </c>
      <c r="B50" s="72" t="s">
        <v>89</v>
      </c>
      <c r="C50" t="s">
        <v>42</v>
      </c>
      <c r="D50" s="3">
        <v>3</v>
      </c>
      <c r="F50" s="5">
        <v>45186</v>
      </c>
    </row>
    <row r="51" spans="1:6" x14ac:dyDescent="0.2">
      <c r="A51" s="72">
        <v>45185</v>
      </c>
      <c r="B51" s="72" t="s">
        <v>89</v>
      </c>
      <c r="C51" t="s">
        <v>91</v>
      </c>
      <c r="D51" s="3">
        <v>5</v>
      </c>
      <c r="F51" s="5" t="s">
        <v>165</v>
      </c>
    </row>
    <row r="52" spans="1:6" x14ac:dyDescent="0.2">
      <c r="A52" s="72">
        <v>45186</v>
      </c>
      <c r="B52" s="72" t="s">
        <v>89</v>
      </c>
      <c r="C52" t="s">
        <v>90</v>
      </c>
      <c r="D52" s="3">
        <v>6</v>
      </c>
      <c r="F52" s="5" t="s">
        <v>165</v>
      </c>
    </row>
    <row r="53" spans="1:6" x14ac:dyDescent="0.2">
      <c r="A53" s="72">
        <v>45187</v>
      </c>
      <c r="B53" s="72" t="s">
        <v>89</v>
      </c>
      <c r="C53" t="s">
        <v>42</v>
      </c>
      <c r="D53" s="3">
        <v>4</v>
      </c>
      <c r="F53" s="5">
        <v>45197</v>
      </c>
    </row>
    <row r="54" spans="1:6" x14ac:dyDescent="0.2">
      <c r="A54" s="72">
        <v>45195</v>
      </c>
      <c r="B54" s="72" t="s">
        <v>89</v>
      </c>
      <c r="C54" t="s">
        <v>48</v>
      </c>
      <c r="D54" s="3">
        <v>5</v>
      </c>
      <c r="F54" s="5" t="s">
        <v>165</v>
      </c>
    </row>
    <row r="55" spans="1:6" x14ac:dyDescent="0.2">
      <c r="A55" s="72">
        <v>45199</v>
      </c>
      <c r="B55" s="72" t="s">
        <v>89</v>
      </c>
      <c r="C55" t="s">
        <v>28</v>
      </c>
      <c r="D55" s="3">
        <v>5</v>
      </c>
      <c r="F55" s="5" t="s">
        <v>165</v>
      </c>
    </row>
    <row r="56" spans="1:6" x14ac:dyDescent="0.2">
      <c r="A56" s="72"/>
    </row>
    <row r="58" spans="1:6" x14ac:dyDescent="0.2">
      <c r="A58" s="72"/>
    </row>
    <row r="59" spans="1:6" x14ac:dyDescent="0.2">
      <c r="A59" s="72"/>
    </row>
    <row r="60" spans="1:6" x14ac:dyDescent="0.2">
      <c r="A60" s="72"/>
    </row>
    <row r="61" spans="1:6" x14ac:dyDescent="0.2">
      <c r="A61" s="72"/>
    </row>
    <row r="62" spans="1:6" x14ac:dyDescent="0.2">
      <c r="A62" s="72"/>
    </row>
    <row r="63" spans="1:6" x14ac:dyDescent="0.2">
      <c r="A63" s="72"/>
    </row>
    <row r="64" spans="1:6" x14ac:dyDescent="0.2">
      <c r="A64" s="72"/>
    </row>
    <row r="65" spans="1:1" x14ac:dyDescent="0.2">
      <c r="A65" s="72"/>
    </row>
    <row r="66" spans="1:1" x14ac:dyDescent="0.2">
      <c r="A66" s="72"/>
    </row>
  </sheetData>
  <autoFilter ref="A13:G13" xr:uid="{2A9EBEF6-D955-304A-9E6E-C543E0C3E271}">
    <sortState xmlns:xlrd2="http://schemas.microsoft.com/office/spreadsheetml/2017/richdata2" ref="A14:G55">
      <sortCondition ref="A13:A55"/>
    </sortState>
  </autoFilter>
  <mergeCells count="2">
    <mergeCell ref="H38:N38"/>
    <mergeCell ref="J39:M39"/>
  </mergeCells>
  <phoneticPr fontId="20" type="noConversion"/>
  <conditionalFormatting sqref="J41:J43 L41:L43">
    <cfRule type="containsBlanks" dxfId="0" priority="5">
      <formula>LEN(TRIM(J41))=0</formula>
    </cfRule>
    <cfRule type="notContainsBlanks" priority="6">
      <formula>LEN(TRIM(J41))&gt;0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C51AB-3A4D-4F4A-B73D-DA67901D6D8C}">
  <dimension ref="A1:O34"/>
  <sheetViews>
    <sheetView workbookViewId="0">
      <selection activeCell="K22" sqref="K22"/>
    </sheetView>
  </sheetViews>
  <sheetFormatPr baseColWidth="10" defaultColWidth="10.83203125" defaultRowHeight="16" x14ac:dyDescent="0.2"/>
  <cols>
    <col min="1" max="1" width="5.6640625" style="3" customWidth="1"/>
    <col min="2" max="2" width="24.33203125" bestFit="1" customWidth="1"/>
    <col min="4" max="4" width="18.5" customWidth="1"/>
    <col min="5" max="5" width="18.33203125" style="3" customWidth="1"/>
    <col min="6" max="6" width="12.6640625" style="3" customWidth="1"/>
    <col min="7" max="7" width="12.83203125" style="3" bestFit="1" customWidth="1"/>
    <col min="8" max="8" width="12" style="3" bestFit="1" customWidth="1"/>
    <col min="9" max="9" width="12.83203125" style="3" customWidth="1"/>
    <col min="10" max="10" width="17.5" style="3" customWidth="1"/>
    <col min="11" max="11" width="16.83203125" style="3" customWidth="1"/>
    <col min="12" max="12" width="17.6640625" bestFit="1" customWidth="1"/>
    <col min="13" max="13" width="15.1640625" customWidth="1"/>
    <col min="14" max="14" width="11.5" bestFit="1" customWidth="1"/>
  </cols>
  <sheetData>
    <row r="1" spans="1:15" s="16" customFormat="1" ht="51" x14ac:dyDescent="0.2">
      <c r="A1" s="2"/>
      <c r="B1" s="14" t="s">
        <v>99</v>
      </c>
      <c r="C1" s="14" t="s">
        <v>100</v>
      </c>
      <c r="D1" s="15" t="s">
        <v>101</v>
      </c>
      <c r="E1" s="15" t="s">
        <v>102</v>
      </c>
      <c r="F1" s="15" t="s">
        <v>103</v>
      </c>
      <c r="G1" s="15" t="s">
        <v>104</v>
      </c>
      <c r="H1" s="15" t="s">
        <v>105</v>
      </c>
      <c r="I1" s="15" t="s">
        <v>106</v>
      </c>
      <c r="J1" s="15" t="s">
        <v>107</v>
      </c>
      <c r="K1" s="15" t="s">
        <v>108</v>
      </c>
      <c r="L1" s="15" t="s">
        <v>109</v>
      </c>
      <c r="M1" s="15" t="s">
        <v>110</v>
      </c>
      <c r="N1" s="15" t="s">
        <v>111</v>
      </c>
    </row>
    <row r="2" spans="1:15" x14ac:dyDescent="0.2">
      <c r="A2" s="3">
        <v>1</v>
      </c>
      <c r="B2" s="17" t="s">
        <v>112</v>
      </c>
      <c r="C2" s="17" t="s">
        <v>113</v>
      </c>
      <c r="D2" s="17" t="s">
        <v>114</v>
      </c>
      <c r="E2" s="18">
        <f>(114)*2+4</f>
        <v>232</v>
      </c>
      <c r="F2" s="19">
        <f>(120/12)*20*E2</f>
        <v>46400</v>
      </c>
      <c r="G2" s="20">
        <f>F2/43560</f>
        <v>1.0651974288337924</v>
      </c>
      <c r="H2" s="18" t="s">
        <v>115</v>
      </c>
      <c r="I2" s="21">
        <v>26</v>
      </c>
      <c r="J2" s="22">
        <f>E2*I2</f>
        <v>6032</v>
      </c>
      <c r="K2" s="22"/>
      <c r="L2" s="23"/>
      <c r="M2" s="23"/>
      <c r="N2" s="23"/>
    </row>
    <row r="3" spans="1:15" x14ac:dyDescent="0.2">
      <c r="A3" s="3">
        <v>3</v>
      </c>
      <c r="B3" s="17" t="s">
        <v>97</v>
      </c>
      <c r="C3" s="17" t="s">
        <v>113</v>
      </c>
      <c r="D3" s="17"/>
      <c r="E3" s="18">
        <f>(83+119+83)*2+12</f>
        <v>582</v>
      </c>
      <c r="F3" s="19">
        <f t="shared" ref="F3:F8" si="0">(120/12)*20*E3</f>
        <v>116400</v>
      </c>
      <c r="G3" s="20">
        <f t="shared" ref="G3:G17" si="1">F3/43560</f>
        <v>2.672176308539945</v>
      </c>
      <c r="H3" s="18" t="s">
        <v>115</v>
      </c>
      <c r="I3" s="21">
        <v>26</v>
      </c>
      <c r="J3" s="22">
        <f>E3*I3</f>
        <v>15132</v>
      </c>
      <c r="K3" s="22"/>
      <c r="L3" s="23"/>
      <c r="M3" s="23"/>
      <c r="N3" s="23"/>
    </row>
    <row r="4" spans="1:15" x14ac:dyDescent="0.2">
      <c r="A4" s="3">
        <v>5</v>
      </c>
      <c r="B4" s="17" t="s">
        <v>116</v>
      </c>
      <c r="C4" s="17" t="s">
        <v>113</v>
      </c>
      <c r="D4" s="17"/>
      <c r="E4" s="18">
        <f>(83+114+83)*2+12</f>
        <v>572</v>
      </c>
      <c r="F4" s="19">
        <f t="shared" si="0"/>
        <v>114400</v>
      </c>
      <c r="G4" s="20">
        <f t="shared" si="1"/>
        <v>2.6262626262626263</v>
      </c>
      <c r="H4" s="18" t="s">
        <v>115</v>
      </c>
      <c r="I4" s="21">
        <v>26</v>
      </c>
      <c r="J4" s="22">
        <f>E4*I4</f>
        <v>14872</v>
      </c>
      <c r="K4" s="22">
        <v>8895</v>
      </c>
      <c r="L4" s="23">
        <v>16915</v>
      </c>
      <c r="M4" s="22">
        <v>11569</v>
      </c>
      <c r="N4" s="22">
        <v>19589</v>
      </c>
      <c r="O4" s="24" t="s">
        <v>117</v>
      </c>
    </row>
    <row r="5" spans="1:15" x14ac:dyDescent="0.2">
      <c r="A5" s="3">
        <v>7</v>
      </c>
      <c r="B5" t="s">
        <v>118</v>
      </c>
      <c r="C5" t="s">
        <v>113</v>
      </c>
      <c r="E5" s="3">
        <v>563</v>
      </c>
      <c r="F5" s="25">
        <f t="shared" si="0"/>
        <v>112600</v>
      </c>
      <c r="G5" s="26">
        <f t="shared" si="1"/>
        <v>2.5849403122130394</v>
      </c>
      <c r="H5" s="3" t="s">
        <v>115</v>
      </c>
      <c r="I5" s="27"/>
      <c r="J5" s="28"/>
      <c r="K5" s="28"/>
      <c r="L5" s="29"/>
      <c r="M5" s="29"/>
      <c r="N5" s="29"/>
    </row>
    <row r="6" spans="1:15" x14ac:dyDescent="0.2">
      <c r="A6" s="3">
        <v>9</v>
      </c>
      <c r="B6" t="s">
        <v>119</v>
      </c>
      <c r="C6" t="s">
        <v>113</v>
      </c>
      <c r="D6" s="3" t="s">
        <v>120</v>
      </c>
      <c r="E6" s="3">
        <v>144</v>
      </c>
      <c r="F6" s="25">
        <f t="shared" si="0"/>
        <v>28800</v>
      </c>
      <c r="G6" s="26">
        <f t="shared" si="1"/>
        <v>0.66115702479338845</v>
      </c>
      <c r="H6" s="3" t="s">
        <v>115</v>
      </c>
      <c r="I6" s="30">
        <v>25</v>
      </c>
      <c r="J6" s="28">
        <f>E6*I6</f>
        <v>3600</v>
      </c>
      <c r="K6" s="28"/>
      <c r="L6" s="29"/>
      <c r="M6" s="29"/>
      <c r="N6" s="29"/>
    </row>
    <row r="7" spans="1:15" x14ac:dyDescent="0.2">
      <c r="A7" s="3">
        <v>11</v>
      </c>
      <c r="B7" t="s">
        <v>121</v>
      </c>
      <c r="C7" t="s">
        <v>113</v>
      </c>
      <c r="F7" s="25">
        <f t="shared" si="0"/>
        <v>0</v>
      </c>
      <c r="G7" s="26">
        <f t="shared" si="1"/>
        <v>0</v>
      </c>
      <c r="H7" s="3" t="s">
        <v>115</v>
      </c>
      <c r="I7" s="30">
        <v>25</v>
      </c>
      <c r="J7" s="28">
        <f>E7*I7</f>
        <v>0</v>
      </c>
      <c r="K7" s="28"/>
      <c r="L7" s="29"/>
      <c r="M7" s="29"/>
      <c r="N7" s="29"/>
    </row>
    <row r="8" spans="1:15" x14ac:dyDescent="0.2">
      <c r="A8" s="3">
        <v>13</v>
      </c>
      <c r="B8" t="s">
        <v>122</v>
      </c>
      <c r="C8" t="s">
        <v>113</v>
      </c>
      <c r="D8" s="3" t="s">
        <v>120</v>
      </c>
      <c r="E8" s="3">
        <v>240</v>
      </c>
      <c r="F8" s="25">
        <f t="shared" si="0"/>
        <v>48000</v>
      </c>
      <c r="G8" s="26">
        <f t="shared" si="1"/>
        <v>1.1019283746556474</v>
      </c>
      <c r="H8" s="3" t="s">
        <v>115</v>
      </c>
      <c r="I8" s="30">
        <v>25</v>
      </c>
      <c r="J8" s="28">
        <f>E8*I8</f>
        <v>6000</v>
      </c>
      <c r="K8" s="28"/>
      <c r="L8" s="29"/>
      <c r="M8" s="29"/>
      <c r="N8" s="29"/>
    </row>
    <row r="9" spans="1:15" x14ac:dyDescent="0.2">
      <c r="A9" s="3">
        <v>15</v>
      </c>
      <c r="B9" t="s">
        <v>123</v>
      </c>
      <c r="C9" t="s">
        <v>113</v>
      </c>
      <c r="E9" s="3">
        <f>(82+107+82)*2+4+4+4</f>
        <v>554</v>
      </c>
      <c r="F9" s="25">
        <f>(120/12)*20*E9</f>
        <v>110800</v>
      </c>
      <c r="G9" s="26">
        <f t="shared" si="1"/>
        <v>2.5436179981634526</v>
      </c>
      <c r="H9" s="3" t="s">
        <v>115</v>
      </c>
      <c r="I9" s="27">
        <v>35</v>
      </c>
      <c r="J9" s="28">
        <f>E9*I9</f>
        <v>19390</v>
      </c>
      <c r="K9" s="28"/>
      <c r="L9" s="29"/>
      <c r="M9" s="29"/>
      <c r="N9" s="29"/>
    </row>
    <row r="10" spans="1:15" x14ac:dyDescent="0.2">
      <c r="A10" s="3">
        <v>2</v>
      </c>
      <c r="B10" s="17" t="s">
        <v>112</v>
      </c>
      <c r="C10" s="17" t="s">
        <v>124</v>
      </c>
      <c r="D10" s="17" t="s">
        <v>125</v>
      </c>
      <c r="E10" s="18">
        <f>396*2*1</f>
        <v>792</v>
      </c>
      <c r="F10" s="19">
        <f>(60/12)*10*E10</f>
        <v>39600</v>
      </c>
      <c r="G10" s="20">
        <f t="shared" si="1"/>
        <v>0.90909090909090906</v>
      </c>
      <c r="H10" s="18"/>
      <c r="I10" s="21">
        <v>6</v>
      </c>
      <c r="J10" s="22">
        <f>I10*E10</f>
        <v>4752</v>
      </c>
      <c r="K10" s="22"/>
      <c r="L10" s="23"/>
      <c r="M10" s="23"/>
      <c r="N10" s="23"/>
    </row>
    <row r="11" spans="1:15" x14ac:dyDescent="0.2">
      <c r="A11" s="3">
        <v>4</v>
      </c>
      <c r="B11" s="17" t="s">
        <v>97</v>
      </c>
      <c r="C11" s="17" t="s">
        <v>124</v>
      </c>
      <c r="D11" s="17" t="s">
        <v>125</v>
      </c>
      <c r="E11" s="18">
        <f>396*2*3</f>
        <v>2376</v>
      </c>
      <c r="F11" s="19">
        <f>(60/12)*10*E11</f>
        <v>118800</v>
      </c>
      <c r="G11" s="20">
        <f t="shared" si="1"/>
        <v>2.7272727272727271</v>
      </c>
      <c r="H11" s="18"/>
      <c r="I11" s="21">
        <v>6</v>
      </c>
      <c r="J11" s="22">
        <f>I11*(E11+600)</f>
        <v>17856</v>
      </c>
      <c r="K11" s="22"/>
      <c r="L11" s="23"/>
      <c r="M11" s="23"/>
      <c r="N11" s="23"/>
    </row>
    <row r="12" spans="1:15" x14ac:dyDescent="0.2">
      <c r="A12" s="3">
        <v>6</v>
      </c>
      <c r="B12" s="17" t="s">
        <v>116</v>
      </c>
      <c r="C12" s="17" t="s">
        <v>124</v>
      </c>
      <c r="D12" s="17" t="s">
        <v>125</v>
      </c>
      <c r="E12" s="18">
        <f>396*2*3</f>
        <v>2376</v>
      </c>
      <c r="F12" s="19">
        <f t="shared" ref="F12:F17" si="2">(60/12)*10*E12</f>
        <v>118800</v>
      </c>
      <c r="G12" s="20">
        <f t="shared" si="1"/>
        <v>2.7272727272727271</v>
      </c>
      <c r="H12" s="18"/>
      <c r="I12" s="21">
        <v>6</v>
      </c>
      <c r="J12" s="22">
        <f>I12*(E12+600)</f>
        <v>17856</v>
      </c>
      <c r="K12" s="22">
        <v>6775</v>
      </c>
      <c r="L12" s="23">
        <v>11800</v>
      </c>
      <c r="M12" s="23">
        <v>8450</v>
      </c>
      <c r="N12" s="23">
        <v>13475</v>
      </c>
      <c r="O12" s="24" t="s">
        <v>117</v>
      </c>
    </row>
    <row r="13" spans="1:15" x14ac:dyDescent="0.2">
      <c r="A13" s="3">
        <v>8</v>
      </c>
      <c r="B13" t="s">
        <v>118</v>
      </c>
      <c r="C13" t="s">
        <v>124</v>
      </c>
      <c r="D13" t="s">
        <v>125</v>
      </c>
      <c r="E13" s="3">
        <f>396*2*1</f>
        <v>792</v>
      </c>
      <c r="F13" s="25">
        <f t="shared" si="2"/>
        <v>39600</v>
      </c>
      <c r="G13" s="26">
        <f t="shared" si="1"/>
        <v>0.90909090909090906</v>
      </c>
      <c r="I13" s="27"/>
      <c r="J13" s="28"/>
      <c r="K13" s="28"/>
      <c r="L13" s="29"/>
      <c r="M13" s="29"/>
      <c r="N13" s="29"/>
    </row>
    <row r="14" spans="1:15" x14ac:dyDescent="0.2">
      <c r="A14" s="32">
        <v>10</v>
      </c>
      <c r="B14" s="31" t="s">
        <v>119</v>
      </c>
      <c r="C14" s="31" t="s">
        <v>124</v>
      </c>
      <c r="D14" s="31" t="s">
        <v>125</v>
      </c>
      <c r="E14" s="32"/>
      <c r="F14" s="33"/>
      <c r="G14" s="34"/>
      <c r="H14" s="32"/>
      <c r="I14" s="55">
        <v>20</v>
      </c>
      <c r="J14" s="35"/>
      <c r="K14" s="28"/>
      <c r="L14" s="29"/>
      <c r="M14" s="29"/>
      <c r="N14" s="29"/>
    </row>
    <row r="15" spans="1:15" x14ac:dyDescent="0.2">
      <c r="A15" s="32">
        <v>12</v>
      </c>
      <c r="B15" s="31" t="s">
        <v>121</v>
      </c>
      <c r="C15" s="31" t="s">
        <v>124</v>
      </c>
      <c r="D15" s="31" t="s">
        <v>125</v>
      </c>
      <c r="E15" s="32"/>
      <c r="F15" s="33"/>
      <c r="G15" s="34"/>
      <c r="H15" s="32"/>
      <c r="I15" s="55">
        <v>20</v>
      </c>
      <c r="J15" s="35"/>
      <c r="K15" s="28"/>
      <c r="L15" s="29"/>
      <c r="M15" s="29"/>
      <c r="N15" s="29"/>
    </row>
    <row r="16" spans="1:15" x14ac:dyDescent="0.2">
      <c r="A16" s="32">
        <v>14</v>
      </c>
      <c r="B16" s="31" t="s">
        <v>122</v>
      </c>
      <c r="C16" s="31" t="s">
        <v>124</v>
      </c>
      <c r="D16" s="31" t="s">
        <v>125</v>
      </c>
      <c r="E16" s="32"/>
      <c r="F16" s="33"/>
      <c r="G16" s="34"/>
      <c r="H16" s="32"/>
      <c r="I16" s="55">
        <v>20</v>
      </c>
      <c r="J16" s="35"/>
      <c r="K16" s="28"/>
      <c r="L16" s="29"/>
      <c r="M16" s="29"/>
      <c r="N16" s="29"/>
    </row>
    <row r="17" spans="1:14" x14ac:dyDescent="0.2">
      <c r="A17" s="3">
        <v>16</v>
      </c>
      <c r="B17" s="36" t="s">
        <v>123</v>
      </c>
      <c r="C17" s="36" t="s">
        <v>124</v>
      </c>
      <c r="D17" s="36" t="s">
        <v>125</v>
      </c>
      <c r="E17" s="103"/>
      <c r="F17" s="37">
        <f t="shared" si="2"/>
        <v>0</v>
      </c>
      <c r="G17" s="38">
        <f t="shared" si="1"/>
        <v>0</v>
      </c>
      <c r="H17" s="103"/>
      <c r="I17" s="39">
        <v>25</v>
      </c>
      <c r="J17" s="40">
        <f>E17*I17</f>
        <v>0</v>
      </c>
      <c r="K17" s="41"/>
      <c r="L17" s="42"/>
      <c r="M17" s="42"/>
      <c r="N17" s="42"/>
    </row>
    <row r="18" spans="1:14" x14ac:dyDescent="0.2">
      <c r="E18" s="3">
        <f>SUM(E2:E17)</f>
        <v>9223</v>
      </c>
      <c r="F18" s="87">
        <f>SUM(F2:F17)</f>
        <v>894200</v>
      </c>
      <c r="G18" s="71">
        <f>SUM(G2:G17)</f>
        <v>20.528007346189163</v>
      </c>
      <c r="J18" s="28">
        <f>SUM(J2:J17)</f>
        <v>105490</v>
      </c>
    </row>
    <row r="21" spans="1:14" x14ac:dyDescent="0.2">
      <c r="A21" s="43" t="s">
        <v>126</v>
      </c>
    </row>
    <row r="22" spans="1:14" ht="17" thickBot="1" x14ac:dyDescent="0.25">
      <c r="B22" t="s">
        <v>127</v>
      </c>
    </row>
    <row r="23" spans="1:14" ht="17" thickBot="1" x14ac:dyDescent="0.25">
      <c r="B23" t="s">
        <v>128</v>
      </c>
      <c r="H23" s="44"/>
      <c r="I23" s="45"/>
      <c r="J23" s="46" t="s">
        <v>129</v>
      </c>
      <c r="K23" s="47" t="s">
        <v>123</v>
      </c>
      <c r="L23" s="48" t="s">
        <v>130</v>
      </c>
    </row>
    <row r="24" spans="1:14" x14ac:dyDescent="0.2">
      <c r="H24" s="49"/>
      <c r="I24" s="3" t="s">
        <v>131</v>
      </c>
      <c r="J24" s="50">
        <f>SUM(J2:J4)+SUM(J10:J12)</f>
        <v>76500</v>
      </c>
      <c r="K24" s="51">
        <f>J9+J17</f>
        <v>19390</v>
      </c>
      <c r="L24" s="29">
        <f>SUM(J6:J8)+SUM(J14:J16)</f>
        <v>9600</v>
      </c>
    </row>
    <row r="25" spans="1:14" x14ac:dyDescent="0.2">
      <c r="H25" s="49"/>
      <c r="J25" s="50"/>
      <c r="K25" s="11"/>
    </row>
    <row r="26" spans="1:14" x14ac:dyDescent="0.2">
      <c r="H26" s="49"/>
      <c r="I26" s="52" t="s">
        <v>132</v>
      </c>
      <c r="J26" s="50">
        <f>J24+K4+K12</f>
        <v>92170</v>
      </c>
    </row>
    <row r="27" spans="1:14" x14ac:dyDescent="0.2">
      <c r="H27" s="49"/>
      <c r="I27" s="52" t="s">
        <v>133</v>
      </c>
      <c r="J27" s="50">
        <f>J24+L4+L12</f>
        <v>105215</v>
      </c>
    </row>
    <row r="28" spans="1:14" x14ac:dyDescent="0.2">
      <c r="H28" s="49"/>
      <c r="I28" s="52" t="s">
        <v>134</v>
      </c>
      <c r="J28" s="50">
        <f>J24+M4+M12</f>
        <v>96519</v>
      </c>
    </row>
    <row r="29" spans="1:14" ht="17" thickBot="1" x14ac:dyDescent="0.25">
      <c r="B29" t="s">
        <v>135</v>
      </c>
      <c r="H29" s="47"/>
      <c r="I29" s="53" t="s">
        <v>136</v>
      </c>
      <c r="J29" s="54">
        <f>J24+N4+N12</f>
        <v>109564</v>
      </c>
    </row>
    <row r="31" spans="1:14" x14ac:dyDescent="0.2">
      <c r="B31" t="s">
        <v>137</v>
      </c>
    </row>
    <row r="32" spans="1:14" x14ac:dyDescent="0.2">
      <c r="B32" t="s">
        <v>138</v>
      </c>
    </row>
    <row r="33" spans="2:2" x14ac:dyDescent="0.2">
      <c r="B33" t="s">
        <v>139</v>
      </c>
    </row>
    <row r="34" spans="2:2" x14ac:dyDescent="0.2">
      <c r="B34" t="s">
        <v>140</v>
      </c>
    </row>
  </sheetData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9F33E-1C7E-4D43-99A7-59A201367F4F}">
  <dimension ref="A1:K33"/>
  <sheetViews>
    <sheetView workbookViewId="0">
      <selection activeCell="K3" sqref="K3"/>
    </sheetView>
  </sheetViews>
  <sheetFormatPr baseColWidth="10" defaultColWidth="10.83203125" defaultRowHeight="16" x14ac:dyDescent="0.2"/>
  <cols>
    <col min="1" max="1" width="30" customWidth="1"/>
    <col min="5" max="5" width="15.1640625" bestFit="1" customWidth="1"/>
    <col min="8" max="8" width="11.5" bestFit="1" customWidth="1"/>
    <col min="11" max="11" width="15.6640625" bestFit="1" customWidth="1"/>
  </cols>
  <sheetData>
    <row r="1" spans="1:11" x14ac:dyDescent="0.2">
      <c r="A1" t="s">
        <v>141</v>
      </c>
      <c r="B1" t="s">
        <v>142</v>
      </c>
      <c r="C1" t="s">
        <v>143</v>
      </c>
      <c r="D1" t="s">
        <v>144</v>
      </c>
      <c r="E1" t="s">
        <v>145</v>
      </c>
      <c r="F1" t="s">
        <v>146</v>
      </c>
      <c r="G1" t="s">
        <v>147</v>
      </c>
      <c r="H1" t="s">
        <v>148</v>
      </c>
    </row>
    <row r="2" spans="1:11" x14ac:dyDescent="0.2">
      <c r="A2" s="52" t="s">
        <v>112</v>
      </c>
      <c r="B2" s="3">
        <v>380</v>
      </c>
      <c r="C2" s="3">
        <v>2</v>
      </c>
      <c r="D2" s="10">
        <v>1</v>
      </c>
      <c r="E2" s="10" t="s">
        <v>38</v>
      </c>
      <c r="F2" s="10" t="s">
        <v>149</v>
      </c>
      <c r="G2" s="56">
        <f t="shared" ref="G2:G9" si="0">B2*C2*D2</f>
        <v>760</v>
      </c>
      <c r="H2" s="57">
        <f>G2*50</f>
        <v>38000</v>
      </c>
    </row>
    <row r="3" spans="1:11" x14ac:dyDescent="0.2">
      <c r="A3" s="52" t="s">
        <v>97</v>
      </c>
      <c r="B3" s="3">
        <v>380</v>
      </c>
      <c r="C3" s="3">
        <v>2</v>
      </c>
      <c r="D3" s="3">
        <v>3</v>
      </c>
      <c r="E3" s="10" t="s">
        <v>38</v>
      </c>
      <c r="F3" s="10" t="s">
        <v>149</v>
      </c>
      <c r="G3" s="56">
        <f t="shared" si="0"/>
        <v>2280</v>
      </c>
      <c r="H3" s="57">
        <f t="shared" ref="H3:H8" si="1">G3*50</f>
        <v>114000</v>
      </c>
    </row>
    <row r="4" spans="1:11" x14ac:dyDescent="0.2">
      <c r="A4" s="52" t="s">
        <v>116</v>
      </c>
      <c r="B4" s="3">
        <v>380</v>
      </c>
      <c r="C4" s="3">
        <v>2</v>
      </c>
      <c r="D4" s="3">
        <v>3</v>
      </c>
      <c r="E4" s="10" t="s">
        <v>38</v>
      </c>
      <c r="F4" s="10" t="s">
        <v>149</v>
      </c>
      <c r="G4" s="56">
        <f t="shared" si="0"/>
        <v>2280</v>
      </c>
      <c r="H4" s="57">
        <f t="shared" si="1"/>
        <v>114000</v>
      </c>
    </row>
    <row r="5" spans="1:11" x14ac:dyDescent="0.2">
      <c r="A5" s="52" t="s">
        <v>118</v>
      </c>
      <c r="B5" s="3">
        <v>380</v>
      </c>
      <c r="C5" s="3">
        <v>2</v>
      </c>
      <c r="D5" s="3">
        <v>1</v>
      </c>
      <c r="E5" s="10" t="s">
        <v>38</v>
      </c>
      <c r="F5" s="10" t="s">
        <v>149</v>
      </c>
      <c r="G5">
        <f t="shared" si="0"/>
        <v>760</v>
      </c>
      <c r="H5" s="57">
        <f>G5*55</f>
        <v>41800</v>
      </c>
    </row>
    <row r="6" spans="1:11" x14ac:dyDescent="0.2">
      <c r="A6" s="58" t="s">
        <v>119</v>
      </c>
      <c r="B6" s="32"/>
      <c r="C6" s="32">
        <v>2</v>
      </c>
      <c r="D6" s="32">
        <v>1</v>
      </c>
      <c r="E6" s="10" t="s">
        <v>38</v>
      </c>
      <c r="F6" s="10" t="s">
        <v>149</v>
      </c>
      <c r="G6">
        <f t="shared" si="0"/>
        <v>0</v>
      </c>
      <c r="H6" s="57">
        <f t="shared" si="1"/>
        <v>0</v>
      </c>
    </row>
    <row r="7" spans="1:11" x14ac:dyDescent="0.2">
      <c r="A7" s="58" t="s">
        <v>121</v>
      </c>
      <c r="B7" s="32"/>
      <c r="C7" s="32">
        <v>2</v>
      </c>
      <c r="D7" s="32">
        <v>1</v>
      </c>
      <c r="E7" s="10" t="s">
        <v>38</v>
      </c>
      <c r="F7" s="10" t="s">
        <v>149</v>
      </c>
      <c r="G7">
        <f t="shared" si="0"/>
        <v>0</v>
      </c>
      <c r="H7" s="57">
        <f t="shared" si="1"/>
        <v>0</v>
      </c>
    </row>
    <row r="8" spans="1:11" x14ac:dyDescent="0.2">
      <c r="A8" s="58" t="s">
        <v>122</v>
      </c>
      <c r="B8" s="32"/>
      <c r="C8" s="32">
        <v>2</v>
      </c>
      <c r="D8" s="32">
        <v>1</v>
      </c>
      <c r="E8" s="10" t="s">
        <v>38</v>
      </c>
      <c r="F8" s="10" t="s">
        <v>149</v>
      </c>
      <c r="G8">
        <f t="shared" si="0"/>
        <v>0</v>
      </c>
      <c r="H8" s="57">
        <f t="shared" si="1"/>
        <v>0</v>
      </c>
    </row>
    <row r="9" spans="1:11" x14ac:dyDescent="0.2">
      <c r="A9" s="59" t="s">
        <v>123</v>
      </c>
      <c r="B9" s="103">
        <v>380</v>
      </c>
      <c r="C9" s="103">
        <v>2</v>
      </c>
      <c r="D9" s="103">
        <v>1</v>
      </c>
      <c r="E9" s="60" t="s">
        <v>38</v>
      </c>
      <c r="F9" s="60" t="s">
        <v>149</v>
      </c>
      <c r="G9" s="36">
        <f t="shared" si="0"/>
        <v>760</v>
      </c>
      <c r="H9" s="57">
        <f>G9*52</f>
        <v>39520</v>
      </c>
    </row>
    <row r="10" spans="1:11" x14ac:dyDescent="0.2">
      <c r="H10" s="61">
        <f>SUM(H2:H9)</f>
        <v>347320</v>
      </c>
      <c r="J10" s="62">
        <f>H10/1800</f>
        <v>192.95555555555555</v>
      </c>
      <c r="K10" s="63" t="s">
        <v>150</v>
      </c>
    </row>
    <row r="14" spans="1:11" x14ac:dyDescent="0.2">
      <c r="A14" t="s">
        <v>151</v>
      </c>
      <c r="B14" t="s">
        <v>142</v>
      </c>
      <c r="C14" t="s">
        <v>143</v>
      </c>
      <c r="D14" t="s">
        <v>144</v>
      </c>
      <c r="E14" t="s">
        <v>145</v>
      </c>
      <c r="F14" t="s">
        <v>146</v>
      </c>
      <c r="G14" t="s">
        <v>147</v>
      </c>
      <c r="H14" t="s">
        <v>148</v>
      </c>
    </row>
    <row r="15" spans="1:11" x14ac:dyDescent="0.2">
      <c r="A15" s="52" t="s">
        <v>112</v>
      </c>
      <c r="B15" s="3">
        <f t="shared" ref="B15:B22" si="2">45+5+35</f>
        <v>85</v>
      </c>
      <c r="C15" s="3">
        <v>2</v>
      </c>
      <c r="D15" s="10">
        <v>1</v>
      </c>
      <c r="E15" s="3" t="s">
        <v>36</v>
      </c>
      <c r="F15" s="3" t="s">
        <v>152</v>
      </c>
      <c r="G15" s="64">
        <f>B15*C15*D15</f>
        <v>170</v>
      </c>
    </row>
    <row r="16" spans="1:11" x14ac:dyDescent="0.2">
      <c r="A16" s="52" t="s">
        <v>97</v>
      </c>
      <c r="B16" s="3">
        <f t="shared" si="2"/>
        <v>85</v>
      </c>
      <c r="C16" s="3">
        <v>2</v>
      </c>
      <c r="D16" s="3">
        <v>3</v>
      </c>
      <c r="E16" s="3" t="s">
        <v>36</v>
      </c>
      <c r="F16" s="3" t="s">
        <v>152</v>
      </c>
      <c r="G16" s="64">
        <f>B16*C16*D16+(3*4)</f>
        <v>522</v>
      </c>
    </row>
    <row r="17" spans="1:11" x14ac:dyDescent="0.2">
      <c r="A17" s="52" t="s">
        <v>116</v>
      </c>
      <c r="B17" s="3">
        <f t="shared" si="2"/>
        <v>85</v>
      </c>
      <c r="C17" s="3">
        <v>2</v>
      </c>
      <c r="D17" s="3">
        <v>3</v>
      </c>
      <c r="E17" s="3" t="s">
        <v>36</v>
      </c>
      <c r="F17" s="3" t="s">
        <v>152</v>
      </c>
      <c r="G17" s="64">
        <f>B17*C17*D17</f>
        <v>510</v>
      </c>
    </row>
    <row r="18" spans="1:11" x14ac:dyDescent="0.2">
      <c r="A18" s="52" t="s">
        <v>118</v>
      </c>
      <c r="B18" s="3">
        <f t="shared" si="2"/>
        <v>85</v>
      </c>
      <c r="C18" s="3">
        <v>2</v>
      </c>
      <c r="D18" s="10">
        <v>3</v>
      </c>
      <c r="E18" s="3" t="s">
        <v>36</v>
      </c>
      <c r="F18" s="3" t="s">
        <v>152</v>
      </c>
      <c r="G18" s="52">
        <f>B18*C18*D18</f>
        <v>510</v>
      </c>
      <c r="H18" s="65">
        <f>G18*176</f>
        <v>89760</v>
      </c>
    </row>
    <row r="19" spans="1:11" x14ac:dyDescent="0.2">
      <c r="A19" s="52" t="s">
        <v>119</v>
      </c>
      <c r="B19" s="3">
        <f t="shared" si="2"/>
        <v>85</v>
      </c>
      <c r="C19" s="3">
        <v>2</v>
      </c>
      <c r="D19" s="10">
        <v>3</v>
      </c>
      <c r="E19" s="3" t="s">
        <v>36</v>
      </c>
      <c r="F19" s="3" t="s">
        <v>152</v>
      </c>
      <c r="G19" s="52">
        <f>B19*C19*D19+(3*4)</f>
        <v>522</v>
      </c>
      <c r="H19" s="65">
        <f>G19*170</f>
        <v>88740</v>
      </c>
    </row>
    <row r="20" spans="1:11" x14ac:dyDescent="0.2">
      <c r="A20" s="52" t="s">
        <v>121</v>
      </c>
      <c r="B20" s="3">
        <f t="shared" si="2"/>
        <v>85</v>
      </c>
      <c r="C20" s="3">
        <v>2</v>
      </c>
      <c r="D20" s="10">
        <v>3</v>
      </c>
      <c r="E20" s="3" t="s">
        <v>36</v>
      </c>
      <c r="F20" s="3" t="s">
        <v>152</v>
      </c>
      <c r="G20" s="52">
        <f>B20*C20*D20+(3*4)</f>
        <v>522</v>
      </c>
      <c r="H20" s="65">
        <f t="shared" ref="H20:H21" si="3">G20*170</f>
        <v>88740</v>
      </c>
    </row>
    <row r="21" spans="1:11" x14ac:dyDescent="0.2">
      <c r="A21" s="52" t="s">
        <v>122</v>
      </c>
      <c r="B21" s="3">
        <f t="shared" si="2"/>
        <v>85</v>
      </c>
      <c r="C21" s="3">
        <v>2</v>
      </c>
      <c r="D21" s="10">
        <v>3</v>
      </c>
      <c r="E21" s="3" t="s">
        <v>36</v>
      </c>
      <c r="F21" s="3" t="s">
        <v>152</v>
      </c>
      <c r="G21" s="52">
        <f>B21*C21*D21+(3*4)</f>
        <v>522</v>
      </c>
      <c r="H21" s="65">
        <f t="shared" si="3"/>
        <v>88740</v>
      </c>
    </row>
    <row r="22" spans="1:11" x14ac:dyDescent="0.2">
      <c r="A22" s="59" t="s">
        <v>123</v>
      </c>
      <c r="B22" s="103">
        <f t="shared" si="2"/>
        <v>85</v>
      </c>
      <c r="C22" s="103">
        <v>2</v>
      </c>
      <c r="D22" s="60">
        <v>3</v>
      </c>
      <c r="E22" s="103" t="s">
        <v>36</v>
      </c>
      <c r="F22" s="103" t="s">
        <v>152</v>
      </c>
      <c r="G22" s="59">
        <f>B22*C22*D22</f>
        <v>510</v>
      </c>
      <c r="H22" s="65">
        <f>G22*200</f>
        <v>102000</v>
      </c>
    </row>
    <row r="27" spans="1:11" x14ac:dyDescent="0.2">
      <c r="A27" t="s">
        <v>153</v>
      </c>
      <c r="B27" s="3">
        <f>45+5+35</f>
        <v>85</v>
      </c>
      <c r="C27" s="3">
        <v>2</v>
      </c>
      <c r="D27">
        <f>1+3+3</f>
        <v>7</v>
      </c>
      <c r="E27" s="3" t="s">
        <v>36</v>
      </c>
      <c r="F27" s="3" t="s">
        <v>152</v>
      </c>
      <c r="G27" s="66">
        <f>SUM(G15:G17)</f>
        <v>1202</v>
      </c>
      <c r="H27" s="67">
        <f>G27*200</f>
        <v>240400</v>
      </c>
    </row>
    <row r="28" spans="1:11" x14ac:dyDescent="0.2">
      <c r="A28" s="36" t="s">
        <v>154</v>
      </c>
      <c r="B28" s="103">
        <f>45+5+35</f>
        <v>85</v>
      </c>
      <c r="C28" s="103">
        <v>2</v>
      </c>
      <c r="D28" s="36">
        <f>3+9+3</f>
        <v>15</v>
      </c>
      <c r="E28" s="103" t="s">
        <v>36</v>
      </c>
      <c r="F28" s="103" t="s">
        <v>152</v>
      </c>
      <c r="G28" s="36">
        <f>B28*C28*D28</f>
        <v>2550</v>
      </c>
      <c r="H28" s="68">
        <f>SUM(H18:H22)*1.15</f>
        <v>526677</v>
      </c>
    </row>
    <row r="29" spans="1:11" x14ac:dyDescent="0.2">
      <c r="H29" s="57">
        <f>SUM(H27:H28)</f>
        <v>767077</v>
      </c>
      <c r="J29" s="62">
        <f>H29/1800</f>
        <v>426.1538888888889</v>
      </c>
      <c r="K29" s="63" t="s">
        <v>150</v>
      </c>
    </row>
    <row r="32" spans="1:11" x14ac:dyDescent="0.2">
      <c r="J32" s="69">
        <f>J10+J29</f>
        <v>619.10944444444442</v>
      </c>
      <c r="K32" s="70" t="s">
        <v>150</v>
      </c>
    </row>
    <row r="33" spans="11:11" x14ac:dyDescent="0.2">
      <c r="K33" t="s">
        <v>155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97E19-71C5-4046-B11C-0BD2D2591B39}">
  <sheetPr>
    <tabColor rgb="FF00B050"/>
  </sheetPr>
  <dimension ref="A1:B10"/>
  <sheetViews>
    <sheetView workbookViewId="0">
      <selection activeCell="G16" sqref="G16"/>
    </sheetView>
  </sheetViews>
  <sheetFormatPr baseColWidth="10" defaultColWidth="10.83203125" defaultRowHeight="16" x14ac:dyDescent="0.2"/>
  <cols>
    <col min="1" max="1" width="3.6640625" customWidth="1"/>
  </cols>
  <sheetData>
    <row r="1" spans="1:2" x14ac:dyDescent="0.2">
      <c r="A1" s="12" t="s">
        <v>118</v>
      </c>
    </row>
    <row r="2" spans="1:2" x14ac:dyDescent="0.2">
      <c r="B2" t="s">
        <v>156</v>
      </c>
    </row>
    <row r="4" spans="1:2" x14ac:dyDescent="0.2">
      <c r="B4" t="s">
        <v>157</v>
      </c>
    </row>
    <row r="5" spans="1:2" x14ac:dyDescent="0.2">
      <c r="B5" s="24" t="s">
        <v>158</v>
      </c>
    </row>
    <row r="7" spans="1:2" x14ac:dyDescent="0.2">
      <c r="A7" t="s">
        <v>123</v>
      </c>
    </row>
    <row r="8" spans="1:2" x14ac:dyDescent="0.2">
      <c r="B8" t="s">
        <v>159</v>
      </c>
    </row>
    <row r="10" spans="1:2" x14ac:dyDescent="0.2">
      <c r="B10" t="s">
        <v>160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Sites Summary</vt:lpstr>
      <vt:lpstr>IMAGING DATES  UAV, Sat, Pheno</vt:lpstr>
      <vt:lpstr>Cost Esitmates</vt:lpstr>
      <vt:lpstr>Seed Estimate Updates - bulking</vt:lpstr>
      <vt:lpstr>Notes on Packaging up Envelopes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Lisa Coffey</dc:creator>
  <cp:keywords/>
  <dc:description/>
  <cp:lastModifiedBy>Coffey, Lisa M [PSI]</cp:lastModifiedBy>
  <cp:revision/>
  <dcterms:created xsi:type="dcterms:W3CDTF">2019-04-11T17:38:56Z</dcterms:created>
  <dcterms:modified xsi:type="dcterms:W3CDTF">2024-02-06T17:02:01Z</dcterms:modified>
  <cp:category/>
  <cp:contentStatus/>
</cp:coreProperties>
</file>