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coffey/Library/CloudStorage/Box-Box/Schnable Lab - Shared Folders/Trait Collection Phenotyping/2022 Yield Trials - HIPS/"/>
    </mc:Choice>
  </mc:AlternateContent>
  <xr:revisionPtr revIDLastSave="0" documentId="13_ncr:1_{9BC2744C-3BC5-3540-86D7-01EAC11C40DC}" xr6:coauthVersionLast="47" xr6:coauthVersionMax="47" xr10:uidLastSave="{00000000-0000-0000-0000-000000000000}"/>
  <bookViews>
    <workbookView xWindow="0" yWindow="760" windowWidth="29100" windowHeight="18880" xr2:uid="{79AB9056-4D57-3249-8DF1-2D0DEF038B93}"/>
  </bookViews>
  <sheets>
    <sheet name="Sites Summary" sheetId="1" r:id="rId1"/>
    <sheet name="IMAGING DATES  UAV, Sat, Pheno" sheetId="8" r:id="rId2"/>
    <sheet name="Cost Esitmates" sheetId="6" r:id="rId3"/>
    <sheet name="Time Est Phenobot Running" sheetId="9" r:id="rId4"/>
    <sheet name="Seed Estimate Updates - bulking" sheetId="7" r:id="rId5"/>
    <sheet name="Notes on Packaging up Envelopes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1" l="1"/>
  <c r="I18" i="9"/>
  <c r="I17" i="9"/>
  <c r="I13" i="9"/>
  <c r="I12" i="9"/>
  <c r="I11" i="9"/>
  <c r="I10" i="9"/>
  <c r="I9" i="9"/>
  <c r="I8" i="9"/>
  <c r="I7" i="9"/>
  <c r="I6" i="9"/>
  <c r="I5" i="9"/>
  <c r="I4" i="9"/>
  <c r="I3" i="9"/>
  <c r="I2" i="9"/>
  <c r="E18" i="6"/>
  <c r="F10" i="6"/>
  <c r="F20" i="8"/>
  <c r="F19" i="8"/>
  <c r="G28" i="7"/>
  <c r="H18" i="7"/>
  <c r="J29" i="7"/>
  <c r="D28" i="7"/>
  <c r="B28" i="7"/>
  <c r="D27" i="7"/>
  <c r="B27" i="7"/>
  <c r="B22" i="7"/>
  <c r="G22" i="7"/>
  <c r="H22" i="7"/>
  <c r="G21" i="7"/>
  <c r="H21" i="7"/>
  <c r="B21" i="7"/>
  <c r="B20" i="7"/>
  <c r="G20" i="7"/>
  <c r="H20" i="7"/>
  <c r="B19" i="7"/>
  <c r="G19" i="7"/>
  <c r="H19" i="7"/>
  <c r="B18" i="7"/>
  <c r="G18" i="7"/>
  <c r="B17" i="7"/>
  <c r="G17" i="7"/>
  <c r="B16" i="7"/>
  <c r="G16" i="7"/>
  <c r="B15" i="7"/>
  <c r="G15" i="7"/>
  <c r="G27" i="7"/>
  <c r="H27" i="7"/>
  <c r="G9" i="7"/>
  <c r="H9" i="7"/>
  <c r="G8" i="7"/>
  <c r="H8" i="7"/>
  <c r="G7" i="7"/>
  <c r="H7" i="7"/>
  <c r="G6" i="7"/>
  <c r="H6" i="7"/>
  <c r="G5" i="7"/>
  <c r="H5" i="7"/>
  <c r="G4" i="7"/>
  <c r="H4" i="7"/>
  <c r="G3" i="7"/>
  <c r="H3" i="7"/>
  <c r="G2" i="7"/>
  <c r="H2" i="7"/>
  <c r="E17" i="6"/>
  <c r="J17" i="6" s="1"/>
  <c r="E16" i="6"/>
  <c r="E15" i="6"/>
  <c r="E14" i="6"/>
  <c r="E13" i="6"/>
  <c r="F13" i="6" s="1"/>
  <c r="G13" i="6" s="1"/>
  <c r="E12" i="6"/>
  <c r="F12" i="6" s="1"/>
  <c r="G12" i="6" s="1"/>
  <c r="E11" i="6"/>
  <c r="F11" i="6" s="1"/>
  <c r="G11" i="6" s="1"/>
  <c r="E10" i="6"/>
  <c r="J10" i="6"/>
  <c r="E9" i="6"/>
  <c r="J9" i="6" s="1"/>
  <c r="E8" i="6"/>
  <c r="J8" i="6" s="1"/>
  <c r="E7" i="6"/>
  <c r="J7" i="6" s="1"/>
  <c r="E6" i="6"/>
  <c r="F6" i="6" s="1"/>
  <c r="G6" i="6" s="1"/>
  <c r="J6" i="6"/>
  <c r="E5" i="6"/>
  <c r="F5" i="6"/>
  <c r="G5" i="6"/>
  <c r="E4" i="6"/>
  <c r="J4" i="6" s="1"/>
  <c r="E3" i="6"/>
  <c r="J3" i="6"/>
  <c r="E2" i="6"/>
  <c r="F2" i="6" s="1"/>
  <c r="G2" i="6" s="1"/>
  <c r="N17" i="1"/>
  <c r="H10" i="7"/>
  <c r="J10" i="7"/>
  <c r="J32" i="7"/>
  <c r="H29" i="7"/>
  <c r="H28" i="7"/>
  <c r="F3" i="6"/>
  <c r="G3" i="6" s="1"/>
  <c r="F8" i="6"/>
  <c r="G8" i="6" s="1"/>
  <c r="N15" i="1"/>
  <c r="N13" i="1"/>
  <c r="N12" i="1"/>
  <c r="N9" i="1"/>
  <c r="N7" i="1"/>
  <c r="N5" i="1"/>
  <c r="Q11" i="1"/>
  <c r="P11" i="1"/>
  <c r="P10" i="1"/>
  <c r="P16" i="1"/>
  <c r="P15" i="1"/>
  <c r="P14" i="1"/>
  <c r="P8" i="1"/>
  <c r="P6" i="1"/>
  <c r="P4" i="1"/>
  <c r="Q10" i="1"/>
  <c r="N16" i="1"/>
  <c r="N8" i="1"/>
  <c r="N6" i="1"/>
  <c r="N4" i="1"/>
  <c r="F9" i="6" l="1"/>
  <c r="G9" i="6" s="1"/>
  <c r="G10" i="6"/>
  <c r="F4" i="6"/>
  <c r="G4" i="6" s="1"/>
  <c r="E18" i="9"/>
  <c r="F7" i="6"/>
  <c r="G7" i="6" s="1"/>
  <c r="L24" i="6"/>
  <c r="J12" i="6"/>
  <c r="K24" i="6"/>
  <c r="F17" i="6"/>
  <c r="J11" i="6"/>
  <c r="J2" i="6"/>
  <c r="F18" i="6" l="1"/>
  <c r="G17" i="6"/>
  <c r="F18" i="9"/>
  <c r="J24" i="6"/>
  <c r="J18" i="6"/>
  <c r="G18" i="6" l="1"/>
  <c r="J26" i="6"/>
  <c r="J29" i="6"/>
  <c r="J28" i="6"/>
  <c r="J27" i="6"/>
  <c r="H18" i="9" l="1"/>
  <c r="G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Coffey</author>
  </authors>
  <commentList>
    <comment ref="N17" authorId="0" shapeId="0" xr:uid="{88E03187-B254-054E-9934-121DD8E2ED95}">
      <text>
        <r>
          <rPr>
            <b/>
            <sz val="10"/>
            <color rgb="FF000000"/>
            <rFont val="Tahoma"/>
            <family val="2"/>
          </rPr>
          <t xml:space="preserve">Lisa Coffey: was 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was told in 2022 they need 2 packets, each with 70 seeds -&gt; 140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** this might be for 25' option though, don't go with 70 &amp; 70 just yet ;)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Coffey</author>
  </authors>
  <commentList>
    <comment ref="E1" authorId="0" shapeId="0" xr:uid="{3A7A9714-3425-DF45-A563-BC8D2590CAE6}">
      <text>
        <r>
          <rPr>
            <sz val="10"/>
            <color rgb="FF000000"/>
            <rFont val="Tahoma"/>
            <family val="2"/>
          </rPr>
          <t>Lisa Coffey:</t>
        </r>
        <r>
          <rPr>
            <b/>
            <sz val="12"/>
            <color rgb="FFFFFFFF"/>
            <rFont val="Calibri"/>
            <family val="2"/>
          </rPr>
          <t xml:space="preserve">d to 
</t>
        </r>
        <r>
          <rPr>
            <sz val="10"/>
            <color rgb="FF000000"/>
            <rFont val="Calibri"/>
            <family val="2"/>
          </rPr>
          <t>need to update all the hybrid sites w/ the correct # of entires &amp; solar panel plots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FFFFFF"/>
            <rFont val="Calibri"/>
            <family val="2"/>
          </rPr>
          <t>the hybrid sites w/ the correct # of entires &amp; solar panel plots</t>
        </r>
      </text>
    </comment>
    <comment ref="J11" authorId="0" shapeId="0" xr:uid="{65AFE4C4-A3D5-7246-A537-388C4C9D8D6E}">
      <text>
        <r>
          <rPr>
            <sz val="10"/>
            <color rgb="FF000000"/>
            <rFont val="Tahoma"/>
            <family val="2"/>
          </rPr>
          <t>Lisa Coffey:</t>
        </r>
        <r>
          <rPr>
            <b/>
            <sz val="12"/>
            <color rgb="FFFFFFFF"/>
            <rFont val="Calibri"/>
            <family val="2"/>
          </rPr>
          <t xml:space="preserve">
</t>
        </r>
        <r>
          <rPr>
            <b/>
            <sz val="12"/>
            <color rgb="FFFFFFFF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>borders and buffers add to the land at 600 plots per site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FFFFFF"/>
            <rFont val="Calibri"/>
            <family val="2"/>
          </rPr>
          <t xml:space="preserve">orders and buffers add to the land at 600 plots per site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Coffey</author>
  </authors>
  <commentList>
    <comment ref="E1" authorId="0" shapeId="0" xr:uid="{1D1D6A2A-2982-8944-AAF3-DA273EEFD231}">
      <text>
        <r>
          <rPr>
            <sz val="10"/>
            <color rgb="FF000000"/>
            <rFont val="Tahoma"/>
            <family val="2"/>
          </rPr>
          <t>Lisa Coffey:</t>
        </r>
        <r>
          <rPr>
            <b/>
            <sz val="12"/>
            <color rgb="FFFFFFFF"/>
            <rFont val="Calibri"/>
            <family val="2"/>
          </rPr>
          <t xml:space="preserve">d to 
</t>
        </r>
        <r>
          <rPr>
            <sz val="10"/>
            <color rgb="FF000000"/>
            <rFont val="Calibri"/>
            <family val="2"/>
          </rPr>
          <t>need to update all the hybrid sites w/ the correct # of entires &amp; solar panel plots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FFFFFF"/>
            <rFont val="Calibri"/>
            <family val="2"/>
          </rPr>
          <t>the hybrid sites w/ the correct # of entires &amp; solar panel plots</t>
        </r>
      </text>
    </comment>
  </commentList>
</comments>
</file>

<file path=xl/sharedStrings.xml><?xml version="1.0" encoding="utf-8"?>
<sst xmlns="http://schemas.openxmlformats.org/spreadsheetml/2006/main" count="554" uniqueCount="200">
  <si>
    <t>We decided to remove inbreds from North Platte site</t>
  </si>
  <si>
    <t>We had to drop to N=84 due to one line not having enough seeds</t>
  </si>
  <si>
    <t>SO</t>
  </si>
  <si>
    <t>Location (state if irrigated)</t>
  </si>
  <si>
    <t>Hybrid or Inbred</t>
  </si>
  <si>
    <t>Planting Team</t>
  </si>
  <si>
    <t>Rough GPS positioning</t>
  </si>
  <si>
    <t>Date Planted</t>
  </si>
  <si>
    <t>Crop Rotation</t>
  </si>
  <si>
    <t>N Treatment?</t>
  </si>
  <si>
    <t>N Rate Applied</t>
  </si>
  <si>
    <t>Note on Seed Work</t>
  </si>
  <si>
    <t>Number of Lines Used</t>
  </si>
  <si>
    <t># row plots (mostly 2 or 4 since yield)</t>
  </si>
  <si>
    <t># of reps per line</t>
  </si>
  <si>
    <t># of seeds planted per *rep* per line</t>
  </si>
  <si>
    <t># of seeds prepped (air planter)</t>
  </si>
  <si>
    <t>plot length (feet) includes alley</t>
  </si>
  <si>
    <t>row spacing (inches)</t>
  </si>
  <si>
    <t>Acres</t>
  </si>
  <si>
    <t>Weather Station Install Date</t>
  </si>
  <si>
    <t>Weather Station S/N</t>
  </si>
  <si>
    <t>Ground Control Point Deploy Date</t>
  </si>
  <si>
    <t>Sensor Install Dates</t>
  </si>
  <si>
    <t>Yield Data Available?</t>
  </si>
  <si>
    <t>Field Notes</t>
  </si>
  <si>
    <t>Sensor Notes</t>
  </si>
  <si>
    <t>Crawfordsville, IA</t>
  </si>
  <si>
    <t>Hybrid</t>
  </si>
  <si>
    <t>Jim Rouse, IA Crop</t>
  </si>
  <si>
    <t xml:space="preserve"> 41°12'6.03"N,  91°29'16.53"W</t>
  </si>
  <si>
    <t>corn on soy</t>
  </si>
  <si>
    <t>3 rates</t>
  </si>
  <si>
    <t>32% UAN  on 6/2/22</t>
  </si>
  <si>
    <t>IA needed bulks made as 200 seeds per 4-row plot</t>
  </si>
  <si>
    <t>4-row</t>
  </si>
  <si>
    <t>Inbred</t>
  </si>
  <si>
    <t>2-row</t>
  </si>
  <si>
    <t>Ames, IA</t>
  </si>
  <si>
    <t>(42.0146663, -93.7323716)</t>
  </si>
  <si>
    <r>
      <t>corn on corn for mid and higher rate</t>
    </r>
    <r>
      <rPr>
        <sz val="12"/>
        <color theme="1"/>
        <rFont val="Calibri (Body)"/>
      </rPr>
      <t>; corn on soy for lower N rate</t>
    </r>
  </si>
  <si>
    <t>lower N: Urea on 6/21/22; mid &amp; higher N: Urea &amp; 32% UAN on 5/17/22 &amp; 6/1/22</t>
  </si>
  <si>
    <t>MO Valley, IA</t>
  </si>
  <si>
    <t xml:space="preserve"> 41°40'25.33"N,  95°56'11.50"W</t>
  </si>
  <si>
    <t>corn on corn</t>
  </si>
  <si>
    <t>1 rate</t>
  </si>
  <si>
    <t>Urea, 6/6/22</t>
  </si>
  <si>
    <t>Schnable Lab</t>
  </si>
  <si>
    <t>Phield Cam</t>
  </si>
  <si>
    <t>1-row</t>
  </si>
  <si>
    <t>n/a</t>
  </si>
  <si>
    <t>Lincoln, NE</t>
  </si>
  <si>
    <t>UNL staff</t>
  </si>
  <si>
    <t xml:space="preserve"> 40°51'7.82"N,  96°36'57.09"W</t>
  </si>
  <si>
    <t xml:space="preserve"> 40°51'31.81"N,  96°35'53.52"W</t>
  </si>
  <si>
    <t>North Platte, NE (no irrigation)</t>
  </si>
  <si>
    <t>Jeff Golus</t>
  </si>
  <si>
    <t xml:space="preserve"> 41° 5'20.01"N, 100°46'33.59"W</t>
  </si>
  <si>
    <t>North Platte, NE - partial pivot irrigated</t>
  </si>
  <si>
    <t xml:space="preserve"> 41° 5'14.09"N, 100°46'40.60"W</t>
  </si>
  <si>
    <t>North Platte, NE - pivot irrigated</t>
  </si>
  <si>
    <t xml:space="preserve"> 41° 5'15.74"N, 100°46'40.35"W</t>
  </si>
  <si>
    <t>Scottsbluff, NE - irrigated</t>
  </si>
  <si>
    <t>Dipak Santra</t>
  </si>
  <si>
    <t xml:space="preserve"> 41°57'0.30"N, 103°42'13.34"W</t>
  </si>
  <si>
    <t xml:space="preserve"># of Hybrid Lines Used:  HIPS is 5 commercial hybrids &amp; 45 in-house (G2F) &amp; then 35 lines that the lab has used in past N projects </t>
  </si>
  <si>
    <t>For ____ 3 trt &amp; ____ 3 trt, we added on 4 filler plots for 1 rep for each trt to allow for solar panel placement</t>
  </si>
  <si>
    <t>Scheduling Goals</t>
  </si>
  <si>
    <t>Satellite GOALS:</t>
  </si>
  <si>
    <t>UAV goal:  have UAV done within 3 days of successful sattelite imagery</t>
  </si>
  <si>
    <t>Window 1: July 1 to July 15</t>
  </si>
  <si>
    <t>Satellite Goal:  Image every 2 weeks from July 1 - Sept (future planning note:  contract set up a bit late, future years would likely want mid May - mid Aug)</t>
  </si>
  <si>
    <t>Window 2: July 16 to July 31</t>
  </si>
  <si>
    <t>Due to orbital rotation &amp; weather events, some image events will be closer together</t>
  </si>
  <si>
    <t>Window 3: August 1 to August 15</t>
  </si>
  <si>
    <t>Window 4: August 16 to August 31</t>
  </si>
  <si>
    <t>UAV Hardware:</t>
  </si>
  <si>
    <t>Scottsbluff: Micasense Altum sensor mounted to DJI Matrice 600 Pro.</t>
  </si>
  <si>
    <t>Window 6: September 16 to September 30</t>
  </si>
  <si>
    <t>North Platte</t>
  </si>
  <si>
    <t>Date</t>
  </si>
  <si>
    <t>Type</t>
  </si>
  <si>
    <t>Location</t>
  </si>
  <si>
    <t>Window</t>
  </si>
  <si>
    <t>Notes</t>
  </si>
  <si>
    <t>Projected Next Satellite Date</t>
  </si>
  <si>
    <t>Comments</t>
  </si>
  <si>
    <t>Satellite</t>
  </si>
  <si>
    <t>Scottsbluff, NE</t>
  </si>
  <si>
    <t>(GCP not yet deployed, so data will wait to process)</t>
  </si>
  <si>
    <t>UAV</t>
  </si>
  <si>
    <t>North Platte, NE</t>
  </si>
  <si>
    <t>Might be more of a 'practice flight'</t>
  </si>
  <si>
    <t>Data uploaded by Deepak via FTP: 2022_Dipak_CornMitchel_0708 (49GB, 9794 files)</t>
  </si>
  <si>
    <t>week of 7/4/22, only hybrids, mechancial issue -&gt; couldn't do inbreds</t>
  </si>
  <si>
    <t>7/10 &amp; 7/13</t>
  </si>
  <si>
    <t>a large portion' on 7/15 (small western edge stil; needed</t>
  </si>
  <si>
    <t>Site</t>
  </si>
  <si>
    <t>Project</t>
  </si>
  <si>
    <t>Planting Notes</t>
  </si>
  <si>
    <t>Total Plots 
(N size*rep* trt)</t>
  </si>
  <si>
    <t>rough sq ft</t>
  </si>
  <si>
    <t>rough acreage</t>
  </si>
  <si>
    <t>acreage to consider for phenobot imaging</t>
  </si>
  <si>
    <t>solar panels?</t>
  </si>
  <si>
    <t>Cost per plot</t>
  </si>
  <si>
    <t>YT Cost per Site</t>
  </si>
  <si>
    <t>Opt 1 UAV</t>
  </si>
  <si>
    <t>Opt 2 UAV</t>
  </si>
  <si>
    <t>Opt 3 UAV</t>
  </si>
  <si>
    <t>Opt 4 UAV</t>
  </si>
  <si>
    <t>MO Valley</t>
  </si>
  <si>
    <t>hybrids</t>
  </si>
  <si>
    <t>(no N rate possible)</t>
  </si>
  <si>
    <t>x</t>
  </si>
  <si>
    <t>Ames</t>
  </si>
  <si>
    <t>Cville</t>
  </si>
  <si>
    <t>&lt;-LC needs to confirm these flight values, but likely a good approx.</t>
  </si>
  <si>
    <t>Lincoln</t>
  </si>
  <si>
    <t>North Platte - no irrigation</t>
  </si>
  <si>
    <t>North Platte - half irrigation</t>
  </si>
  <si>
    <t>North Platte - full irrigation</t>
  </si>
  <si>
    <t>Scottsbluff</t>
  </si>
  <si>
    <t>inbreds</t>
  </si>
  <si>
    <t>2-row plot, 10 COA</t>
  </si>
  <si>
    <t>UAV Goals</t>
  </si>
  <si>
    <t>try to collect rough FT from the images</t>
  </si>
  <si>
    <t>top-view leaf patterns</t>
  </si>
  <si>
    <t>IA Crop Fees</t>
  </si>
  <si>
    <t>Land Fees</t>
  </si>
  <si>
    <t>Land Fees + Opt 1 H&amp;I flights</t>
  </si>
  <si>
    <t>Land Fees + Opt 2 H&amp;I flights</t>
  </si>
  <si>
    <t>Land Fees + Opt 3 H&amp;I flights</t>
  </si>
  <si>
    <t>1st flight is discounted as they use part of it for germ rate</t>
  </si>
  <si>
    <t>Land Fees + Opt 4 H&amp;I flights</t>
  </si>
  <si>
    <t>Option 1: 1st flight +  every other week July - mid Aug to approx FT (1+3)</t>
  </si>
  <si>
    <t>Option 2: 1st flight +  weekly July - mid Aug to approx FT (1+6)</t>
  </si>
  <si>
    <t>Option 3: 1st flight +  June + every other week  July - mid Aug to approx FT (1+4)</t>
  </si>
  <si>
    <t>Option 4: 1st flight +  weekly July - mid Aug to approx FT (1+7)</t>
  </si>
  <si>
    <t>Inbreds</t>
  </si>
  <si>
    <t>entries</t>
  </si>
  <si>
    <t>reps</t>
  </si>
  <si>
    <t>treatments</t>
  </si>
  <si>
    <t>Plot Type (2 or 4)</t>
  </si>
  <si>
    <t>Length</t>
  </si>
  <si>
    <t># of plots</t>
  </si>
  <si>
    <t># of seeds</t>
  </si>
  <si>
    <t>~10'</t>
  </si>
  <si>
    <t>&lt;- pounds of seed</t>
  </si>
  <si>
    <t>Hybrids</t>
  </si>
  <si>
    <t>(standard)</t>
  </si>
  <si>
    <t>MO Valley, Ames, Cville</t>
  </si>
  <si>
    <t>Lincoln, NP 3 irr, Scotts</t>
  </si>
  <si>
    <t>(need seed amounts in pounds to get an idea for how much seed treating chemical is needed)</t>
  </si>
  <si>
    <t>2 people ride for regardless of doing 2 or 4-row plots</t>
  </si>
  <si>
    <t>Ideally do NOT staple the 2 packets of 4-row plot together, because they would need to remove staples and separate them out to 'left planting person' and 'right planting person'</t>
  </si>
  <si>
    <t>Keep the 2 evnelopes for a plot IDs in 2 different boxes</t>
  </si>
  <si>
    <r>
      <t xml:space="preserve">Hybrids : 2 envelopes for the 2-row </t>
    </r>
    <r>
      <rPr>
        <sz val="12"/>
        <color rgb="FFFF0000"/>
        <rFont val="Calibri (Body)"/>
      </rPr>
      <t>PAPERCLIPPED together</t>
    </r>
  </si>
  <si>
    <t>IA Crop, stand count related flights</t>
  </si>
  <si>
    <t>Week of</t>
  </si>
  <si>
    <t>Planting Date</t>
  </si>
  <si>
    <t>Missouri Valley</t>
  </si>
  <si>
    <t>--</t>
  </si>
  <si>
    <t>Crawfordsville</t>
  </si>
  <si>
    <t>IOWA CROP PLANS FOR UAV FLIGHTS (they have to travel to remote sites_</t>
  </si>
  <si>
    <t>6/16/2022 - 6/17/2022</t>
  </si>
  <si>
    <t>6/29/2022 - 7/1/2022</t>
  </si>
  <si>
    <t>No, we are now processing images through Eiwa Vault.</t>
  </si>
  <si>
    <t>Eiwa offers very similar outputs to Plot Phenix. Whereas, Eiwa has more accurate orthomosaic stitching, and more reliable algorithms than what was provided by Plot Phenix.</t>
  </si>
  <si>
    <t xml:space="preserve">IA Crop: DJI Phantom 4 Pro V2.0’s for flying (Payloads: DJI 20MP RGB, and Sentera 1.2MP NIR/Red)
</t>
  </si>
  <si>
    <t>Urea, 7/8/22</t>
  </si>
  <si>
    <t>6/16/22 as 32-0-0 with a 360 Y drop applicator.</t>
  </si>
  <si>
    <t>dry beans last season</t>
  </si>
  <si>
    <t>corn for last 2 years</t>
  </si>
  <si>
    <t>N 32-0-0. The type of N was urea ammonium nitrate</t>
  </si>
  <si>
    <t xml:space="preserve">93% obtained cloud free &amp; notified on 8/12 we have all </t>
  </si>
  <si>
    <t>Window 5: September 1 to September 15</t>
  </si>
  <si>
    <r>
      <t>Est Time (</t>
    </r>
    <r>
      <rPr>
        <sz val="12"/>
        <color rgb="FFFF0000"/>
        <rFont val="Calibri (Body)"/>
      </rPr>
      <t>HOURS</t>
    </r>
    <r>
      <rPr>
        <sz val="12"/>
        <color theme="1"/>
        <rFont val="Calibri"/>
        <family val="2"/>
        <scheme val="minor"/>
      </rPr>
      <t>) to run phenobot based on HL's est of 3 hours per N hybrid &amp; 7 hours per N inbred</t>
    </r>
  </si>
  <si>
    <t>&lt;-email said Scottsbluff as #6, but that site already had 6….</t>
  </si>
  <si>
    <t>Hand Harvest Dates</t>
  </si>
  <si>
    <t>9/27/22 - 10/2/22</t>
  </si>
  <si>
    <t>7/11/2022 - 7/12/2022</t>
  </si>
  <si>
    <t>7/13/2022 - 7/16/2022</t>
  </si>
  <si>
    <t>7/22/2022-7/26/2022</t>
  </si>
  <si>
    <t>8/1/2022-8/3/2022</t>
  </si>
  <si>
    <t>11/4/22-11/6/22</t>
  </si>
  <si>
    <t>~10/19/22</t>
  </si>
  <si>
    <t>~ 10/23/22 - 11/3/22</t>
  </si>
  <si>
    <t>~ 10/20/22 - 10/27/22</t>
  </si>
  <si>
    <t>Machine Plot Harvest Date</t>
  </si>
  <si>
    <t>9/7-9/13</t>
  </si>
  <si>
    <t>Phenobot</t>
  </si>
  <si>
    <t>hybrid focus</t>
  </si>
  <si>
    <t>9/16 -9/21</t>
  </si>
  <si>
    <t>inbred focus</t>
  </si>
  <si>
    <t>2 people ride  regardless of doing 2 or 4-row plots</t>
  </si>
  <si>
    <t>10/21 &amp;n 11/1</t>
  </si>
  <si>
    <t>3 rates (75, 150, 225)</t>
  </si>
  <si>
    <t>3 rates (75, 150, 250)</t>
  </si>
  <si>
    <t>1 rate (175)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</si>
</sst>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22" x14ac:knownFonts="1"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2"/>
      <color rgb="FFFFFFFF"/>
      <name val="Calibri"/>
      <family val="2"/>
    </font>
    <font>
      <b/>
      <sz val="12"/>
      <color rgb="FF0070C0"/>
      <name val="Calibri"/>
      <family val="2"/>
      <scheme val="minor"/>
    </font>
    <font>
      <sz val="12"/>
      <color rgb="FFFF0000"/>
      <name val="Calibri (Body)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sz val="13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3" applyNumberFormat="1" applyFont="1" applyFill="1" applyAlignment="1">
      <alignment horizontal="center"/>
    </xf>
    <xf numFmtId="165" fontId="0" fillId="4" borderId="0" xfId="3" applyNumberFormat="1" applyFont="1" applyFill="1" applyAlignment="1">
      <alignment horizontal="center"/>
    </xf>
    <xf numFmtId="44" fontId="0" fillId="4" borderId="0" xfId="4" applyFont="1" applyFill="1" applyAlignment="1">
      <alignment horizontal="center"/>
    </xf>
    <xf numFmtId="44" fontId="0" fillId="4" borderId="0" xfId="0" applyNumberFormat="1" applyFill="1" applyAlignment="1">
      <alignment horizontal="center"/>
    </xf>
    <xf numFmtId="44" fontId="0" fillId="4" borderId="0" xfId="0" applyNumberFormat="1" applyFill="1"/>
    <xf numFmtId="0" fontId="3" fillId="0" borderId="0" xfId="0" applyFont="1"/>
    <xf numFmtId="164" fontId="0" fillId="0" borderId="0" xfId="3" applyNumberFormat="1" applyFont="1" applyAlignment="1">
      <alignment horizontal="center"/>
    </xf>
    <xf numFmtId="165" fontId="0" fillId="0" borderId="0" xfId="3" applyNumberFormat="1" applyFont="1" applyAlignment="1">
      <alignment horizontal="center"/>
    </xf>
    <xf numFmtId="44" fontId="0" fillId="0" borderId="0" xfId="4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0" fillId="3" borderId="0" xfId="4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 applyAlignment="1">
      <alignment horizontal="center"/>
    </xf>
    <xf numFmtId="165" fontId="2" fillId="0" borderId="0" xfId="3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3" applyNumberFormat="1" applyFont="1" applyBorder="1" applyAlignment="1">
      <alignment horizontal="center"/>
    </xf>
    <xf numFmtId="165" fontId="0" fillId="0" borderId="2" xfId="3" applyNumberFormat="1" applyFont="1" applyBorder="1" applyAlignment="1">
      <alignment horizontal="center"/>
    </xf>
    <xf numFmtId="44" fontId="0" fillId="0" borderId="2" xfId="4" applyFont="1" applyBorder="1" applyAlignment="1">
      <alignment horizontal="center"/>
    </xf>
    <xf numFmtId="8" fontId="0" fillId="0" borderId="2" xfId="0" applyNumberFormat="1" applyBorder="1" applyAlignment="1">
      <alignment horizontal="right"/>
    </xf>
    <xf numFmtId="44" fontId="0" fillId="0" borderId="2" xfId="0" applyNumberFormat="1" applyBorder="1" applyAlignment="1">
      <alignment horizontal="center"/>
    </xf>
    <xf numFmtId="44" fontId="0" fillId="0" borderId="2" xfId="0" applyNumberFormat="1" applyBorder="1"/>
    <xf numFmtId="0" fontId="6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4" fontId="0" fillId="0" borderId="9" xfId="0" applyNumberFormat="1" applyBorder="1" applyAlignment="1">
      <alignment horizontal="center"/>
    </xf>
    <xf numFmtId="44" fontId="2" fillId="0" borderId="0" xfId="4" applyFont="1" applyFill="1" applyAlignment="1">
      <alignment horizontal="center"/>
    </xf>
    <xf numFmtId="164" fontId="0" fillId="0" borderId="0" xfId="3" applyNumberFormat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center"/>
    </xf>
    <xf numFmtId="164" fontId="0" fillId="5" borderId="0" xfId="0" applyNumberFormat="1" applyFill="1"/>
    <xf numFmtId="43" fontId="12" fillId="0" borderId="0" xfId="0" applyNumberFormat="1" applyFont="1"/>
    <xf numFmtId="0" fontId="12" fillId="0" borderId="0" xfId="0" applyFont="1"/>
    <xf numFmtId="164" fontId="0" fillId="2" borderId="0" xfId="3" applyNumberFormat="1" applyFont="1" applyFill="1" applyBorder="1" applyAlignment="1">
      <alignment horizontal="right"/>
    </xf>
    <xf numFmtId="0" fontId="0" fillId="6" borderId="0" xfId="0" applyFill="1"/>
    <xf numFmtId="164" fontId="0" fillId="2" borderId="0" xfId="0" applyNumberFormat="1" applyFill="1"/>
    <xf numFmtId="164" fontId="0" fillId="0" borderId="0" xfId="3" applyNumberFormat="1" applyFont="1"/>
    <xf numFmtId="164" fontId="0" fillId="6" borderId="2" xfId="3" applyNumberFormat="1" applyFont="1" applyFill="1" applyBorder="1"/>
    <xf numFmtId="43" fontId="5" fillId="7" borderId="0" xfId="0" applyNumberFormat="1" applyFont="1" applyFill="1"/>
    <xf numFmtId="0" fontId="5" fillId="7" borderId="0" xfId="0" applyFont="1" applyFill="1"/>
    <xf numFmtId="165" fontId="0" fillId="8" borderId="0" xfId="0" applyNumberFormat="1" applyFill="1" applyAlignment="1">
      <alignment horizontal="center"/>
    </xf>
    <xf numFmtId="14" fontId="0" fillId="0" borderId="0" xfId="0" applyNumberFormat="1"/>
    <xf numFmtId="0" fontId="17" fillId="0" borderId="2" xfId="0" applyFont="1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165" fontId="0" fillId="0" borderId="0" xfId="3" applyNumberFormat="1" applyFont="1" applyFill="1" applyAlignment="1">
      <alignment horizontal="center"/>
    </xf>
    <xf numFmtId="165" fontId="0" fillId="0" borderId="2" xfId="3" applyNumberFormat="1" applyFont="1" applyFill="1" applyBorder="1" applyAlignment="1">
      <alignment horizontal="center"/>
    </xf>
    <xf numFmtId="0" fontId="0" fillId="0" borderId="0" xfId="0" quotePrefix="1"/>
    <xf numFmtId="0" fontId="20" fillId="9" borderId="13" xfId="0" applyFont="1" applyFill="1" applyBorder="1" applyAlignment="1">
      <alignment vertical="center"/>
    </xf>
    <xf numFmtId="16" fontId="20" fillId="9" borderId="13" xfId="0" applyNumberFormat="1" applyFont="1" applyFill="1" applyBorder="1" applyAlignment="1">
      <alignment horizontal="center" vertical="center"/>
    </xf>
    <xf numFmtId="0" fontId="0" fillId="0" borderId="15" xfId="0" applyBorder="1"/>
    <xf numFmtId="16" fontId="0" fillId="0" borderId="15" xfId="0" applyNumberFormat="1" applyBorder="1" applyAlignment="1">
      <alignment horizontal="left"/>
    </xf>
    <xf numFmtId="16" fontId="0" fillId="10" borderId="14" xfId="0" applyNumberFormat="1" applyFill="1" applyBorder="1" applyAlignment="1">
      <alignment horizontal="right" indent="1"/>
    </xf>
    <xf numFmtId="16" fontId="0" fillId="0" borderId="14" xfId="0" quotePrefix="1" applyNumberFormat="1" applyBorder="1" applyAlignment="1">
      <alignment horizontal="center" vertical="center"/>
    </xf>
    <xf numFmtId="16" fontId="0" fillId="11" borderId="14" xfId="0" applyNumberFormat="1" applyFill="1" applyBorder="1" applyAlignment="1">
      <alignment horizontal="right" indent="1"/>
    </xf>
    <xf numFmtId="16" fontId="0" fillId="0" borderId="14" xfId="0" applyNumberFormat="1" applyBorder="1" applyAlignment="1">
      <alignment horizontal="center" vertical="center"/>
    </xf>
    <xf numFmtId="16" fontId="0" fillId="11" borderId="16" xfId="0" applyNumberFormat="1" applyFill="1" applyBorder="1" applyAlignment="1">
      <alignment horizontal="right" indent="1"/>
    </xf>
    <xf numFmtId="0" fontId="0" fillId="0" borderId="17" xfId="0" applyBorder="1"/>
    <xf numFmtId="16" fontId="0" fillId="0" borderId="17" xfId="0" applyNumberFormat="1" applyBorder="1" applyAlignment="1">
      <alignment horizontal="left"/>
    </xf>
    <xf numFmtId="16" fontId="0" fillId="10" borderId="18" xfId="0" applyNumberFormat="1" applyFill="1" applyBorder="1" applyAlignment="1">
      <alignment horizontal="right" indent="1"/>
    </xf>
    <xf numFmtId="16" fontId="0" fillId="0" borderId="18" xfId="0" quotePrefix="1" applyNumberFormat="1" applyBorder="1" applyAlignment="1">
      <alignment horizontal="center" vertical="center"/>
    </xf>
    <xf numFmtId="16" fontId="0" fillId="11" borderId="18" xfId="0" applyNumberFormat="1" applyFill="1" applyBorder="1" applyAlignment="1">
      <alignment horizontal="right" indent="1"/>
    </xf>
    <xf numFmtId="16" fontId="0" fillId="11" borderId="19" xfId="0" applyNumberFormat="1" applyFill="1" applyBorder="1" applyAlignment="1">
      <alignment horizontal="right" indent="1"/>
    </xf>
    <xf numFmtId="0" fontId="0" fillId="0" borderId="21" xfId="0" applyBorder="1"/>
    <xf numFmtId="16" fontId="0" fillId="0" borderId="21" xfId="0" applyNumberFormat="1" applyBorder="1" applyAlignment="1">
      <alignment horizontal="left"/>
    </xf>
    <xf numFmtId="16" fontId="0" fillId="10" borderId="20" xfId="0" applyNumberFormat="1" applyFill="1" applyBorder="1" applyAlignment="1">
      <alignment horizontal="right" indent="1"/>
    </xf>
    <xf numFmtId="16" fontId="0" fillId="0" borderId="20" xfId="0" quotePrefix="1" applyNumberFormat="1" applyBorder="1" applyAlignment="1">
      <alignment horizontal="center" vertical="center"/>
    </xf>
    <xf numFmtId="16" fontId="0" fillId="11" borderId="20" xfId="0" applyNumberFormat="1" applyFill="1" applyBorder="1" applyAlignment="1">
      <alignment horizontal="right" indent="1"/>
    </xf>
    <xf numFmtId="16" fontId="0" fillId="11" borderId="22" xfId="0" applyNumberFormat="1" applyFill="1" applyBorder="1" applyAlignment="1">
      <alignment horizontal="right" indent="1"/>
    </xf>
    <xf numFmtId="0" fontId="0" fillId="9" borderId="11" xfId="0" applyFill="1" applyBorder="1"/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17" fillId="0" borderId="0" xfId="0" applyFont="1" applyAlignment="1">
      <alignment wrapText="1"/>
    </xf>
    <xf numFmtId="14" fontId="21" fillId="0" borderId="0" xfId="0" applyNumberFormat="1" applyFont="1" applyAlignment="1">
      <alignment horizontal="center"/>
    </xf>
    <xf numFmtId="164" fontId="0" fillId="0" borderId="0" xfId="3" applyNumberFormat="1" applyFont="1" applyFill="1"/>
    <xf numFmtId="166" fontId="0" fillId="0" borderId="0" xfId="0" applyNumberFormat="1"/>
    <xf numFmtId="0" fontId="0" fillId="12" borderId="0" xfId="0" applyFill="1"/>
    <xf numFmtId="164" fontId="0" fillId="12" borderId="0" xfId="3" applyNumberFormat="1" applyFont="1" applyFill="1"/>
    <xf numFmtId="166" fontId="0" fillId="12" borderId="0" xfId="0" applyNumberFormat="1" applyFill="1"/>
    <xf numFmtId="165" fontId="0" fillId="12" borderId="0" xfId="3" applyNumberFormat="1" applyFont="1" applyFill="1" applyAlignment="1">
      <alignment horizontal="center"/>
    </xf>
    <xf numFmtId="164" fontId="0" fillId="0" borderId="2" xfId="3" applyNumberFormat="1" applyFont="1" applyFill="1" applyBorder="1"/>
    <xf numFmtId="166" fontId="0" fillId="0" borderId="2" xfId="0" applyNumberFormat="1" applyBorder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20" fillId="0" borderId="0" xfId="0" applyFont="1" applyAlignment="1">
      <alignment horizontal="center" wrapText="1"/>
    </xf>
    <xf numFmtId="0" fontId="0" fillId="7" borderId="0" xfId="0" applyFill="1" applyAlignment="1">
      <alignment horizontal="center" wrapText="1"/>
    </xf>
    <xf numFmtId="0" fontId="20" fillId="9" borderId="10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5">
    <cellStyle name="Comma" xfId="3" builtinId="3"/>
    <cellStyle name="Currency" xfId="4" builtinId="4"/>
    <cellStyle name="Normal" xfId="0" builtinId="0"/>
    <cellStyle name="Normal 10" xfId="1" xr:uid="{B55E9C49-605C-8A4E-AE51-5C3E4D6D34E3}"/>
    <cellStyle name="Normal 2" xfId="2" xr:uid="{E0252077-9327-D74D-9D0D-ECD194AC7B0A}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4093-A31B-3D42-860A-23BB6A31A38B}">
  <dimension ref="A1:AMV23"/>
  <sheetViews>
    <sheetView tabSelected="1" workbookViewId="0">
      <pane xSplit="3" ySplit="3" topLeftCell="J4" activePane="bottomRight" state="frozen"/>
      <selection pane="topRight" activeCell="D1" sqref="D1"/>
      <selection pane="bottomLeft" activeCell="A2" sqref="A2"/>
      <selection pane="bottomRight" activeCell="P12" sqref="P12"/>
    </sheetView>
  </sheetViews>
  <sheetFormatPr baseColWidth="10" defaultColWidth="10.83203125" defaultRowHeight="16" x14ac:dyDescent="0.2"/>
  <cols>
    <col min="1" max="1" width="3.5" style="3" bestFit="1" customWidth="1"/>
    <col min="2" max="2" width="22.5" style="2" customWidth="1"/>
    <col min="3" max="3" width="14.1640625" style="2" bestFit="1" customWidth="1"/>
    <col min="4" max="4" width="18.1640625" style="3" customWidth="1"/>
    <col min="5" max="5" width="29.33203125" style="3" customWidth="1"/>
    <col min="6" max="6" width="13.83203125" style="3" customWidth="1"/>
    <col min="7" max="7" width="15" style="3" customWidth="1"/>
    <col min="8" max="8" width="16.1640625" style="3" customWidth="1"/>
    <col min="9" max="10" width="25" style="3" customWidth="1"/>
    <col min="11" max="16" width="10.83203125" style="3"/>
    <col min="17" max="17" width="11.1640625" style="3" customWidth="1"/>
    <col min="18" max="18" width="20.1640625" style="3" customWidth="1"/>
    <col min="19" max="21" width="12.1640625" style="3" customWidth="1"/>
    <col min="22" max="23" width="21.1640625" style="3" customWidth="1"/>
    <col min="24" max="24" width="14.1640625" style="3" customWidth="1"/>
    <col min="25" max="25" width="10.83203125" style="3"/>
    <col min="26" max="26" width="17.1640625" style="3" customWidth="1"/>
    <col min="27" max="16384" width="10.83203125" style="3"/>
  </cols>
  <sheetData>
    <row r="1" spans="1:1036" x14ac:dyDescent="0.2">
      <c r="A1" s="15" t="s">
        <v>0</v>
      </c>
    </row>
    <row r="2" spans="1:1036" x14ac:dyDescent="0.2">
      <c r="A2" s="9"/>
      <c r="K2" s="3" t="s">
        <v>1</v>
      </c>
    </row>
    <row r="3" spans="1:1036" ht="69" thickBot="1" x14ac:dyDescent="0.25">
      <c r="A3" s="3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179</v>
      </c>
      <c r="X3" s="1" t="s">
        <v>189</v>
      </c>
      <c r="Y3" s="1" t="s">
        <v>24</v>
      </c>
      <c r="Z3" s="1" t="s">
        <v>25</v>
      </c>
      <c r="AA3" s="6" t="s">
        <v>26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</row>
    <row r="4" spans="1:1036" ht="34" x14ac:dyDescent="0.2">
      <c r="A4" s="3">
        <v>1</v>
      </c>
      <c r="B4" s="2" t="s">
        <v>27</v>
      </c>
      <c r="C4" s="2" t="s">
        <v>28</v>
      </c>
      <c r="D4" s="3" t="s">
        <v>29</v>
      </c>
      <c r="E4" s="3" t="s">
        <v>30</v>
      </c>
      <c r="F4" s="5">
        <v>44692</v>
      </c>
      <c r="G4" s="3" t="s">
        <v>31</v>
      </c>
      <c r="H4" s="2" t="s">
        <v>197</v>
      </c>
      <c r="I4" s="2" t="s">
        <v>33</v>
      </c>
      <c r="J4" s="2" t="s">
        <v>34</v>
      </c>
      <c r="K4" s="3">
        <v>84</v>
      </c>
      <c r="L4" s="3" t="s">
        <v>35</v>
      </c>
      <c r="M4" s="3">
        <v>2</v>
      </c>
      <c r="N4" s="3">
        <f>86*2</f>
        <v>172</v>
      </c>
      <c r="O4" s="3">
        <v>200</v>
      </c>
      <c r="P4" s="3">
        <f>17+3</f>
        <v>20</v>
      </c>
      <c r="Q4" s="3">
        <v>30</v>
      </c>
      <c r="S4" s="77">
        <v>44735</v>
      </c>
      <c r="T4"/>
      <c r="U4" s="77">
        <v>44735</v>
      </c>
      <c r="V4" t="s">
        <v>166</v>
      </c>
      <c r="W4" s="3" t="s">
        <v>180</v>
      </c>
      <c r="X4" s="5">
        <v>44841</v>
      </c>
      <c r="Y4" s="3" t="s">
        <v>114</v>
      </c>
    </row>
    <row r="5" spans="1:1036" ht="34" x14ac:dyDescent="0.2">
      <c r="A5" s="3">
        <v>1</v>
      </c>
      <c r="B5" s="2" t="s">
        <v>27</v>
      </c>
      <c r="C5" s="2" t="s">
        <v>36</v>
      </c>
      <c r="D5" s="3" t="s">
        <v>29</v>
      </c>
      <c r="E5" s="3" t="s">
        <v>30</v>
      </c>
      <c r="F5" s="5">
        <v>44692</v>
      </c>
      <c r="G5" s="3" t="s">
        <v>31</v>
      </c>
      <c r="H5" s="2" t="s">
        <v>197</v>
      </c>
      <c r="I5" s="2" t="s">
        <v>33</v>
      </c>
      <c r="J5" s="2"/>
      <c r="K5" s="12">
        <v>380</v>
      </c>
      <c r="L5" s="3" t="s">
        <v>37</v>
      </c>
      <c r="M5" s="3">
        <v>2</v>
      </c>
      <c r="N5" s="12">
        <f>86*2/2/2</f>
        <v>43</v>
      </c>
      <c r="O5" s="3">
        <v>50</v>
      </c>
      <c r="P5" s="12">
        <v>10</v>
      </c>
      <c r="Q5" s="3">
        <v>30</v>
      </c>
      <c r="S5" s="77">
        <v>44735</v>
      </c>
      <c r="T5"/>
      <c r="U5" s="77">
        <v>44735</v>
      </c>
      <c r="V5" s="63" t="s">
        <v>50</v>
      </c>
      <c r="W5" s="3" t="s">
        <v>180</v>
      </c>
      <c r="X5" s="3" t="s">
        <v>50</v>
      </c>
      <c r="Y5" s="3" t="s">
        <v>50</v>
      </c>
    </row>
    <row r="6" spans="1:1036" ht="68" x14ac:dyDescent="0.2">
      <c r="A6" s="3">
        <v>2</v>
      </c>
      <c r="B6" s="2" t="s">
        <v>38</v>
      </c>
      <c r="C6" s="2" t="s">
        <v>28</v>
      </c>
      <c r="D6" s="3" t="s">
        <v>29</v>
      </c>
      <c r="E6" s="3" t="s">
        <v>39</v>
      </c>
      <c r="F6" s="5">
        <v>44703</v>
      </c>
      <c r="G6" s="7" t="s">
        <v>40</v>
      </c>
      <c r="H6" s="2" t="s">
        <v>198</v>
      </c>
      <c r="I6" s="2" t="s">
        <v>41</v>
      </c>
      <c r="J6" s="2" t="s">
        <v>34</v>
      </c>
      <c r="K6" s="3">
        <v>84</v>
      </c>
      <c r="L6" s="3" t="s">
        <v>35</v>
      </c>
      <c r="M6" s="3">
        <v>2</v>
      </c>
      <c r="N6" s="3">
        <f>86*2</f>
        <v>172</v>
      </c>
      <c r="O6" s="3">
        <v>200</v>
      </c>
      <c r="P6" s="3">
        <f>17+3</f>
        <v>20</v>
      </c>
      <c r="Q6" s="3">
        <v>30</v>
      </c>
      <c r="S6" s="77">
        <v>44739</v>
      </c>
      <c r="T6"/>
      <c r="U6" s="77">
        <v>44739</v>
      </c>
      <c r="V6" s="3" t="s">
        <v>183</v>
      </c>
      <c r="W6" s="3" t="s">
        <v>188</v>
      </c>
      <c r="X6" s="5">
        <v>44850</v>
      </c>
      <c r="Y6" s="3" t="s">
        <v>114</v>
      </c>
    </row>
    <row r="7" spans="1:1036" ht="68" x14ac:dyDescent="0.2">
      <c r="A7" s="3">
        <v>2</v>
      </c>
      <c r="B7" s="2" t="s">
        <v>38</v>
      </c>
      <c r="C7" s="2" t="s">
        <v>36</v>
      </c>
      <c r="D7" s="3" t="s">
        <v>29</v>
      </c>
      <c r="E7" s="3" t="s">
        <v>39</v>
      </c>
      <c r="F7" s="5">
        <v>44703</v>
      </c>
      <c r="G7" s="7" t="s">
        <v>40</v>
      </c>
      <c r="H7" s="2" t="s">
        <v>198</v>
      </c>
      <c r="I7" s="2" t="s">
        <v>41</v>
      </c>
      <c r="J7" s="2"/>
      <c r="K7" s="12">
        <v>380</v>
      </c>
      <c r="L7" s="3" t="s">
        <v>37</v>
      </c>
      <c r="M7" s="3">
        <v>2</v>
      </c>
      <c r="N7" s="12">
        <f>86*2/2/2</f>
        <v>43</v>
      </c>
      <c r="O7" s="3">
        <v>50</v>
      </c>
      <c r="P7" s="12">
        <v>10</v>
      </c>
      <c r="Q7" s="3">
        <v>30</v>
      </c>
      <c r="S7" s="77">
        <v>44739</v>
      </c>
      <c r="T7"/>
      <c r="U7" s="77">
        <v>44739</v>
      </c>
      <c r="V7" s="63" t="s">
        <v>50</v>
      </c>
      <c r="W7" s="3" t="s">
        <v>187</v>
      </c>
      <c r="X7" s="3" t="s">
        <v>50</v>
      </c>
      <c r="Y7" s="3" t="s">
        <v>50</v>
      </c>
      <c r="Z7"/>
    </row>
    <row r="8" spans="1:1036" ht="34" x14ac:dyDescent="0.2">
      <c r="A8" s="3">
        <v>3</v>
      </c>
      <c r="B8" s="2" t="s">
        <v>42</v>
      </c>
      <c r="C8" s="2" t="s">
        <v>28</v>
      </c>
      <c r="D8" s="3" t="s">
        <v>29</v>
      </c>
      <c r="E8" s="3" t="s">
        <v>43</v>
      </c>
      <c r="F8" s="5">
        <v>44680</v>
      </c>
      <c r="G8" s="12" t="s">
        <v>44</v>
      </c>
      <c r="H8" s="12" t="s">
        <v>199</v>
      </c>
      <c r="I8" s="2" t="s">
        <v>46</v>
      </c>
      <c r="J8" s="2" t="s">
        <v>34</v>
      </c>
      <c r="K8" s="3">
        <v>84</v>
      </c>
      <c r="L8" s="3" t="s">
        <v>35</v>
      </c>
      <c r="M8" s="3">
        <v>2</v>
      </c>
      <c r="N8" s="3">
        <f>86*2</f>
        <v>172</v>
      </c>
      <c r="O8" s="3">
        <v>200</v>
      </c>
      <c r="P8" s="3">
        <f>17+3</f>
        <v>20</v>
      </c>
      <c r="Q8" s="3">
        <v>30</v>
      </c>
      <c r="S8" s="77">
        <v>44726</v>
      </c>
      <c r="T8"/>
      <c r="U8" s="77">
        <v>44729</v>
      </c>
      <c r="V8" t="s">
        <v>165</v>
      </c>
      <c r="W8" s="5">
        <v>44828</v>
      </c>
      <c r="X8" s="77">
        <v>44845</v>
      </c>
      <c r="Y8" s="3" t="s">
        <v>114</v>
      </c>
      <c r="Z8"/>
    </row>
    <row r="9" spans="1:1036" ht="17" x14ac:dyDescent="0.2">
      <c r="A9" s="3">
        <v>3</v>
      </c>
      <c r="B9" s="2" t="s">
        <v>42</v>
      </c>
      <c r="C9" s="2" t="s">
        <v>36</v>
      </c>
      <c r="D9" s="3" t="s">
        <v>29</v>
      </c>
      <c r="E9" s="3" t="s">
        <v>43</v>
      </c>
      <c r="F9" s="5">
        <v>44680</v>
      </c>
      <c r="G9" s="12" t="s">
        <v>44</v>
      </c>
      <c r="H9" s="12" t="s">
        <v>199</v>
      </c>
      <c r="I9" s="2" t="s">
        <v>46</v>
      </c>
      <c r="J9" s="2"/>
      <c r="K9" s="12">
        <v>380</v>
      </c>
      <c r="L9" s="3" t="s">
        <v>37</v>
      </c>
      <c r="M9" s="3">
        <v>2</v>
      </c>
      <c r="N9" s="12">
        <f>86*2/2/2</f>
        <v>43</v>
      </c>
      <c r="O9" s="3">
        <v>50</v>
      </c>
      <c r="P9" s="12">
        <v>10</v>
      </c>
      <c r="Q9" s="3">
        <v>30</v>
      </c>
      <c r="S9" s="77">
        <v>44726</v>
      </c>
      <c r="T9"/>
      <c r="U9" s="77">
        <v>44729</v>
      </c>
      <c r="V9" s="63" t="s">
        <v>50</v>
      </c>
      <c r="W9" s="5">
        <v>44828</v>
      </c>
      <c r="X9" s="3" t="s">
        <v>50</v>
      </c>
      <c r="Y9" s="3" t="s">
        <v>50</v>
      </c>
      <c r="Z9"/>
    </row>
    <row r="10" spans="1:1036" ht="17" x14ac:dyDescent="0.2">
      <c r="A10" s="13">
        <v>4</v>
      </c>
      <c r="B10" s="14" t="s">
        <v>38</v>
      </c>
      <c r="C10" s="2" t="s">
        <v>28</v>
      </c>
      <c r="D10" s="3" t="s">
        <v>47</v>
      </c>
      <c r="F10" s="5">
        <v>44704</v>
      </c>
      <c r="G10" s="3" t="s">
        <v>31</v>
      </c>
      <c r="H10" s="3" t="s">
        <v>48</v>
      </c>
      <c r="I10" s="2"/>
      <c r="J10" s="2"/>
      <c r="K10" s="3">
        <v>84</v>
      </c>
      <c r="L10" s="3" t="s">
        <v>49</v>
      </c>
      <c r="M10" s="3">
        <v>1</v>
      </c>
      <c r="N10" s="3">
        <v>6</v>
      </c>
      <c r="P10" s="3">
        <f>6+4</f>
        <v>10</v>
      </c>
      <c r="Q10" s="11">
        <f>4*35</f>
        <v>140</v>
      </c>
      <c r="R10" s="11"/>
      <c r="S10" s="63" t="s">
        <v>50</v>
      </c>
      <c r="T10"/>
      <c r="U10" s="63" t="s">
        <v>50</v>
      </c>
      <c r="V10" s="63" t="s">
        <v>50</v>
      </c>
      <c r="W10" s="63" t="s">
        <v>50</v>
      </c>
      <c r="X10" s="3" t="s">
        <v>50</v>
      </c>
      <c r="Y10" s="3" t="s">
        <v>50</v>
      </c>
      <c r="Z10"/>
    </row>
    <row r="11" spans="1:1036" ht="17" x14ac:dyDescent="0.2">
      <c r="A11" s="13">
        <v>4</v>
      </c>
      <c r="B11" s="14" t="s">
        <v>38</v>
      </c>
      <c r="C11" s="2" t="s">
        <v>36</v>
      </c>
      <c r="D11" s="3" t="s">
        <v>47</v>
      </c>
      <c r="F11" s="5">
        <v>44704</v>
      </c>
      <c r="G11" s="3" t="s">
        <v>31</v>
      </c>
      <c r="H11" s="3" t="s">
        <v>48</v>
      </c>
      <c r="I11" s="2"/>
      <c r="J11" s="2"/>
      <c r="K11" s="12">
        <v>380</v>
      </c>
      <c r="L11" s="3" t="s">
        <v>37</v>
      </c>
      <c r="M11" s="3">
        <v>1</v>
      </c>
      <c r="N11" s="3">
        <v>6</v>
      </c>
      <c r="P11" s="3">
        <f>6+4</f>
        <v>10</v>
      </c>
      <c r="Q11" s="11">
        <f>4*35</f>
        <v>140</v>
      </c>
      <c r="R11" s="11"/>
      <c r="S11" s="63" t="s">
        <v>50</v>
      </c>
      <c r="T11"/>
      <c r="U11" s="63" t="s">
        <v>50</v>
      </c>
      <c r="V11" s="63" t="s">
        <v>50</v>
      </c>
      <c r="W11" s="63" t="s">
        <v>50</v>
      </c>
      <c r="X11" s="3" t="s">
        <v>50</v>
      </c>
      <c r="Y11" s="3" t="s">
        <v>50</v>
      </c>
      <c r="Z11"/>
    </row>
    <row r="12" spans="1:1036" ht="34" x14ac:dyDescent="0.2">
      <c r="A12" s="3">
        <v>5</v>
      </c>
      <c r="B12" s="2" t="s">
        <v>51</v>
      </c>
      <c r="C12" s="2" t="s">
        <v>28</v>
      </c>
      <c r="D12" s="2" t="s">
        <v>52</v>
      </c>
      <c r="E12" s="3" t="s">
        <v>53</v>
      </c>
      <c r="F12" s="5">
        <v>44691</v>
      </c>
      <c r="G12" s="3" t="s">
        <v>173</v>
      </c>
      <c r="H12" s="124" t="s">
        <v>32</v>
      </c>
      <c r="I12" s="2" t="s">
        <v>174</v>
      </c>
      <c r="K12" s="3">
        <v>84</v>
      </c>
      <c r="L12" s="3" t="s">
        <v>35</v>
      </c>
      <c r="M12" s="3">
        <v>2</v>
      </c>
      <c r="N12" s="3">
        <f>88*2</f>
        <v>176</v>
      </c>
      <c r="O12" s="13"/>
      <c r="P12" s="3">
        <f>17.5+2.5</f>
        <v>20</v>
      </c>
      <c r="Q12" s="3">
        <v>30</v>
      </c>
      <c r="S12" s="77">
        <v>44739</v>
      </c>
      <c r="T12"/>
      <c r="U12" s="77">
        <v>44739</v>
      </c>
      <c r="V12" t="s">
        <v>181</v>
      </c>
      <c r="W12" s="5">
        <v>44835</v>
      </c>
      <c r="X12" s="77">
        <v>44844</v>
      </c>
      <c r="Y12"/>
      <c r="Z12"/>
    </row>
    <row r="13" spans="1:1036" ht="34" x14ac:dyDescent="0.2">
      <c r="A13" s="3">
        <v>5</v>
      </c>
      <c r="B13" s="2" t="s">
        <v>51</v>
      </c>
      <c r="C13" s="2" t="s">
        <v>36</v>
      </c>
      <c r="D13" s="2" t="s">
        <v>52</v>
      </c>
      <c r="E13" s="3" t="s">
        <v>54</v>
      </c>
      <c r="F13" s="5">
        <v>44701</v>
      </c>
      <c r="H13" s="122" t="s">
        <v>45</v>
      </c>
      <c r="I13" s="2" t="s">
        <v>174</v>
      </c>
      <c r="K13" s="12">
        <v>380</v>
      </c>
      <c r="L13" s="3" t="s">
        <v>37</v>
      </c>
      <c r="M13" s="3">
        <v>2</v>
      </c>
      <c r="N13" s="12">
        <f>88*2/2/2</f>
        <v>44</v>
      </c>
      <c r="O13" s="12">
        <v>55</v>
      </c>
      <c r="P13" s="12">
        <v>10</v>
      </c>
      <c r="Q13" s="3">
        <v>30</v>
      </c>
      <c r="S13" s="77">
        <v>44739</v>
      </c>
      <c r="T13"/>
      <c r="U13" s="77">
        <v>44739</v>
      </c>
      <c r="V13" s="63" t="s">
        <v>50</v>
      </c>
      <c r="W13" s="5">
        <v>44842</v>
      </c>
      <c r="X13" s="3" t="s">
        <v>50</v>
      </c>
      <c r="Y13" s="3" t="s">
        <v>50</v>
      </c>
    </row>
    <row r="14" spans="1:1036" ht="34" x14ac:dyDescent="0.2">
      <c r="A14" s="3">
        <v>6</v>
      </c>
      <c r="B14" s="2" t="s">
        <v>55</v>
      </c>
      <c r="C14" s="2" t="s">
        <v>28</v>
      </c>
      <c r="D14" s="3" t="s">
        <v>56</v>
      </c>
      <c r="E14" s="3" t="s">
        <v>57</v>
      </c>
      <c r="F14" s="10">
        <v>44699</v>
      </c>
      <c r="G14" s="3" t="s">
        <v>31</v>
      </c>
      <c r="H14" s="2" t="s">
        <v>197</v>
      </c>
      <c r="I14" s="2" t="s">
        <v>171</v>
      </c>
      <c r="J14" s="2"/>
      <c r="K14" s="3">
        <v>84</v>
      </c>
      <c r="L14" s="3" t="s">
        <v>35</v>
      </c>
      <c r="M14" s="3">
        <v>2</v>
      </c>
      <c r="N14" s="3">
        <v>170</v>
      </c>
      <c r="O14" s="13"/>
      <c r="P14" s="3">
        <f>17.5+2.5</f>
        <v>20</v>
      </c>
      <c r="Q14" s="3">
        <v>30</v>
      </c>
      <c r="S14"/>
      <c r="T14"/>
      <c r="U14" s="77">
        <v>44748</v>
      </c>
      <c r="V14" t="s">
        <v>182</v>
      </c>
      <c r="W14" s="3" t="s">
        <v>186</v>
      </c>
      <c r="X14" s="5">
        <v>44853</v>
      </c>
      <c r="Y14" s="3" t="s">
        <v>114</v>
      </c>
    </row>
    <row r="15" spans="1:1036" ht="34" x14ac:dyDescent="0.2">
      <c r="A15" s="3">
        <v>7</v>
      </c>
      <c r="B15" s="2" t="s">
        <v>58</v>
      </c>
      <c r="C15" s="2" t="s">
        <v>28</v>
      </c>
      <c r="D15" s="3" t="s">
        <v>56</v>
      </c>
      <c r="E15" s="3" t="s">
        <v>59</v>
      </c>
      <c r="F15" s="10">
        <v>44698</v>
      </c>
      <c r="G15" s="3" t="s">
        <v>31</v>
      </c>
      <c r="H15" s="2" t="s">
        <v>197</v>
      </c>
      <c r="I15" s="2" t="s">
        <v>171</v>
      </c>
      <c r="J15" s="2"/>
      <c r="K15" s="3">
        <v>84</v>
      </c>
      <c r="L15" s="3" t="s">
        <v>35</v>
      </c>
      <c r="M15" s="3">
        <v>2</v>
      </c>
      <c r="N15" s="3">
        <f>85*2</f>
        <v>170</v>
      </c>
      <c r="O15" s="13"/>
      <c r="P15" s="3">
        <f>17.5+2.5</f>
        <v>20</v>
      </c>
      <c r="Q15" s="3">
        <v>30</v>
      </c>
      <c r="S15"/>
      <c r="T15"/>
      <c r="U15" s="77">
        <v>44748</v>
      </c>
      <c r="V15" t="s">
        <v>182</v>
      </c>
      <c r="W15" s="3" t="s">
        <v>186</v>
      </c>
      <c r="X15" s="5">
        <v>44860</v>
      </c>
      <c r="Y15" s="3" t="s">
        <v>114</v>
      </c>
    </row>
    <row r="16" spans="1:1036" ht="34" x14ac:dyDescent="0.2">
      <c r="A16" s="3">
        <v>8</v>
      </c>
      <c r="B16" s="2" t="s">
        <v>60</v>
      </c>
      <c r="C16" s="2" t="s">
        <v>28</v>
      </c>
      <c r="D16" s="3" t="s">
        <v>56</v>
      </c>
      <c r="E16" s="3" t="s">
        <v>61</v>
      </c>
      <c r="F16" s="10">
        <v>44698</v>
      </c>
      <c r="G16" s="3" t="s">
        <v>31</v>
      </c>
      <c r="H16" s="2" t="s">
        <v>197</v>
      </c>
      <c r="I16" s="2" t="s">
        <v>171</v>
      </c>
      <c r="J16" s="2"/>
      <c r="K16" s="3">
        <v>84</v>
      </c>
      <c r="L16" s="3" t="s">
        <v>35</v>
      </c>
      <c r="M16" s="3">
        <v>2</v>
      </c>
      <c r="N16" s="3">
        <f>85*2</f>
        <v>170</v>
      </c>
      <c r="O16" s="13"/>
      <c r="P16" s="3">
        <f>17.5+2.5</f>
        <v>20</v>
      </c>
      <c r="Q16" s="3">
        <v>30</v>
      </c>
      <c r="S16"/>
      <c r="T16"/>
      <c r="U16" s="77">
        <v>44748</v>
      </c>
      <c r="V16" t="s">
        <v>182</v>
      </c>
      <c r="W16" s="3" t="s">
        <v>186</v>
      </c>
      <c r="X16" s="3" t="s">
        <v>196</v>
      </c>
      <c r="Y16" s="3" t="s">
        <v>114</v>
      </c>
    </row>
    <row r="17" spans="1:26" ht="34" x14ac:dyDescent="0.2">
      <c r="A17" s="3">
        <v>9</v>
      </c>
      <c r="B17" s="2" t="s">
        <v>62</v>
      </c>
      <c r="C17" s="2" t="s">
        <v>28</v>
      </c>
      <c r="D17" s="3" t="s">
        <v>63</v>
      </c>
      <c r="E17" s="3" t="s">
        <v>64</v>
      </c>
      <c r="F17" s="10">
        <v>44700</v>
      </c>
      <c r="G17" s="2" t="s">
        <v>172</v>
      </c>
      <c r="H17" s="2" t="s">
        <v>198</v>
      </c>
      <c r="I17" s="2" t="s">
        <v>170</v>
      </c>
      <c r="J17" s="2"/>
      <c r="K17" s="3">
        <v>84</v>
      </c>
      <c r="L17" s="3" t="s">
        <v>35</v>
      </c>
      <c r="M17" s="3">
        <v>2</v>
      </c>
      <c r="N17" s="3">
        <f>105*2</f>
        <v>210</v>
      </c>
      <c r="O17" s="13"/>
      <c r="P17" s="3">
        <v>25</v>
      </c>
      <c r="Q17" s="2">
        <v>30</v>
      </c>
      <c r="R17" s="123"/>
      <c r="S17"/>
      <c r="T17"/>
      <c r="U17" s="77">
        <v>44750</v>
      </c>
      <c r="V17" s="3" t="s">
        <v>184</v>
      </c>
      <c r="W17" s="3" t="s">
        <v>185</v>
      </c>
      <c r="X17" s="122"/>
      <c r="Y17" s="122"/>
      <c r="Z17" s="7"/>
    </row>
    <row r="18" spans="1:26" ht="34" x14ac:dyDescent="0.2">
      <c r="A18" s="3">
        <v>9</v>
      </c>
      <c r="B18" s="2" t="s">
        <v>62</v>
      </c>
      <c r="C18" s="2" t="s">
        <v>36</v>
      </c>
      <c r="D18" s="3" t="s">
        <v>63</v>
      </c>
      <c r="E18" s="3" t="s">
        <v>64</v>
      </c>
      <c r="F18" s="10">
        <v>44700</v>
      </c>
      <c r="G18" s="2" t="s">
        <v>172</v>
      </c>
      <c r="H18" s="122" t="s">
        <v>45</v>
      </c>
      <c r="I18" s="2" t="s">
        <v>170</v>
      </c>
      <c r="J18" s="2"/>
      <c r="K18" s="12">
        <v>380</v>
      </c>
      <c r="L18" s="3" t="s">
        <v>37</v>
      </c>
      <c r="M18" s="3">
        <v>2</v>
      </c>
      <c r="N18" s="12">
        <v>44</v>
      </c>
      <c r="O18" s="12">
        <v>52</v>
      </c>
      <c r="P18" s="3">
        <v>10</v>
      </c>
      <c r="Q18" s="2">
        <v>30</v>
      </c>
      <c r="R18" s="123"/>
      <c r="S18"/>
      <c r="T18"/>
      <c r="U18" s="77">
        <v>44750</v>
      </c>
      <c r="V18" s="63" t="s">
        <v>50</v>
      </c>
      <c r="W18" s="3" t="s">
        <v>185</v>
      </c>
      <c r="X18" s="3" t="s">
        <v>50</v>
      </c>
      <c r="Y18" s="3" t="s">
        <v>50</v>
      </c>
      <c r="Z18" s="7"/>
    </row>
    <row r="19" spans="1:26" x14ac:dyDescent="0.2">
      <c r="P19" s="4"/>
    </row>
    <row r="20" spans="1:26" x14ac:dyDescent="0.2">
      <c r="B20" s="17" t="s">
        <v>65</v>
      </c>
      <c r="C20" s="8"/>
    </row>
    <row r="21" spans="1:26" x14ac:dyDescent="0.2">
      <c r="B21" s="8"/>
      <c r="C21" s="8"/>
    </row>
    <row r="23" spans="1:26" x14ac:dyDescent="0.2">
      <c r="B23" s="15" t="s">
        <v>66</v>
      </c>
      <c r="C23" s="9"/>
    </row>
  </sheetData>
  <sortState xmlns:xlrd2="http://schemas.microsoft.com/office/spreadsheetml/2017/richdata2" ref="A4:AMW18">
    <sortCondition ref="A4:A18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EF6-D955-304A-9E6E-C543E0C3E271}">
  <dimension ref="A1:N59"/>
  <sheetViews>
    <sheetView workbookViewId="0">
      <pane ySplit="13" topLeftCell="A14" activePane="bottomLeft" state="frozen"/>
      <selection pane="bottomLeft" activeCell="C8" sqref="C8"/>
    </sheetView>
  </sheetViews>
  <sheetFormatPr baseColWidth="10" defaultColWidth="11" defaultRowHeight="16" x14ac:dyDescent="0.2"/>
  <cols>
    <col min="3" max="3" width="20.5" customWidth="1"/>
    <col min="4" max="4" width="8.5" style="3" customWidth="1"/>
    <col min="5" max="5" width="50.6640625" customWidth="1"/>
    <col min="6" max="6" width="13.6640625" style="3" customWidth="1"/>
    <col min="8" max="8" width="29.1640625" bestFit="1" customWidth="1"/>
  </cols>
  <sheetData>
    <row r="1" spans="1:8" s="79" customFormat="1" ht="44" customHeight="1" x14ac:dyDescent="0.2">
      <c r="A1" s="78" t="s">
        <v>67</v>
      </c>
      <c r="D1" s="80"/>
      <c r="F1" s="80"/>
      <c r="H1" s="81" t="s">
        <v>68</v>
      </c>
    </row>
    <row r="2" spans="1:8" s="79" customFormat="1" ht="17" x14ac:dyDescent="0.2">
      <c r="A2" s="79" t="s">
        <v>69</v>
      </c>
      <c r="D2" s="80"/>
      <c r="F2" s="80"/>
      <c r="H2" s="82" t="s">
        <v>70</v>
      </c>
    </row>
    <row r="3" spans="1:8" s="79" customFormat="1" ht="17" x14ac:dyDescent="0.2">
      <c r="A3" s="79" t="s">
        <v>71</v>
      </c>
      <c r="D3" s="80"/>
      <c r="F3" s="80"/>
      <c r="H3" s="82" t="s">
        <v>72</v>
      </c>
    </row>
    <row r="4" spans="1:8" s="79" customFormat="1" ht="17" x14ac:dyDescent="0.2">
      <c r="A4" s="79" t="s">
        <v>73</v>
      </c>
      <c r="D4" s="80"/>
      <c r="F4" s="80"/>
      <c r="H4" s="82" t="s">
        <v>74</v>
      </c>
    </row>
    <row r="5" spans="1:8" s="79" customFormat="1" ht="17" x14ac:dyDescent="0.2">
      <c r="D5" s="80"/>
      <c r="F5" s="80"/>
      <c r="H5" s="82" t="s">
        <v>75</v>
      </c>
    </row>
    <row r="6" spans="1:8" s="79" customFormat="1" ht="17" x14ac:dyDescent="0.2">
      <c r="D6" s="80"/>
      <c r="F6" s="80"/>
      <c r="H6" s="82" t="s">
        <v>176</v>
      </c>
    </row>
    <row r="7" spans="1:8" s="79" customFormat="1" ht="17" x14ac:dyDescent="0.2">
      <c r="A7" s="81" t="s">
        <v>76</v>
      </c>
      <c r="D7" s="80"/>
      <c r="F7" s="80"/>
      <c r="H7" s="82" t="s">
        <v>78</v>
      </c>
    </row>
    <row r="8" spans="1:8" s="79" customFormat="1" ht="17" x14ac:dyDescent="0.2">
      <c r="A8" s="79" t="s">
        <v>77</v>
      </c>
      <c r="D8" s="80"/>
      <c r="F8" s="80"/>
    </row>
    <row r="9" spans="1:8" s="79" customFormat="1" ht="17" x14ac:dyDescent="0.2">
      <c r="A9" s="79" t="s">
        <v>79</v>
      </c>
      <c r="D9" s="80"/>
      <c r="F9" s="80"/>
      <c r="H9" s="82"/>
    </row>
    <row r="10" spans="1:8" s="79" customFormat="1" ht="17" x14ac:dyDescent="0.2">
      <c r="A10" s="79" t="s">
        <v>169</v>
      </c>
      <c r="D10" s="80"/>
      <c r="F10" s="80"/>
      <c r="H10" s="82"/>
    </row>
    <row r="11" spans="1:8" s="79" customFormat="1" ht="17" x14ac:dyDescent="0.2">
      <c r="A11" s="110"/>
      <c r="B11" s="79" t="s">
        <v>167</v>
      </c>
      <c r="D11" s="80"/>
      <c r="F11" s="80"/>
      <c r="H11" s="82"/>
    </row>
    <row r="12" spans="1:8" x14ac:dyDescent="0.2">
      <c r="B12" t="s">
        <v>168</v>
      </c>
    </row>
    <row r="13" spans="1:8" ht="34" x14ac:dyDescent="0.2">
      <c r="A13" t="s">
        <v>80</v>
      </c>
      <c r="B13" t="s">
        <v>81</v>
      </c>
      <c r="C13" t="s">
        <v>82</v>
      </c>
      <c r="D13" s="3" t="s">
        <v>83</v>
      </c>
      <c r="E13" t="s">
        <v>84</v>
      </c>
      <c r="F13" s="2" t="s">
        <v>85</v>
      </c>
      <c r="G13" t="s">
        <v>86</v>
      </c>
    </row>
    <row r="14" spans="1:8" x14ac:dyDescent="0.2">
      <c r="A14" s="77">
        <v>44718</v>
      </c>
      <c r="B14" s="77" t="s">
        <v>90</v>
      </c>
      <c r="C14" t="s">
        <v>42</v>
      </c>
      <c r="E14" t="s">
        <v>158</v>
      </c>
      <c r="F14" s="2"/>
    </row>
    <row r="15" spans="1:8" x14ac:dyDescent="0.2">
      <c r="A15" s="77">
        <v>44734</v>
      </c>
      <c r="B15" s="77" t="s">
        <v>90</v>
      </c>
      <c r="C15" t="s">
        <v>38</v>
      </c>
      <c r="E15" t="s">
        <v>158</v>
      </c>
      <c r="F15" s="2"/>
    </row>
    <row r="16" spans="1:8" x14ac:dyDescent="0.2">
      <c r="A16" s="77">
        <v>44727</v>
      </c>
      <c r="B16" s="77" t="s">
        <v>90</v>
      </c>
      <c r="C16" t="s">
        <v>27</v>
      </c>
      <c r="E16" t="s">
        <v>158</v>
      </c>
      <c r="F16" s="108"/>
    </row>
    <row r="17" spans="1:14" x14ac:dyDescent="0.2">
      <c r="A17" s="77">
        <v>44746</v>
      </c>
      <c r="B17" t="s">
        <v>87</v>
      </c>
      <c r="C17" t="s">
        <v>88</v>
      </c>
      <c r="D17" s="3">
        <v>1</v>
      </c>
      <c r="E17" t="s">
        <v>89</v>
      </c>
      <c r="F17" s="109">
        <v>44757</v>
      </c>
    </row>
    <row r="18" spans="1:14" x14ac:dyDescent="0.2">
      <c r="A18" s="77">
        <v>44749</v>
      </c>
      <c r="B18" s="77" t="s">
        <v>90</v>
      </c>
      <c r="C18" t="s">
        <v>91</v>
      </c>
      <c r="E18" t="s">
        <v>92</v>
      </c>
      <c r="F18" s="36"/>
      <c r="G18" t="s">
        <v>93</v>
      </c>
    </row>
    <row r="19" spans="1:14" x14ac:dyDescent="0.2">
      <c r="A19" s="77">
        <v>44751</v>
      </c>
      <c r="B19" t="s">
        <v>87</v>
      </c>
      <c r="C19" t="s">
        <v>91</v>
      </c>
      <c r="D19" s="3">
        <v>1</v>
      </c>
      <c r="F19" s="109">
        <f>A19+7</f>
        <v>44758</v>
      </c>
    </row>
    <row r="20" spans="1:14" x14ac:dyDescent="0.2">
      <c r="A20" s="77">
        <v>44752</v>
      </c>
      <c r="B20" t="s">
        <v>87</v>
      </c>
      <c r="C20" t="s">
        <v>27</v>
      </c>
      <c r="D20" s="3">
        <v>1</v>
      </c>
      <c r="F20" s="109">
        <f>A20+7</f>
        <v>44759</v>
      </c>
    </row>
    <row r="21" spans="1:14" ht="34" x14ac:dyDescent="0.2">
      <c r="A21" s="77">
        <v>44746</v>
      </c>
      <c r="B21" s="77" t="s">
        <v>90</v>
      </c>
      <c r="C21" t="s">
        <v>88</v>
      </c>
      <c r="E21" s="20" t="s">
        <v>94</v>
      </c>
      <c r="F21" s="36"/>
    </row>
    <row r="22" spans="1:14" x14ac:dyDescent="0.2">
      <c r="A22" s="77">
        <v>44754</v>
      </c>
      <c r="B22" s="77" t="s">
        <v>90</v>
      </c>
      <c r="C22" t="s">
        <v>42</v>
      </c>
      <c r="E22" s="20"/>
      <c r="F22" s="36"/>
    </row>
    <row r="23" spans="1:14" x14ac:dyDescent="0.2">
      <c r="A23" s="77">
        <v>44754</v>
      </c>
      <c r="B23" s="77" t="s">
        <v>90</v>
      </c>
      <c r="C23" t="s">
        <v>38</v>
      </c>
      <c r="E23" s="20"/>
      <c r="F23" s="36"/>
    </row>
    <row r="24" spans="1:14" x14ac:dyDescent="0.2">
      <c r="A24" s="77">
        <v>44755</v>
      </c>
      <c r="B24" s="77" t="s">
        <v>90</v>
      </c>
      <c r="C24" t="s">
        <v>27</v>
      </c>
      <c r="E24" s="20"/>
    </row>
    <row r="25" spans="1:14" x14ac:dyDescent="0.2">
      <c r="A25" s="77">
        <v>44755</v>
      </c>
      <c r="B25" t="s">
        <v>87</v>
      </c>
      <c r="C25" t="s">
        <v>42</v>
      </c>
      <c r="D25" s="3">
        <v>1</v>
      </c>
      <c r="F25" s="109"/>
    </row>
    <row r="26" spans="1:14" x14ac:dyDescent="0.2">
      <c r="A26" t="s">
        <v>95</v>
      </c>
      <c r="B26" t="s">
        <v>87</v>
      </c>
      <c r="C26" t="s">
        <v>38</v>
      </c>
      <c r="D26" s="3">
        <v>1</v>
      </c>
      <c r="F26" s="109"/>
    </row>
    <row r="27" spans="1:14" x14ac:dyDescent="0.2">
      <c r="A27" s="77">
        <v>44757</v>
      </c>
      <c r="B27" t="s">
        <v>87</v>
      </c>
      <c r="C27" t="s">
        <v>38</v>
      </c>
      <c r="D27" s="3">
        <v>2</v>
      </c>
      <c r="E27" s="85" t="s">
        <v>96</v>
      </c>
    </row>
    <row r="28" spans="1:14" x14ac:dyDescent="0.2">
      <c r="A28" s="77">
        <v>44759</v>
      </c>
      <c r="B28" t="s">
        <v>87</v>
      </c>
      <c r="C28" t="s">
        <v>88</v>
      </c>
      <c r="D28" s="3">
        <v>2</v>
      </c>
      <c r="F28" s="111"/>
    </row>
    <row r="29" spans="1:14" x14ac:dyDescent="0.2">
      <c r="A29" s="77">
        <v>44759</v>
      </c>
      <c r="B29" t="s">
        <v>87</v>
      </c>
      <c r="C29" t="s">
        <v>91</v>
      </c>
      <c r="D29" s="3">
        <v>2</v>
      </c>
      <c r="F29" s="111"/>
    </row>
    <row r="30" spans="1:14" x14ac:dyDescent="0.2">
      <c r="A30" s="77">
        <v>44760</v>
      </c>
      <c r="B30" t="s">
        <v>87</v>
      </c>
      <c r="C30" t="s">
        <v>51</v>
      </c>
      <c r="D30" s="3">
        <v>1</v>
      </c>
      <c r="F30" s="111"/>
      <c r="H30" s="128" t="s">
        <v>164</v>
      </c>
      <c r="I30" s="128"/>
      <c r="J30" s="128"/>
      <c r="K30" s="128"/>
      <c r="L30" s="128"/>
      <c r="M30" s="128"/>
      <c r="N30" s="128"/>
    </row>
    <row r="31" spans="1:14" x14ac:dyDescent="0.2">
      <c r="A31" s="77">
        <v>44762</v>
      </c>
      <c r="B31" t="s">
        <v>87</v>
      </c>
      <c r="C31" t="s">
        <v>27</v>
      </c>
      <c r="D31" s="3">
        <v>2</v>
      </c>
      <c r="F31" s="111"/>
      <c r="H31" s="107"/>
      <c r="I31" s="107"/>
      <c r="J31" s="125" t="s">
        <v>159</v>
      </c>
      <c r="K31" s="126"/>
      <c r="L31" s="126"/>
      <c r="M31" s="126"/>
      <c r="N31" s="127"/>
    </row>
    <row r="32" spans="1:14" x14ac:dyDescent="0.2">
      <c r="A32" s="77">
        <v>44763</v>
      </c>
      <c r="B32" t="s">
        <v>87</v>
      </c>
      <c r="C32" t="s">
        <v>42</v>
      </c>
      <c r="D32" s="3">
        <v>2</v>
      </c>
      <c r="F32" s="111"/>
      <c r="H32" s="86" t="s">
        <v>82</v>
      </c>
      <c r="I32" s="86" t="s">
        <v>160</v>
      </c>
      <c r="J32" s="87">
        <v>44752</v>
      </c>
      <c r="K32" s="87">
        <v>44759</v>
      </c>
      <c r="L32" s="87">
        <v>44766</v>
      </c>
      <c r="M32" s="87">
        <v>44773</v>
      </c>
      <c r="N32" s="87">
        <v>44780</v>
      </c>
    </row>
    <row r="33" spans="1:14" x14ac:dyDescent="0.2">
      <c r="A33" s="77">
        <v>44765</v>
      </c>
      <c r="B33" t="s">
        <v>87</v>
      </c>
      <c r="C33" t="s">
        <v>38</v>
      </c>
      <c r="D33" s="3">
        <v>2</v>
      </c>
      <c r="F33" s="5"/>
      <c r="H33" s="88" t="s">
        <v>161</v>
      </c>
      <c r="I33" s="89">
        <v>44680</v>
      </c>
      <c r="J33" s="90">
        <v>44755</v>
      </c>
      <c r="K33" s="91" t="s">
        <v>162</v>
      </c>
      <c r="L33" s="92">
        <v>44769</v>
      </c>
      <c r="M33" s="93" t="s">
        <v>162</v>
      </c>
      <c r="N33" s="94">
        <v>44783</v>
      </c>
    </row>
    <row r="34" spans="1:14" x14ac:dyDescent="0.2">
      <c r="A34" s="77">
        <v>44775</v>
      </c>
      <c r="B34" t="s">
        <v>87</v>
      </c>
      <c r="C34" t="s">
        <v>27</v>
      </c>
      <c r="D34" s="3">
        <v>3</v>
      </c>
      <c r="F34" s="5"/>
      <c r="H34" s="95" t="s">
        <v>115</v>
      </c>
      <c r="I34" s="96">
        <v>44704</v>
      </c>
      <c r="J34" s="97">
        <v>44754</v>
      </c>
      <c r="K34" s="98" t="s">
        <v>162</v>
      </c>
      <c r="L34" s="99">
        <v>44768</v>
      </c>
      <c r="M34" s="98" t="s">
        <v>162</v>
      </c>
      <c r="N34" s="100">
        <v>44782</v>
      </c>
    </row>
    <row r="35" spans="1:14" x14ac:dyDescent="0.2">
      <c r="A35" s="77">
        <v>44777</v>
      </c>
      <c r="B35" t="s">
        <v>87</v>
      </c>
      <c r="C35" t="s">
        <v>91</v>
      </c>
      <c r="D35" s="3">
        <v>3</v>
      </c>
      <c r="F35" s="5"/>
      <c r="H35" s="101" t="s">
        <v>163</v>
      </c>
      <c r="I35" s="102">
        <v>44692</v>
      </c>
      <c r="J35" s="103">
        <v>44754</v>
      </c>
      <c r="K35" s="104" t="s">
        <v>162</v>
      </c>
      <c r="L35" s="105">
        <v>44768</v>
      </c>
      <c r="M35" s="104" t="s">
        <v>162</v>
      </c>
      <c r="N35" s="106">
        <v>44782</v>
      </c>
    </row>
    <row r="36" spans="1:14" x14ac:dyDescent="0.2">
      <c r="A36" s="77">
        <v>44779</v>
      </c>
      <c r="B36" t="s">
        <v>87</v>
      </c>
      <c r="C36" t="s">
        <v>51</v>
      </c>
      <c r="D36" s="3">
        <v>3</v>
      </c>
      <c r="F36" s="5"/>
    </row>
    <row r="37" spans="1:14" x14ac:dyDescent="0.2">
      <c r="A37" s="77">
        <v>44780</v>
      </c>
      <c r="B37" t="s">
        <v>87</v>
      </c>
      <c r="C37" t="s">
        <v>88</v>
      </c>
      <c r="D37" s="3">
        <v>3</v>
      </c>
      <c r="F37" s="5"/>
    </row>
    <row r="38" spans="1:14" x14ac:dyDescent="0.2">
      <c r="A38" s="77">
        <v>44783</v>
      </c>
      <c r="B38" t="s">
        <v>87</v>
      </c>
      <c r="C38" t="s">
        <v>38</v>
      </c>
      <c r="D38" s="3">
        <v>3</v>
      </c>
      <c r="E38" t="s">
        <v>175</v>
      </c>
      <c r="F38" s="5"/>
    </row>
    <row r="39" spans="1:14" x14ac:dyDescent="0.2">
      <c r="A39" s="77">
        <v>44791</v>
      </c>
      <c r="B39" t="s">
        <v>87</v>
      </c>
      <c r="C39" t="s">
        <v>88</v>
      </c>
      <c r="D39" s="3">
        <v>4</v>
      </c>
      <c r="F39" s="5"/>
    </row>
    <row r="40" spans="1:14" x14ac:dyDescent="0.2">
      <c r="A40" s="77">
        <v>44798</v>
      </c>
      <c r="B40" t="s">
        <v>87</v>
      </c>
      <c r="C40" t="s">
        <v>91</v>
      </c>
      <c r="D40" s="3">
        <v>4</v>
      </c>
      <c r="F40" s="5"/>
    </row>
    <row r="41" spans="1:14" x14ac:dyDescent="0.2">
      <c r="A41" s="77">
        <v>44804</v>
      </c>
      <c r="B41" t="s">
        <v>87</v>
      </c>
      <c r="C41" t="s">
        <v>38</v>
      </c>
      <c r="D41" s="3">
        <v>4</v>
      </c>
      <c r="F41" s="5"/>
    </row>
    <row r="42" spans="1:14" x14ac:dyDescent="0.2">
      <c r="A42" s="77">
        <v>44806</v>
      </c>
      <c r="B42" t="s">
        <v>87</v>
      </c>
      <c r="C42" t="s">
        <v>91</v>
      </c>
      <c r="D42" s="3">
        <v>5</v>
      </c>
      <c r="F42" s="5"/>
    </row>
    <row r="43" spans="1:14" x14ac:dyDescent="0.2">
      <c r="A43" s="77">
        <v>44807</v>
      </c>
      <c r="B43" t="s">
        <v>87</v>
      </c>
      <c r="C43" t="s">
        <v>51</v>
      </c>
      <c r="D43" s="3">
        <v>4</v>
      </c>
    </row>
    <row r="44" spans="1:14" x14ac:dyDescent="0.2">
      <c r="A44" s="77">
        <v>44807</v>
      </c>
      <c r="B44" t="s">
        <v>87</v>
      </c>
      <c r="C44" t="s">
        <v>42</v>
      </c>
      <c r="D44" s="3">
        <v>4</v>
      </c>
    </row>
    <row r="45" spans="1:14" x14ac:dyDescent="0.2">
      <c r="A45" s="77">
        <v>44810</v>
      </c>
      <c r="B45" t="s">
        <v>87</v>
      </c>
      <c r="C45" t="s">
        <v>88</v>
      </c>
      <c r="D45" s="3">
        <v>5</v>
      </c>
    </row>
    <row r="46" spans="1:14" x14ac:dyDescent="0.2">
      <c r="A46" s="77">
        <v>44815</v>
      </c>
      <c r="B46" t="s">
        <v>87</v>
      </c>
      <c r="C46" t="s">
        <v>38</v>
      </c>
      <c r="D46" s="3">
        <v>5</v>
      </c>
    </row>
    <row r="47" spans="1:14" x14ac:dyDescent="0.2">
      <c r="A47" s="77">
        <v>44815</v>
      </c>
      <c r="B47" t="s">
        <v>87</v>
      </c>
      <c r="C47" t="s">
        <v>42</v>
      </c>
      <c r="D47" s="3">
        <v>5</v>
      </c>
    </row>
    <row r="48" spans="1:14" x14ac:dyDescent="0.2">
      <c r="A48" s="77">
        <v>44817</v>
      </c>
      <c r="B48" t="s">
        <v>87</v>
      </c>
      <c r="C48" t="s">
        <v>27</v>
      </c>
      <c r="D48" s="3">
        <v>4</v>
      </c>
    </row>
    <row r="49" spans="1:5" x14ac:dyDescent="0.2">
      <c r="A49" s="77">
        <v>44815</v>
      </c>
      <c r="B49" t="s">
        <v>87</v>
      </c>
      <c r="C49" t="s">
        <v>51</v>
      </c>
      <c r="D49" s="3">
        <v>4</v>
      </c>
    </row>
    <row r="50" spans="1:5" x14ac:dyDescent="0.2">
      <c r="A50" t="s">
        <v>190</v>
      </c>
      <c r="B50" t="s">
        <v>191</v>
      </c>
      <c r="C50" t="s">
        <v>38</v>
      </c>
      <c r="E50" t="s">
        <v>192</v>
      </c>
    </row>
    <row r="51" spans="1:5" x14ac:dyDescent="0.2">
      <c r="A51" s="77">
        <v>44817</v>
      </c>
      <c r="B51" t="s">
        <v>87</v>
      </c>
      <c r="C51" t="s">
        <v>88</v>
      </c>
      <c r="D51" s="3">
        <v>6</v>
      </c>
    </row>
    <row r="52" spans="1:5" x14ac:dyDescent="0.2">
      <c r="A52" s="77" t="s">
        <v>193</v>
      </c>
      <c r="B52" t="s">
        <v>191</v>
      </c>
      <c r="C52" t="s">
        <v>38</v>
      </c>
      <c r="E52" t="s">
        <v>194</v>
      </c>
    </row>
    <row r="53" spans="1:5" x14ac:dyDescent="0.2">
      <c r="A53" s="77">
        <v>44823</v>
      </c>
      <c r="B53" t="s">
        <v>87</v>
      </c>
      <c r="C53" t="s">
        <v>51</v>
      </c>
      <c r="D53" s="3">
        <v>5</v>
      </c>
    </row>
    <row r="54" spans="1:5" x14ac:dyDescent="0.2">
      <c r="A54" s="77">
        <v>44823</v>
      </c>
      <c r="B54" t="s">
        <v>87</v>
      </c>
      <c r="C54" t="s">
        <v>42</v>
      </c>
      <c r="D54" s="3">
        <v>6</v>
      </c>
    </row>
    <row r="55" spans="1:5" x14ac:dyDescent="0.2">
      <c r="A55" s="77">
        <v>44822</v>
      </c>
      <c r="B55" t="s">
        <v>87</v>
      </c>
      <c r="C55" t="s">
        <v>88</v>
      </c>
      <c r="D55" s="3">
        <v>6</v>
      </c>
      <c r="E55" t="s">
        <v>178</v>
      </c>
    </row>
    <row r="56" spans="1:5" x14ac:dyDescent="0.2">
      <c r="A56" s="77">
        <v>44827</v>
      </c>
      <c r="B56" t="s">
        <v>87</v>
      </c>
      <c r="C56" t="s">
        <v>91</v>
      </c>
      <c r="D56" s="3">
        <v>6</v>
      </c>
    </row>
    <row r="57" spans="1:5" x14ac:dyDescent="0.2">
      <c r="A57" s="77">
        <v>44828</v>
      </c>
      <c r="B57" t="s">
        <v>87</v>
      </c>
      <c r="C57" t="s">
        <v>38</v>
      </c>
      <c r="D57" s="3">
        <v>6</v>
      </c>
    </row>
    <row r="58" spans="1:5" x14ac:dyDescent="0.2">
      <c r="A58" s="77">
        <v>44831</v>
      </c>
      <c r="B58" t="s">
        <v>87</v>
      </c>
      <c r="C58" t="s">
        <v>51</v>
      </c>
      <c r="D58" s="3">
        <v>6</v>
      </c>
    </row>
    <row r="59" spans="1:5" x14ac:dyDescent="0.2">
      <c r="A59" s="77">
        <v>44835</v>
      </c>
      <c r="B59" t="s">
        <v>87</v>
      </c>
      <c r="C59" t="s">
        <v>27</v>
      </c>
      <c r="D59" s="3">
        <v>5</v>
      </c>
    </row>
  </sheetData>
  <mergeCells count="2">
    <mergeCell ref="J31:N31"/>
    <mergeCell ref="H30:N30"/>
  </mergeCells>
  <conditionalFormatting sqref="J33:J35">
    <cfRule type="containsBlanks" dxfId="2" priority="5">
      <formula>LEN(TRIM(J33))=0</formula>
    </cfRule>
    <cfRule type="notContainsBlanks" priority="6">
      <formula>LEN(TRIM(J33))&gt;0</formula>
    </cfRule>
  </conditionalFormatting>
  <conditionalFormatting sqref="L33:L35">
    <cfRule type="containsBlanks" dxfId="1" priority="3">
      <formula>LEN(TRIM(L33))=0</formula>
    </cfRule>
    <cfRule type="notContainsBlanks" priority="4">
      <formula>LEN(TRIM(L33))&gt;0</formula>
    </cfRule>
  </conditionalFormatting>
  <conditionalFormatting sqref="N33:N35">
    <cfRule type="containsBlanks" dxfId="0" priority="1">
      <formula>LEN(TRIM(N33))=0</formula>
    </cfRule>
    <cfRule type="notContainsBlanks" priority="2">
      <formula>LEN(TRIM(N33))&gt;0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51AB-3A4D-4F4A-B73D-DA67901D6D8C}">
  <dimension ref="A1:O34"/>
  <sheetViews>
    <sheetView workbookViewId="0">
      <selection activeCell="D39" sqref="D39"/>
    </sheetView>
  </sheetViews>
  <sheetFormatPr baseColWidth="10" defaultColWidth="10.83203125" defaultRowHeight="16" x14ac:dyDescent="0.2"/>
  <cols>
    <col min="1" max="1" width="5.6640625" style="3" customWidth="1"/>
    <col min="2" max="2" width="24.33203125" bestFit="1" customWidth="1"/>
    <col min="4" max="4" width="18.5" customWidth="1"/>
    <col min="5" max="5" width="15.33203125" style="3" customWidth="1"/>
    <col min="6" max="6" width="12.6640625" style="3" customWidth="1"/>
    <col min="7" max="7" width="12.83203125" style="3" bestFit="1" customWidth="1"/>
    <col min="8" max="8" width="12" style="3" bestFit="1" customWidth="1"/>
    <col min="9" max="9" width="12.83203125" style="3" customWidth="1"/>
    <col min="10" max="10" width="17.5" style="3" customWidth="1"/>
    <col min="11" max="11" width="16.83203125" style="3" customWidth="1"/>
    <col min="12" max="12" width="17.6640625" bestFit="1" customWidth="1"/>
    <col min="13" max="13" width="15.1640625" customWidth="1"/>
    <col min="14" max="14" width="11.5" bestFit="1" customWidth="1"/>
  </cols>
  <sheetData>
    <row r="1" spans="1:15" s="20" customFormat="1" ht="34" x14ac:dyDescent="0.2">
      <c r="A1" s="2"/>
      <c r="B1" s="18" t="s">
        <v>97</v>
      </c>
      <c r="C1" s="18" t="s">
        <v>98</v>
      </c>
      <c r="D1" s="19" t="s">
        <v>99</v>
      </c>
      <c r="E1" s="19" t="s">
        <v>100</v>
      </c>
      <c r="F1" s="19" t="s">
        <v>101</v>
      </c>
      <c r="G1" s="19" t="s">
        <v>102</v>
      </c>
      <c r="H1" s="19" t="s">
        <v>104</v>
      </c>
      <c r="I1" s="19" t="s">
        <v>105</v>
      </c>
      <c r="J1" s="19" t="s">
        <v>106</v>
      </c>
      <c r="K1" s="19" t="s">
        <v>107</v>
      </c>
      <c r="L1" s="19" t="s">
        <v>108</v>
      </c>
      <c r="M1" s="19" t="s">
        <v>109</v>
      </c>
      <c r="N1" s="19" t="s">
        <v>110</v>
      </c>
    </row>
    <row r="2" spans="1:15" x14ac:dyDescent="0.2">
      <c r="A2" s="3">
        <v>1</v>
      </c>
      <c r="B2" s="21" t="s">
        <v>111</v>
      </c>
      <c r="C2" s="21" t="s">
        <v>112</v>
      </c>
      <c r="D2" s="21" t="s">
        <v>113</v>
      </c>
      <c r="E2" s="22">
        <f>(44+5+35)*2*1</f>
        <v>168</v>
      </c>
      <c r="F2" s="23">
        <f>(120/12)*20*E2</f>
        <v>33600</v>
      </c>
      <c r="G2" s="24">
        <f>F2/43560</f>
        <v>0.77134986225895319</v>
      </c>
      <c r="H2" s="22" t="s">
        <v>114</v>
      </c>
      <c r="I2" s="25">
        <v>25</v>
      </c>
      <c r="J2" s="26">
        <f>E2*I2</f>
        <v>4200</v>
      </c>
      <c r="K2" s="26"/>
      <c r="L2" s="27"/>
      <c r="M2" s="27"/>
      <c r="N2" s="27"/>
    </row>
    <row r="3" spans="1:15" x14ac:dyDescent="0.2">
      <c r="A3" s="3">
        <v>3</v>
      </c>
      <c r="B3" s="21" t="s">
        <v>115</v>
      </c>
      <c r="C3" s="21" t="s">
        <v>112</v>
      </c>
      <c r="D3" s="21"/>
      <c r="E3" s="22">
        <f>(44+5+35)*2*3+(3*4)</f>
        <v>516</v>
      </c>
      <c r="F3" s="23">
        <f t="shared" ref="F3:F8" si="0">(120/12)*20*E3</f>
        <v>103200</v>
      </c>
      <c r="G3" s="24">
        <f t="shared" ref="G3:G17" si="1">F3/43560</f>
        <v>2.3691460055096418</v>
      </c>
      <c r="H3" s="22" t="s">
        <v>114</v>
      </c>
      <c r="I3" s="25">
        <v>25</v>
      </c>
      <c r="J3" s="26">
        <f>E3*I3</f>
        <v>12900</v>
      </c>
      <c r="K3" s="26"/>
      <c r="L3" s="27"/>
      <c r="M3" s="27"/>
      <c r="N3" s="27"/>
    </row>
    <row r="4" spans="1:15" x14ac:dyDescent="0.2">
      <c r="A4" s="3">
        <v>5</v>
      </c>
      <c r="B4" s="21" t="s">
        <v>116</v>
      </c>
      <c r="C4" s="21" t="s">
        <v>112</v>
      </c>
      <c r="D4" s="21"/>
      <c r="E4" s="22">
        <f>(44+5+35)*2*3</f>
        <v>504</v>
      </c>
      <c r="F4" s="23">
        <f t="shared" si="0"/>
        <v>100800</v>
      </c>
      <c r="G4" s="24">
        <f t="shared" si="1"/>
        <v>2.3140495867768593</v>
      </c>
      <c r="H4" s="22" t="s">
        <v>114</v>
      </c>
      <c r="I4" s="25">
        <v>25</v>
      </c>
      <c r="J4" s="26">
        <f>E4*I4</f>
        <v>12600</v>
      </c>
      <c r="K4" s="26">
        <v>8895</v>
      </c>
      <c r="L4" s="27">
        <v>16915</v>
      </c>
      <c r="M4" s="26">
        <v>11569</v>
      </c>
      <c r="N4" s="26">
        <v>19589</v>
      </c>
      <c r="O4" s="28" t="s">
        <v>117</v>
      </c>
    </row>
    <row r="5" spans="1:15" x14ac:dyDescent="0.2">
      <c r="A5" s="3">
        <v>7</v>
      </c>
      <c r="B5" t="s">
        <v>118</v>
      </c>
      <c r="C5" t="s">
        <v>112</v>
      </c>
      <c r="E5" s="3">
        <f>(44+5+35)*2*3</f>
        <v>504</v>
      </c>
      <c r="F5" s="29">
        <f t="shared" si="0"/>
        <v>100800</v>
      </c>
      <c r="G5" s="30">
        <f t="shared" si="1"/>
        <v>2.3140495867768593</v>
      </c>
      <c r="H5" s="3" t="s">
        <v>114</v>
      </c>
      <c r="I5" s="31"/>
      <c r="J5" s="32"/>
      <c r="K5" s="32"/>
      <c r="L5" s="33"/>
      <c r="M5" s="33"/>
      <c r="N5" s="33"/>
    </row>
    <row r="6" spans="1:15" x14ac:dyDescent="0.2">
      <c r="A6" s="3">
        <v>9</v>
      </c>
      <c r="B6" t="s">
        <v>119</v>
      </c>
      <c r="C6" t="s">
        <v>112</v>
      </c>
      <c r="D6" s="3"/>
      <c r="E6" s="3">
        <f>(44+5+35)*2*3+(3*4)</f>
        <v>516</v>
      </c>
      <c r="F6" s="29">
        <f t="shared" si="0"/>
        <v>103200</v>
      </c>
      <c r="G6" s="30">
        <f t="shared" si="1"/>
        <v>2.3691460055096418</v>
      </c>
      <c r="H6" s="3" t="s">
        <v>114</v>
      </c>
      <c r="I6" s="34">
        <v>25</v>
      </c>
      <c r="J6" s="32">
        <f>E6*I6</f>
        <v>12900</v>
      </c>
      <c r="K6" s="32"/>
      <c r="L6" s="33"/>
      <c r="M6" s="33"/>
      <c r="N6" s="33"/>
    </row>
    <row r="7" spans="1:15" x14ac:dyDescent="0.2">
      <c r="A7" s="3">
        <v>11</v>
      </c>
      <c r="B7" t="s">
        <v>120</v>
      </c>
      <c r="C7" t="s">
        <v>112</v>
      </c>
      <c r="E7" s="3">
        <f>(44+5+35)*2*3+(3*4)</f>
        <v>516</v>
      </c>
      <c r="F7" s="29">
        <f t="shared" si="0"/>
        <v>103200</v>
      </c>
      <c r="G7" s="30">
        <f t="shared" si="1"/>
        <v>2.3691460055096418</v>
      </c>
      <c r="H7" s="3" t="s">
        <v>114</v>
      </c>
      <c r="I7" s="34">
        <v>25</v>
      </c>
      <c r="J7" s="32">
        <f>E7*I7</f>
        <v>12900</v>
      </c>
      <c r="K7" s="32"/>
      <c r="L7" s="33"/>
      <c r="M7" s="33"/>
      <c r="N7" s="33"/>
    </row>
    <row r="8" spans="1:15" x14ac:dyDescent="0.2">
      <c r="A8" s="3">
        <v>13</v>
      </c>
      <c r="B8" t="s">
        <v>121</v>
      </c>
      <c r="C8" t="s">
        <v>112</v>
      </c>
      <c r="E8" s="3">
        <f>(44+5+35)*2*3+(3*4)</f>
        <v>516</v>
      </c>
      <c r="F8" s="29">
        <f t="shared" si="0"/>
        <v>103200</v>
      </c>
      <c r="G8" s="30">
        <f t="shared" si="1"/>
        <v>2.3691460055096418</v>
      </c>
      <c r="H8" s="3" t="s">
        <v>114</v>
      </c>
      <c r="I8" s="34">
        <v>25</v>
      </c>
      <c r="J8" s="32">
        <f>E8*I8</f>
        <v>12900</v>
      </c>
      <c r="K8" s="32"/>
      <c r="L8" s="33"/>
      <c r="M8" s="33"/>
      <c r="N8" s="33"/>
    </row>
    <row r="9" spans="1:15" x14ac:dyDescent="0.2">
      <c r="A9" s="3">
        <v>15</v>
      </c>
      <c r="B9" t="s">
        <v>122</v>
      </c>
      <c r="C9" t="s">
        <v>112</v>
      </c>
      <c r="E9" s="3">
        <f>(44+5+35)*2*3</f>
        <v>504</v>
      </c>
      <c r="F9" s="29">
        <f>(120/12)*20*E9</f>
        <v>100800</v>
      </c>
      <c r="G9" s="30">
        <f t="shared" si="1"/>
        <v>2.3140495867768593</v>
      </c>
      <c r="H9" s="3" t="s">
        <v>114</v>
      </c>
      <c r="I9" s="31">
        <v>35</v>
      </c>
      <c r="J9" s="32">
        <f>E9*I9</f>
        <v>17640</v>
      </c>
      <c r="K9" s="32"/>
      <c r="L9" s="33"/>
      <c r="M9" s="33"/>
      <c r="N9" s="33"/>
    </row>
    <row r="10" spans="1:15" x14ac:dyDescent="0.2">
      <c r="A10" s="3">
        <v>2</v>
      </c>
      <c r="B10" s="21" t="s">
        <v>111</v>
      </c>
      <c r="C10" s="21" t="s">
        <v>123</v>
      </c>
      <c r="D10" s="21" t="s">
        <v>124</v>
      </c>
      <c r="E10" s="22">
        <f>380*2*1</f>
        <v>760</v>
      </c>
      <c r="F10" s="23">
        <f>(60/12)*10*E10</f>
        <v>38000</v>
      </c>
      <c r="G10" s="24">
        <f t="shared" si="1"/>
        <v>0.87235996326905418</v>
      </c>
      <c r="H10" s="22"/>
      <c r="I10" s="25">
        <v>5</v>
      </c>
      <c r="J10" s="26">
        <f>I10*E10</f>
        <v>3800</v>
      </c>
      <c r="K10" s="26"/>
      <c r="L10" s="27"/>
      <c r="M10" s="27"/>
      <c r="N10" s="27"/>
    </row>
    <row r="11" spans="1:15" x14ac:dyDescent="0.2">
      <c r="A11" s="3">
        <v>4</v>
      </c>
      <c r="B11" s="21" t="s">
        <v>115</v>
      </c>
      <c r="C11" s="21" t="s">
        <v>123</v>
      </c>
      <c r="D11" s="21" t="s">
        <v>124</v>
      </c>
      <c r="E11" s="22">
        <f>380*2*3</f>
        <v>2280</v>
      </c>
      <c r="F11" s="23">
        <f>(60/12)*10*E11</f>
        <v>114000</v>
      </c>
      <c r="G11" s="24">
        <f t="shared" si="1"/>
        <v>2.6170798898071626</v>
      </c>
      <c r="H11" s="22"/>
      <c r="I11" s="25">
        <v>5</v>
      </c>
      <c r="J11" s="26">
        <f>I11*(E11+600)</f>
        <v>14400</v>
      </c>
      <c r="K11" s="26"/>
      <c r="L11" s="27"/>
      <c r="M11" s="27"/>
      <c r="N11" s="27"/>
    </row>
    <row r="12" spans="1:15" x14ac:dyDescent="0.2">
      <c r="A12" s="3">
        <v>6</v>
      </c>
      <c r="B12" s="21" t="s">
        <v>116</v>
      </c>
      <c r="C12" s="21" t="s">
        <v>123</v>
      </c>
      <c r="D12" s="21" t="s">
        <v>124</v>
      </c>
      <c r="E12" s="22">
        <f>380*2*3</f>
        <v>2280</v>
      </c>
      <c r="F12" s="23">
        <f t="shared" ref="F12:F17" si="2">(60/12)*10*E12</f>
        <v>114000</v>
      </c>
      <c r="G12" s="24">
        <f t="shared" si="1"/>
        <v>2.6170798898071626</v>
      </c>
      <c r="H12" s="22"/>
      <c r="I12" s="25">
        <v>5</v>
      </c>
      <c r="J12" s="26">
        <f>I12*(E12+600)</f>
        <v>14400</v>
      </c>
      <c r="K12" s="26">
        <v>6775</v>
      </c>
      <c r="L12" s="27">
        <v>11800</v>
      </c>
      <c r="M12" s="27">
        <v>8450</v>
      </c>
      <c r="N12" s="27">
        <v>13475</v>
      </c>
      <c r="O12" s="28" t="s">
        <v>117</v>
      </c>
    </row>
    <row r="13" spans="1:15" x14ac:dyDescent="0.2">
      <c r="A13" s="3">
        <v>8</v>
      </c>
      <c r="B13" t="s">
        <v>118</v>
      </c>
      <c r="C13" t="s">
        <v>123</v>
      </c>
      <c r="D13" t="s">
        <v>124</v>
      </c>
      <c r="E13" s="3">
        <f t="shared" ref="E13:E17" si="3">380*2*1</f>
        <v>760</v>
      </c>
      <c r="F13" s="29">
        <f t="shared" si="2"/>
        <v>38000</v>
      </c>
      <c r="G13" s="30">
        <f t="shared" si="1"/>
        <v>0.87235996326905418</v>
      </c>
      <c r="I13" s="31"/>
      <c r="J13" s="32"/>
      <c r="K13" s="32"/>
      <c r="L13" s="33"/>
      <c r="M13" s="33"/>
      <c r="N13" s="33"/>
    </row>
    <row r="14" spans="1:15" x14ac:dyDescent="0.2">
      <c r="A14" s="36">
        <v>10</v>
      </c>
      <c r="B14" s="35" t="s">
        <v>119</v>
      </c>
      <c r="C14" s="35" t="s">
        <v>123</v>
      </c>
      <c r="D14" s="35" t="s">
        <v>124</v>
      </c>
      <c r="E14" s="36">
        <f t="shared" si="3"/>
        <v>760</v>
      </c>
      <c r="F14" s="37"/>
      <c r="G14" s="38"/>
      <c r="H14" s="36"/>
      <c r="I14" s="60">
        <v>20</v>
      </c>
      <c r="J14" s="39"/>
      <c r="K14" s="32"/>
      <c r="L14" s="33"/>
      <c r="M14" s="33"/>
      <c r="N14" s="33"/>
    </row>
    <row r="15" spans="1:15" x14ac:dyDescent="0.2">
      <c r="A15" s="36">
        <v>12</v>
      </c>
      <c r="B15" s="35" t="s">
        <v>120</v>
      </c>
      <c r="C15" s="35" t="s">
        <v>123</v>
      </c>
      <c r="D15" s="35" t="s">
        <v>124</v>
      </c>
      <c r="E15" s="36">
        <f t="shared" si="3"/>
        <v>760</v>
      </c>
      <c r="F15" s="37"/>
      <c r="G15" s="38"/>
      <c r="H15" s="36"/>
      <c r="I15" s="60">
        <v>20</v>
      </c>
      <c r="J15" s="39"/>
      <c r="K15" s="32"/>
      <c r="L15" s="33"/>
      <c r="M15" s="33"/>
      <c r="N15" s="33"/>
    </row>
    <row r="16" spans="1:15" x14ac:dyDescent="0.2">
      <c r="A16" s="36">
        <v>14</v>
      </c>
      <c r="B16" s="35" t="s">
        <v>121</v>
      </c>
      <c r="C16" s="35" t="s">
        <v>123</v>
      </c>
      <c r="D16" s="35" t="s">
        <v>124</v>
      </c>
      <c r="E16" s="36">
        <f t="shared" si="3"/>
        <v>760</v>
      </c>
      <c r="F16" s="37"/>
      <c r="G16" s="38"/>
      <c r="H16" s="36"/>
      <c r="I16" s="60">
        <v>20</v>
      </c>
      <c r="J16" s="39"/>
      <c r="K16" s="32"/>
      <c r="L16" s="33"/>
      <c r="M16" s="33"/>
      <c r="N16" s="33"/>
    </row>
    <row r="17" spans="1:14" x14ac:dyDescent="0.2">
      <c r="A17" s="3">
        <v>16</v>
      </c>
      <c r="B17" s="40" t="s">
        <v>122</v>
      </c>
      <c r="C17" s="40" t="s">
        <v>123</v>
      </c>
      <c r="D17" s="40" t="s">
        <v>124</v>
      </c>
      <c r="E17" s="41">
        <f t="shared" si="3"/>
        <v>760</v>
      </c>
      <c r="F17" s="42">
        <f t="shared" si="2"/>
        <v>38000</v>
      </c>
      <c r="G17" s="43">
        <f t="shared" si="1"/>
        <v>0.87235996326905418</v>
      </c>
      <c r="H17" s="41"/>
      <c r="I17" s="44">
        <v>25</v>
      </c>
      <c r="J17" s="45">
        <f>E17*I17</f>
        <v>19000</v>
      </c>
      <c r="K17" s="46"/>
      <c r="L17" s="47"/>
      <c r="M17" s="47"/>
      <c r="N17" s="47"/>
    </row>
    <row r="18" spans="1:14" x14ac:dyDescent="0.2">
      <c r="E18" s="3">
        <f>SUM(E2:E17)</f>
        <v>12864</v>
      </c>
      <c r="F18" s="120">
        <f>SUM(F2:F17)</f>
        <v>1090800</v>
      </c>
      <c r="G18" s="76">
        <f>SUM(G2:G17)</f>
        <v>25.041322314049587</v>
      </c>
      <c r="J18" s="32">
        <f>SUM(J2:J17)</f>
        <v>137640</v>
      </c>
    </row>
    <row r="21" spans="1:14" x14ac:dyDescent="0.2">
      <c r="A21" s="48" t="s">
        <v>125</v>
      </c>
    </row>
    <row r="22" spans="1:14" ht="17" thickBot="1" x14ac:dyDescent="0.25">
      <c r="B22" t="s">
        <v>126</v>
      </c>
    </row>
    <row r="23" spans="1:14" ht="17" thickBot="1" x14ac:dyDescent="0.25">
      <c r="B23" t="s">
        <v>127</v>
      </c>
      <c r="H23" s="49"/>
      <c r="I23" s="50"/>
      <c r="J23" s="51" t="s">
        <v>128</v>
      </c>
      <c r="K23" s="52" t="s">
        <v>122</v>
      </c>
      <c r="L23" s="53" t="s">
        <v>79</v>
      </c>
    </row>
    <row r="24" spans="1:14" x14ac:dyDescent="0.2">
      <c r="H24" s="54"/>
      <c r="I24" s="3" t="s">
        <v>129</v>
      </c>
      <c r="J24" s="55">
        <f>SUM(J2:J4)+SUM(J10:J12)</f>
        <v>62300</v>
      </c>
      <c r="K24" s="56">
        <f>J9+J17</f>
        <v>36640</v>
      </c>
      <c r="L24" s="33">
        <f>SUM(J6:J8)+SUM(J14:J16)</f>
        <v>38700</v>
      </c>
    </row>
    <row r="25" spans="1:14" x14ac:dyDescent="0.2">
      <c r="H25" s="54"/>
      <c r="J25" s="55"/>
      <c r="K25" s="15"/>
    </row>
    <row r="26" spans="1:14" x14ac:dyDescent="0.2">
      <c r="H26" s="54"/>
      <c r="I26" s="57" t="s">
        <v>130</v>
      </c>
      <c r="J26" s="55">
        <f>J24+K4+K12</f>
        <v>77970</v>
      </c>
    </row>
    <row r="27" spans="1:14" x14ac:dyDescent="0.2">
      <c r="H27" s="54"/>
      <c r="I27" s="57" t="s">
        <v>131</v>
      </c>
      <c r="J27" s="55">
        <f>J24+L4+L12</f>
        <v>91015</v>
      </c>
    </row>
    <row r="28" spans="1:14" x14ac:dyDescent="0.2">
      <c r="H28" s="54"/>
      <c r="I28" s="57" t="s">
        <v>132</v>
      </c>
      <c r="J28" s="55">
        <f>J24+M4+M12</f>
        <v>82319</v>
      </c>
    </row>
    <row r="29" spans="1:14" ht="17" thickBot="1" x14ac:dyDescent="0.25">
      <c r="B29" t="s">
        <v>133</v>
      </c>
      <c r="H29" s="52"/>
      <c r="I29" s="58" t="s">
        <v>134</v>
      </c>
      <c r="J29" s="59">
        <f>J24+N4+N12</f>
        <v>95364</v>
      </c>
    </row>
    <row r="31" spans="1:14" x14ac:dyDescent="0.2">
      <c r="B31" t="s">
        <v>135</v>
      </c>
    </row>
    <row r="32" spans="1:14" x14ac:dyDescent="0.2">
      <c r="B32" t="s">
        <v>136</v>
      </c>
    </row>
    <row r="33" spans="2:2" x14ac:dyDescent="0.2">
      <c r="B33" t="s">
        <v>137</v>
      </c>
    </row>
    <row r="34" spans="2:2" x14ac:dyDescent="0.2">
      <c r="B34" t="s">
        <v>138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6C25-D013-074D-A8D7-30EFBFF1922C}">
  <dimension ref="A1:I18"/>
  <sheetViews>
    <sheetView workbookViewId="0">
      <selection activeCell="I11" sqref="I11:I12"/>
    </sheetView>
  </sheetViews>
  <sheetFormatPr baseColWidth="10" defaultRowHeight="16" x14ac:dyDescent="0.2"/>
  <cols>
    <col min="4" max="4" width="17.5" bestFit="1" customWidth="1"/>
    <col min="5" max="5" width="16" customWidth="1"/>
    <col min="6" max="6" width="13" bestFit="1" customWidth="1"/>
    <col min="7" max="8" width="11" bestFit="1" customWidth="1"/>
    <col min="9" max="9" width="19.6640625" customWidth="1"/>
  </cols>
  <sheetData>
    <row r="1" spans="1:9" ht="96" customHeight="1" x14ac:dyDescent="0.2">
      <c r="A1" s="2"/>
      <c r="B1" s="18" t="s">
        <v>97</v>
      </c>
      <c r="C1" s="18" t="s">
        <v>98</v>
      </c>
      <c r="D1" s="19" t="s">
        <v>99</v>
      </c>
      <c r="E1" s="19" t="s">
        <v>100</v>
      </c>
      <c r="F1" s="19" t="s">
        <v>101</v>
      </c>
      <c r="G1" s="19" t="s">
        <v>102</v>
      </c>
      <c r="H1" s="19" t="s">
        <v>103</v>
      </c>
      <c r="I1" s="19" t="s">
        <v>177</v>
      </c>
    </row>
    <row r="2" spans="1:9" x14ac:dyDescent="0.2">
      <c r="A2" s="3">
        <v>1</v>
      </c>
      <c r="B2" s="114" t="s">
        <v>111</v>
      </c>
      <c r="C2" s="114" t="s">
        <v>112</v>
      </c>
      <c r="D2" s="114" t="s">
        <v>113</v>
      </c>
      <c r="E2" s="114">
        <v>168</v>
      </c>
      <c r="F2" s="115">
        <v>33600</v>
      </c>
      <c r="G2" s="116">
        <v>0.77134986225895319</v>
      </c>
      <c r="H2" s="117">
        <v>0.1928374655647383</v>
      </c>
      <c r="I2" s="24">
        <f>3*1</f>
        <v>3</v>
      </c>
    </row>
    <row r="3" spans="1:9" x14ac:dyDescent="0.2">
      <c r="A3" s="3">
        <v>3</v>
      </c>
      <c r="B3" s="114" t="s">
        <v>115</v>
      </c>
      <c r="C3" s="114" t="s">
        <v>112</v>
      </c>
      <c r="D3" s="114"/>
      <c r="E3" s="114">
        <v>516</v>
      </c>
      <c r="F3" s="115">
        <v>103200</v>
      </c>
      <c r="G3" s="116">
        <v>2.3691460055096418</v>
      </c>
      <c r="H3" s="117">
        <v>0.59228650137741046</v>
      </c>
      <c r="I3" s="24">
        <f>3*3</f>
        <v>9</v>
      </c>
    </row>
    <row r="4" spans="1:9" x14ac:dyDescent="0.2">
      <c r="A4" s="3">
        <v>5</v>
      </c>
      <c r="B4" s="114" t="s">
        <v>116</v>
      </c>
      <c r="C4" s="114" t="s">
        <v>112</v>
      </c>
      <c r="D4" s="114"/>
      <c r="E4" s="114">
        <v>504</v>
      </c>
      <c r="F4" s="115">
        <v>100800</v>
      </c>
      <c r="G4" s="116">
        <v>2.3140495867768593</v>
      </c>
      <c r="H4" s="117">
        <v>0.57851239669421484</v>
      </c>
      <c r="I4" s="24">
        <f>3*3</f>
        <v>9</v>
      </c>
    </row>
    <row r="5" spans="1:9" x14ac:dyDescent="0.2">
      <c r="A5" s="3">
        <v>7</v>
      </c>
      <c r="B5" t="s">
        <v>118</v>
      </c>
      <c r="C5" t="s">
        <v>112</v>
      </c>
      <c r="E5">
        <v>504</v>
      </c>
      <c r="F5" s="112">
        <v>100800</v>
      </c>
      <c r="G5" s="113">
        <v>2.3140495867768593</v>
      </c>
      <c r="H5" s="83">
        <v>0.57851239669421484</v>
      </c>
      <c r="I5" s="83">
        <f>3*3</f>
        <v>9</v>
      </c>
    </row>
    <row r="6" spans="1:9" x14ac:dyDescent="0.2">
      <c r="A6" s="3">
        <v>9</v>
      </c>
      <c r="B6" t="s">
        <v>119</v>
      </c>
      <c r="C6" t="s">
        <v>112</v>
      </c>
      <c r="D6" s="3"/>
      <c r="E6">
        <v>516</v>
      </c>
      <c r="F6" s="112">
        <v>103200</v>
      </c>
      <c r="G6" s="113">
        <v>2.3691460055096418</v>
      </c>
      <c r="H6" s="83">
        <v>0.59228650137741046</v>
      </c>
      <c r="I6" s="83">
        <f t="shared" ref="I6:I8" si="0">3*3</f>
        <v>9</v>
      </c>
    </row>
    <row r="7" spans="1:9" x14ac:dyDescent="0.2">
      <c r="A7" s="3">
        <v>11</v>
      </c>
      <c r="B7" t="s">
        <v>120</v>
      </c>
      <c r="C7" t="s">
        <v>112</v>
      </c>
      <c r="E7">
        <v>516</v>
      </c>
      <c r="F7" s="112">
        <v>103200</v>
      </c>
      <c r="G7" s="113">
        <v>2.3691460055096418</v>
      </c>
      <c r="H7" s="83">
        <v>0.59228650137741046</v>
      </c>
      <c r="I7" s="83">
        <f t="shared" si="0"/>
        <v>9</v>
      </c>
    </row>
    <row r="8" spans="1:9" x14ac:dyDescent="0.2">
      <c r="A8" s="3">
        <v>13</v>
      </c>
      <c r="B8" t="s">
        <v>121</v>
      </c>
      <c r="C8" t="s">
        <v>112</v>
      </c>
      <c r="E8">
        <v>516</v>
      </c>
      <c r="F8" s="112">
        <v>103200</v>
      </c>
      <c r="G8" s="113">
        <v>2.3691460055096418</v>
      </c>
      <c r="H8" s="83">
        <v>0.59228650137741046</v>
      </c>
      <c r="I8" s="83">
        <f t="shared" si="0"/>
        <v>9</v>
      </c>
    </row>
    <row r="9" spans="1:9" x14ac:dyDescent="0.2">
      <c r="A9" s="3">
        <v>15</v>
      </c>
      <c r="B9" t="s">
        <v>122</v>
      </c>
      <c r="C9" t="s">
        <v>112</v>
      </c>
      <c r="E9">
        <v>504</v>
      </c>
      <c r="F9" s="112">
        <v>100800</v>
      </c>
      <c r="G9" s="113">
        <v>2.3140495867768593</v>
      </c>
      <c r="H9" s="83">
        <v>0.57851239669421484</v>
      </c>
      <c r="I9" s="83">
        <f>3*3</f>
        <v>9</v>
      </c>
    </row>
    <row r="10" spans="1:9" x14ac:dyDescent="0.2">
      <c r="A10" s="3">
        <v>2</v>
      </c>
      <c r="B10" s="114" t="s">
        <v>111</v>
      </c>
      <c r="C10" s="114" t="s">
        <v>123</v>
      </c>
      <c r="D10" s="114" t="s">
        <v>124</v>
      </c>
      <c r="E10" s="114">
        <v>760</v>
      </c>
      <c r="F10" s="115">
        <v>38000</v>
      </c>
      <c r="G10" s="116">
        <v>0.87235996326905418</v>
      </c>
      <c r="H10" s="117">
        <v>0.43617998163452709</v>
      </c>
      <c r="I10" s="24">
        <f>1*7</f>
        <v>7</v>
      </c>
    </row>
    <row r="11" spans="1:9" x14ac:dyDescent="0.2">
      <c r="A11" s="3">
        <v>4</v>
      </c>
      <c r="B11" s="114" t="s">
        <v>115</v>
      </c>
      <c r="C11" s="114" t="s">
        <v>123</v>
      </c>
      <c r="D11" s="114" t="s">
        <v>124</v>
      </c>
      <c r="E11" s="114">
        <v>2280</v>
      </c>
      <c r="F11" s="115">
        <v>114000</v>
      </c>
      <c r="G11" s="116">
        <v>2.6170798898071626</v>
      </c>
      <c r="H11" s="117">
        <v>1.3085399449035813</v>
      </c>
      <c r="I11" s="24">
        <f>3*7</f>
        <v>21</v>
      </c>
    </row>
    <row r="12" spans="1:9" x14ac:dyDescent="0.2">
      <c r="A12" s="3">
        <v>6</v>
      </c>
      <c r="B12" s="114" t="s">
        <v>116</v>
      </c>
      <c r="C12" s="114" t="s">
        <v>123</v>
      </c>
      <c r="D12" s="114" t="s">
        <v>124</v>
      </c>
      <c r="E12" s="114">
        <v>2280</v>
      </c>
      <c r="F12" s="115">
        <v>114000</v>
      </c>
      <c r="G12" s="116">
        <v>2.6170798898071626</v>
      </c>
      <c r="H12" s="117">
        <v>1.3085399449035813</v>
      </c>
      <c r="I12" s="24">
        <f>3*7</f>
        <v>21</v>
      </c>
    </row>
    <row r="13" spans="1:9" x14ac:dyDescent="0.2">
      <c r="A13" s="3">
        <v>8</v>
      </c>
      <c r="B13" t="s">
        <v>118</v>
      </c>
      <c r="C13" t="s">
        <v>123</v>
      </c>
      <c r="D13" t="s">
        <v>124</v>
      </c>
      <c r="E13">
        <v>760</v>
      </c>
      <c r="F13" s="112">
        <v>38000</v>
      </c>
      <c r="G13" s="113">
        <v>0.87235996326905418</v>
      </c>
      <c r="H13" s="83">
        <v>0.43617998163452709</v>
      </c>
      <c r="I13" s="83">
        <f>1*7</f>
        <v>7</v>
      </c>
    </row>
    <row r="14" spans="1:9" hidden="1" x14ac:dyDescent="0.2">
      <c r="A14" s="36">
        <v>10</v>
      </c>
      <c r="B14" s="35" t="s">
        <v>119</v>
      </c>
      <c r="C14" s="35" t="s">
        <v>123</v>
      </c>
      <c r="D14" s="35" t="s">
        <v>124</v>
      </c>
      <c r="E14">
        <v>760</v>
      </c>
      <c r="F14" s="112"/>
      <c r="G14" s="113"/>
      <c r="H14" s="83">
        <v>0</v>
      </c>
      <c r="I14" s="83"/>
    </row>
    <row r="15" spans="1:9" hidden="1" x14ac:dyDescent="0.2">
      <c r="A15" s="36">
        <v>12</v>
      </c>
      <c r="B15" s="35" t="s">
        <v>120</v>
      </c>
      <c r="C15" s="35" t="s">
        <v>123</v>
      </c>
      <c r="D15" s="35" t="s">
        <v>124</v>
      </c>
      <c r="E15">
        <v>760</v>
      </c>
      <c r="F15" s="112"/>
      <c r="G15" s="113"/>
      <c r="H15" s="83">
        <v>0</v>
      </c>
      <c r="I15" s="83"/>
    </row>
    <row r="16" spans="1:9" hidden="1" x14ac:dyDescent="0.2">
      <c r="A16" s="36">
        <v>14</v>
      </c>
      <c r="B16" s="35" t="s">
        <v>121</v>
      </c>
      <c r="C16" s="35" t="s">
        <v>123</v>
      </c>
      <c r="D16" s="35" t="s">
        <v>124</v>
      </c>
      <c r="E16">
        <v>760</v>
      </c>
      <c r="F16" s="112"/>
      <c r="G16" s="113"/>
      <c r="H16" s="83">
        <v>0</v>
      </c>
      <c r="I16" s="83"/>
    </row>
    <row r="17" spans="1:9" x14ac:dyDescent="0.2">
      <c r="A17" s="3">
        <v>16</v>
      </c>
      <c r="B17" s="40" t="s">
        <v>122</v>
      </c>
      <c r="C17" s="40" t="s">
        <v>123</v>
      </c>
      <c r="D17" s="40" t="s">
        <v>124</v>
      </c>
      <c r="E17" s="40">
        <v>760</v>
      </c>
      <c r="F17" s="118">
        <v>38000</v>
      </c>
      <c r="G17" s="119">
        <v>0.87235996326905418</v>
      </c>
      <c r="H17" s="84">
        <v>0.43617998163452709</v>
      </c>
      <c r="I17" s="84">
        <f>1*7</f>
        <v>7</v>
      </c>
    </row>
    <row r="18" spans="1:9" x14ac:dyDescent="0.2">
      <c r="E18" s="29">
        <f>SUM(E2:E17)</f>
        <v>12864</v>
      </c>
      <c r="F18" s="29">
        <f t="shared" ref="F18:H18" si="1">SUM(F2:F17)</f>
        <v>1090800</v>
      </c>
      <c r="G18" s="29">
        <f>SUM(G2:G17)</f>
        <v>25.041322314049587</v>
      </c>
      <c r="H18" s="29">
        <f t="shared" si="1"/>
        <v>8.223140495867769</v>
      </c>
      <c r="I18" s="121">
        <f>SUM(I2:I17)</f>
        <v>129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F33E-1C7E-4D43-99A7-59A201367F4F}">
  <dimension ref="A1:K33"/>
  <sheetViews>
    <sheetView workbookViewId="0">
      <selection activeCell="A38" sqref="A38"/>
    </sheetView>
  </sheetViews>
  <sheetFormatPr baseColWidth="10" defaultColWidth="10.83203125" defaultRowHeight="16" x14ac:dyDescent="0.2"/>
  <cols>
    <col min="1" max="1" width="30" customWidth="1"/>
    <col min="5" max="5" width="15.1640625" bestFit="1" customWidth="1"/>
    <col min="8" max="8" width="11.5" bestFit="1" customWidth="1"/>
    <col min="11" max="11" width="15.6640625" bestFit="1" customWidth="1"/>
  </cols>
  <sheetData>
    <row r="1" spans="1:11" x14ac:dyDescent="0.2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</row>
    <row r="2" spans="1:11" x14ac:dyDescent="0.2">
      <c r="A2" s="57" t="s">
        <v>111</v>
      </c>
      <c r="B2" s="3">
        <v>380</v>
      </c>
      <c r="C2" s="3">
        <v>2</v>
      </c>
      <c r="D2" s="12">
        <v>1</v>
      </c>
      <c r="E2" s="12" t="s">
        <v>37</v>
      </c>
      <c r="F2" s="12" t="s">
        <v>147</v>
      </c>
      <c r="G2" s="61">
        <f t="shared" ref="G2:G9" si="0">B2*C2*D2</f>
        <v>760</v>
      </c>
      <c r="H2" s="62">
        <f>G2*50</f>
        <v>38000</v>
      </c>
    </row>
    <row r="3" spans="1:11" x14ac:dyDescent="0.2">
      <c r="A3" s="57" t="s">
        <v>115</v>
      </c>
      <c r="B3" s="3">
        <v>380</v>
      </c>
      <c r="C3" s="3">
        <v>2</v>
      </c>
      <c r="D3" s="3">
        <v>3</v>
      </c>
      <c r="E3" s="12" t="s">
        <v>37</v>
      </c>
      <c r="F3" s="12" t="s">
        <v>147</v>
      </c>
      <c r="G3" s="61">
        <f t="shared" si="0"/>
        <v>2280</v>
      </c>
      <c r="H3" s="62">
        <f t="shared" ref="H3:H8" si="1">G3*50</f>
        <v>114000</v>
      </c>
    </row>
    <row r="4" spans="1:11" x14ac:dyDescent="0.2">
      <c r="A4" s="57" t="s">
        <v>116</v>
      </c>
      <c r="B4" s="3">
        <v>380</v>
      </c>
      <c r="C4" s="3">
        <v>2</v>
      </c>
      <c r="D4" s="3">
        <v>3</v>
      </c>
      <c r="E4" s="12" t="s">
        <v>37</v>
      </c>
      <c r="F4" s="12" t="s">
        <v>147</v>
      </c>
      <c r="G4" s="61">
        <f t="shared" si="0"/>
        <v>2280</v>
      </c>
      <c r="H4" s="62">
        <f t="shared" si="1"/>
        <v>114000</v>
      </c>
    </row>
    <row r="5" spans="1:11" x14ac:dyDescent="0.2">
      <c r="A5" s="57" t="s">
        <v>118</v>
      </c>
      <c r="B5" s="3">
        <v>380</v>
      </c>
      <c r="C5" s="3">
        <v>2</v>
      </c>
      <c r="D5" s="3">
        <v>1</v>
      </c>
      <c r="E5" s="12" t="s">
        <v>37</v>
      </c>
      <c r="F5" s="12" t="s">
        <v>147</v>
      </c>
      <c r="G5">
        <f t="shared" si="0"/>
        <v>760</v>
      </c>
      <c r="H5" s="62">
        <f>G5*55</f>
        <v>41800</v>
      </c>
    </row>
    <row r="6" spans="1:11" x14ac:dyDescent="0.2">
      <c r="A6" s="63" t="s">
        <v>119</v>
      </c>
      <c r="B6" s="36"/>
      <c r="C6" s="36">
        <v>2</v>
      </c>
      <c r="D6" s="36">
        <v>1</v>
      </c>
      <c r="E6" s="12" t="s">
        <v>37</v>
      </c>
      <c r="F6" s="12" t="s">
        <v>147</v>
      </c>
      <c r="G6">
        <f t="shared" si="0"/>
        <v>0</v>
      </c>
      <c r="H6" s="62">
        <f t="shared" si="1"/>
        <v>0</v>
      </c>
    </row>
    <row r="7" spans="1:11" x14ac:dyDescent="0.2">
      <c r="A7" s="63" t="s">
        <v>120</v>
      </c>
      <c r="B7" s="36"/>
      <c r="C7" s="36">
        <v>2</v>
      </c>
      <c r="D7" s="36">
        <v>1</v>
      </c>
      <c r="E7" s="12" t="s">
        <v>37</v>
      </c>
      <c r="F7" s="12" t="s">
        <v>147</v>
      </c>
      <c r="G7">
        <f t="shared" si="0"/>
        <v>0</v>
      </c>
      <c r="H7" s="62">
        <f t="shared" si="1"/>
        <v>0</v>
      </c>
    </row>
    <row r="8" spans="1:11" x14ac:dyDescent="0.2">
      <c r="A8" s="63" t="s">
        <v>121</v>
      </c>
      <c r="B8" s="36"/>
      <c r="C8" s="36">
        <v>2</v>
      </c>
      <c r="D8" s="36">
        <v>1</v>
      </c>
      <c r="E8" s="12" t="s">
        <v>37</v>
      </c>
      <c r="F8" s="12" t="s">
        <v>147</v>
      </c>
      <c r="G8">
        <f t="shared" si="0"/>
        <v>0</v>
      </c>
      <c r="H8" s="62">
        <f t="shared" si="1"/>
        <v>0</v>
      </c>
    </row>
    <row r="9" spans="1:11" x14ac:dyDescent="0.2">
      <c r="A9" s="64" t="s">
        <v>122</v>
      </c>
      <c r="B9" s="41">
        <v>380</v>
      </c>
      <c r="C9" s="41">
        <v>2</v>
      </c>
      <c r="D9" s="41">
        <v>1</v>
      </c>
      <c r="E9" s="65" t="s">
        <v>37</v>
      </c>
      <c r="F9" s="65" t="s">
        <v>147</v>
      </c>
      <c r="G9" s="40">
        <f t="shared" si="0"/>
        <v>760</v>
      </c>
      <c r="H9" s="62">
        <f>G9*52</f>
        <v>39520</v>
      </c>
    </row>
    <row r="10" spans="1:11" x14ac:dyDescent="0.2">
      <c r="H10" s="66">
        <f>SUM(H2:H9)</f>
        <v>347320</v>
      </c>
      <c r="J10" s="67">
        <f>H10/1800</f>
        <v>192.95555555555555</v>
      </c>
      <c r="K10" s="68" t="s">
        <v>148</v>
      </c>
    </row>
    <row r="14" spans="1:11" x14ac:dyDescent="0.2">
      <c r="A14" t="s">
        <v>149</v>
      </c>
      <c r="B14" t="s">
        <v>140</v>
      </c>
      <c r="C14" t="s">
        <v>141</v>
      </c>
      <c r="D14" t="s">
        <v>142</v>
      </c>
      <c r="E14" t="s">
        <v>143</v>
      </c>
      <c r="F14" t="s">
        <v>144</v>
      </c>
      <c r="G14" t="s">
        <v>145</v>
      </c>
      <c r="H14" t="s">
        <v>146</v>
      </c>
    </row>
    <row r="15" spans="1:11" x14ac:dyDescent="0.2">
      <c r="A15" s="57" t="s">
        <v>111</v>
      </c>
      <c r="B15" s="3">
        <f t="shared" ref="B15:B22" si="2">45+5+35</f>
        <v>85</v>
      </c>
      <c r="C15" s="3">
        <v>2</v>
      </c>
      <c r="D15" s="12">
        <v>1</v>
      </c>
      <c r="E15" s="3" t="s">
        <v>35</v>
      </c>
      <c r="F15" s="3" t="s">
        <v>150</v>
      </c>
      <c r="G15" s="69">
        <f>B15*C15*D15</f>
        <v>170</v>
      </c>
    </row>
    <row r="16" spans="1:11" x14ac:dyDescent="0.2">
      <c r="A16" s="57" t="s">
        <v>115</v>
      </c>
      <c r="B16" s="3">
        <f t="shared" si="2"/>
        <v>85</v>
      </c>
      <c r="C16" s="3">
        <v>2</v>
      </c>
      <c r="D16" s="3">
        <v>3</v>
      </c>
      <c r="E16" s="3" t="s">
        <v>35</v>
      </c>
      <c r="F16" s="3" t="s">
        <v>150</v>
      </c>
      <c r="G16" s="69">
        <f>B16*C16*D16+(3*4)</f>
        <v>522</v>
      </c>
    </row>
    <row r="17" spans="1:11" x14ac:dyDescent="0.2">
      <c r="A17" s="57" t="s">
        <v>116</v>
      </c>
      <c r="B17" s="3">
        <f t="shared" si="2"/>
        <v>85</v>
      </c>
      <c r="C17" s="3">
        <v>2</v>
      </c>
      <c r="D17" s="3">
        <v>3</v>
      </c>
      <c r="E17" s="3" t="s">
        <v>35</v>
      </c>
      <c r="F17" s="3" t="s">
        <v>150</v>
      </c>
      <c r="G17" s="69">
        <f>B17*C17*D17</f>
        <v>510</v>
      </c>
    </row>
    <row r="18" spans="1:11" x14ac:dyDescent="0.2">
      <c r="A18" s="57" t="s">
        <v>118</v>
      </c>
      <c r="B18" s="3">
        <f t="shared" si="2"/>
        <v>85</v>
      </c>
      <c r="C18" s="3">
        <v>2</v>
      </c>
      <c r="D18" s="12">
        <v>3</v>
      </c>
      <c r="E18" s="3" t="s">
        <v>35</v>
      </c>
      <c r="F18" s="3" t="s">
        <v>150</v>
      </c>
      <c r="G18" s="57">
        <f>B18*C18*D18</f>
        <v>510</v>
      </c>
      <c r="H18" s="70">
        <f>G18*176</f>
        <v>89760</v>
      </c>
    </row>
    <row r="19" spans="1:11" x14ac:dyDescent="0.2">
      <c r="A19" s="57" t="s">
        <v>119</v>
      </c>
      <c r="B19" s="3">
        <f t="shared" si="2"/>
        <v>85</v>
      </c>
      <c r="C19" s="3">
        <v>2</v>
      </c>
      <c r="D19" s="12">
        <v>3</v>
      </c>
      <c r="E19" s="3" t="s">
        <v>35</v>
      </c>
      <c r="F19" s="3" t="s">
        <v>150</v>
      </c>
      <c r="G19" s="57">
        <f>B19*C19*D19+(3*4)</f>
        <v>522</v>
      </c>
      <c r="H19" s="70">
        <f>G19*170</f>
        <v>88740</v>
      </c>
    </row>
    <row r="20" spans="1:11" x14ac:dyDescent="0.2">
      <c r="A20" s="57" t="s">
        <v>120</v>
      </c>
      <c r="B20" s="3">
        <f t="shared" si="2"/>
        <v>85</v>
      </c>
      <c r="C20" s="3">
        <v>2</v>
      </c>
      <c r="D20" s="12">
        <v>3</v>
      </c>
      <c r="E20" s="3" t="s">
        <v>35</v>
      </c>
      <c r="F20" s="3" t="s">
        <v>150</v>
      </c>
      <c r="G20" s="57">
        <f>B20*C20*D20+(3*4)</f>
        <v>522</v>
      </c>
      <c r="H20" s="70">
        <f t="shared" ref="H20:H21" si="3">G20*170</f>
        <v>88740</v>
      </c>
    </row>
    <row r="21" spans="1:11" x14ac:dyDescent="0.2">
      <c r="A21" s="57" t="s">
        <v>121</v>
      </c>
      <c r="B21" s="3">
        <f t="shared" si="2"/>
        <v>85</v>
      </c>
      <c r="C21" s="3">
        <v>2</v>
      </c>
      <c r="D21" s="12">
        <v>3</v>
      </c>
      <c r="E21" s="3" t="s">
        <v>35</v>
      </c>
      <c r="F21" s="3" t="s">
        <v>150</v>
      </c>
      <c r="G21" s="57">
        <f>B21*C21*D21+(3*4)</f>
        <v>522</v>
      </c>
      <c r="H21" s="70">
        <f t="shared" si="3"/>
        <v>88740</v>
      </c>
    </row>
    <row r="22" spans="1:11" x14ac:dyDescent="0.2">
      <c r="A22" s="64" t="s">
        <v>122</v>
      </c>
      <c r="B22" s="41">
        <f t="shared" si="2"/>
        <v>85</v>
      </c>
      <c r="C22" s="41">
        <v>2</v>
      </c>
      <c r="D22" s="65">
        <v>3</v>
      </c>
      <c r="E22" s="41" t="s">
        <v>35</v>
      </c>
      <c r="F22" s="41" t="s">
        <v>150</v>
      </c>
      <c r="G22" s="64">
        <f>B22*C22*D22</f>
        <v>510</v>
      </c>
      <c r="H22" s="70">
        <f>G22*200</f>
        <v>102000</v>
      </c>
    </row>
    <row r="27" spans="1:11" x14ac:dyDescent="0.2">
      <c r="A27" t="s">
        <v>151</v>
      </c>
      <c r="B27" s="3">
        <f>45+5+35</f>
        <v>85</v>
      </c>
      <c r="C27" s="3">
        <v>2</v>
      </c>
      <c r="D27">
        <f>1+3+3</f>
        <v>7</v>
      </c>
      <c r="E27" s="3" t="s">
        <v>35</v>
      </c>
      <c r="F27" s="3" t="s">
        <v>150</v>
      </c>
      <c r="G27" s="71">
        <f>SUM(G15:G17)</f>
        <v>1202</v>
      </c>
      <c r="H27" s="72">
        <f>G27*200</f>
        <v>240400</v>
      </c>
    </row>
    <row r="28" spans="1:11" x14ac:dyDescent="0.2">
      <c r="A28" s="40" t="s">
        <v>152</v>
      </c>
      <c r="B28" s="41">
        <f>45+5+35</f>
        <v>85</v>
      </c>
      <c r="C28" s="41">
        <v>2</v>
      </c>
      <c r="D28" s="40">
        <f>3+9+3</f>
        <v>15</v>
      </c>
      <c r="E28" s="41" t="s">
        <v>35</v>
      </c>
      <c r="F28" s="41" t="s">
        <v>150</v>
      </c>
      <c r="G28" s="40">
        <f>B28*C28*D28</f>
        <v>2550</v>
      </c>
      <c r="H28" s="73">
        <f>SUM(H18:H22)*1.15</f>
        <v>526677</v>
      </c>
    </row>
    <row r="29" spans="1:11" x14ac:dyDescent="0.2">
      <c r="H29" s="62">
        <f>SUM(H27:H28)</f>
        <v>767077</v>
      </c>
      <c r="J29" s="67">
        <f>H29/1800</f>
        <v>426.1538888888889</v>
      </c>
      <c r="K29" s="68" t="s">
        <v>148</v>
      </c>
    </row>
    <row r="32" spans="1:11" x14ac:dyDescent="0.2">
      <c r="J32" s="74">
        <f>J10+J29</f>
        <v>619.10944444444442</v>
      </c>
      <c r="K32" s="75" t="s">
        <v>148</v>
      </c>
    </row>
    <row r="33" spans="11:11" x14ac:dyDescent="0.2">
      <c r="K33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7E19-71C5-4046-B11C-0BD2D2591B39}">
  <sheetPr>
    <tabColor rgb="FF00B050"/>
  </sheetPr>
  <dimension ref="A1:B10"/>
  <sheetViews>
    <sheetView workbookViewId="0">
      <selection activeCell="G16" sqref="G16"/>
    </sheetView>
  </sheetViews>
  <sheetFormatPr baseColWidth="10" defaultColWidth="10.83203125" defaultRowHeight="16" x14ac:dyDescent="0.2"/>
  <cols>
    <col min="1" max="1" width="3.6640625" customWidth="1"/>
  </cols>
  <sheetData>
    <row r="1" spans="1:2" x14ac:dyDescent="0.2">
      <c r="A1" s="16" t="s">
        <v>118</v>
      </c>
    </row>
    <row r="2" spans="1:2" x14ac:dyDescent="0.2">
      <c r="B2" t="s">
        <v>195</v>
      </c>
    </row>
    <row r="4" spans="1:2" x14ac:dyDescent="0.2">
      <c r="B4" t="s">
        <v>155</v>
      </c>
    </row>
    <row r="5" spans="1:2" x14ac:dyDescent="0.2">
      <c r="B5" s="28" t="s">
        <v>156</v>
      </c>
    </row>
    <row r="7" spans="1:2" x14ac:dyDescent="0.2">
      <c r="A7" t="s">
        <v>122</v>
      </c>
    </row>
    <row r="8" spans="1:2" x14ac:dyDescent="0.2">
      <c r="B8" t="s">
        <v>154</v>
      </c>
    </row>
    <row r="10" spans="1:2" x14ac:dyDescent="0.2">
      <c r="B10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 Summary</vt:lpstr>
      <vt:lpstr>IMAGING DATES  UAV, Sat, Pheno</vt:lpstr>
      <vt:lpstr>Cost Esitmates</vt:lpstr>
      <vt:lpstr>Time Est Phenobot Running</vt:lpstr>
      <vt:lpstr>Seed Estimate Updates - bulking</vt:lpstr>
      <vt:lpstr>Notes on Packaging up Envelopes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Lisa Coffey</cp:lastModifiedBy>
  <cp:revision/>
  <dcterms:created xsi:type="dcterms:W3CDTF">2019-04-11T17:38:56Z</dcterms:created>
  <dcterms:modified xsi:type="dcterms:W3CDTF">2023-06-27T23:02:21Z</dcterms:modified>
  <cp:category/>
  <cp:contentStatus/>
</cp:coreProperties>
</file>