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13_ncr:1_{EAA85410-51D4-6045-87A4-D550E6EBCB40}" xr6:coauthVersionLast="45" xr6:coauthVersionMax="45" xr10:uidLastSave="{00000000-0000-0000-0000-000000000000}"/>
  <bookViews>
    <workbookView xWindow="380" yWindow="440" windowWidth="31820" windowHeight="27980" xr2:uid="{2942D8FC-8FE1-3E42-9E19-E1281A9E6C69}"/>
  </bookViews>
  <sheets>
    <sheet name="Test" sheetId="1" r:id="rId1"/>
    <sheet name="ChartFormats" sheetId="2" r:id="rId2"/>
  </sheets>
  <definedNames>
    <definedName name="AxisScaling.Major">ChartFormats!$AA$6:$AA$69</definedName>
    <definedName name="AxisScaling.Minor">ChartFormats!$AB$6:$AB$69</definedName>
    <definedName name="AxisScaling.RowNum">ChartFormats!$Z$6:$Z$69</definedName>
    <definedName name="ChartLines_Thicknesses.ExcelWeight">ChartFormats!$V$6:$V$9</definedName>
    <definedName name="ChartLines_Thicknesses.StrokeWidth">ChartFormats!$U$6:$U$9</definedName>
    <definedName name="ChartLines_Thicknesses.Text">ChartFormats!$T$6:$T$9</definedName>
    <definedName name="ChartLines.B">ChartFormats!$O$6:$O$276</definedName>
    <definedName name="ChartLines.G">ChartFormats!$N$6:$N$276</definedName>
    <definedName name="ChartLines.Hex6">ChartFormats!$H$6:$H$276</definedName>
    <definedName name="ChartLines.ID">ChartFormats!$G$6:$G$276</definedName>
    <definedName name="ChartLines.InstanceNum">ChartFormats!$K$6:$K$276</definedName>
    <definedName name="ChartLines.NumInstances">ChartFormats!$J$6:$J$276</definedName>
    <definedName name="ChartLines.R">ChartFormats!$M$6:$M$276</definedName>
    <definedName name="ChartLines.RowNum">ChartFormats!$P$6:$P$276</definedName>
    <definedName name="ChartLines.ThicknessText">ChartFormats!$L$6:$L$276</definedName>
    <definedName name="ChartMarkers.Directory">ChartFormats!$C$2</definedName>
    <definedName name="ChartMarkers.Suffix">ChartFormats!$C$3</definedName>
    <definedName name="SeriesFormatAlias.ID">ChartFormats!$C$6:$C$371</definedName>
    <definedName name="SeriesFormatAlias.SeriesName">ChartFormats!$B$6:$B$371</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 l="1"/>
  <c r="C2" i="2" l="1" a="1"/>
  <c r="C2" i="2" s="1"/>
  <c r="C79" i="2" l="1"/>
  <c r="C101" i="2"/>
  <c r="J201" i="2"/>
  <c r="M201" i="2"/>
  <c r="N201" i="2"/>
  <c r="O201" i="2"/>
  <c r="P201" i="2" a="1"/>
  <c r="P201" i="2" s="1"/>
  <c r="J202" i="2"/>
  <c r="M202" i="2"/>
  <c r="N202" i="2"/>
  <c r="O202" i="2"/>
  <c r="P202" i="2" a="1"/>
  <c r="P202" i="2" s="1"/>
  <c r="J203" i="2"/>
  <c r="M203" i="2"/>
  <c r="N203" i="2"/>
  <c r="O203" i="2"/>
  <c r="P203" i="2" a="1"/>
  <c r="P203" i="2" s="1"/>
  <c r="J204" i="2"/>
  <c r="K204" i="2"/>
  <c r="M204" i="2"/>
  <c r="N204" i="2"/>
  <c r="O204" i="2"/>
  <c r="P204" i="2" a="1"/>
  <c r="P204" i="2" s="1"/>
  <c r="J205" i="2"/>
  <c r="P205" i="2" a="1"/>
  <c r="P205" i="2" s="1"/>
  <c r="J206" i="2"/>
  <c r="M206" i="2"/>
  <c r="N206" i="2"/>
  <c r="O206" i="2"/>
  <c r="P206" i="2" a="1"/>
  <c r="P206" i="2" s="1"/>
  <c r="J207" i="2"/>
  <c r="P207" i="2" a="1"/>
  <c r="P207" i="2" s="1"/>
  <c r="J208" i="2"/>
  <c r="M208" i="2"/>
  <c r="N208" i="2"/>
  <c r="O208" i="2"/>
  <c r="P208" i="2" a="1"/>
  <c r="P208" i="2" s="1"/>
  <c r="J209" i="2"/>
  <c r="M209" i="2"/>
  <c r="N209" i="2"/>
  <c r="O209" i="2"/>
  <c r="P209" i="2" a="1"/>
  <c r="P209" i="2" s="1"/>
  <c r="J210" i="2"/>
  <c r="M210" i="2"/>
  <c r="N210" i="2"/>
  <c r="O210" i="2"/>
  <c r="P210" i="2" a="1"/>
  <c r="P210" i="2" s="1"/>
  <c r="K203" i="2" l="1"/>
  <c r="L203" i="2" s="1" a="1"/>
  <c r="L203" i="2" s="1"/>
  <c r="K209" i="2"/>
  <c r="L209" i="2" s="1" a="1"/>
  <c r="L209" i="2" s="1"/>
  <c r="K205" i="2"/>
  <c r="K207" i="2"/>
  <c r="L207" i="2" s="1" a="1"/>
  <c r="L207" i="2" s="1"/>
  <c r="K208" i="2"/>
  <c r="L208" i="2" s="1" a="1"/>
  <c r="L208" i="2" s="1"/>
  <c r="K202" i="2"/>
  <c r="L202" i="2" s="1" a="1"/>
  <c r="L202" i="2" s="1"/>
  <c r="L204" i="2" a="1"/>
  <c r="L204" i="2" s="1"/>
  <c r="K210" i="2"/>
  <c r="L210" i="2" s="1" a="1"/>
  <c r="L210" i="2" s="1"/>
  <c r="K206" i="2"/>
  <c r="L206" i="2" s="1" a="1"/>
  <c r="L206" i="2" s="1"/>
  <c r="L205" i="2" a="1"/>
  <c r="L205" i="2" s="1"/>
  <c r="J211" i="2"/>
  <c r="P211" i="2" a="1"/>
  <c r="P21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Z69" i="2" a="1"/>
  <c r="Z69" i="2" s="1"/>
  <c r="Z68" i="2" a="1"/>
  <c r="Z68" i="2" s="1"/>
  <c r="Z67" i="2" a="1"/>
  <c r="Z67" i="2" s="1"/>
  <c r="Z66" i="2" a="1"/>
  <c r="Z66" i="2" s="1"/>
  <c r="Z65" i="2" a="1"/>
  <c r="Z65" i="2" s="1"/>
  <c r="Z64" i="2" a="1"/>
  <c r="Z64" i="2" s="1"/>
  <c r="Z63" i="2" a="1"/>
  <c r="Z63" i="2" s="1"/>
  <c r="Z62" i="2" a="1"/>
  <c r="Z62" i="2" s="1"/>
  <c r="Z61" i="2" a="1"/>
  <c r="Z61" i="2" s="1"/>
  <c r="Z60" i="2" a="1"/>
  <c r="Z60" i="2" s="1"/>
  <c r="Z59" i="2" a="1"/>
  <c r="Z59" i="2" s="1"/>
  <c r="Z58" i="2" a="1"/>
  <c r="Z58" i="2" s="1"/>
  <c r="Z57" i="2" a="1"/>
  <c r="Z57" i="2" s="1"/>
  <c r="Z56" i="2" a="1"/>
  <c r="Z56" i="2" s="1"/>
  <c r="Z55" i="2" a="1"/>
  <c r="Z55" i="2" s="1"/>
  <c r="Z54" i="2" a="1"/>
  <c r="Z54" i="2" s="1"/>
  <c r="Z53" i="2" a="1"/>
  <c r="Z53" i="2" s="1"/>
  <c r="Z52" i="2" a="1"/>
  <c r="Z52" i="2" s="1"/>
  <c r="Z51" i="2" a="1"/>
  <c r="Z51" i="2" s="1"/>
  <c r="Z50" i="2" a="1"/>
  <c r="Z50" i="2" s="1"/>
  <c r="Z49" i="2" a="1"/>
  <c r="Z49" i="2" s="1"/>
  <c r="Z48" i="2" a="1"/>
  <c r="Z48" i="2" s="1"/>
  <c r="Z47" i="2" a="1"/>
  <c r="Z47" i="2" s="1"/>
  <c r="Z46" i="2" a="1"/>
  <c r="Z46" i="2" s="1"/>
  <c r="Z45" i="2" a="1"/>
  <c r="Z45" i="2" s="1"/>
  <c r="Z44" i="2" a="1"/>
  <c r="Z44" i="2" s="1"/>
  <c r="Z43" i="2" a="1"/>
  <c r="Z43" i="2" s="1"/>
  <c r="Z42" i="2" a="1"/>
  <c r="Z42" i="2" s="1"/>
  <c r="Z41" i="2" a="1"/>
  <c r="Z41" i="2" s="1"/>
  <c r="Z40" i="2" a="1"/>
  <c r="Z40" i="2" s="1"/>
  <c r="Z39" i="2" a="1"/>
  <c r="Z39" i="2" s="1"/>
  <c r="Z38" i="2" a="1"/>
  <c r="Z38" i="2" s="1"/>
  <c r="Z37" i="2" a="1"/>
  <c r="Z37" i="2" s="1"/>
  <c r="Z36" i="2" a="1"/>
  <c r="Z36" i="2" s="1"/>
  <c r="Z35" i="2" a="1"/>
  <c r="Z35" i="2" s="1"/>
  <c r="Z34" i="2" a="1"/>
  <c r="Z34" i="2" s="1"/>
  <c r="Z33" i="2" a="1"/>
  <c r="Z33" i="2" s="1"/>
  <c r="Z32" i="2" a="1"/>
  <c r="Z32" i="2" s="1"/>
  <c r="Z31" i="2" a="1"/>
  <c r="Z31" i="2" s="1"/>
  <c r="Z30" i="2" a="1"/>
  <c r="Z30" i="2" s="1"/>
  <c r="Z29" i="2" a="1"/>
  <c r="Z29" i="2" s="1"/>
  <c r="Z28" i="2" a="1"/>
  <c r="Z28" i="2" s="1"/>
  <c r="Z27" i="2" a="1"/>
  <c r="Z27" i="2" s="1"/>
  <c r="Z26" i="2" a="1"/>
  <c r="Z26" i="2" s="1"/>
  <c r="Z25" i="2" a="1"/>
  <c r="Z25" i="2" s="1"/>
  <c r="Z24" i="2" a="1"/>
  <c r="Z24" i="2" s="1"/>
  <c r="Z23" i="2" a="1"/>
  <c r="Z23" i="2" s="1"/>
  <c r="Z22" i="2" a="1"/>
  <c r="Z22" i="2" s="1"/>
  <c r="Z21" i="2" a="1"/>
  <c r="Z21" i="2" s="1"/>
  <c r="Z20" i="2" a="1"/>
  <c r="Z20" i="2" s="1"/>
  <c r="Z19" i="2" a="1"/>
  <c r="Z19" i="2" s="1"/>
  <c r="Z18" i="2" a="1"/>
  <c r="Z18" i="2" s="1"/>
  <c r="Z17" i="2" a="1"/>
  <c r="Z17" i="2" s="1"/>
  <c r="Z16" i="2" a="1"/>
  <c r="Z16" i="2" s="1"/>
  <c r="Z15" i="2" a="1"/>
  <c r="Z15" i="2" s="1"/>
  <c r="Z14" i="2" a="1"/>
  <c r="Z14" i="2" s="1"/>
  <c r="Z13" i="2" a="1"/>
  <c r="Z13" i="2" s="1"/>
  <c r="Z12" i="2" a="1"/>
  <c r="Z12" i="2" s="1"/>
  <c r="Z11" i="2" a="1"/>
  <c r="Z11" i="2" s="1"/>
  <c r="Z10" i="2" a="1"/>
  <c r="Z10" i="2" s="1"/>
  <c r="Z9" i="2" a="1"/>
  <c r="Z9" i="2" s="1"/>
  <c r="V9" i="2"/>
  <c r="Z8" i="2" a="1"/>
  <c r="Z8" i="2" s="1"/>
  <c r="V8" i="2"/>
  <c r="U8" i="2"/>
  <c r="U9" i="2" s="1"/>
  <c r="Z7" i="2" a="1"/>
  <c r="Z7" i="2" s="1"/>
  <c r="Z6" i="2" a="1"/>
  <c r="Z6" i="2" s="1"/>
  <c r="P276" i="2" a="1"/>
  <c r="P276" i="2" s="1"/>
  <c r="K276" i="2" s="1"/>
  <c r="O276" i="2"/>
  <c r="N276" i="2"/>
  <c r="M276" i="2"/>
  <c r="J276" i="2"/>
  <c r="L276" i="2" s="1" a="1"/>
  <c r="L276" i="2" s="1"/>
  <c r="P275" i="2" a="1"/>
  <c r="P275" i="2" s="1"/>
  <c r="O275" i="2"/>
  <c r="N275" i="2"/>
  <c r="M275" i="2"/>
  <c r="J275" i="2"/>
  <c r="P274" i="2" a="1"/>
  <c r="P274" i="2" s="1"/>
  <c r="J274" i="2"/>
  <c r="H274" i="2"/>
  <c r="M274" i="2" s="1"/>
  <c r="P273" i="2" a="1"/>
  <c r="P273" i="2" s="1"/>
  <c r="K273" i="2" s="1"/>
  <c r="O273" i="2"/>
  <c r="N273" i="2"/>
  <c r="M273" i="2"/>
  <c r="J273" i="2"/>
  <c r="P272" i="2" a="1"/>
  <c r="P272" i="2" s="1"/>
  <c r="J272" i="2"/>
  <c r="H272" i="2"/>
  <c r="M272" i="2" s="1"/>
  <c r="P271" i="2" a="1"/>
  <c r="P271" i="2" s="1"/>
  <c r="J271" i="2"/>
  <c r="H271" i="2"/>
  <c r="O271" i="2" s="1"/>
  <c r="P270" i="2" a="1"/>
  <c r="P270" i="2" s="1"/>
  <c r="O270" i="2"/>
  <c r="N270" i="2"/>
  <c r="M270" i="2"/>
  <c r="K270" i="2"/>
  <c r="J270" i="2"/>
  <c r="P269" i="2" a="1"/>
  <c r="P269" i="2" s="1"/>
  <c r="O269" i="2"/>
  <c r="N269" i="2"/>
  <c r="M269" i="2"/>
  <c r="K269" i="2"/>
  <c r="J269" i="2"/>
  <c r="P268" i="2" a="1"/>
  <c r="P268" i="2" s="1"/>
  <c r="K268" i="2" s="1"/>
  <c r="O268" i="2"/>
  <c r="N268" i="2"/>
  <c r="M268" i="2"/>
  <c r="J268" i="2"/>
  <c r="L268" i="2" s="1" a="1"/>
  <c r="L268" i="2" s="1"/>
  <c r="P267" i="2" a="1"/>
  <c r="P267" i="2" s="1"/>
  <c r="O267" i="2"/>
  <c r="N267" i="2"/>
  <c r="M267" i="2"/>
  <c r="J267" i="2"/>
  <c r="P266" i="2" a="1"/>
  <c r="P266" i="2" s="1"/>
  <c r="K266" i="2" s="1"/>
  <c r="J266" i="2"/>
  <c r="H266" i="2"/>
  <c r="O266" i="2" s="1"/>
  <c r="P265" i="2" a="1"/>
  <c r="P265" i="2" s="1"/>
  <c r="O265" i="2"/>
  <c r="N265" i="2"/>
  <c r="M265" i="2"/>
  <c r="J265" i="2"/>
  <c r="P264" i="2" a="1"/>
  <c r="P264" i="2" s="1"/>
  <c r="K264" i="2" s="1"/>
  <c r="J264" i="2"/>
  <c r="H264" i="2"/>
  <c r="O264" i="2" s="1"/>
  <c r="P263" i="2" a="1"/>
  <c r="P263" i="2" s="1"/>
  <c r="O263" i="2"/>
  <c r="N263" i="2"/>
  <c r="M263" i="2"/>
  <c r="J263" i="2"/>
  <c r="P262" i="2" a="1"/>
  <c r="P262" i="2" s="1"/>
  <c r="O262" i="2"/>
  <c r="N262" i="2"/>
  <c r="M262" i="2"/>
  <c r="J262" i="2"/>
  <c r="P261" i="2" a="1"/>
  <c r="P261" i="2" s="1"/>
  <c r="O261" i="2"/>
  <c r="N261" i="2"/>
  <c r="M261" i="2"/>
  <c r="J261" i="2"/>
  <c r="P260" i="2" a="1"/>
  <c r="P260" i="2" s="1"/>
  <c r="O260" i="2"/>
  <c r="N260" i="2"/>
  <c r="M260" i="2"/>
  <c r="J260" i="2"/>
  <c r="P259" i="2" a="1"/>
  <c r="P259" i="2" s="1"/>
  <c r="O259" i="2"/>
  <c r="N259" i="2"/>
  <c r="M259" i="2"/>
  <c r="J259" i="2"/>
  <c r="P258" i="2" a="1"/>
  <c r="P258" i="2" s="1"/>
  <c r="J258" i="2"/>
  <c r="H258" i="2"/>
  <c r="O258" i="2" s="1"/>
  <c r="P257" i="2" a="1"/>
  <c r="P257" i="2" s="1"/>
  <c r="O257" i="2"/>
  <c r="N257" i="2"/>
  <c r="M257" i="2"/>
  <c r="J257" i="2"/>
  <c r="P256" i="2" a="1"/>
  <c r="P256" i="2" s="1"/>
  <c r="O256" i="2"/>
  <c r="N256" i="2"/>
  <c r="M256" i="2"/>
  <c r="J256" i="2"/>
  <c r="P255" i="2" a="1"/>
  <c r="P255" i="2" s="1"/>
  <c r="J255" i="2"/>
  <c r="H255" i="2"/>
  <c r="O255" i="2" s="1"/>
  <c r="P254" i="2" a="1"/>
  <c r="P254" i="2" s="1"/>
  <c r="J254" i="2"/>
  <c r="H254" i="2"/>
  <c r="M254" i="2" s="1"/>
  <c r="P253" i="2" a="1"/>
  <c r="P253" i="2" s="1"/>
  <c r="O253" i="2"/>
  <c r="N253" i="2"/>
  <c r="M253" i="2"/>
  <c r="J253" i="2"/>
  <c r="P252" i="2" a="1"/>
  <c r="P252" i="2" s="1"/>
  <c r="J252" i="2"/>
  <c r="H252" i="2"/>
  <c r="O252" i="2" s="1"/>
  <c r="P251" i="2" a="1"/>
  <c r="P251" i="2" s="1"/>
  <c r="O251" i="2"/>
  <c r="N251" i="2"/>
  <c r="M251" i="2"/>
  <c r="J251" i="2"/>
  <c r="P250" i="2" a="1"/>
  <c r="P250" i="2" s="1"/>
  <c r="O250" i="2"/>
  <c r="N250" i="2"/>
  <c r="M250" i="2"/>
  <c r="J250" i="2"/>
  <c r="P249" i="2" a="1"/>
  <c r="P249" i="2" s="1"/>
  <c r="O249" i="2"/>
  <c r="N249" i="2"/>
  <c r="M249" i="2"/>
  <c r="K249" i="2"/>
  <c r="J249" i="2"/>
  <c r="P248" i="2" a="1"/>
  <c r="P248" i="2" s="1"/>
  <c r="K248" i="2" s="1"/>
  <c r="O248" i="2"/>
  <c r="N248" i="2"/>
  <c r="M248" i="2"/>
  <c r="J248" i="2"/>
  <c r="P247" i="2" a="1"/>
  <c r="P247" i="2" s="1"/>
  <c r="O247" i="2"/>
  <c r="N247" i="2"/>
  <c r="M247" i="2"/>
  <c r="K247" i="2"/>
  <c r="J247" i="2"/>
  <c r="P246" i="2" a="1"/>
  <c r="P246" i="2" s="1"/>
  <c r="K246" i="2" s="1"/>
  <c r="O246" i="2"/>
  <c r="N246" i="2"/>
  <c r="M246" i="2"/>
  <c r="J246" i="2"/>
  <c r="P245" i="2" a="1"/>
  <c r="P245" i="2" s="1"/>
  <c r="J245" i="2"/>
  <c r="H245" i="2"/>
  <c r="O245" i="2" s="1"/>
  <c r="P244" i="2" a="1"/>
  <c r="P244" i="2" s="1"/>
  <c r="J244" i="2"/>
  <c r="H244" i="2"/>
  <c r="N244" i="2" s="1"/>
  <c r="P243" i="2" a="1"/>
  <c r="P243" i="2" s="1"/>
  <c r="O243" i="2"/>
  <c r="N243" i="2"/>
  <c r="M243" i="2"/>
  <c r="J243" i="2"/>
  <c r="P242" i="2" a="1"/>
  <c r="P242" i="2" s="1"/>
  <c r="J242" i="2"/>
  <c r="H242" i="2"/>
  <c r="O242" i="2" s="1"/>
  <c r="P241" i="2" a="1"/>
  <c r="P241" i="2" s="1"/>
  <c r="J241" i="2"/>
  <c r="H241" i="2"/>
  <c r="P240" i="2" a="1"/>
  <c r="P240" i="2" s="1"/>
  <c r="O240" i="2"/>
  <c r="N240" i="2"/>
  <c r="M240" i="2"/>
  <c r="J240" i="2"/>
  <c r="P239" i="2" a="1"/>
  <c r="P239" i="2" s="1"/>
  <c r="O239" i="2"/>
  <c r="N239" i="2"/>
  <c r="M239" i="2"/>
  <c r="K239" i="2"/>
  <c r="J239" i="2"/>
  <c r="P238" i="2" a="1"/>
  <c r="P238" i="2" s="1"/>
  <c r="J238" i="2"/>
  <c r="H238" i="2"/>
  <c r="M238" i="2" s="1"/>
  <c r="P237" i="2" a="1"/>
  <c r="P237" i="2" s="1"/>
  <c r="O237" i="2"/>
  <c r="N237" i="2"/>
  <c r="M237" i="2"/>
  <c r="J237" i="2"/>
  <c r="P236" i="2" a="1"/>
  <c r="P236" i="2" s="1"/>
  <c r="J236" i="2"/>
  <c r="H236" i="2"/>
  <c r="P235" i="2" a="1"/>
  <c r="P235" i="2" s="1"/>
  <c r="J235" i="2"/>
  <c r="H235" i="2"/>
  <c r="O235" i="2" s="1"/>
  <c r="P234" i="2" a="1"/>
  <c r="P234" i="2" s="1"/>
  <c r="J234" i="2"/>
  <c r="H234" i="2"/>
  <c r="P233" i="2" a="1"/>
  <c r="P233" i="2" s="1"/>
  <c r="J233" i="2"/>
  <c r="H233" i="2"/>
  <c r="O233" i="2" s="1"/>
  <c r="P232" i="2" a="1"/>
  <c r="P232" i="2" s="1"/>
  <c r="O232" i="2"/>
  <c r="N232" i="2"/>
  <c r="M232" i="2"/>
  <c r="J232" i="2"/>
  <c r="P231" i="2" a="1"/>
  <c r="P231" i="2" s="1"/>
  <c r="J231" i="2"/>
  <c r="H231" i="2"/>
  <c r="M231" i="2" s="1"/>
  <c r="P230" i="2" a="1"/>
  <c r="P230" i="2" s="1"/>
  <c r="O230" i="2"/>
  <c r="N230" i="2"/>
  <c r="M230" i="2"/>
  <c r="J230" i="2"/>
  <c r="P229" i="2" a="1"/>
  <c r="P229" i="2" s="1"/>
  <c r="J229" i="2"/>
  <c r="H229" i="2"/>
  <c r="M229" i="2" s="1"/>
  <c r="P228" i="2" a="1"/>
  <c r="P228" i="2" s="1"/>
  <c r="O228" i="2"/>
  <c r="N228" i="2"/>
  <c r="M228" i="2"/>
  <c r="J228" i="2"/>
  <c r="P227" i="2" a="1"/>
  <c r="P227" i="2" s="1"/>
  <c r="O227" i="2"/>
  <c r="N227" i="2"/>
  <c r="M227" i="2"/>
  <c r="J227" i="2"/>
  <c r="P226" i="2" a="1"/>
  <c r="P226" i="2" s="1"/>
  <c r="O226" i="2"/>
  <c r="N226" i="2"/>
  <c r="M226" i="2"/>
  <c r="J226" i="2"/>
  <c r="P225" i="2" a="1"/>
  <c r="P225" i="2" s="1"/>
  <c r="O225" i="2"/>
  <c r="N225" i="2"/>
  <c r="M225" i="2"/>
  <c r="J225" i="2"/>
  <c r="P224" i="2" a="1"/>
  <c r="P224" i="2" s="1"/>
  <c r="O224" i="2"/>
  <c r="N224" i="2"/>
  <c r="M224" i="2"/>
  <c r="J224" i="2"/>
  <c r="P223" i="2" a="1"/>
  <c r="P223" i="2" s="1"/>
  <c r="O223" i="2"/>
  <c r="N223" i="2"/>
  <c r="M223" i="2"/>
  <c r="J223" i="2"/>
  <c r="P222" i="2" a="1"/>
  <c r="P222" i="2" s="1"/>
  <c r="O222" i="2"/>
  <c r="N222" i="2"/>
  <c r="M222" i="2"/>
  <c r="J222" i="2"/>
  <c r="P221" i="2" a="1"/>
  <c r="P221" i="2" s="1"/>
  <c r="O221" i="2"/>
  <c r="N221" i="2"/>
  <c r="M221" i="2"/>
  <c r="J221" i="2"/>
  <c r="P220" i="2" a="1"/>
  <c r="P220" i="2" s="1"/>
  <c r="O220" i="2"/>
  <c r="N220" i="2"/>
  <c r="M220" i="2"/>
  <c r="J220" i="2"/>
  <c r="P219" i="2" a="1"/>
  <c r="P219" i="2" s="1"/>
  <c r="J219" i="2"/>
  <c r="H219" i="2"/>
  <c r="M219" i="2" s="1"/>
  <c r="P218" i="2" a="1"/>
  <c r="P218" i="2" s="1"/>
  <c r="O218" i="2"/>
  <c r="N218" i="2"/>
  <c r="M218" i="2"/>
  <c r="J218" i="2"/>
  <c r="P217" i="2" a="1"/>
  <c r="P217" i="2" s="1"/>
  <c r="O217" i="2"/>
  <c r="N217" i="2"/>
  <c r="M217" i="2"/>
  <c r="J217" i="2"/>
  <c r="P216" i="2" a="1"/>
  <c r="P216" i="2" s="1"/>
  <c r="O216" i="2"/>
  <c r="N216" i="2"/>
  <c r="M216" i="2"/>
  <c r="J216" i="2"/>
  <c r="P215" i="2" a="1"/>
  <c r="P215" i="2" s="1"/>
  <c r="J215" i="2"/>
  <c r="H215" i="2"/>
  <c r="M215" i="2" s="1"/>
  <c r="P214" i="2" a="1"/>
  <c r="P214" i="2" s="1"/>
  <c r="O214" i="2"/>
  <c r="N214" i="2"/>
  <c r="M214" i="2"/>
  <c r="J214" i="2"/>
  <c r="P213" i="2" a="1"/>
  <c r="P213" i="2" s="1"/>
  <c r="O213" i="2"/>
  <c r="N213" i="2"/>
  <c r="M213" i="2"/>
  <c r="J213" i="2"/>
  <c r="P212" i="2" a="1"/>
  <c r="P212" i="2" s="1"/>
  <c r="K211" i="2" s="1"/>
  <c r="L211" i="2" s="1" a="1"/>
  <c r="L211" i="2" s="1"/>
  <c r="O212" i="2"/>
  <c r="N212" i="2"/>
  <c r="M212" i="2"/>
  <c r="J212" i="2"/>
  <c r="H211" i="2"/>
  <c r="H207" i="2"/>
  <c r="H205" i="2"/>
  <c r="P200" i="2" a="1"/>
  <c r="P200" i="2" s="1"/>
  <c r="K201" i="2" s="1"/>
  <c r="L201" i="2" s="1" a="1"/>
  <c r="L201" i="2" s="1"/>
  <c r="O200" i="2"/>
  <c r="N200" i="2"/>
  <c r="M200" i="2"/>
  <c r="J200" i="2"/>
  <c r="P199" i="2" a="1"/>
  <c r="P199" i="2" s="1"/>
  <c r="J199" i="2"/>
  <c r="H199" i="2"/>
  <c r="N199" i="2" s="1"/>
  <c r="P198" i="2" a="1"/>
  <c r="P198" i="2" s="1"/>
  <c r="K198" i="2" s="1"/>
  <c r="O198" i="2"/>
  <c r="N198" i="2"/>
  <c r="M198" i="2"/>
  <c r="J198" i="2"/>
  <c r="P197" i="2" a="1"/>
  <c r="P197" i="2" s="1"/>
  <c r="O197" i="2"/>
  <c r="N197" i="2"/>
  <c r="M197" i="2"/>
  <c r="J197" i="2"/>
  <c r="P196" i="2" a="1"/>
  <c r="P196" i="2" s="1"/>
  <c r="O196" i="2"/>
  <c r="N196" i="2"/>
  <c r="M196" i="2"/>
  <c r="J196" i="2"/>
  <c r="P195" i="2" a="1"/>
  <c r="P195" i="2" s="1"/>
  <c r="O195" i="2"/>
  <c r="N195" i="2"/>
  <c r="M195" i="2"/>
  <c r="J195" i="2"/>
  <c r="P194" i="2" a="1"/>
  <c r="P194" i="2" s="1"/>
  <c r="J194" i="2"/>
  <c r="H194" i="2"/>
  <c r="O194" i="2" s="1"/>
  <c r="P193" i="2" a="1"/>
  <c r="P193" i="2" s="1"/>
  <c r="O193" i="2"/>
  <c r="N193" i="2"/>
  <c r="M193" i="2"/>
  <c r="J193" i="2"/>
  <c r="P192" i="2" a="1"/>
  <c r="P192" i="2" s="1"/>
  <c r="J192" i="2"/>
  <c r="H192" i="2"/>
  <c r="P191" i="2" a="1"/>
  <c r="P191" i="2" s="1"/>
  <c r="O191" i="2"/>
  <c r="N191" i="2"/>
  <c r="M191" i="2"/>
  <c r="J191" i="2"/>
  <c r="P190" i="2" a="1"/>
  <c r="P190" i="2" s="1"/>
  <c r="O190" i="2"/>
  <c r="J190" i="2"/>
  <c r="H190" i="2"/>
  <c r="N190" i="2" s="1"/>
  <c r="P189" i="2" a="1"/>
  <c r="P189" i="2" s="1"/>
  <c r="M189" i="2"/>
  <c r="J189" i="2"/>
  <c r="H189" i="2"/>
  <c r="O189" i="2" s="1"/>
  <c r="P188" i="2" a="1"/>
  <c r="P188" i="2" s="1"/>
  <c r="O188" i="2"/>
  <c r="N188" i="2"/>
  <c r="M188" i="2"/>
  <c r="J188" i="2"/>
  <c r="P187" i="2" a="1"/>
  <c r="P187" i="2" s="1"/>
  <c r="J187" i="2"/>
  <c r="H187" i="2"/>
  <c r="M187" i="2" s="1"/>
  <c r="P186" i="2" a="1"/>
  <c r="P186" i="2" s="1"/>
  <c r="O186" i="2"/>
  <c r="N186" i="2"/>
  <c r="M186" i="2"/>
  <c r="J186" i="2"/>
  <c r="P185" i="2" a="1"/>
  <c r="P185" i="2" s="1"/>
  <c r="O185" i="2"/>
  <c r="N185" i="2"/>
  <c r="M185" i="2"/>
  <c r="J185" i="2"/>
  <c r="P184" i="2" a="1"/>
  <c r="P184" i="2" s="1"/>
  <c r="K184" i="2" s="1"/>
  <c r="J184" i="2"/>
  <c r="H184" i="2"/>
  <c r="P183" i="2" a="1"/>
  <c r="P183" i="2" s="1"/>
  <c r="O183" i="2"/>
  <c r="N183" i="2"/>
  <c r="M183" i="2"/>
  <c r="J183" i="2"/>
  <c r="P182" i="2" a="1"/>
  <c r="P182" i="2" s="1"/>
  <c r="J182" i="2"/>
  <c r="H182" i="2"/>
  <c r="P181" i="2" a="1"/>
  <c r="P181" i="2" s="1"/>
  <c r="O181" i="2"/>
  <c r="N181" i="2"/>
  <c r="M181" i="2"/>
  <c r="J181" i="2"/>
  <c r="P180" i="2" a="1"/>
  <c r="P180" i="2" s="1"/>
  <c r="J180" i="2"/>
  <c r="H180" i="2"/>
  <c r="M180" i="2" s="1"/>
  <c r="P179" i="2" a="1"/>
  <c r="P179" i="2" s="1"/>
  <c r="J179" i="2"/>
  <c r="H179" i="2"/>
  <c r="P178" i="2" a="1"/>
  <c r="P178" i="2" s="1"/>
  <c r="N178" i="2"/>
  <c r="J178" i="2"/>
  <c r="H178" i="2"/>
  <c r="O178" i="2" s="1"/>
  <c r="P177" i="2" a="1"/>
  <c r="P177" i="2" s="1"/>
  <c r="O177" i="2"/>
  <c r="N177" i="2"/>
  <c r="M177" i="2"/>
  <c r="K177" i="2"/>
  <c r="J177" i="2"/>
  <c r="P176" i="2" a="1"/>
  <c r="P176" i="2" s="1"/>
  <c r="O176" i="2"/>
  <c r="N176" i="2"/>
  <c r="M176" i="2"/>
  <c r="J176" i="2"/>
  <c r="P175" i="2" a="1"/>
  <c r="P175" i="2" s="1"/>
  <c r="O175" i="2"/>
  <c r="N175" i="2"/>
  <c r="M175" i="2"/>
  <c r="J175" i="2"/>
  <c r="P174" i="2" a="1"/>
  <c r="P174" i="2" s="1"/>
  <c r="O174" i="2"/>
  <c r="N174" i="2"/>
  <c r="M174" i="2"/>
  <c r="J174" i="2"/>
  <c r="P173" i="2" a="1"/>
  <c r="P173" i="2" s="1"/>
  <c r="J173" i="2"/>
  <c r="H173" i="2"/>
  <c r="M173" i="2" s="1"/>
  <c r="P172" i="2" a="1"/>
  <c r="P172" i="2" s="1"/>
  <c r="O172" i="2"/>
  <c r="N172" i="2"/>
  <c r="M172" i="2"/>
  <c r="J172" i="2"/>
  <c r="P171" i="2" a="1"/>
  <c r="P171" i="2" s="1"/>
  <c r="O171" i="2"/>
  <c r="N171" i="2"/>
  <c r="M171" i="2"/>
  <c r="J171" i="2"/>
  <c r="P170" i="2" a="1"/>
  <c r="P170" i="2" s="1"/>
  <c r="O170" i="2"/>
  <c r="N170" i="2"/>
  <c r="M170" i="2"/>
  <c r="J170" i="2"/>
  <c r="P169" i="2" a="1"/>
  <c r="P169" i="2" s="1"/>
  <c r="J169" i="2"/>
  <c r="H169" i="2"/>
  <c r="O169" i="2" s="1"/>
  <c r="P168" i="2" a="1"/>
  <c r="P168" i="2" s="1"/>
  <c r="O168" i="2"/>
  <c r="N168" i="2"/>
  <c r="M168" i="2"/>
  <c r="J168" i="2"/>
  <c r="P167" i="2" a="1"/>
  <c r="P167" i="2" s="1"/>
  <c r="J167" i="2"/>
  <c r="H167" i="2"/>
  <c r="M167" i="2" s="1"/>
  <c r="P166" i="2" a="1"/>
  <c r="P166" i="2" s="1"/>
  <c r="O166" i="2"/>
  <c r="N166" i="2"/>
  <c r="M166" i="2"/>
  <c r="J166" i="2"/>
  <c r="P165" i="2" a="1"/>
  <c r="P165" i="2" s="1"/>
  <c r="O165" i="2"/>
  <c r="N165" i="2"/>
  <c r="M165" i="2"/>
  <c r="J165" i="2"/>
  <c r="P164" i="2" a="1"/>
  <c r="P164" i="2" s="1"/>
  <c r="O164" i="2"/>
  <c r="N164" i="2"/>
  <c r="M164" i="2"/>
  <c r="J164" i="2"/>
  <c r="P163" i="2" a="1"/>
  <c r="P163" i="2" s="1"/>
  <c r="N163" i="2"/>
  <c r="J163" i="2"/>
  <c r="H163" i="2"/>
  <c r="O163" i="2" s="1"/>
  <c r="P162" i="2" a="1"/>
  <c r="P162" i="2" s="1"/>
  <c r="J162" i="2"/>
  <c r="H162" i="2"/>
  <c r="P161" i="2" a="1"/>
  <c r="P161" i="2" s="1"/>
  <c r="K161" i="2" s="1"/>
  <c r="O161" i="2"/>
  <c r="N161" i="2"/>
  <c r="M161" i="2"/>
  <c r="J161" i="2"/>
  <c r="P160" i="2" a="1"/>
  <c r="P160" i="2" s="1"/>
  <c r="M160" i="2"/>
  <c r="J160" i="2"/>
  <c r="H160" i="2"/>
  <c r="O160" i="2" s="1"/>
  <c r="P159" i="2" a="1"/>
  <c r="P159" i="2" s="1"/>
  <c r="O159" i="2"/>
  <c r="N159" i="2"/>
  <c r="M159" i="2"/>
  <c r="J159" i="2"/>
  <c r="P158" i="2" a="1"/>
  <c r="P158" i="2" s="1"/>
  <c r="J158" i="2"/>
  <c r="H158" i="2"/>
  <c r="O158" i="2" s="1"/>
  <c r="P157" i="2" a="1"/>
  <c r="P157" i="2" s="1"/>
  <c r="O157" i="2"/>
  <c r="N157" i="2"/>
  <c r="M157" i="2"/>
  <c r="J157" i="2"/>
  <c r="P156" i="2" a="1"/>
  <c r="P156" i="2" s="1"/>
  <c r="O156" i="2"/>
  <c r="N156" i="2"/>
  <c r="M156" i="2"/>
  <c r="J156" i="2"/>
  <c r="P155" i="2" a="1"/>
  <c r="P155" i="2" s="1"/>
  <c r="J155" i="2"/>
  <c r="H155" i="2"/>
  <c r="O155" i="2" s="1"/>
  <c r="P154" i="2" a="1"/>
  <c r="P154" i="2" s="1"/>
  <c r="O154" i="2"/>
  <c r="N154" i="2"/>
  <c r="M154" i="2"/>
  <c r="J154" i="2"/>
  <c r="P153" i="2" a="1"/>
  <c r="P153" i="2" s="1"/>
  <c r="O153" i="2"/>
  <c r="N153" i="2"/>
  <c r="M153" i="2"/>
  <c r="J153" i="2"/>
  <c r="P152" i="2" a="1"/>
  <c r="P152" i="2" s="1"/>
  <c r="O152" i="2"/>
  <c r="N152" i="2"/>
  <c r="M152" i="2"/>
  <c r="J152" i="2"/>
  <c r="P151" i="2" a="1"/>
  <c r="P151" i="2" s="1"/>
  <c r="O151" i="2"/>
  <c r="N151" i="2"/>
  <c r="M151" i="2"/>
  <c r="J151" i="2"/>
  <c r="P150" i="2" a="1"/>
  <c r="P150" i="2" s="1"/>
  <c r="O150" i="2"/>
  <c r="N150" i="2"/>
  <c r="M150" i="2"/>
  <c r="J150" i="2"/>
  <c r="P149" i="2" a="1"/>
  <c r="P149" i="2" s="1"/>
  <c r="J149" i="2"/>
  <c r="H149" i="2"/>
  <c r="M149" i="2" s="1"/>
  <c r="P148" i="2" a="1"/>
  <c r="P148" i="2" s="1"/>
  <c r="O148" i="2"/>
  <c r="N148" i="2"/>
  <c r="M148" i="2"/>
  <c r="J148" i="2"/>
  <c r="P147" i="2" a="1"/>
  <c r="P147" i="2" s="1"/>
  <c r="J147" i="2"/>
  <c r="H147" i="2"/>
  <c r="M147" i="2" s="1"/>
  <c r="P146" i="2" a="1"/>
  <c r="P146" i="2" s="1"/>
  <c r="O146" i="2"/>
  <c r="N146" i="2"/>
  <c r="M146" i="2"/>
  <c r="K146" i="2"/>
  <c r="J146" i="2"/>
  <c r="P145" i="2" a="1"/>
  <c r="P145" i="2" s="1"/>
  <c r="K145" i="2" s="1"/>
  <c r="O145" i="2"/>
  <c r="N145" i="2"/>
  <c r="M145" i="2"/>
  <c r="J145" i="2"/>
  <c r="P144" i="2" a="1"/>
  <c r="P144" i="2" s="1"/>
  <c r="O144" i="2"/>
  <c r="N144" i="2"/>
  <c r="M144" i="2"/>
  <c r="K144" i="2"/>
  <c r="J144" i="2"/>
  <c r="P143" i="2" a="1"/>
  <c r="P143" i="2" s="1"/>
  <c r="O143" i="2"/>
  <c r="N143" i="2"/>
  <c r="M143" i="2"/>
  <c r="J143" i="2"/>
  <c r="P142" i="2" a="1"/>
  <c r="P142" i="2" s="1"/>
  <c r="O142" i="2"/>
  <c r="N142" i="2"/>
  <c r="M142" i="2"/>
  <c r="J142" i="2"/>
  <c r="P141" i="2" a="1"/>
  <c r="P141" i="2" s="1"/>
  <c r="O141" i="2"/>
  <c r="N141" i="2"/>
  <c r="M141" i="2"/>
  <c r="J141" i="2"/>
  <c r="P140" i="2" a="1"/>
  <c r="P140" i="2" s="1"/>
  <c r="O140" i="2"/>
  <c r="N140" i="2"/>
  <c r="M140" i="2"/>
  <c r="J140" i="2"/>
  <c r="P139" i="2" a="1"/>
  <c r="P139" i="2" s="1"/>
  <c r="O139" i="2"/>
  <c r="N139" i="2"/>
  <c r="M139" i="2"/>
  <c r="J139" i="2"/>
  <c r="P138" i="2" a="1"/>
  <c r="P138" i="2" s="1"/>
  <c r="O138" i="2"/>
  <c r="N138" i="2"/>
  <c r="M138" i="2"/>
  <c r="J138" i="2"/>
  <c r="P137" i="2" a="1"/>
  <c r="P137" i="2" s="1"/>
  <c r="O137" i="2"/>
  <c r="N137" i="2"/>
  <c r="M137" i="2"/>
  <c r="J137" i="2"/>
  <c r="P136" i="2" a="1"/>
  <c r="P136" i="2" s="1"/>
  <c r="O136" i="2"/>
  <c r="N136" i="2"/>
  <c r="M136" i="2"/>
  <c r="J136" i="2"/>
  <c r="P135" i="2" a="1"/>
  <c r="P135" i="2" s="1"/>
  <c r="O135" i="2"/>
  <c r="N135" i="2"/>
  <c r="M135" i="2"/>
  <c r="J135" i="2"/>
  <c r="P134" i="2" a="1"/>
  <c r="P134" i="2" s="1"/>
  <c r="O134" i="2"/>
  <c r="N134" i="2"/>
  <c r="M134" i="2"/>
  <c r="J134" i="2"/>
  <c r="P133" i="2" a="1"/>
  <c r="P133" i="2" s="1"/>
  <c r="O133" i="2"/>
  <c r="N133" i="2"/>
  <c r="M133" i="2"/>
  <c r="J133" i="2"/>
  <c r="P132" i="2" a="1"/>
  <c r="P132" i="2" s="1"/>
  <c r="O132" i="2"/>
  <c r="N132" i="2"/>
  <c r="M132" i="2"/>
  <c r="J132" i="2"/>
  <c r="P131" i="2" a="1"/>
  <c r="P131" i="2" s="1"/>
  <c r="O131" i="2"/>
  <c r="N131" i="2"/>
  <c r="M131" i="2"/>
  <c r="J131" i="2"/>
  <c r="P130" i="2" a="1"/>
  <c r="P130" i="2" s="1"/>
  <c r="N130" i="2"/>
  <c r="J130" i="2"/>
  <c r="H130" i="2"/>
  <c r="M130" i="2" s="1"/>
  <c r="P129" i="2" a="1"/>
  <c r="P129" i="2" s="1"/>
  <c r="O129" i="2"/>
  <c r="N129" i="2"/>
  <c r="M129" i="2"/>
  <c r="J129" i="2"/>
  <c r="P128" i="2" a="1"/>
  <c r="P128" i="2" s="1"/>
  <c r="O128" i="2"/>
  <c r="N128" i="2"/>
  <c r="M128" i="2"/>
  <c r="J128" i="2"/>
  <c r="P127" i="2" a="1"/>
  <c r="P127" i="2" s="1"/>
  <c r="O127" i="2"/>
  <c r="N127" i="2"/>
  <c r="M127" i="2"/>
  <c r="K127" i="2"/>
  <c r="J127" i="2"/>
  <c r="P126" i="2" a="1"/>
  <c r="P126" i="2" s="1"/>
  <c r="O126" i="2"/>
  <c r="N126" i="2"/>
  <c r="M126" i="2"/>
  <c r="J126" i="2"/>
  <c r="P125" i="2" a="1"/>
  <c r="P125" i="2" s="1"/>
  <c r="O125" i="2"/>
  <c r="N125" i="2"/>
  <c r="M125" i="2"/>
  <c r="J125" i="2"/>
  <c r="P124" i="2" a="1"/>
  <c r="P124" i="2" s="1"/>
  <c r="O124" i="2"/>
  <c r="N124" i="2"/>
  <c r="M124" i="2"/>
  <c r="J124" i="2"/>
  <c r="P123" i="2" a="1"/>
  <c r="P123" i="2" s="1"/>
  <c r="O123" i="2"/>
  <c r="N123" i="2"/>
  <c r="M123" i="2"/>
  <c r="J123" i="2"/>
  <c r="P122" i="2" a="1"/>
  <c r="P122" i="2" s="1"/>
  <c r="O122" i="2"/>
  <c r="N122" i="2"/>
  <c r="M122" i="2"/>
  <c r="J122" i="2"/>
  <c r="P121" i="2" a="1"/>
  <c r="P121" i="2" s="1"/>
  <c r="O121" i="2"/>
  <c r="N121" i="2"/>
  <c r="M121" i="2"/>
  <c r="J121" i="2"/>
  <c r="P120" i="2" a="1"/>
  <c r="P120" i="2" s="1"/>
  <c r="O120" i="2"/>
  <c r="N120" i="2"/>
  <c r="M120" i="2"/>
  <c r="J120" i="2"/>
  <c r="P119" i="2" a="1"/>
  <c r="P119" i="2" s="1"/>
  <c r="O119" i="2"/>
  <c r="N119" i="2"/>
  <c r="M119" i="2"/>
  <c r="J119" i="2"/>
  <c r="P118" i="2" a="1"/>
  <c r="P118" i="2" s="1"/>
  <c r="O118" i="2"/>
  <c r="N118" i="2"/>
  <c r="M118" i="2"/>
  <c r="J118" i="2"/>
  <c r="P117" i="2" a="1"/>
  <c r="P117" i="2" s="1"/>
  <c r="O117" i="2"/>
  <c r="N117" i="2"/>
  <c r="M117" i="2"/>
  <c r="J117" i="2"/>
  <c r="P116" i="2" a="1"/>
  <c r="P116" i="2" s="1"/>
  <c r="O116" i="2"/>
  <c r="N116" i="2"/>
  <c r="M116" i="2"/>
  <c r="J116" i="2"/>
  <c r="P115" i="2" a="1"/>
  <c r="P115" i="2" s="1"/>
  <c r="O115" i="2"/>
  <c r="J115" i="2"/>
  <c r="H115" i="2"/>
  <c r="M115" i="2" s="1"/>
  <c r="P114" i="2" a="1"/>
  <c r="P114" i="2" s="1"/>
  <c r="O114" i="2"/>
  <c r="N114" i="2"/>
  <c r="M114" i="2"/>
  <c r="J114" i="2"/>
  <c r="P113" i="2" a="1"/>
  <c r="P113" i="2" s="1"/>
  <c r="O113" i="2"/>
  <c r="N113" i="2"/>
  <c r="M113" i="2"/>
  <c r="J113" i="2"/>
  <c r="P112" i="2" a="1"/>
  <c r="P112" i="2" s="1"/>
  <c r="O112" i="2"/>
  <c r="N112" i="2"/>
  <c r="M112" i="2"/>
  <c r="J112" i="2"/>
  <c r="P111" i="2" a="1"/>
  <c r="P111" i="2" s="1"/>
  <c r="O111" i="2"/>
  <c r="N111" i="2"/>
  <c r="M111" i="2"/>
  <c r="J111" i="2"/>
  <c r="P110" i="2" a="1"/>
  <c r="P110" i="2" s="1"/>
  <c r="J110" i="2"/>
  <c r="H110" i="2"/>
  <c r="O110" i="2" s="1"/>
  <c r="P109" i="2" a="1"/>
  <c r="P109" i="2" s="1"/>
  <c r="O109" i="2"/>
  <c r="N109" i="2"/>
  <c r="M109" i="2"/>
  <c r="J109" i="2"/>
  <c r="P108" i="2" a="1"/>
  <c r="P108" i="2" s="1"/>
  <c r="O108" i="2"/>
  <c r="N108" i="2"/>
  <c r="M108" i="2"/>
  <c r="J108" i="2"/>
  <c r="P107" i="2" a="1"/>
  <c r="P107" i="2" s="1"/>
  <c r="O107" i="2"/>
  <c r="N107" i="2"/>
  <c r="M107" i="2"/>
  <c r="J107" i="2"/>
  <c r="P106" i="2" a="1"/>
  <c r="P106" i="2" s="1"/>
  <c r="J106" i="2"/>
  <c r="H106" i="2"/>
  <c r="O106" i="2" s="1"/>
  <c r="P105" i="2" a="1"/>
  <c r="P105" i="2" s="1"/>
  <c r="O105" i="2"/>
  <c r="N105" i="2"/>
  <c r="M105" i="2"/>
  <c r="J105" i="2"/>
  <c r="P104" i="2" a="1"/>
  <c r="P104" i="2" s="1"/>
  <c r="O104" i="2"/>
  <c r="N104" i="2"/>
  <c r="M104" i="2"/>
  <c r="K104" i="2"/>
  <c r="J104" i="2"/>
  <c r="P103" i="2" a="1"/>
  <c r="P103" i="2" s="1"/>
  <c r="K103" i="2" s="1"/>
  <c r="O103" i="2"/>
  <c r="N103" i="2"/>
  <c r="M103" i="2"/>
  <c r="J103" i="2"/>
  <c r="P102" i="2" a="1"/>
  <c r="P102" i="2" s="1"/>
  <c r="O102" i="2"/>
  <c r="N102" i="2"/>
  <c r="M102" i="2"/>
  <c r="J102" i="2"/>
  <c r="P101" i="2" a="1"/>
  <c r="P101" i="2" s="1"/>
  <c r="O101" i="2"/>
  <c r="N101" i="2"/>
  <c r="M101" i="2"/>
  <c r="J101" i="2"/>
  <c r="P100" i="2" a="1"/>
  <c r="P100" i="2" s="1"/>
  <c r="O100" i="2"/>
  <c r="N100" i="2"/>
  <c r="M100" i="2"/>
  <c r="J100" i="2"/>
  <c r="P99" i="2" a="1"/>
  <c r="P99" i="2" s="1"/>
  <c r="O99" i="2"/>
  <c r="N99" i="2"/>
  <c r="M99" i="2"/>
  <c r="J99" i="2"/>
  <c r="P98" i="2" a="1"/>
  <c r="P98" i="2" s="1"/>
  <c r="O98" i="2"/>
  <c r="N98" i="2"/>
  <c r="M98" i="2"/>
  <c r="K98" i="2"/>
  <c r="J98" i="2"/>
  <c r="P97" i="2" a="1"/>
  <c r="P97" i="2" s="1"/>
  <c r="K97" i="2" s="1"/>
  <c r="O97" i="2"/>
  <c r="N97" i="2"/>
  <c r="M97" i="2"/>
  <c r="J97" i="2"/>
  <c r="P96" i="2" a="1"/>
  <c r="P96" i="2" s="1"/>
  <c r="O96" i="2"/>
  <c r="N96" i="2"/>
  <c r="M96" i="2"/>
  <c r="J96" i="2"/>
  <c r="P95" i="2" a="1"/>
  <c r="P95" i="2" s="1"/>
  <c r="O95" i="2"/>
  <c r="N95" i="2"/>
  <c r="M95" i="2"/>
  <c r="J95" i="2"/>
  <c r="P94" i="2" a="1"/>
  <c r="P94" i="2" s="1"/>
  <c r="O94" i="2"/>
  <c r="N94" i="2"/>
  <c r="M94" i="2"/>
  <c r="K94" i="2"/>
  <c r="J94" i="2"/>
  <c r="P93" i="2" a="1"/>
  <c r="P93" i="2" s="1"/>
  <c r="O93" i="2"/>
  <c r="N93" i="2"/>
  <c r="M93" i="2"/>
  <c r="J93" i="2"/>
  <c r="P92" i="2" a="1"/>
  <c r="P92" i="2" s="1"/>
  <c r="O92" i="2"/>
  <c r="N92" i="2"/>
  <c r="M92" i="2"/>
  <c r="J92" i="2"/>
  <c r="P91" i="2" a="1"/>
  <c r="P91" i="2" s="1"/>
  <c r="O91" i="2"/>
  <c r="N91" i="2"/>
  <c r="M91" i="2"/>
  <c r="J91" i="2"/>
  <c r="P90" i="2" a="1"/>
  <c r="P90" i="2" s="1"/>
  <c r="O90" i="2"/>
  <c r="N90" i="2"/>
  <c r="M90" i="2"/>
  <c r="J90" i="2"/>
  <c r="P89" i="2" a="1"/>
  <c r="P89" i="2" s="1"/>
  <c r="O89" i="2"/>
  <c r="N89" i="2"/>
  <c r="M89" i="2"/>
  <c r="J89" i="2"/>
  <c r="P88" i="2" a="1"/>
  <c r="P88" i="2" s="1"/>
  <c r="O88" i="2"/>
  <c r="N88" i="2"/>
  <c r="M88" i="2"/>
  <c r="J88" i="2"/>
  <c r="P87" i="2" a="1"/>
  <c r="P87" i="2" s="1"/>
  <c r="O87" i="2"/>
  <c r="N87" i="2"/>
  <c r="M87" i="2"/>
  <c r="J87" i="2"/>
  <c r="P86" i="2" a="1"/>
  <c r="P86" i="2" s="1"/>
  <c r="O86" i="2"/>
  <c r="N86" i="2"/>
  <c r="M86" i="2"/>
  <c r="J86" i="2"/>
  <c r="P85" i="2" a="1"/>
  <c r="P85" i="2" s="1"/>
  <c r="O85" i="2"/>
  <c r="N85" i="2"/>
  <c r="M85" i="2"/>
  <c r="K85" i="2"/>
  <c r="J85" i="2"/>
  <c r="P84" i="2" a="1"/>
  <c r="P84" i="2" s="1"/>
  <c r="K84" i="2" s="1"/>
  <c r="O84" i="2"/>
  <c r="N84" i="2"/>
  <c r="M84" i="2"/>
  <c r="J84" i="2"/>
  <c r="P83" i="2" a="1"/>
  <c r="P83" i="2" s="1"/>
  <c r="O83" i="2"/>
  <c r="N83" i="2"/>
  <c r="M83" i="2"/>
  <c r="J83" i="2"/>
  <c r="P82" i="2" a="1"/>
  <c r="P82" i="2" s="1"/>
  <c r="O82" i="2"/>
  <c r="N82" i="2"/>
  <c r="M82" i="2"/>
  <c r="J82" i="2"/>
  <c r="P81" i="2" a="1"/>
  <c r="P81" i="2" s="1"/>
  <c r="O81" i="2"/>
  <c r="N81" i="2"/>
  <c r="M81" i="2"/>
  <c r="J81" i="2"/>
  <c r="P80" i="2" a="1"/>
  <c r="P80" i="2" s="1"/>
  <c r="O80" i="2"/>
  <c r="N80" i="2"/>
  <c r="M80" i="2"/>
  <c r="J80" i="2"/>
  <c r="P79" i="2" a="1"/>
  <c r="P79" i="2" s="1"/>
  <c r="O79" i="2"/>
  <c r="N79" i="2"/>
  <c r="M79" i="2"/>
  <c r="K79" i="2"/>
  <c r="J79" i="2"/>
  <c r="P78" i="2" a="1"/>
  <c r="P78" i="2" s="1"/>
  <c r="O78" i="2"/>
  <c r="N78" i="2"/>
  <c r="M78" i="2"/>
  <c r="J78" i="2"/>
  <c r="P77" i="2" a="1"/>
  <c r="P77" i="2" s="1"/>
  <c r="O77" i="2"/>
  <c r="N77" i="2"/>
  <c r="M77" i="2"/>
  <c r="J77" i="2"/>
  <c r="P76" i="2" a="1"/>
  <c r="P76" i="2" s="1"/>
  <c r="M76" i="2"/>
  <c r="J76" i="2"/>
  <c r="H76" i="2"/>
  <c r="O76" i="2" s="1"/>
  <c r="P75" i="2" a="1"/>
  <c r="P75" i="2" s="1"/>
  <c r="O75" i="2"/>
  <c r="N75" i="2"/>
  <c r="M75" i="2"/>
  <c r="J75" i="2"/>
  <c r="P74" i="2" a="1"/>
  <c r="P74" i="2" s="1"/>
  <c r="O74" i="2"/>
  <c r="N74" i="2"/>
  <c r="M74" i="2"/>
  <c r="J74" i="2"/>
  <c r="P73" i="2" a="1"/>
  <c r="P73" i="2" s="1"/>
  <c r="J73" i="2"/>
  <c r="H73" i="2"/>
  <c r="O73" i="2" s="1"/>
  <c r="P72" i="2" a="1"/>
  <c r="P72" i="2" s="1"/>
  <c r="O72" i="2"/>
  <c r="N72" i="2"/>
  <c r="M72" i="2"/>
  <c r="J72" i="2"/>
  <c r="P71" i="2" a="1"/>
  <c r="P71" i="2" s="1"/>
  <c r="O71" i="2"/>
  <c r="N71" i="2"/>
  <c r="M71" i="2"/>
  <c r="J71" i="2"/>
  <c r="P70" i="2" a="1"/>
  <c r="P70" i="2" s="1"/>
  <c r="O70" i="2"/>
  <c r="N70" i="2"/>
  <c r="M70" i="2"/>
  <c r="J70" i="2"/>
  <c r="P69" i="2" a="1"/>
  <c r="P69" i="2" s="1"/>
  <c r="O69" i="2"/>
  <c r="N69" i="2"/>
  <c r="M69" i="2"/>
  <c r="J69" i="2"/>
  <c r="P68" i="2" a="1"/>
  <c r="P68" i="2" s="1"/>
  <c r="O68" i="2"/>
  <c r="N68" i="2"/>
  <c r="M68" i="2"/>
  <c r="J68" i="2"/>
  <c r="P67" i="2" a="1"/>
  <c r="P67" i="2" s="1"/>
  <c r="O67" i="2"/>
  <c r="N67" i="2"/>
  <c r="M67" i="2"/>
  <c r="J67" i="2"/>
  <c r="P66" i="2" a="1"/>
  <c r="P66" i="2" s="1"/>
  <c r="N66" i="2"/>
  <c r="J66" i="2"/>
  <c r="H66" i="2"/>
  <c r="O66" i="2" s="1"/>
  <c r="P65" i="2" a="1"/>
  <c r="P65" i="2" s="1"/>
  <c r="O65" i="2"/>
  <c r="N65" i="2"/>
  <c r="M65" i="2"/>
  <c r="J65" i="2"/>
  <c r="P64" i="2" a="1"/>
  <c r="P64" i="2" s="1"/>
  <c r="O64" i="2"/>
  <c r="N64" i="2"/>
  <c r="M64" i="2"/>
  <c r="J64" i="2"/>
  <c r="P63" i="2" a="1"/>
  <c r="P63" i="2" s="1"/>
  <c r="O63" i="2"/>
  <c r="N63" i="2"/>
  <c r="M63" i="2"/>
  <c r="J63" i="2"/>
  <c r="P62" i="2" a="1"/>
  <c r="P62" i="2" s="1"/>
  <c r="O62" i="2"/>
  <c r="N62" i="2"/>
  <c r="M62" i="2"/>
  <c r="J62" i="2"/>
  <c r="P61" i="2" a="1"/>
  <c r="P61" i="2" s="1"/>
  <c r="O61" i="2"/>
  <c r="N61" i="2"/>
  <c r="M61" i="2"/>
  <c r="J61" i="2"/>
  <c r="P60" i="2" a="1"/>
  <c r="P60" i="2" s="1"/>
  <c r="J60" i="2"/>
  <c r="H60" i="2"/>
  <c r="O60" i="2" s="1"/>
  <c r="P59" i="2" a="1"/>
  <c r="P59" i="2" s="1"/>
  <c r="O59" i="2"/>
  <c r="N59" i="2"/>
  <c r="M59" i="2"/>
  <c r="J59" i="2"/>
  <c r="P58" i="2" a="1"/>
  <c r="P58" i="2" s="1"/>
  <c r="O58" i="2"/>
  <c r="N58" i="2"/>
  <c r="M58" i="2"/>
  <c r="J58" i="2"/>
  <c r="P57" i="2" a="1"/>
  <c r="P57" i="2" s="1"/>
  <c r="O57" i="2"/>
  <c r="N57" i="2"/>
  <c r="M57" i="2"/>
  <c r="J57" i="2"/>
  <c r="P56" i="2" a="1"/>
  <c r="P56" i="2" s="1"/>
  <c r="O56" i="2"/>
  <c r="N56" i="2"/>
  <c r="M56" i="2"/>
  <c r="J56" i="2"/>
  <c r="P55" i="2" a="1"/>
  <c r="P55" i="2" s="1"/>
  <c r="O55" i="2"/>
  <c r="N55" i="2"/>
  <c r="M55" i="2"/>
  <c r="J55" i="2"/>
  <c r="P54" i="2" a="1"/>
  <c r="P54" i="2" s="1"/>
  <c r="O54" i="2"/>
  <c r="N54" i="2"/>
  <c r="M54" i="2"/>
  <c r="J54" i="2"/>
  <c r="P53" i="2" a="1"/>
  <c r="P53" i="2" s="1"/>
  <c r="O53" i="2"/>
  <c r="N53" i="2"/>
  <c r="M53" i="2"/>
  <c r="J53" i="2"/>
  <c r="P52" i="2" a="1"/>
  <c r="P52" i="2" s="1"/>
  <c r="O52" i="2"/>
  <c r="N52" i="2"/>
  <c r="M52" i="2"/>
  <c r="J52" i="2"/>
  <c r="P51" i="2" a="1"/>
  <c r="P51" i="2" s="1"/>
  <c r="O51" i="2"/>
  <c r="N51" i="2"/>
  <c r="M51" i="2"/>
  <c r="J51" i="2"/>
  <c r="P50" i="2" a="1"/>
  <c r="P50" i="2" s="1"/>
  <c r="O50" i="2"/>
  <c r="N50" i="2"/>
  <c r="M50" i="2"/>
  <c r="J50" i="2"/>
  <c r="P49" i="2" a="1"/>
  <c r="P49" i="2" s="1"/>
  <c r="O49" i="2"/>
  <c r="N49" i="2"/>
  <c r="M49" i="2"/>
  <c r="J49" i="2"/>
  <c r="P48" i="2" a="1"/>
  <c r="P48" i="2" s="1"/>
  <c r="O48" i="2"/>
  <c r="N48" i="2"/>
  <c r="M48" i="2"/>
  <c r="J48" i="2"/>
  <c r="P47" i="2" a="1"/>
  <c r="P47" i="2" s="1"/>
  <c r="O47" i="2"/>
  <c r="N47" i="2"/>
  <c r="M47" i="2"/>
  <c r="J47" i="2"/>
  <c r="P46" i="2" a="1"/>
  <c r="P46" i="2" s="1"/>
  <c r="O46" i="2"/>
  <c r="N46" i="2"/>
  <c r="M46" i="2"/>
  <c r="K46" i="2"/>
  <c r="J46" i="2"/>
  <c r="P45" i="2" a="1"/>
  <c r="P45" i="2" s="1"/>
  <c r="K45" i="2" s="1"/>
  <c r="O45" i="2"/>
  <c r="N45" i="2"/>
  <c r="M45" i="2"/>
  <c r="J45" i="2"/>
  <c r="P44" i="2" a="1"/>
  <c r="P44" i="2" s="1"/>
  <c r="O44" i="2"/>
  <c r="N44" i="2"/>
  <c r="M44" i="2"/>
  <c r="J44" i="2"/>
  <c r="P43" i="2" a="1"/>
  <c r="P43" i="2" s="1"/>
  <c r="O43" i="2"/>
  <c r="N43" i="2"/>
  <c r="M43" i="2"/>
  <c r="J43" i="2"/>
  <c r="P42" i="2" a="1"/>
  <c r="P42" i="2" s="1"/>
  <c r="O42" i="2"/>
  <c r="N42" i="2"/>
  <c r="M42" i="2"/>
  <c r="J42" i="2"/>
  <c r="P41" i="2" a="1"/>
  <c r="P41" i="2" s="1"/>
  <c r="O41" i="2"/>
  <c r="N41" i="2"/>
  <c r="M41" i="2"/>
  <c r="J41" i="2"/>
  <c r="P40" i="2" a="1"/>
  <c r="P40" i="2" s="1"/>
  <c r="O40" i="2"/>
  <c r="N40" i="2"/>
  <c r="M40" i="2"/>
  <c r="J40" i="2"/>
  <c r="P39" i="2" a="1"/>
  <c r="P39" i="2" s="1"/>
  <c r="O39" i="2"/>
  <c r="N39" i="2"/>
  <c r="M39" i="2"/>
  <c r="J39" i="2"/>
  <c r="P38" i="2" a="1"/>
  <c r="P38" i="2" s="1"/>
  <c r="O38" i="2"/>
  <c r="N38" i="2"/>
  <c r="M38" i="2"/>
  <c r="J38" i="2"/>
  <c r="P37" i="2" a="1"/>
  <c r="P37" i="2" s="1"/>
  <c r="O37" i="2"/>
  <c r="N37" i="2"/>
  <c r="M37" i="2"/>
  <c r="J37" i="2"/>
  <c r="P36" i="2" a="1"/>
  <c r="P36" i="2" s="1"/>
  <c r="O36" i="2"/>
  <c r="N36" i="2"/>
  <c r="M36" i="2"/>
  <c r="J36" i="2"/>
  <c r="P35" i="2" a="1"/>
  <c r="P35" i="2" s="1"/>
  <c r="O35" i="2"/>
  <c r="N35" i="2"/>
  <c r="M35" i="2"/>
  <c r="J35" i="2"/>
  <c r="P34" i="2" a="1"/>
  <c r="P34" i="2" s="1"/>
  <c r="O34" i="2"/>
  <c r="N34" i="2"/>
  <c r="M34" i="2"/>
  <c r="J34" i="2"/>
  <c r="P33" i="2" a="1"/>
  <c r="P33" i="2" s="1"/>
  <c r="O33" i="2"/>
  <c r="N33" i="2"/>
  <c r="M33" i="2"/>
  <c r="J33" i="2"/>
  <c r="P32" i="2" a="1"/>
  <c r="P32" i="2" s="1"/>
  <c r="O32" i="2"/>
  <c r="N32" i="2"/>
  <c r="M32" i="2"/>
  <c r="J32" i="2"/>
  <c r="P31" i="2" a="1"/>
  <c r="P31" i="2" s="1"/>
  <c r="J31" i="2"/>
  <c r="H31" i="2"/>
  <c r="N31" i="2" s="1"/>
  <c r="P30" i="2" a="1"/>
  <c r="P30" i="2" s="1"/>
  <c r="O30" i="2"/>
  <c r="N30" i="2"/>
  <c r="M30" i="2"/>
  <c r="J30" i="2"/>
  <c r="P29" i="2" a="1"/>
  <c r="P29" i="2" s="1"/>
  <c r="M29" i="2"/>
  <c r="J29" i="2"/>
  <c r="H29" i="2"/>
  <c r="O29" i="2" s="1"/>
  <c r="P28" i="2" a="1"/>
  <c r="P28" i="2" s="1"/>
  <c r="O28" i="2"/>
  <c r="N28" i="2"/>
  <c r="M28" i="2"/>
  <c r="J28" i="2"/>
  <c r="P27" i="2" a="1"/>
  <c r="P27" i="2" s="1"/>
  <c r="O27" i="2"/>
  <c r="N27" i="2"/>
  <c r="M27" i="2"/>
  <c r="J27" i="2"/>
  <c r="P26" i="2" a="1"/>
  <c r="P26" i="2" s="1"/>
  <c r="O26" i="2"/>
  <c r="N26" i="2"/>
  <c r="M26" i="2"/>
  <c r="K26" i="2"/>
  <c r="J26" i="2"/>
  <c r="P25" i="2" a="1"/>
  <c r="P25" i="2" s="1"/>
  <c r="O25" i="2"/>
  <c r="N25" i="2"/>
  <c r="M25" i="2"/>
  <c r="J25" i="2"/>
  <c r="P24" i="2" a="1"/>
  <c r="P24" i="2" s="1"/>
  <c r="O24" i="2"/>
  <c r="N24" i="2"/>
  <c r="M24" i="2"/>
  <c r="J24" i="2"/>
  <c r="P23" i="2" a="1"/>
  <c r="P23" i="2" s="1"/>
  <c r="O23" i="2"/>
  <c r="N23" i="2"/>
  <c r="M23" i="2"/>
  <c r="J23" i="2"/>
  <c r="P22" i="2" a="1"/>
  <c r="P22" i="2" s="1"/>
  <c r="N22" i="2"/>
  <c r="M22" i="2"/>
  <c r="J22" i="2"/>
  <c r="H22" i="2"/>
  <c r="O22" i="2" s="1"/>
  <c r="P21" i="2" a="1"/>
  <c r="P21" i="2" s="1"/>
  <c r="O21" i="2"/>
  <c r="N21" i="2"/>
  <c r="M21" i="2"/>
  <c r="J21" i="2"/>
  <c r="P20" i="2" a="1"/>
  <c r="P20" i="2" s="1"/>
  <c r="J20" i="2"/>
  <c r="H20" i="2"/>
  <c r="O20" i="2" s="1"/>
  <c r="P19" i="2" a="1"/>
  <c r="P19" i="2" s="1"/>
  <c r="O19" i="2"/>
  <c r="N19" i="2"/>
  <c r="M19" i="2"/>
  <c r="J19" i="2"/>
  <c r="P18" i="2" a="1"/>
  <c r="P18" i="2" s="1"/>
  <c r="O18" i="2"/>
  <c r="N18" i="2"/>
  <c r="M18" i="2"/>
  <c r="J18" i="2"/>
  <c r="P17" i="2" a="1"/>
  <c r="P17" i="2" s="1"/>
  <c r="J17" i="2"/>
  <c r="H17" i="2"/>
  <c r="O17" i="2" s="1"/>
  <c r="P16" i="2" a="1"/>
  <c r="P16" i="2" s="1"/>
  <c r="O16" i="2"/>
  <c r="N16" i="2"/>
  <c r="M16" i="2"/>
  <c r="J16" i="2"/>
  <c r="P15" i="2" a="1"/>
  <c r="P15" i="2" s="1"/>
  <c r="O15" i="2"/>
  <c r="N15" i="2"/>
  <c r="M15" i="2"/>
  <c r="J15" i="2"/>
  <c r="P14" i="2" a="1"/>
  <c r="P14" i="2" s="1"/>
  <c r="O14" i="2"/>
  <c r="N14" i="2"/>
  <c r="M14" i="2"/>
  <c r="J14" i="2"/>
  <c r="P13" i="2" a="1"/>
  <c r="P13" i="2" s="1"/>
  <c r="O13" i="2"/>
  <c r="N13" i="2"/>
  <c r="M13" i="2"/>
  <c r="K13" i="2"/>
  <c r="J13" i="2"/>
  <c r="P12" i="2" a="1"/>
  <c r="P12" i="2" s="1"/>
  <c r="K12" i="2" s="1"/>
  <c r="O12" i="2"/>
  <c r="N12" i="2"/>
  <c r="M12" i="2"/>
  <c r="J12" i="2"/>
  <c r="P11" i="2" a="1"/>
  <c r="P11" i="2" s="1"/>
  <c r="O11" i="2"/>
  <c r="N11" i="2"/>
  <c r="M11" i="2"/>
  <c r="K11" i="2"/>
  <c r="J11" i="2"/>
  <c r="P10" i="2" a="1"/>
  <c r="P10" i="2" s="1"/>
  <c r="K10" i="2" s="1"/>
  <c r="J10" i="2"/>
  <c r="H10" i="2"/>
  <c r="O10" i="2" s="1"/>
  <c r="P9" i="2" a="1"/>
  <c r="P9" i="2" s="1"/>
  <c r="O9" i="2"/>
  <c r="N9" i="2"/>
  <c r="M9" i="2"/>
  <c r="K9" i="2"/>
  <c r="J9" i="2"/>
  <c r="P8" i="2" a="1"/>
  <c r="P8" i="2" s="1"/>
  <c r="K8" i="2" s="1"/>
  <c r="O8" i="2"/>
  <c r="N8" i="2"/>
  <c r="M8" i="2"/>
  <c r="J8" i="2"/>
  <c r="P7" i="2" a="1"/>
  <c r="P7" i="2" s="1"/>
  <c r="O7" i="2"/>
  <c r="N7" i="2"/>
  <c r="M7" i="2"/>
  <c r="K7" i="2"/>
  <c r="J7" i="2"/>
  <c r="P6" i="2" a="1"/>
  <c r="P6" i="2" s="1"/>
  <c r="K6" i="2" s="1"/>
  <c r="J6" i="2"/>
  <c r="H6" i="2"/>
  <c r="M6" i="2" s="1"/>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N254" i="2" l="1"/>
  <c r="N274" i="2"/>
  <c r="N219" i="2"/>
  <c r="M252" i="2"/>
  <c r="K49" i="2"/>
  <c r="K176" i="2"/>
  <c r="K233" i="2"/>
  <c r="M66" i="2"/>
  <c r="N73" i="2"/>
  <c r="M106" i="2"/>
  <c r="M169" i="2"/>
  <c r="M178" i="2"/>
  <c r="N180" i="2"/>
  <c r="M205" i="2"/>
  <c r="N205" i="2"/>
  <c r="O205" i="2"/>
  <c r="N242" i="2"/>
  <c r="N245" i="2"/>
  <c r="M207" i="2"/>
  <c r="N207" i="2"/>
  <c r="O207" i="2"/>
  <c r="K267" i="2"/>
  <c r="O274" i="2"/>
  <c r="N29" i="2"/>
  <c r="M266" i="2"/>
  <c r="N6" i="2"/>
  <c r="N17" i="2"/>
  <c r="O31" i="2"/>
  <c r="M73" i="2"/>
  <c r="N155" i="2"/>
  <c r="O229" i="2"/>
  <c r="M242" i="2"/>
  <c r="N266" i="2"/>
  <c r="L275" i="2" a="1"/>
  <c r="L275" i="2" s="1"/>
  <c r="K275" i="2"/>
  <c r="K271" i="2"/>
  <c r="K22" i="2"/>
  <c r="K27" i="2"/>
  <c r="K112" i="2"/>
  <c r="L112" i="2" s="1" a="1"/>
  <c r="L112" i="2" s="1"/>
  <c r="K131" i="2"/>
  <c r="K250" i="2"/>
  <c r="AA6" i="2" a="1"/>
  <c r="AA6" i="2" s="1"/>
  <c r="AB6" i="2" s="1" a="1"/>
  <c r="AB6" i="2" s="1"/>
  <c r="K134" i="2"/>
  <c r="L134" i="2" s="1" a="1"/>
  <c r="L134" i="2" s="1"/>
  <c r="K64" i="2"/>
  <c r="K61" i="2"/>
  <c r="K263" i="2"/>
  <c r="L269" i="2" a="1"/>
  <c r="L269" i="2" s="1"/>
  <c r="O6" i="2"/>
  <c r="N76" i="2"/>
  <c r="N106" i="2"/>
  <c r="O130" i="2"/>
  <c r="N160" i="2"/>
  <c r="N169" i="2"/>
  <c r="K172" i="2"/>
  <c r="O180" i="2"/>
  <c r="N189" i="2"/>
  <c r="O219" i="2"/>
  <c r="O254" i="2"/>
  <c r="M10" i="2"/>
  <c r="M20" i="2"/>
  <c r="M60" i="2"/>
  <c r="M158" i="2"/>
  <c r="M194" i="2"/>
  <c r="M233" i="2"/>
  <c r="M235" i="2"/>
  <c r="N252" i="2"/>
  <c r="N10" i="2"/>
  <c r="M17" i="2"/>
  <c r="N20" i="2"/>
  <c r="N60" i="2"/>
  <c r="K100" i="2"/>
  <c r="N115" i="2"/>
  <c r="M155" i="2"/>
  <c r="N158" i="2"/>
  <c r="M163" i="2"/>
  <c r="N194" i="2"/>
  <c r="O199" i="2"/>
  <c r="M211" i="2"/>
  <c r="N211" i="2"/>
  <c r="O211" i="2"/>
  <c r="N233" i="2"/>
  <c r="N235" i="2"/>
  <c r="O244" i="2"/>
  <c r="M245" i="2"/>
  <c r="M264" i="2"/>
  <c r="N272" i="2"/>
  <c r="K29" i="2"/>
  <c r="L29" i="2" s="1" a="1"/>
  <c r="L29" i="2" s="1"/>
  <c r="K67" i="2"/>
  <c r="K71" i="2"/>
  <c r="K77" i="2"/>
  <c r="L248" i="2" a="1"/>
  <c r="L248" i="2" s="1"/>
  <c r="K110" i="2"/>
  <c r="K116" i="2"/>
  <c r="K235" i="2"/>
  <c r="K138" i="2"/>
  <c r="K213" i="2"/>
  <c r="K224" i="2"/>
  <c r="K58" i="2"/>
  <c r="L79" i="2" a="1"/>
  <c r="L79" i="2" s="1"/>
  <c r="K120" i="2"/>
  <c r="K124" i="2"/>
  <c r="K142" i="2"/>
  <c r="K181" i="2"/>
  <c r="L181" i="2" s="1" a="1"/>
  <c r="L181" i="2" s="1"/>
  <c r="K216" i="2"/>
  <c r="K219" i="2"/>
  <c r="K225" i="2"/>
  <c r="K41" i="2"/>
  <c r="L41" i="2" s="1" a="1"/>
  <c r="L41" i="2" s="1"/>
  <c r="K117" i="2"/>
  <c r="K121" i="2"/>
  <c r="K158" i="2"/>
  <c r="K217" i="2"/>
  <c r="K240" i="2"/>
  <c r="K68" i="2"/>
  <c r="K72" i="2"/>
  <c r="K99" i="2"/>
  <c r="K140" i="2"/>
  <c r="K152" i="2"/>
  <c r="K156" i="2"/>
  <c r="K189" i="2"/>
  <c r="L189" i="2" s="1" a="1"/>
  <c r="L189" i="2" s="1"/>
  <c r="K192" i="2"/>
  <c r="K228" i="2"/>
  <c r="K229" i="2"/>
  <c r="L229" i="2" s="1" a="1"/>
  <c r="L229" i="2" s="1"/>
  <c r="K243" i="2"/>
  <c r="L243" i="2" s="1" a="1"/>
  <c r="L243" i="2" s="1"/>
  <c r="L247" i="2" a="1"/>
  <c r="L247" i="2" s="1"/>
  <c r="L249" i="2" a="1"/>
  <c r="L249" i="2" s="1"/>
  <c r="L8" i="2" a="1"/>
  <c r="L8" i="2" s="1"/>
  <c r="K73" i="2"/>
  <c r="L73" i="2" s="1" a="1"/>
  <c r="L73" i="2" s="1"/>
  <c r="K147" i="2"/>
  <c r="L147" i="2" s="1" a="1"/>
  <c r="L147" i="2" s="1"/>
  <c r="K175" i="2"/>
  <c r="K54" i="2"/>
  <c r="L54" i="2" s="1" a="1"/>
  <c r="L54" i="2" s="1"/>
  <c r="K63" i="2"/>
  <c r="K86" i="2"/>
  <c r="K136" i="2"/>
  <c r="K149" i="2"/>
  <c r="K153" i="2"/>
  <c r="K173" i="2"/>
  <c r="K183" i="2"/>
  <c r="L183" i="2" s="1" a="1"/>
  <c r="L183" i="2" s="1"/>
  <c r="K258" i="2"/>
  <c r="L258" i="2" s="1" a="1"/>
  <c r="L258" i="2" s="1"/>
  <c r="K93" i="2"/>
  <c r="K125" i="2"/>
  <c r="K128" i="2"/>
  <c r="K194" i="2"/>
  <c r="L194" i="2" s="1" a="1"/>
  <c r="L194" i="2" s="1"/>
  <c r="K214" i="2"/>
  <c r="K221" i="2"/>
  <c r="K262" i="2"/>
  <c r="L262" i="2" s="1" a="1"/>
  <c r="L262" i="2" s="1"/>
  <c r="K180" i="2"/>
  <c r="L180" i="2" s="1" a="1"/>
  <c r="L180" i="2" s="1"/>
  <c r="K260" i="2"/>
  <c r="L260" i="2" s="1" a="1"/>
  <c r="L260" i="2" s="1"/>
  <c r="L84" i="2" a="1"/>
  <c r="L84" i="2" s="1"/>
  <c r="L136" i="2" a="1"/>
  <c r="L136" i="2" s="1"/>
  <c r="L140" i="2" a="1"/>
  <c r="L140" i="2" s="1"/>
  <c r="L144" i="2" a="1"/>
  <c r="L144" i="2" s="1"/>
  <c r="L239" i="2" a="1"/>
  <c r="L239" i="2" s="1"/>
  <c r="L63" i="2" a="1"/>
  <c r="L63" i="2" s="1"/>
  <c r="L94" i="2" a="1"/>
  <c r="L94" i="2" s="1"/>
  <c r="L271" i="2" a="1"/>
  <c r="L271" i="2" s="1"/>
  <c r="L6" i="2" a="1"/>
  <c r="L6" i="2" s="1"/>
  <c r="L98" i="2" a="1"/>
  <c r="L98" i="2" s="1"/>
  <c r="L172" i="2" a="1"/>
  <c r="L172" i="2" s="1"/>
  <c r="L240" i="2" a="1"/>
  <c r="L240" i="2" s="1"/>
  <c r="L22" i="2" a="1"/>
  <c r="L22" i="2" s="1"/>
  <c r="L7" i="2" a="1"/>
  <c r="L7" i="2" s="1"/>
  <c r="L9" i="2" a="1"/>
  <c r="L9" i="2" s="1"/>
  <c r="L97" i="2" a="1"/>
  <c r="L97" i="2" s="1"/>
  <c r="L127" i="2" a="1"/>
  <c r="L127" i="2" s="1"/>
  <c r="L175" i="2" a="1"/>
  <c r="L175" i="2" s="1"/>
  <c r="K101" i="2"/>
  <c r="L101" i="2" s="1" a="1"/>
  <c r="L101" i="2" s="1"/>
  <c r="K102" i="2"/>
  <c r="L102" i="2" s="1" a="1"/>
  <c r="L102" i="2" s="1"/>
  <c r="K129" i="2"/>
  <c r="K212" i="2"/>
  <c r="L212" i="2" s="1" a="1"/>
  <c r="L212" i="2" s="1"/>
  <c r="K81" i="2"/>
  <c r="L81" i="2" s="1" a="1"/>
  <c r="L81" i="2" s="1"/>
  <c r="K80" i="2"/>
  <c r="L80" i="2" s="1" a="1"/>
  <c r="L80" i="2" s="1"/>
  <c r="L10" i="2" a="1"/>
  <c r="L10" i="2" s="1"/>
  <c r="K34" i="2"/>
  <c r="L34" i="2" s="1" a="1"/>
  <c r="L34" i="2" s="1"/>
  <c r="K38" i="2"/>
  <c r="L38" i="2" s="1" a="1"/>
  <c r="L38" i="2" s="1"/>
  <c r="K23" i="2"/>
  <c r="L23" i="2" s="1" a="1"/>
  <c r="L23" i="2" s="1"/>
  <c r="K30" i="2"/>
  <c r="L45" i="2" a="1"/>
  <c r="L45" i="2" s="1"/>
  <c r="K50" i="2"/>
  <c r="L50" i="2" s="1" a="1"/>
  <c r="L50" i="2" s="1"/>
  <c r="K53" i="2"/>
  <c r="K16" i="2"/>
  <c r="L16" i="2" s="1" a="1"/>
  <c r="L16" i="2" s="1"/>
  <c r="K42" i="2"/>
  <c r="L42" i="2" s="1" a="1"/>
  <c r="L42" i="2" s="1"/>
  <c r="K57" i="2"/>
  <c r="K74" i="2"/>
  <c r="K89" i="2"/>
  <c r="L89" i="2" s="1" a="1"/>
  <c r="L89" i="2" s="1"/>
  <c r="K88" i="2"/>
  <c r="L88" i="2" s="1" a="1"/>
  <c r="L88" i="2" s="1"/>
  <c r="K92" i="2"/>
  <c r="L92" i="2" s="1" a="1"/>
  <c r="L92" i="2" s="1"/>
  <c r="K200" i="2"/>
  <c r="L200" i="2" s="1" a="1"/>
  <c r="L200" i="2" s="1"/>
  <c r="K242" i="2"/>
  <c r="L242" i="2" s="1" a="1"/>
  <c r="L242" i="2" s="1"/>
  <c r="L12" i="2" a="1"/>
  <c r="L12" i="2" s="1"/>
  <c r="L26" i="2" a="1"/>
  <c r="L26" i="2" s="1"/>
  <c r="K28" i="2"/>
  <c r="L28" i="2" s="1" a="1"/>
  <c r="L28" i="2" s="1"/>
  <c r="L46" i="2" a="1"/>
  <c r="L46" i="2" s="1"/>
  <c r="K62" i="2"/>
  <c r="L62" i="2" s="1" a="1"/>
  <c r="L62" i="2" s="1"/>
  <c r="L99" i="2" a="1"/>
  <c r="L99" i="2" s="1"/>
  <c r="K115" i="2"/>
  <c r="L115" i="2" s="1" a="1"/>
  <c r="L115" i="2" s="1"/>
  <c r="L146" i="2" a="1"/>
  <c r="L146" i="2" s="1"/>
  <c r="K165" i="2"/>
  <c r="L165" i="2" s="1" a="1"/>
  <c r="L165" i="2" s="1"/>
  <c r="K171" i="2"/>
  <c r="L171" i="2" s="1" a="1"/>
  <c r="L171" i="2" s="1"/>
  <c r="L177" i="2" a="1"/>
  <c r="L177" i="2" s="1"/>
  <c r="K190" i="2"/>
  <c r="L190" i="2" s="1" a="1"/>
  <c r="L190" i="2" s="1"/>
  <c r="L214" i="2" a="1"/>
  <c r="L214" i="2" s="1"/>
  <c r="K226" i="2"/>
  <c r="L226" i="2" s="1" a="1"/>
  <c r="L226" i="2" s="1"/>
  <c r="K236" i="2"/>
  <c r="L236" i="2" s="1" a="1"/>
  <c r="L236" i="2" s="1"/>
  <c r="K251" i="2"/>
  <c r="L251" i="2" s="1" a="1"/>
  <c r="L251" i="2" s="1"/>
  <c r="K259" i="2"/>
  <c r="L259" i="2" s="1" a="1"/>
  <c r="L259" i="2" s="1"/>
  <c r="L58" i="2" a="1"/>
  <c r="L58" i="2" s="1"/>
  <c r="L64" i="2" a="1"/>
  <c r="L64" i="2" s="1"/>
  <c r="K65" i="2"/>
  <c r="L65" i="2" s="1" a="1"/>
  <c r="L65" i="2" s="1"/>
  <c r="L67" i="2" a="1"/>
  <c r="L67" i="2" s="1"/>
  <c r="L71" i="2" a="1"/>
  <c r="L71" i="2" s="1"/>
  <c r="K83" i="2"/>
  <c r="L83" i="2" s="1" a="1"/>
  <c r="L83" i="2" s="1"/>
  <c r="K91" i="2"/>
  <c r="L91" i="2" s="1" a="1"/>
  <c r="L91" i="2" s="1"/>
  <c r="K106" i="2"/>
  <c r="L106" i="2" s="1" a="1"/>
  <c r="L106" i="2" s="1"/>
  <c r="L158" i="2" a="1"/>
  <c r="L158" i="2" s="1"/>
  <c r="L173" i="2" a="1"/>
  <c r="L173" i="2" s="1"/>
  <c r="L176" i="2" a="1"/>
  <c r="L176" i="2" s="1"/>
  <c r="K195" i="2"/>
  <c r="L195" i="2" s="1" a="1"/>
  <c r="L195" i="2" s="1"/>
  <c r="L213" i="2" a="1"/>
  <c r="L213" i="2" s="1"/>
  <c r="K215" i="2"/>
  <c r="L215" i="2" s="1" a="1"/>
  <c r="L215" i="2" s="1"/>
  <c r="L217" i="2" a="1"/>
  <c r="L217" i="2" s="1"/>
  <c r="K222" i="2"/>
  <c r="L222" i="2" s="1" a="1"/>
  <c r="L222" i="2" s="1"/>
  <c r="K244" i="2"/>
  <c r="L244" i="2" s="1" a="1"/>
  <c r="L244" i="2" s="1"/>
  <c r="K261" i="2"/>
  <c r="K265" i="2"/>
  <c r="L265" i="2" s="1" a="1"/>
  <c r="L265" i="2" s="1"/>
  <c r="L270" i="2" a="1"/>
  <c r="L270" i="2" s="1"/>
  <c r="K274" i="2"/>
  <c r="L274" i="2" s="1" a="1"/>
  <c r="L274" i="2" s="1"/>
  <c r="L11" i="2" a="1"/>
  <c r="L11" i="2" s="1"/>
  <c r="L13" i="2" a="1"/>
  <c r="L13" i="2" s="1"/>
  <c r="K15" i="2"/>
  <c r="K18" i="2"/>
  <c r="K21" i="2"/>
  <c r="K25" i="2"/>
  <c r="L25" i="2" s="1" a="1"/>
  <c r="L25" i="2" s="1"/>
  <c r="L27" i="2" a="1"/>
  <c r="L27" i="2" s="1"/>
  <c r="L49" i="2" a="1"/>
  <c r="L49" i="2" s="1"/>
  <c r="L53" i="2" a="1"/>
  <c r="L53" i="2" s="1"/>
  <c r="L57" i="2" a="1"/>
  <c r="L57" i="2" s="1"/>
  <c r="L85" i="2" a="1"/>
  <c r="L85" i="2" s="1"/>
  <c r="L93" i="2" a="1"/>
  <c r="L93" i="2" s="1"/>
  <c r="K109" i="2"/>
  <c r="L109" i="2" s="1" a="1"/>
  <c r="L109" i="2" s="1"/>
  <c r="K123" i="2"/>
  <c r="L123" i="2" s="1" a="1"/>
  <c r="L123" i="2" s="1"/>
  <c r="K132" i="2"/>
  <c r="K167" i="2"/>
  <c r="L167" i="2" s="1" a="1"/>
  <c r="L167" i="2" s="1"/>
  <c r="K199" i="2"/>
  <c r="L199" i="2" s="1" a="1"/>
  <c r="L199" i="2" s="1"/>
  <c r="L216" i="2" a="1"/>
  <c r="L216" i="2" s="1"/>
  <c r="K220" i="2"/>
  <c r="L220" i="2" s="1" a="1"/>
  <c r="L220" i="2" s="1"/>
  <c r="L225" i="2" a="1"/>
  <c r="L225" i="2" s="1"/>
  <c r="K227" i="2"/>
  <c r="K231" i="2"/>
  <c r="L231" i="2" s="1" a="1"/>
  <c r="L231" i="2" s="1"/>
  <c r="L74" i="2" a="1"/>
  <c r="L74" i="2" s="1"/>
  <c r="K75" i="2"/>
  <c r="L75" i="2" s="1" a="1"/>
  <c r="L75" i="2" s="1"/>
  <c r="L77" i="2" a="1"/>
  <c r="L77" i="2" s="1"/>
  <c r="K78" i="2"/>
  <c r="L78" i="2" s="1" a="1"/>
  <c r="L78" i="2" s="1"/>
  <c r="K87" i="2"/>
  <c r="L87" i="2" s="1" a="1"/>
  <c r="L87" i="2" s="1"/>
  <c r="L103" i="2" a="1"/>
  <c r="L103" i="2" s="1"/>
  <c r="K107" i="2"/>
  <c r="K111" i="2"/>
  <c r="L111" i="2" s="1" a="1"/>
  <c r="L111" i="2" s="1"/>
  <c r="K113" i="2"/>
  <c r="K119" i="2"/>
  <c r="L119" i="2" s="1" a="1"/>
  <c r="L119" i="2" s="1"/>
  <c r="K130" i="2"/>
  <c r="L130" i="2" s="1" a="1"/>
  <c r="L130" i="2" s="1"/>
  <c r="K135" i="2"/>
  <c r="L135" i="2" s="1" a="1"/>
  <c r="L135" i="2" s="1"/>
  <c r="K148" i="2"/>
  <c r="L148" i="2" s="1" a="1"/>
  <c r="L148" i="2" s="1"/>
  <c r="K182" i="2"/>
  <c r="L182" i="2" s="1" a="1"/>
  <c r="L182" i="2" s="1"/>
  <c r="L221" i="2" a="1"/>
  <c r="L221" i="2" s="1"/>
  <c r="K223" i="2"/>
  <c r="L223" i="2" s="1" a="1"/>
  <c r="L223" i="2" s="1"/>
  <c r="L235" i="2" a="1"/>
  <c r="L235" i="2" s="1"/>
  <c r="K241" i="2"/>
  <c r="K253" i="2"/>
  <c r="L253" i="2" s="1" a="1"/>
  <c r="L253" i="2" s="1"/>
  <c r="L263" i="2" a="1"/>
  <c r="L263" i="2" s="1"/>
  <c r="L266" i="2" a="1"/>
  <c r="L266" i="2" s="1"/>
  <c r="K19" i="2"/>
  <c r="L19" i="2" s="1" a="1"/>
  <c r="L19" i="2" s="1"/>
  <c r="K35" i="2"/>
  <c r="L35" i="2" s="1" a="1"/>
  <c r="L35" i="2" s="1"/>
  <c r="K36" i="2"/>
  <c r="L36" i="2" s="1" a="1"/>
  <c r="L36" i="2" s="1"/>
  <c r="K37" i="2"/>
  <c r="L37" i="2" s="1" a="1"/>
  <c r="L37" i="2" s="1"/>
  <c r="L68" i="2" a="1"/>
  <c r="L68" i="2" s="1"/>
  <c r="L72" i="2" a="1"/>
  <c r="L72" i="2" s="1"/>
  <c r="K82" i="2"/>
  <c r="L82" i="2" s="1" a="1"/>
  <c r="L82" i="2" s="1"/>
  <c r="K90" i="2"/>
  <c r="L90" i="2" s="1" a="1"/>
  <c r="L90" i="2" s="1"/>
  <c r="K95" i="2"/>
  <c r="L95" i="2" s="1" a="1"/>
  <c r="L95" i="2" s="1"/>
  <c r="K96" i="2"/>
  <c r="L96" i="2" s="1" a="1"/>
  <c r="L96" i="2" s="1"/>
  <c r="L21" i="2" a="1"/>
  <c r="L21" i="2" s="1"/>
  <c r="K14" i="2"/>
  <c r="L14" i="2" s="1" a="1"/>
  <c r="L14" i="2" s="1"/>
  <c r="K17" i="2"/>
  <c r="L17" i="2" s="1" a="1"/>
  <c r="L17" i="2" s="1"/>
  <c r="K20" i="2"/>
  <c r="L20" i="2" s="1" a="1"/>
  <c r="L20" i="2" s="1"/>
  <c r="K24" i="2"/>
  <c r="L24" i="2" s="1" a="1"/>
  <c r="L24" i="2" s="1"/>
  <c r="L30" i="2" a="1"/>
  <c r="L30" i="2" s="1"/>
  <c r="L86" i="2" a="1"/>
  <c r="L86" i="2" s="1"/>
  <c r="L15" i="2" a="1"/>
  <c r="L15" i="2" s="1"/>
  <c r="K31" i="2"/>
  <c r="L31" i="2" s="1" a="1"/>
  <c r="L31" i="2" s="1"/>
  <c r="K32" i="2"/>
  <c r="L32" i="2" s="1" a="1"/>
  <c r="L32" i="2" s="1"/>
  <c r="K33" i="2"/>
  <c r="L33" i="2" s="1" a="1"/>
  <c r="L33" i="2" s="1"/>
  <c r="K39" i="2"/>
  <c r="L39" i="2" s="1" a="1"/>
  <c r="L39" i="2" s="1"/>
  <c r="K40" i="2"/>
  <c r="L40" i="2" s="1" a="1"/>
  <c r="L40" i="2" s="1"/>
  <c r="K43" i="2"/>
  <c r="L43" i="2" s="1" a="1"/>
  <c r="L43" i="2" s="1"/>
  <c r="K44" i="2"/>
  <c r="L44" i="2" s="1" a="1"/>
  <c r="L44" i="2" s="1"/>
  <c r="L61" i="2" a="1"/>
  <c r="L61" i="2" s="1"/>
  <c r="K69" i="2"/>
  <c r="L69" i="2" s="1" a="1"/>
  <c r="L69" i="2" s="1"/>
  <c r="K70" i="2"/>
  <c r="L70" i="2" s="1" a="1"/>
  <c r="L70" i="2" s="1"/>
  <c r="L18" i="2" a="1"/>
  <c r="L18" i="2" s="1"/>
  <c r="K47" i="2"/>
  <c r="L47" i="2" s="1" a="1"/>
  <c r="L47" i="2" s="1"/>
  <c r="K48" i="2"/>
  <c r="L48" i="2" s="1" a="1"/>
  <c r="L48" i="2" s="1"/>
  <c r="K51" i="2"/>
  <c r="L51" i="2" s="1" a="1"/>
  <c r="L51" i="2" s="1"/>
  <c r="K52" i="2"/>
  <c r="L52" i="2" s="1" a="1"/>
  <c r="L52" i="2" s="1"/>
  <c r="K55" i="2"/>
  <c r="L55" i="2" s="1" a="1"/>
  <c r="L55" i="2" s="1"/>
  <c r="K56" i="2"/>
  <c r="L56" i="2" s="1" a="1"/>
  <c r="L56" i="2" s="1"/>
  <c r="K59" i="2"/>
  <c r="L59" i="2" s="1" a="1"/>
  <c r="L59" i="2" s="1"/>
  <c r="K60" i="2"/>
  <c r="L60" i="2" s="1" a="1"/>
  <c r="L60" i="2" s="1"/>
  <c r="K66" i="2"/>
  <c r="L66" i="2" s="1" a="1"/>
  <c r="L66" i="2" s="1"/>
  <c r="K76" i="2"/>
  <c r="L76" i="2" s="1" a="1"/>
  <c r="L76" i="2" s="1"/>
  <c r="L100" i="2" a="1"/>
  <c r="L100" i="2" s="1"/>
  <c r="L104" i="2" a="1"/>
  <c r="L104" i="2" s="1"/>
  <c r="K108" i="2"/>
  <c r="L108" i="2" s="1" a="1"/>
  <c r="L108" i="2" s="1"/>
  <c r="K114" i="2"/>
  <c r="L114" i="2" s="1" a="1"/>
  <c r="L114" i="2" s="1"/>
  <c r="L116" i="2" a="1"/>
  <c r="L116" i="2" s="1"/>
  <c r="K118" i="2"/>
  <c r="L118" i="2" s="1" a="1"/>
  <c r="L118" i="2" s="1"/>
  <c r="L120" i="2" a="1"/>
  <c r="L120" i="2" s="1"/>
  <c r="K122" i="2"/>
  <c r="L122" i="2" s="1" a="1"/>
  <c r="L122" i="2" s="1"/>
  <c r="L124" i="2" a="1"/>
  <c r="L124" i="2" s="1"/>
  <c r="K126" i="2"/>
  <c r="L126" i="2" s="1" a="1"/>
  <c r="L126" i="2" s="1"/>
  <c r="L128" i="2" a="1"/>
  <c r="L128" i="2" s="1"/>
  <c r="L132" i="2" a="1"/>
  <c r="L132" i="2" s="1"/>
  <c r="L138" i="2" a="1"/>
  <c r="L138" i="2" s="1"/>
  <c r="L142" i="2" a="1"/>
  <c r="L142" i="2" s="1"/>
  <c r="K179" i="2"/>
  <c r="L179" i="2" s="1" a="1"/>
  <c r="L179" i="2" s="1"/>
  <c r="K178" i="2"/>
  <c r="L178" i="2" s="1" a="1"/>
  <c r="L178" i="2" s="1"/>
  <c r="K187" i="2"/>
  <c r="L187" i="2" s="1" a="1"/>
  <c r="L187" i="2" s="1"/>
  <c r="K186" i="2"/>
  <c r="L186" i="2" s="1" a="1"/>
  <c r="L186" i="2" s="1"/>
  <c r="L107" i="2" a="1"/>
  <c r="L107" i="2" s="1"/>
  <c r="M110" i="2"/>
  <c r="L131" i="2" a="1"/>
  <c r="L131" i="2" s="1"/>
  <c r="K133" i="2"/>
  <c r="L133" i="2" s="1" a="1"/>
  <c r="L133" i="2" s="1"/>
  <c r="M31" i="2"/>
  <c r="L110" i="2" a="1"/>
  <c r="L110" i="2" s="1"/>
  <c r="N110" i="2"/>
  <c r="L145" i="2" a="1"/>
  <c r="L145" i="2" s="1"/>
  <c r="K170" i="2"/>
  <c r="L170" i="2" s="1" a="1"/>
  <c r="L170" i="2" s="1"/>
  <c r="K169" i="2"/>
  <c r="K105" i="2"/>
  <c r="L105" i="2" s="1" a="1"/>
  <c r="L105" i="2" s="1"/>
  <c r="L113" i="2" a="1"/>
  <c r="L113" i="2" s="1"/>
  <c r="L117" i="2" a="1"/>
  <c r="L117" i="2" s="1"/>
  <c r="L121" i="2" a="1"/>
  <c r="L121" i="2" s="1"/>
  <c r="L125" i="2" a="1"/>
  <c r="L125" i="2" s="1"/>
  <c r="L129" i="2" a="1"/>
  <c r="L129" i="2" s="1"/>
  <c r="K137" i="2"/>
  <c r="L137" i="2" s="1" a="1"/>
  <c r="L137" i="2" s="1"/>
  <c r="K139" i="2"/>
  <c r="L139" i="2" s="1" a="1"/>
  <c r="L139" i="2" s="1"/>
  <c r="K141" i="2"/>
  <c r="L141" i="2" s="1" a="1"/>
  <c r="L141" i="2" s="1"/>
  <c r="K159" i="2"/>
  <c r="L159" i="2" s="1" a="1"/>
  <c r="L159" i="2" s="1"/>
  <c r="K160" i="2"/>
  <c r="L160" i="2" s="1" a="1"/>
  <c r="L160" i="2" s="1"/>
  <c r="K164" i="2"/>
  <c r="L164" i="2" s="1" a="1"/>
  <c r="L164" i="2" s="1"/>
  <c r="K163" i="2"/>
  <c r="L163" i="2" s="1" a="1"/>
  <c r="L163" i="2" s="1"/>
  <c r="K143" i="2"/>
  <c r="L143" i="2" s="1" a="1"/>
  <c r="L143" i="2" s="1"/>
  <c r="O179" i="2"/>
  <c r="N179" i="2"/>
  <c r="O184" i="2"/>
  <c r="N184" i="2"/>
  <c r="K185" i="2"/>
  <c r="L185" i="2" s="1" a="1"/>
  <c r="L185" i="2" s="1"/>
  <c r="O149" i="2"/>
  <c r="N149" i="2"/>
  <c r="K150" i="2"/>
  <c r="L150" i="2" s="1" a="1"/>
  <c r="L150" i="2" s="1"/>
  <c r="L153" i="2" a="1"/>
  <c r="L153" i="2" s="1"/>
  <c r="K155" i="2"/>
  <c r="L155" i="2" s="1" a="1"/>
  <c r="L155" i="2" s="1"/>
  <c r="O167" i="2"/>
  <c r="N167" i="2"/>
  <c r="K168" i="2"/>
  <c r="L168" i="2" s="1" a="1"/>
  <c r="L168" i="2" s="1"/>
  <c r="L184" i="2" a="1"/>
  <c r="L184" i="2" s="1"/>
  <c r="O187" i="2"/>
  <c r="N187" i="2"/>
  <c r="K188" i="2"/>
  <c r="L188" i="2" s="1" a="1"/>
  <c r="L188" i="2" s="1"/>
  <c r="O192" i="2"/>
  <c r="N192" i="2"/>
  <c r="M192" i="2"/>
  <c r="L198" i="2" a="1"/>
  <c r="L198" i="2" s="1"/>
  <c r="L227" i="2" a="1"/>
  <c r="L227" i="2" s="1"/>
  <c r="K238" i="2"/>
  <c r="K237" i="2"/>
  <c r="L237" i="2" s="1" a="1"/>
  <c r="L237" i="2" s="1"/>
  <c r="N147" i="2"/>
  <c r="L149" i="2" a="1"/>
  <c r="L149" i="2" s="1"/>
  <c r="L152" i="2" a="1"/>
  <c r="L152" i="2" s="1"/>
  <c r="K154" i="2"/>
  <c r="L154" i="2" s="1" a="1"/>
  <c r="L154" i="2" s="1"/>
  <c r="L156" i="2" a="1"/>
  <c r="L156" i="2" s="1"/>
  <c r="N162" i="2"/>
  <c r="M162" i="2"/>
  <c r="O162" i="2"/>
  <c r="K166" i="2"/>
  <c r="L166" i="2" s="1" a="1"/>
  <c r="L166" i="2" s="1"/>
  <c r="N182" i="2"/>
  <c r="M182" i="2"/>
  <c r="O182" i="2"/>
  <c r="L192" i="2" a="1"/>
  <c r="L192" i="2" s="1"/>
  <c r="K193" i="2"/>
  <c r="L193" i="2" s="1" a="1"/>
  <c r="L193" i="2" s="1"/>
  <c r="K197" i="2"/>
  <c r="L197" i="2" s="1" a="1"/>
  <c r="L197" i="2" s="1"/>
  <c r="K196" i="2"/>
  <c r="L196" i="2" s="1" a="1"/>
  <c r="L196" i="2" s="1"/>
  <c r="O147" i="2"/>
  <c r="K151" i="2"/>
  <c r="L151" i="2" s="1" a="1"/>
  <c r="L151" i="2" s="1"/>
  <c r="K157" i="2"/>
  <c r="L157" i="2" s="1" a="1"/>
  <c r="L157" i="2" s="1"/>
  <c r="L161" i="2" a="1"/>
  <c r="L161" i="2" s="1"/>
  <c r="K162" i="2"/>
  <c r="L162" i="2" s="1" a="1"/>
  <c r="L162" i="2" s="1"/>
  <c r="L169" i="2" a="1"/>
  <c r="L169" i="2" s="1"/>
  <c r="O173" i="2"/>
  <c r="N173" i="2"/>
  <c r="K174" i="2"/>
  <c r="L174" i="2" s="1" a="1"/>
  <c r="L174" i="2" s="1"/>
  <c r="M179" i="2"/>
  <c r="M184" i="2"/>
  <c r="K191" i="2"/>
  <c r="L191" i="2" s="1" a="1"/>
  <c r="L191" i="2" s="1"/>
  <c r="L219" i="2" a="1"/>
  <c r="L219" i="2" s="1"/>
  <c r="N215" i="2"/>
  <c r="L224" i="2" a="1"/>
  <c r="L224" i="2" s="1"/>
  <c r="L228" i="2" a="1"/>
  <c r="L228" i="2" s="1"/>
  <c r="O231" i="2"/>
  <c r="N231" i="2"/>
  <c r="K232" i="2"/>
  <c r="L232" i="2" s="1" a="1"/>
  <c r="L232" i="2" s="1"/>
  <c r="N234" i="2"/>
  <c r="M234" i="2"/>
  <c r="O234" i="2"/>
  <c r="L238" i="2" a="1"/>
  <c r="L238" i="2" s="1"/>
  <c r="L261" i="2" a="1"/>
  <c r="L261" i="2" s="1"/>
  <c r="M190" i="2"/>
  <c r="M199" i="2"/>
  <c r="O215" i="2"/>
  <c r="N229" i="2"/>
  <c r="K230" i="2"/>
  <c r="L230" i="2" s="1" a="1"/>
  <c r="L230" i="2" s="1"/>
  <c r="K234" i="2"/>
  <c r="L234" i="2" s="1" a="1"/>
  <c r="L234" i="2" s="1"/>
  <c r="N236" i="2"/>
  <c r="M236" i="2"/>
  <c r="O236" i="2"/>
  <c r="O241" i="2"/>
  <c r="N241" i="2"/>
  <c r="M241" i="2"/>
  <c r="K245" i="2"/>
  <c r="L245" i="2" s="1" a="1"/>
  <c r="L245" i="2" s="1"/>
  <c r="L250" i="2" a="1"/>
  <c r="L250" i="2" s="1"/>
  <c r="K254" i="2"/>
  <c r="L254" i="2" s="1" a="1"/>
  <c r="L254" i="2" s="1"/>
  <c r="K255" i="2"/>
  <c r="L255" i="2" s="1" a="1"/>
  <c r="L255" i="2" s="1"/>
  <c r="L264" i="2" a="1"/>
  <c r="L264" i="2" s="1"/>
  <c r="K218" i="2"/>
  <c r="L218" i="2" s="1" a="1"/>
  <c r="L218" i="2" s="1"/>
  <c r="L233" i="2" a="1"/>
  <c r="L233" i="2" s="1"/>
  <c r="L241" i="2" a="1"/>
  <c r="L241" i="2" s="1"/>
  <c r="L246" i="2" a="1"/>
  <c r="L246" i="2" s="1"/>
  <c r="K252" i="2"/>
  <c r="L252" i="2" s="1" a="1"/>
  <c r="L252" i="2" s="1"/>
  <c r="K257" i="2"/>
  <c r="L257" i="2" s="1" a="1"/>
  <c r="L257" i="2" s="1"/>
  <c r="K256" i="2"/>
  <c r="L256" i="2" s="1" a="1"/>
  <c r="L256" i="2" s="1"/>
  <c r="L267" i="2" a="1"/>
  <c r="L267" i="2" s="1"/>
  <c r="K272" i="2"/>
  <c r="L272" i="2" s="1" a="1"/>
  <c r="L272" i="2" s="1"/>
  <c r="O238" i="2"/>
  <c r="N238" i="2"/>
  <c r="L273" i="2" a="1"/>
  <c r="L273" i="2" s="1"/>
  <c r="M255" i="2"/>
  <c r="M258" i="2"/>
  <c r="N264" i="2"/>
  <c r="M271" i="2"/>
  <c r="O272" i="2"/>
  <c r="M244" i="2"/>
  <c r="N255" i="2"/>
  <c r="N258" i="2"/>
  <c r="N271"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S21" i="1"/>
  <c r="Y7" i="1" a="1"/>
  <c r="Y7" i="1" s="1"/>
  <c r="AB11" i="1"/>
  <c r="Y13" i="1"/>
  <c r="AB16" i="1"/>
  <c r="S17" i="1"/>
  <c r="S19" i="1"/>
  <c r="S11" i="1"/>
  <c r="AE11" i="1"/>
  <c r="S12" i="1"/>
  <c r="AE12" i="1"/>
  <c r="S16" i="1"/>
  <c r="S39" i="1"/>
  <c r="S36" i="1"/>
  <c r="S40" i="1"/>
  <c r="S32" i="1"/>
  <c r="S28" i="1"/>
  <c r="S24" i="1"/>
  <c r="S22" i="1"/>
  <c r="S20" i="1"/>
  <c r="S10" i="1"/>
  <c r="AE10" i="1"/>
  <c r="O12" i="1"/>
  <c r="P12" i="1" s="1"/>
  <c r="S15" i="1"/>
  <c r="S18" i="1"/>
  <c r="S23" i="1"/>
  <c r="S29" i="1"/>
  <c r="S26" i="1" l="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<sst xmlns="http://schemas.openxmlformats.org/spreadsheetml/2006/main" count="1135" uniqueCount="572">
  <si>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</si>
  <si>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</si>
  <si>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</si>
  <si>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</si>
  <si>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</si>
  <si>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</si>
  <si>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</si>
  <si>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</si>
  <si>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</si>
  <si>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</si>
  <si>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</si>
  <si>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</si>
  <si>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</si>
  <si>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</si>
  <si>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</si>
  <si>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</si>
  <si>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</si>
  <si>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</si>
  <si>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</si>
  <si>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</si>
  <si>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</si>
  <si>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</si>
  <si>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</si>
  <si>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</si>
  <si>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</si>
  <si>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</si>
  <si>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</si>
  <si>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</si>
  <si>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</si>
  <si>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</si>
  <si>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</si>
  <si>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</si>
  <si>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</si>
  <si>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</si>
  <si>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</si>
  <si>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</si>
  <si>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</si>
  <si>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</si>
  <si>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</si>
  <si>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</si>
  <si>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</si>
  <si>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</si>
  <si>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</si>
  <si>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</si>
  <si>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</si>
  <si>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</si>
  <si>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</si>
  <si>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</si>
  <si>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</si>
  <si>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</si>
  <si>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</si>
  <si>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</si>
  <si>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</si>
  <si>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</si>
  <si>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</si>
  <si>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</si>
  <si>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</si>
  <si>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</si>
  <si>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</si>
  <si>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</si>
  <si>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</si>
  <si>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</si>
  <si>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</si>
  <si>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</si>
  <si>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</si>
  <si>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</si>
  <si>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</si>
  <si>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</si>
  <si>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</si>
  <si>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</si>
  <si>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</si>
  <si>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</si>
  <si>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</si>
  <si>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</si>
  <si>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</si>
  <si>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</si>
  <si>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</si>
  <si>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</si>
  <si>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</si>
  <si>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</si>
  <si>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</si>
  <si>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</si>
  <si>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</si>
  <si>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</si>
  <si>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</si>
  <si>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</si>
  <si>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</si>
  <si>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</si>
  <si>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</si>
  <si>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</si>
  <si>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</si>
  <si>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</si>
  <si>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</si>
  <si>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</si>
  <si>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</si>
  <si>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</si>
  <si>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</si>
  <si>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</si>
  <si>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</si>
  <si>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</si>
  <si>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</si>
  <si>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</si>
  <si>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</si>
  <si>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</si>
  <si>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</si>
  <si>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</si>
  <si>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</si>
  <si>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</si>
  <si>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</si>
  <si>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</si>
  <si>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</si>
  <si>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</si>
  <si>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</si>
  <si>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</si>
  <si>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</si>
  <si>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</si>
  <si>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</si>
  <si>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</si>
  <si>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</si>
  <si>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</si>
  <si>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</si>
  <si>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</si>
  <si>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</si>
  <si>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</si>
  <si>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</si>
  <si>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</si>
  <si>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</si>
  <si>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</si>
  <si>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</si>
  <si>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</si>
  <si>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</si>
  <si>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</si>
  <si>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</si>
  <si>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</si>
  <si>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</si>
  <si>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</si>
  <si>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</si>
  <si>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</si>
  <si>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</si>
  <si>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</si>
  <si>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</si>
  <si>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</si>
  <si>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</si>
  <si>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</si>
  <si>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</si>
  <si>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</si>
  <si>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</si>
  <si>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</si>
  <si>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</si>
  <si>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</si>
  <si>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</si>
  <si>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</si>
  <si>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</si>
  <si>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</si>
  <si>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</si>
  <si>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</si>
  <si>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</si>
  <si>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</si>
  <si>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</si>
  <si>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</si>
  <si>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VE</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</si>
  <si>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</si>
  <si>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</si>
  <si>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</si>
  <si>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</si>
  <si>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</si>
  <si>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</si>
  <si>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</si>
  <si>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</si>
  <si>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</si>
  <si>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</si>
  <si>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</si>
  <si>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</si>
  <si>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</si>
  <si>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</si>
  <si>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</si>
  <si>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</si>
  <si>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</si>
  <si>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</si>
  <si>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</si>
  <si>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</si>
  <si>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</si>
  <si>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</si>
  <si>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</si>
  <si>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</si>
  <si>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</si>
  <si>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</si>
  <si>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</si>
  <si>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</si>
  <si>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</si>
  <si>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</si>
  <si>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</si>
  <si>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</si>
  <si>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</si>
  <si>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</si>
  <si>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</si>
  <si>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</si>
  <si>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</si>
  <si>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</si>
  <si>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</si>
  <si>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</si>
  <si>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</si>
  <si>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</si>
  <si>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</si>
  <si>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</si>
  <si>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</si>
  <si>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</si>
  <si>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</si>
  <si>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</si>
  <si>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</si>
  <si>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</si>
  <si>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</si>
  <si>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</si>
  <si>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</si>
  <si>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</si>
  <si>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</si>
  <si>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</si>
  <si>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</si>
  <si>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</si>
  <si>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</si>
  <si>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</si>
  <si>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</si>
  <si>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</si>
  <si>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</si>
  <si>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</si>
  <si>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</si>
  <si>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</si>
  <si>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</si>
  <si>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</si>
  <si>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</si>
  <si>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</si>
  <si>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</si>
  <si>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</si>
  <si>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</si>
  <si>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</si>
  <si>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</si>
  <si>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</si>
  <si>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</si>
  <si>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</si>
  <si>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</si>
  <si>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</si>
  <si>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</si>
  <si>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</si>
  <si>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</si>
  <si>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</si>
  <si>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</si>
  <si>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</si>
  <si>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</si>
  <si>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</si>
  <si>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</si>
  <si>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</si>
  <si>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</si>
  <si>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</si>
  <si>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</si>
  <si>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</si>
  <si>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</si>
  <si>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</si>
  <si>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</si>
  <si>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</si>
  <si>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</si>
  <si>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</si>
  <si>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</si>
  <si>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</si>
  <si>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</si>
  <si>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</si>
  <si>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</si>
  <si>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</si>
  <si>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</si>
  <si>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</si>
  <si>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</si>
  <si>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</si>
  <si>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</si>
  <si>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</si>
  <si>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</si>
  <si>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</si>
  <si>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</si>
  <si>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</si>
  <si>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</si>
  <si>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</si>
  <si>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</si>
  <si>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</si>
  <si>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</si>
  <si>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</si>
  <si>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</si>
  <si>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</si>
  <si>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</si>
  <si>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</si>
  <si>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</si>
  <si>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</si>
  <si>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</si>
  <si>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</si>
  <si>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</si>
  <si>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</si>
  <si>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</si>
  <si>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</si>
  <si>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</si>
  <si>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</si>
  <si>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</si>
  <si>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</si>
  <si>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</si>
  <si>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</si>
  <si>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</si>
  <si>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</si>
  <si>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</si>
  <si>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</si>
  <si>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</si>
  <si>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</si>
  <si>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</si>
  <si>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</si>
  <si>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</si>
  <si>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</si>
  <si>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</si>
  <si>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</si>
  <si>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</si>
  <si>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</si>
  <si>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</si>
  <si>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</si>
  <si>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</si>
  <si>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</si>
  <si>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</si>
  <si>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</si>
  <si>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</si>
  <si>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</si>
  <si>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</si>
  <si>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</si>
  <si>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</si>
  <si>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</si>
  <si>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</si>
  <si>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</si>
  <si>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</si>
  <si>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</si>
  <si>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</si>
  <si>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</si>
  <si>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</si>
  <si>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</si>
  <si>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</si>
  <si>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</si>
  <si>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</si>
  <si>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</si>
  <si>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</si>
  <si>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</si>
  <si>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</si>
  <si>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</si>
  <si>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</si>
  <si>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</si>
  <si>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</si>
  <si>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</si>
  <si>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</si>
  <si>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</si>
  <si>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</si>
  <si>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</si>
  <si>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</si>
  <si>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</si>
  <si>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</si>
  <si>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</si>
  <si>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</si>
  <si>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</si>
  <si>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</si>
  <si>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</si>
  <si>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</si>
  <si>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</si>
  <si>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</si>
  <si>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</si>
  <si>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</si>
  <si>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</si>
  <si>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</si>
  <si>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</si>
  <si>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</si>
  <si>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</si>
  <si>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</si>
  <si>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</si>
  <si>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</si>
  <si>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</si>
  <si>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</si>
  <si>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</si>
  <si>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</si>
  <si>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</si>
  <si>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</si>
  <si>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</si>
  <si>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</si>
  <si>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</si>
  <si>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</si>
  <si>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</si>
  <si>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</si>
  <si>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</si>
  <si>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</si>
  <si>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</si>
  <si>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</si>
  <si>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</si>
  <si>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</si>
  <si>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</si>
  <si>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</si>
  <si>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</si>
  <si>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</si>
  <si>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</si>
  <si>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</si>
  <si>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</si>
  <si>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</si>
  <si>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</si>
  <si>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</si>
  <si>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</si>
  <si>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</si>
  <si>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</si>
  <si>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</si>
  <si>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</si>
  <si>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</si>
  <si>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</si>
  <si>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</si>
  <si>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</si>
  <si>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</si>
  <si>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</si>
  <si>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</si>
  <si>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</si>
  <si>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</si>
  <si>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</si>
  <si>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</si>
  <si>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</si>
  <si>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</si>
  <si>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</si>
  <si>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</si>
  <si>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</si>
  <si>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</si>
  <si>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</si>
  <si>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</si>
  <si>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</si>
  <si>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</si>
  <si>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</si>
  <si>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</si>
  <si>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</si>
  <si>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</si>
  <si>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</si>
  <si>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</si>
  <si>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</si>
  <si>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</si>
  <si>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</si>
  <si>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</si>
  <si>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</si>
  <si>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</si>
  <si>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</si>
  <si>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</si>
  <si>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046A38</t>
  </si>
  <si>
    <t>FF883E</t>
  </si>
  <si>
    <t>169B62</t>
  </si>
  <si>
    <t>034DA3</t>
  </si>
  <si>
    <t>005CE6</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</si>
  <si>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</si>
  <si>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</si>
  <si>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</si>
  <si>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</si>
  <si>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</si>
  <si>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</si>
  <si>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</si>
  <si>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</si>
  <si>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</si>
  <si>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</si>
  <si>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</si>
  <si>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</si>
  <si>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</si>
  <si>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</si>
  <si>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</si>
  <si>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</si>
  <si>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</si>
  <si>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</si>
  <si>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</si>
  <si>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</si>
  <si>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</si>
  <si>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</si>
  <si>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</si>
  <si>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</si>
  <si>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</si>
  <si>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</si>
  <si>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</si>
  <si>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</si>
  <si>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</si>
  <si>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</si>
  <si>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</si>
  <si>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</si>
  <si>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</si>
  <si>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</si>
  <si>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</si>
  <si>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</si>
  <si>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</si>
  <si>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</si>
  <si>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</si>
  <si>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</si>
  <si>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</si>
  <si>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</si>
  <si>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</si>
  <si>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</si>
  <si>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</si>
  <si>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</si>
  <si>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</si>
  <si>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</si>
  <si>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</si>
  <si>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</si>
  <si>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</si>
  <si>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</si>
  <si>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</si>
  <si>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</si>
  <si>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</si>
  <si>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</si>
  <si>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</si>
  <si>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</si>
  <si>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</si>
  <si>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</si>
  <si>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</si>
  <si>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</si>
  <si>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</si>
  <si>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</si>
  <si>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</si>
  <si>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</si>
  <si>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</si>
  <si>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</si>
  <si>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</si>
  <si>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</si>
  <si>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</si>
  <si>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</si>
  <si>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</si>
  <si>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</si>
  <si>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</si>
  <si>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</si>
  <si>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</si>
  <si>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</si>
  <si>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</si>
  <si>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</si>
  <si>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</si>
  <si>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</si>
  <si>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</si>
  <si>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</si>
  <si>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</si>
  <si>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</si>
  <si>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</si>
  <si>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</si>
  <si>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</si>
  <si>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</si>
  <si>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</si>
  <si>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</si>
  <si>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</si>
  <si>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</si>
  <si>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</si>
  <si>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</si>
  <si>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</si>
  <si>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</si>
  <si>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</si>
  <si>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</si>
  <si>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</si>
  <si>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</si>
  <si>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</si>
  <si>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</si>
  <si>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</si>
  <si>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</si>
  <si>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</si>
  <si>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</si>
  <si>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</si>
  <si>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</si>
  <si>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</si>
  <si>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</si>
  <si>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</si>
  <si>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</si>
  <si>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</si>
  <si>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</si>
  <si>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</si>
  <si>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</si>
  <si>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</si>
  <si>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</si>
  <si>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</si>
  <si>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</si>
  <si>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</si>
  <si>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</si>
  <si>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</si>
  <si>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'/Users/JDAW/Documents/GitHub/chart_markers/ChartMarkers_Excel/HR_Excel.svg'.</t>
  </si>
  <si>
    <t>C0C0C0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</si>
</sst>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PT</c:v>
                </c:pt>
              </c:strCache>
            </c:strRef>
          </c:tx>
          <c:spPr>
            <a:ln w="38100" cap="rnd" cmpd="sng" algn="ctr">
              <a:solidFill>
                <a:srgbClr val="FF0000"/>
              </a:solidFill>
              <a:prstDash val="solid"/>
              <a:round/>
              <a:headEnd type="none" w="med" len="med"/>
              <a:tailEnd type="none" w="med" len="med"/>
            </a:ln>
            <a:effectLst/>
          </c:spPr>
          <c:marker>
            <c:symbol val="none"/>
          </c:marker>
          <c:xVal>
            <c:numRef>
              <c:f>[0]!TestData.01X</c:f>
              <c:numCache>
                <c:formatCode>General</c:formatCode>
                <c:ptCount val="32"/>
                <c:pt idx="0">
                  <c:v>1</c:v>
                </c:pt>
                <c:pt idx="1">
                  <c:v>1.2296649962677739</c:v>
                </c:pt>
                <c:pt idx="2">
                  <c:v>1.618755742164997</c:v>
                </c:pt>
                <c:pt idx="3">
                  <c:v>1.9860367431851549</c:v>
                </c:pt>
                <c:pt idx="4">
                  <c:v>2.4283124649275263</c:v>
                </c:pt>
                <c:pt idx="5">
                  <c:v>2.9029805338793748</c:v>
                </c:pt>
                <c:pt idx="6">
                  <c:v>3.5426244234734536</c:v>
                </c:pt>
                <c:pt idx="7">
                  <c:v>3.7893571201095559</c:v>
                </c:pt>
                <c:pt idx="8">
                  <c:v>4.1799133070777703</c:v>
                </c:pt>
                <c:pt idx="9">
                  <c:v>4.8054365087881692</c:v>
                </c:pt>
                <c:pt idx="10">
                  <c:v>5.135422344819613</c:v>
                </c:pt>
                <c:pt idx="11">
                  <c:v>5.9693673295027638</c:v>
                </c:pt>
                <c:pt idx="12">
                  <c:v>6.6564979599714782</c:v>
                </c:pt>
                <c:pt idx="13">
                  <c:v>7.0571419235543011</c:v>
                </c:pt>
                <c:pt idx="14">
                  <c:v>7.5559492925897187</c:v>
                </c:pt>
                <c:pt idx="15">
                  <c:v>7.9804895907291851</c:v>
                </c:pt>
                <c:pt idx="16">
                  <c:v>9.4845149127252366</c:v>
                </c:pt>
                <c:pt idx="17">
                  <c:v>11.121305198641242</c:v>
                </c:pt>
                <c:pt idx="18">
                  <c:v>13.158271012075652</c:v>
                </c:pt>
                <c:pt idx="19">
                  <c:v>14.967343297895287</c:v>
                </c:pt>
                <c:pt idx="20">
                  <c:v>16.339290842478889</c:v>
                </c:pt>
                <c:pt idx="21">
                  <c:v>17.884051390487855</c:v>
                </c:pt>
                <c:pt idx="22">
                  <c:v>18.278689772226731</c:v>
                </c:pt>
                <c:pt idx="23">
                  <c:v>20.608057098828009</c:v>
                </c:pt>
                <c:pt idx="24">
                  <c:v>23.624861429134654</c:v>
                </c:pt>
                <c:pt idx="25">
                  <c:v>25.19445924955463</c:v>
                </c:pt>
                <c:pt idx="26">
                  <c:v>28.882540320653188</c:v>
                </c:pt>
                <c:pt idx="27">
                  <c:v>32.556860824779982</c:v>
                </c:pt>
                <c:pt idx="28">
                  <c:v>33.46318981712664</c:v>
                </c:pt>
                <c:pt idx="29">
                  <c:v>37.876863053063289</c:v>
                </c:pt>
                <c:pt idx="30">
                  <c:v>40.712488868091675</c:v>
                </c:pt>
                <c:pt idx="31">
                  <c:v>45.977394006857459</c:v>
                </c:pt>
              </c:numCache>
            </c:numRef>
          </c:xVal>
          <c:yVal>
            <c:numRef>
              <c:f>[0]!TestData.01Y</c:f>
              <c:numCache>
                <c:formatCode>General</c:formatCode>
                <c:ptCount val="32"/>
                <c:pt idx="0">
                  <c:v>208.03551469662921</c:v>
                </c:pt>
                <c:pt idx="1">
                  <c:v>210.49157065883944</c:v>
                </c:pt>
                <c:pt idx="2">
                  <c:v>214.77383693955352</c:v>
                </c:pt>
                <c:pt idx="3">
                  <c:v>216.01305824864548</c:v>
                </c:pt>
                <c:pt idx="4">
                  <c:v>222.06142332840219</c:v>
                </c:pt>
                <c:pt idx="5">
                  <c:v>226.89551397775435</c:v>
                </c:pt>
                <c:pt idx="6">
                  <c:v>230.96297780033689</c:v>
                </c:pt>
                <c:pt idx="7">
                  <c:v>233.06001242506352</c:v>
                </c:pt>
                <c:pt idx="8">
                  <c:v>231.96402563607472</c:v>
                </c:pt>
                <c:pt idx="9">
                  <c:v>238.18996132838348</c:v>
                </c:pt>
                <c:pt idx="10">
                  <c:v>237.31663456735166</c:v>
                </c:pt>
                <c:pt idx="11">
                  <c:v>242.41069963071351</c:v>
                </c:pt>
                <c:pt idx="12">
                  <c:v>241.783398711925</c:v>
                </c:pt>
                <c:pt idx="13">
                  <c:v>244.50266789026864</c:v>
                </c:pt>
                <c:pt idx="14">
                  <c:v>244.69950814530714</c:v>
                </c:pt>
                <c:pt idx="15">
                  <c:v>245.47214418562436</c:v>
                </c:pt>
                <c:pt idx="16">
                  <c:v>249.01461767600665</c:v>
                </c:pt>
                <c:pt idx="17">
                  <c:v>247.86388673011803</c:v>
                </c:pt>
                <c:pt idx="18">
                  <c:v>248.86796465380002</c:v>
                </c:pt>
                <c:pt idx="19">
                  <c:v>247.95470729033048</c:v>
                </c:pt>
                <c:pt idx="20">
                  <c:v>247.22969779083675</c:v>
                </c:pt>
                <c:pt idx="21">
                  <c:v>245.6378467407641</c:v>
                </c:pt>
                <c:pt idx="22">
                  <c:v>245.84106586651882</c:v>
                </c:pt>
                <c:pt idx="23">
                  <c:v>241.99562076120637</c:v>
                </c:pt>
                <c:pt idx="24">
                  <c:v>240.10056456697879</c:v>
                </c:pt>
                <c:pt idx="25">
                  <c:v>236.48945012038649</c:v>
                </c:pt>
                <c:pt idx="26">
                  <c:v>232.69517375925054</c:v>
                </c:pt>
                <c:pt idx="27">
                  <c:v>231.80618554643078</c:v>
                </c:pt>
                <c:pt idx="28">
                  <c:v>230.90110953857851</c:v>
                </c:pt>
                <c:pt idx="29">
                  <c:v>227.26451893413531</c:v>
                </c:pt>
                <c:pt idx="30">
                  <c:v>224.85414484983067</c:v>
                </c:pt>
                <c:pt idx="31">
                  <c:v>222.38928107868247</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PT</c:v>
                </c:pt>
              </c:strCache>
            </c:strRef>
          </c:tx>
          <c:spPr>
            <a:ln w="12700" cap="rnd" cmpd="sng" algn="ctr">
              <a:solidFill>
                <a:srgbClr val="000000"/>
              </a:solidFill>
              <a:prstDash val="solid"/>
              <a:round/>
              <a:headEnd type="none" w="med" len="med"/>
              <a:tailEnd type="none" w="med" len="med"/>
            </a:ln>
            <a:effectLst/>
          </c:spPr>
          <c:marker>
            <c:symbol val="none"/>
          </c:marker>
          <c:xVal>
            <c:numRef>
              <c:f>[0]!TestData.01X</c:f>
              <c:numCache>
                <c:formatCode>General</c:formatCode>
                <c:ptCount val="32"/>
                <c:pt idx="0">
                  <c:v>1</c:v>
                </c:pt>
                <c:pt idx="1">
                  <c:v>1.2296649962677739</c:v>
                </c:pt>
                <c:pt idx="2">
                  <c:v>1.618755742164997</c:v>
                </c:pt>
                <c:pt idx="3">
                  <c:v>1.9860367431851549</c:v>
                </c:pt>
                <c:pt idx="4">
                  <c:v>2.4283124649275263</c:v>
                </c:pt>
                <c:pt idx="5">
                  <c:v>2.9029805338793748</c:v>
                </c:pt>
                <c:pt idx="6">
                  <c:v>3.5426244234734536</c:v>
                </c:pt>
                <c:pt idx="7">
                  <c:v>3.7893571201095559</c:v>
                </c:pt>
                <c:pt idx="8">
                  <c:v>4.1799133070777703</c:v>
                </c:pt>
                <c:pt idx="9">
                  <c:v>4.8054365087881692</c:v>
                </c:pt>
                <c:pt idx="10">
                  <c:v>5.135422344819613</c:v>
                </c:pt>
                <c:pt idx="11">
                  <c:v>5.9693673295027638</c:v>
                </c:pt>
                <c:pt idx="12">
                  <c:v>6.6564979599714782</c:v>
                </c:pt>
                <c:pt idx="13">
                  <c:v>7.0571419235543011</c:v>
                </c:pt>
                <c:pt idx="14">
                  <c:v>7.5559492925897187</c:v>
                </c:pt>
                <c:pt idx="15">
                  <c:v>7.9804895907291851</c:v>
                </c:pt>
                <c:pt idx="16">
                  <c:v>9.4845149127252366</c:v>
                </c:pt>
                <c:pt idx="17">
                  <c:v>11.121305198641242</c:v>
                </c:pt>
                <c:pt idx="18">
                  <c:v>13.158271012075652</c:v>
                </c:pt>
                <c:pt idx="19">
                  <c:v>14.967343297895287</c:v>
                </c:pt>
                <c:pt idx="20">
                  <c:v>16.339290842478889</c:v>
                </c:pt>
                <c:pt idx="21">
                  <c:v>17.884051390487855</c:v>
                </c:pt>
                <c:pt idx="22">
                  <c:v>18.278689772226731</c:v>
                </c:pt>
                <c:pt idx="23">
                  <c:v>20.608057098828009</c:v>
                </c:pt>
                <c:pt idx="24">
                  <c:v>23.624861429134654</c:v>
                </c:pt>
                <c:pt idx="25">
                  <c:v>25.19445924955463</c:v>
                </c:pt>
                <c:pt idx="26">
                  <c:v>28.882540320653188</c:v>
                </c:pt>
                <c:pt idx="27">
                  <c:v>32.556860824779982</c:v>
                </c:pt>
                <c:pt idx="28">
                  <c:v>33.46318981712664</c:v>
                </c:pt>
                <c:pt idx="29">
                  <c:v>37.876863053063289</c:v>
                </c:pt>
                <c:pt idx="30">
                  <c:v>40.712488868091675</c:v>
                </c:pt>
                <c:pt idx="31">
                  <c:v>45.977394006857459</c:v>
                </c:pt>
              </c:numCache>
            </c:numRef>
          </c:xVal>
          <c:yVal>
            <c:numRef>
              <c:f>[0]!TestData.01Y</c:f>
              <c:numCache>
                <c:formatCode>General</c:formatCode>
                <c:ptCount val="32"/>
                <c:pt idx="0">
                  <c:v>208.03551469662921</c:v>
                </c:pt>
                <c:pt idx="1">
                  <c:v>210.49157065883944</c:v>
                </c:pt>
                <c:pt idx="2">
                  <c:v>214.77383693955352</c:v>
                </c:pt>
                <c:pt idx="3">
                  <c:v>216.01305824864548</c:v>
                </c:pt>
                <c:pt idx="4">
                  <c:v>222.06142332840219</c:v>
                </c:pt>
                <c:pt idx="5">
                  <c:v>226.89551397775435</c:v>
                </c:pt>
                <c:pt idx="6">
                  <c:v>230.96297780033689</c:v>
                </c:pt>
                <c:pt idx="7">
                  <c:v>233.06001242506352</c:v>
                </c:pt>
                <c:pt idx="8">
                  <c:v>231.96402563607472</c:v>
                </c:pt>
                <c:pt idx="9">
                  <c:v>238.18996132838348</c:v>
                </c:pt>
                <c:pt idx="10">
                  <c:v>237.31663456735166</c:v>
                </c:pt>
                <c:pt idx="11">
                  <c:v>242.41069963071351</c:v>
                </c:pt>
                <c:pt idx="12">
                  <c:v>241.783398711925</c:v>
                </c:pt>
                <c:pt idx="13">
                  <c:v>244.50266789026864</c:v>
                </c:pt>
                <c:pt idx="14">
                  <c:v>244.69950814530714</c:v>
                </c:pt>
                <c:pt idx="15">
                  <c:v>245.47214418562436</c:v>
                </c:pt>
                <c:pt idx="16">
                  <c:v>249.01461767600665</c:v>
                </c:pt>
                <c:pt idx="17">
                  <c:v>247.86388673011803</c:v>
                </c:pt>
                <c:pt idx="18">
                  <c:v>248.86796465380002</c:v>
                </c:pt>
                <c:pt idx="19">
                  <c:v>247.95470729033048</c:v>
                </c:pt>
                <c:pt idx="20">
                  <c:v>247.22969779083675</c:v>
                </c:pt>
                <c:pt idx="21">
                  <c:v>245.6378467407641</c:v>
                </c:pt>
                <c:pt idx="22">
                  <c:v>245.84106586651882</c:v>
                </c:pt>
                <c:pt idx="23">
                  <c:v>241.99562076120637</c:v>
                </c:pt>
                <c:pt idx="24">
                  <c:v>240.10056456697879</c:v>
                </c:pt>
                <c:pt idx="25">
                  <c:v>236.48945012038649</c:v>
                </c:pt>
                <c:pt idx="26">
                  <c:v>232.69517375925054</c:v>
                </c:pt>
                <c:pt idx="27">
                  <c:v>231.80618554643078</c:v>
                </c:pt>
                <c:pt idx="28">
                  <c:v>230.90110953857851</c:v>
                </c:pt>
                <c:pt idx="29">
                  <c:v>227.26451893413531</c:v>
                </c:pt>
                <c:pt idx="30">
                  <c:v>224.85414484983067</c:v>
                </c:pt>
                <c:pt idx="31">
                  <c:v>222.38928107868247</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PT</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1.2296649962677739</c:v>
                </c:pt>
                <c:pt idx="2">
                  <c:v>1.618755742164997</c:v>
                </c:pt>
                <c:pt idx="3">
                  <c:v>1.9860367431851549</c:v>
                </c:pt>
                <c:pt idx="4">
                  <c:v>2.4283124649275263</c:v>
                </c:pt>
                <c:pt idx="5">
                  <c:v>2.9029805338793748</c:v>
                </c:pt>
                <c:pt idx="6">
                  <c:v>3.5426244234734536</c:v>
                </c:pt>
                <c:pt idx="7">
                  <c:v>3.7893571201095559</c:v>
                </c:pt>
                <c:pt idx="8">
                  <c:v>4.1799133070777703</c:v>
                </c:pt>
                <c:pt idx="9">
                  <c:v>4.8054365087881692</c:v>
                </c:pt>
                <c:pt idx="10">
                  <c:v>5.135422344819613</c:v>
                </c:pt>
                <c:pt idx="11">
                  <c:v>5.9693673295027638</c:v>
                </c:pt>
                <c:pt idx="12">
                  <c:v>6.6564979599714782</c:v>
                </c:pt>
                <c:pt idx="13">
                  <c:v>7.0571419235543011</c:v>
                </c:pt>
                <c:pt idx="14">
                  <c:v>7.5559492925897187</c:v>
                </c:pt>
                <c:pt idx="15">
                  <c:v>7.9804895907291851</c:v>
                </c:pt>
                <c:pt idx="16">
                  <c:v>9.4845149127252366</c:v>
                </c:pt>
                <c:pt idx="17">
                  <c:v>11.121305198641242</c:v>
                </c:pt>
                <c:pt idx="18">
                  <c:v>13.158271012075652</c:v>
                </c:pt>
                <c:pt idx="19">
                  <c:v>14.967343297895287</c:v>
                </c:pt>
                <c:pt idx="20">
                  <c:v>16.339290842478889</c:v>
                </c:pt>
                <c:pt idx="21">
                  <c:v>17.884051390487855</c:v>
                </c:pt>
                <c:pt idx="22">
                  <c:v>18.278689772226731</c:v>
                </c:pt>
                <c:pt idx="23">
                  <c:v>20.608057098828009</c:v>
                </c:pt>
                <c:pt idx="24">
                  <c:v>23.624861429134654</c:v>
                </c:pt>
                <c:pt idx="25">
                  <c:v>25.19445924955463</c:v>
                </c:pt>
                <c:pt idx="26">
                  <c:v>28.882540320653188</c:v>
                </c:pt>
                <c:pt idx="27">
                  <c:v>32.556860824779982</c:v>
                </c:pt>
                <c:pt idx="28">
                  <c:v>33.46318981712664</c:v>
                </c:pt>
                <c:pt idx="29">
                  <c:v>37.876863053063289</c:v>
                </c:pt>
                <c:pt idx="30">
                  <c:v>40.712488868091675</c:v>
                </c:pt>
                <c:pt idx="31">
                  <c:v>45.977394006857459</c:v>
                </c:pt>
              </c:numCache>
            </c:numRef>
          </c:xVal>
          <c:yVal>
            <c:numRef>
              <c:f>[0]!TestData.01Y</c:f>
              <c:numCache>
                <c:formatCode>General</c:formatCode>
                <c:ptCount val="32"/>
                <c:pt idx="0">
                  <c:v>208.03551469662921</c:v>
                </c:pt>
                <c:pt idx="1">
                  <c:v>210.49157065883944</c:v>
                </c:pt>
                <c:pt idx="2">
                  <c:v>214.77383693955352</c:v>
                </c:pt>
                <c:pt idx="3">
                  <c:v>216.01305824864548</c:v>
                </c:pt>
                <c:pt idx="4">
                  <c:v>222.06142332840219</c:v>
                </c:pt>
                <c:pt idx="5">
                  <c:v>226.89551397775435</c:v>
                </c:pt>
                <c:pt idx="6">
                  <c:v>230.96297780033689</c:v>
                </c:pt>
                <c:pt idx="7">
                  <c:v>233.06001242506352</c:v>
                </c:pt>
                <c:pt idx="8">
                  <c:v>231.96402563607472</c:v>
                </c:pt>
                <c:pt idx="9">
                  <c:v>238.18996132838348</c:v>
                </c:pt>
                <c:pt idx="10">
                  <c:v>237.31663456735166</c:v>
                </c:pt>
                <c:pt idx="11">
                  <c:v>242.41069963071351</c:v>
                </c:pt>
                <c:pt idx="12">
                  <c:v>241.783398711925</c:v>
                </c:pt>
                <c:pt idx="13">
                  <c:v>244.50266789026864</c:v>
                </c:pt>
                <c:pt idx="14">
                  <c:v>244.69950814530714</c:v>
                </c:pt>
                <c:pt idx="15">
                  <c:v>245.47214418562436</c:v>
                </c:pt>
                <c:pt idx="16">
                  <c:v>249.01461767600665</c:v>
                </c:pt>
                <c:pt idx="17">
                  <c:v>247.86388673011803</c:v>
                </c:pt>
                <c:pt idx="18">
                  <c:v>248.86796465380002</c:v>
                </c:pt>
                <c:pt idx="19">
                  <c:v>247.95470729033048</c:v>
                </c:pt>
                <c:pt idx="20">
                  <c:v>247.22969779083675</c:v>
                </c:pt>
                <c:pt idx="21">
                  <c:v>245.6378467407641</c:v>
                </c:pt>
                <c:pt idx="22">
                  <c:v>245.84106586651882</c:v>
                </c:pt>
                <c:pt idx="23">
                  <c:v>241.99562076120637</c:v>
                </c:pt>
                <c:pt idx="24">
                  <c:v>240.10056456697879</c:v>
                </c:pt>
                <c:pt idx="25">
                  <c:v>236.48945012038649</c:v>
                </c:pt>
                <c:pt idx="26">
                  <c:v>232.69517375925054</c:v>
                </c:pt>
                <c:pt idx="27">
                  <c:v>231.80618554643078</c:v>
                </c:pt>
                <c:pt idx="28">
                  <c:v>230.90110953857851</c:v>
                </c:pt>
                <c:pt idx="29">
                  <c:v>227.26451893413531</c:v>
                </c:pt>
                <c:pt idx="30">
                  <c:v>224.85414484983067</c:v>
                </c:pt>
                <c:pt idx="31">
                  <c:v>222.38928107868247</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IE</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1.2457001418497928</c:v>
                </c:pt>
                <c:pt idx="2">
                  <c:v>1.6124414363846937</c:v>
                </c:pt>
                <c:pt idx="3">
                  <c:v>2.0278870196723946</c:v>
                </c:pt>
                <c:pt idx="4">
                  <c:v>2.3361062027249622</c:v>
                </c:pt>
                <c:pt idx="5">
                  <c:v>2.5626233868950785</c:v>
                </c:pt>
                <c:pt idx="6">
                  <c:v>3.160828650399587</c:v>
                </c:pt>
                <c:pt idx="7">
                  <c:v>3.7329020399860435</c:v>
                </c:pt>
                <c:pt idx="8">
                  <c:v>4.2791005952798731</c:v>
                </c:pt>
                <c:pt idx="9">
                  <c:v>4.9448788540523392</c:v>
                </c:pt>
                <c:pt idx="10">
                  <c:v>5.6357328391208004</c:v>
                </c:pt>
                <c:pt idx="11">
                  <c:v>5.9175090312081471</c:v>
                </c:pt>
                <c:pt idx="12">
                  <c:v>6.2875017073862747</c:v>
                </c:pt>
                <c:pt idx="13">
                  <c:v>6.7544195514121226</c:v>
                </c:pt>
                <c:pt idx="14">
                  <c:v>7.3518424000440987</c:v>
                </c:pt>
                <c:pt idx="15">
                  <c:v>7.5602468581857396</c:v>
                </c:pt>
                <c:pt idx="16">
                  <c:v>7.993794310672401</c:v>
                </c:pt>
                <c:pt idx="17">
                  <c:v>9.1688178883964824</c:v>
                </c:pt>
                <c:pt idx="18">
                  <c:v>9.888809536473202</c:v>
                </c:pt>
                <c:pt idx="19">
                  <c:v>11.333153738040412</c:v>
                </c:pt>
                <c:pt idx="20">
                  <c:v>12.730443483329909</c:v>
                </c:pt>
                <c:pt idx="21">
                  <c:v>13.742625627472501</c:v>
                </c:pt>
                <c:pt idx="22">
                  <c:v>14.050952808327114</c:v>
                </c:pt>
                <c:pt idx="23">
                  <c:v>16.322381245908677</c:v>
                </c:pt>
                <c:pt idx="24">
                  <c:v>18.943938068434079</c:v>
                </c:pt>
                <c:pt idx="25">
                  <c:v>20.951512360655173</c:v>
                </c:pt>
                <c:pt idx="26">
                  <c:v>22.926439156529462</c:v>
                </c:pt>
                <c:pt idx="27">
                  <c:v>25.541420206232548</c:v>
                </c:pt>
                <c:pt idx="28">
                  <c:v>26.603962892613865</c:v>
                </c:pt>
                <c:pt idx="29">
                  <c:v>27.159666213782323</c:v>
                </c:pt>
                <c:pt idx="30">
                  <c:v>28.53157213159248</c:v>
                </c:pt>
                <c:pt idx="31">
                  <c:v>32.624272147959282</c:v>
                </c:pt>
              </c:numCache>
            </c:numRef>
          </c:xVal>
          <c:yVal>
            <c:numRef>
              <c:f>[0]!TestData.02Y</c:f>
              <c:numCache>
                <c:formatCode>General</c:formatCode>
                <c:ptCount val="32"/>
                <c:pt idx="0">
                  <c:v>181.37139639284646</c:v>
                </c:pt>
                <c:pt idx="1">
                  <c:v>183.23913227447338</c:v>
                </c:pt>
                <c:pt idx="2">
                  <c:v>186.42094903752968</c:v>
                </c:pt>
                <c:pt idx="3">
                  <c:v>190.88346232032833</c:v>
                </c:pt>
                <c:pt idx="4">
                  <c:v>194.78618650882504</c:v>
                </c:pt>
                <c:pt idx="5">
                  <c:v>197.38105236331299</c:v>
                </c:pt>
                <c:pt idx="6">
                  <c:v>198.09911876169406</c:v>
                </c:pt>
                <c:pt idx="7">
                  <c:v>202.48686631111497</c:v>
                </c:pt>
                <c:pt idx="8">
                  <c:v>206.90233837098381</c:v>
                </c:pt>
                <c:pt idx="9">
                  <c:v>211.05619066623626</c:v>
                </c:pt>
                <c:pt idx="10">
                  <c:v>210.56227512042395</c:v>
                </c:pt>
                <c:pt idx="11">
                  <c:v>214.86208245103191</c:v>
                </c:pt>
                <c:pt idx="12">
                  <c:v>215.84741732956917</c:v>
                </c:pt>
                <c:pt idx="13">
                  <c:v>214.41702983974125</c:v>
                </c:pt>
                <c:pt idx="14">
                  <c:v>219.14141548404021</c:v>
                </c:pt>
                <c:pt idx="15">
                  <c:v>217.71454859631001</c:v>
                </c:pt>
                <c:pt idx="16">
                  <c:v>216.75725612924262</c:v>
                </c:pt>
                <c:pt idx="17">
                  <c:v>219.26031242574373</c:v>
                </c:pt>
                <c:pt idx="18">
                  <c:v>219.36318061065523</c:v>
                </c:pt>
                <c:pt idx="19">
                  <c:v>223.62353594062608</c:v>
                </c:pt>
                <c:pt idx="20">
                  <c:v>221.3370334771023</c:v>
                </c:pt>
                <c:pt idx="21">
                  <c:v>222.6053967598348</c:v>
                </c:pt>
                <c:pt idx="22">
                  <c:v>221.76704552964625</c:v>
                </c:pt>
                <c:pt idx="23">
                  <c:v>220.29679488335154</c:v>
                </c:pt>
                <c:pt idx="24">
                  <c:v>218.3765282251166</c:v>
                </c:pt>
                <c:pt idx="25">
                  <c:v>215.63535374096679</c:v>
                </c:pt>
                <c:pt idx="26">
                  <c:v>212.32648128117313</c:v>
                </c:pt>
                <c:pt idx="27">
                  <c:v>211.41425877311536</c:v>
                </c:pt>
                <c:pt idx="28">
                  <c:v>211.52668042157472</c:v>
                </c:pt>
                <c:pt idx="29">
                  <c:v>209.08914584902931</c:v>
                </c:pt>
                <c:pt idx="30">
                  <c:v>208.87826614198462</c:v>
                </c:pt>
                <c:pt idx="31">
                  <c:v>204.3840784791507</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IE</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1.2457001418497928</c:v>
                </c:pt>
                <c:pt idx="2">
                  <c:v>1.6124414363846937</c:v>
                </c:pt>
                <c:pt idx="3">
                  <c:v>2.0278870196723946</c:v>
                </c:pt>
                <c:pt idx="4">
                  <c:v>2.3361062027249622</c:v>
                </c:pt>
                <c:pt idx="5">
                  <c:v>2.5626233868950785</c:v>
                </c:pt>
                <c:pt idx="6">
                  <c:v>3.160828650399587</c:v>
                </c:pt>
                <c:pt idx="7">
                  <c:v>3.7329020399860435</c:v>
                </c:pt>
                <c:pt idx="8">
                  <c:v>4.2791005952798731</c:v>
                </c:pt>
                <c:pt idx="9">
                  <c:v>4.9448788540523392</c:v>
                </c:pt>
                <c:pt idx="10">
                  <c:v>5.6357328391208004</c:v>
                </c:pt>
                <c:pt idx="11">
                  <c:v>5.9175090312081471</c:v>
                </c:pt>
                <c:pt idx="12">
                  <c:v>6.2875017073862747</c:v>
                </c:pt>
                <c:pt idx="13">
                  <c:v>6.7544195514121226</c:v>
                </c:pt>
                <c:pt idx="14">
                  <c:v>7.3518424000440987</c:v>
                </c:pt>
                <c:pt idx="15">
                  <c:v>7.5602468581857396</c:v>
                </c:pt>
                <c:pt idx="16">
                  <c:v>7.993794310672401</c:v>
                </c:pt>
                <c:pt idx="17">
                  <c:v>9.1688178883964824</c:v>
                </c:pt>
                <c:pt idx="18">
                  <c:v>9.888809536473202</c:v>
                </c:pt>
                <c:pt idx="19">
                  <c:v>11.333153738040412</c:v>
                </c:pt>
                <c:pt idx="20">
                  <c:v>12.730443483329909</c:v>
                </c:pt>
                <c:pt idx="21">
                  <c:v>13.742625627472501</c:v>
                </c:pt>
                <c:pt idx="22">
                  <c:v>14.050952808327114</c:v>
                </c:pt>
                <c:pt idx="23">
                  <c:v>16.322381245908677</c:v>
                </c:pt>
                <c:pt idx="24">
                  <c:v>18.943938068434079</c:v>
                </c:pt>
                <c:pt idx="25">
                  <c:v>20.951512360655173</c:v>
                </c:pt>
                <c:pt idx="26">
                  <c:v>22.926439156529462</c:v>
                </c:pt>
                <c:pt idx="27">
                  <c:v>25.541420206232548</c:v>
                </c:pt>
                <c:pt idx="28">
                  <c:v>26.603962892613865</c:v>
                </c:pt>
                <c:pt idx="29">
                  <c:v>27.159666213782323</c:v>
                </c:pt>
                <c:pt idx="30">
                  <c:v>28.53157213159248</c:v>
                </c:pt>
                <c:pt idx="31">
                  <c:v>32.624272147959282</c:v>
                </c:pt>
              </c:numCache>
            </c:numRef>
          </c:xVal>
          <c:yVal>
            <c:numRef>
              <c:f>[0]!TestData.02Y</c:f>
              <c:numCache>
                <c:formatCode>General</c:formatCode>
                <c:ptCount val="32"/>
                <c:pt idx="0">
                  <c:v>181.37139639284646</c:v>
                </c:pt>
                <c:pt idx="1">
                  <c:v>183.23913227447338</c:v>
                </c:pt>
                <c:pt idx="2">
                  <c:v>186.42094903752968</c:v>
                </c:pt>
                <c:pt idx="3">
                  <c:v>190.88346232032833</c:v>
                </c:pt>
                <c:pt idx="4">
                  <c:v>194.78618650882504</c:v>
                </c:pt>
                <c:pt idx="5">
                  <c:v>197.38105236331299</c:v>
                </c:pt>
                <c:pt idx="6">
                  <c:v>198.09911876169406</c:v>
                </c:pt>
                <c:pt idx="7">
                  <c:v>202.48686631111497</c:v>
                </c:pt>
                <c:pt idx="8">
                  <c:v>206.90233837098381</c:v>
                </c:pt>
                <c:pt idx="9">
                  <c:v>211.05619066623626</c:v>
                </c:pt>
                <c:pt idx="10">
                  <c:v>210.56227512042395</c:v>
                </c:pt>
                <c:pt idx="11">
                  <c:v>214.86208245103191</c:v>
                </c:pt>
                <c:pt idx="12">
                  <c:v>215.84741732956917</c:v>
                </c:pt>
                <c:pt idx="13">
                  <c:v>214.41702983974125</c:v>
                </c:pt>
                <c:pt idx="14">
                  <c:v>219.14141548404021</c:v>
                </c:pt>
                <c:pt idx="15">
                  <c:v>217.71454859631001</c:v>
                </c:pt>
                <c:pt idx="16">
                  <c:v>216.75725612924262</c:v>
                </c:pt>
                <c:pt idx="17">
                  <c:v>219.26031242574373</c:v>
                </c:pt>
                <c:pt idx="18">
                  <c:v>219.36318061065523</c:v>
                </c:pt>
                <c:pt idx="19">
                  <c:v>223.62353594062608</c:v>
                </c:pt>
                <c:pt idx="20">
                  <c:v>221.3370334771023</c:v>
                </c:pt>
                <c:pt idx="21">
                  <c:v>222.6053967598348</c:v>
                </c:pt>
                <c:pt idx="22">
                  <c:v>221.76704552964625</c:v>
                </c:pt>
                <c:pt idx="23">
                  <c:v>220.29679488335154</c:v>
                </c:pt>
                <c:pt idx="24">
                  <c:v>218.3765282251166</c:v>
                </c:pt>
                <c:pt idx="25">
                  <c:v>215.63535374096679</c:v>
                </c:pt>
                <c:pt idx="26">
                  <c:v>212.32648128117313</c:v>
                </c:pt>
                <c:pt idx="27">
                  <c:v>211.41425877311536</c:v>
                </c:pt>
                <c:pt idx="28">
                  <c:v>211.52668042157472</c:v>
                </c:pt>
                <c:pt idx="29">
                  <c:v>209.08914584902931</c:v>
                </c:pt>
                <c:pt idx="30">
                  <c:v>208.87826614198462</c:v>
                </c:pt>
                <c:pt idx="31">
                  <c:v>204.3840784791507</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IE</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1.2457001418497928</c:v>
                </c:pt>
                <c:pt idx="2">
                  <c:v>1.6124414363846937</c:v>
                </c:pt>
                <c:pt idx="3">
                  <c:v>2.0278870196723946</c:v>
                </c:pt>
                <c:pt idx="4">
                  <c:v>2.3361062027249622</c:v>
                </c:pt>
                <c:pt idx="5">
                  <c:v>2.5626233868950785</c:v>
                </c:pt>
                <c:pt idx="6">
                  <c:v>3.160828650399587</c:v>
                </c:pt>
                <c:pt idx="7">
                  <c:v>3.7329020399860435</c:v>
                </c:pt>
                <c:pt idx="8">
                  <c:v>4.2791005952798731</c:v>
                </c:pt>
                <c:pt idx="9">
                  <c:v>4.9448788540523392</c:v>
                </c:pt>
                <c:pt idx="10">
                  <c:v>5.6357328391208004</c:v>
                </c:pt>
                <c:pt idx="11">
                  <c:v>5.9175090312081471</c:v>
                </c:pt>
                <c:pt idx="12">
                  <c:v>6.2875017073862747</c:v>
                </c:pt>
                <c:pt idx="13">
                  <c:v>6.7544195514121226</c:v>
                </c:pt>
                <c:pt idx="14">
                  <c:v>7.3518424000440987</c:v>
                </c:pt>
                <c:pt idx="15">
                  <c:v>7.5602468581857396</c:v>
                </c:pt>
                <c:pt idx="16">
                  <c:v>7.993794310672401</c:v>
                </c:pt>
                <c:pt idx="17">
                  <c:v>9.1688178883964824</c:v>
                </c:pt>
                <c:pt idx="18">
                  <c:v>9.888809536473202</c:v>
                </c:pt>
                <c:pt idx="19">
                  <c:v>11.333153738040412</c:v>
                </c:pt>
                <c:pt idx="20">
                  <c:v>12.730443483329909</c:v>
                </c:pt>
                <c:pt idx="21">
                  <c:v>13.742625627472501</c:v>
                </c:pt>
                <c:pt idx="22">
                  <c:v>14.050952808327114</c:v>
                </c:pt>
                <c:pt idx="23">
                  <c:v>16.322381245908677</c:v>
                </c:pt>
                <c:pt idx="24">
                  <c:v>18.943938068434079</c:v>
                </c:pt>
                <c:pt idx="25">
                  <c:v>20.951512360655173</c:v>
                </c:pt>
                <c:pt idx="26">
                  <c:v>22.926439156529462</c:v>
                </c:pt>
                <c:pt idx="27">
                  <c:v>25.541420206232548</c:v>
                </c:pt>
                <c:pt idx="28">
                  <c:v>26.603962892613865</c:v>
                </c:pt>
                <c:pt idx="29">
                  <c:v>27.159666213782323</c:v>
                </c:pt>
                <c:pt idx="30">
                  <c:v>28.53157213159248</c:v>
                </c:pt>
                <c:pt idx="31">
                  <c:v>32.624272147959282</c:v>
                </c:pt>
              </c:numCache>
            </c:numRef>
          </c:xVal>
          <c:yVal>
            <c:numRef>
              <c:f>[0]!TestData.02Y</c:f>
              <c:numCache>
                <c:formatCode>General</c:formatCode>
                <c:ptCount val="32"/>
                <c:pt idx="0">
                  <c:v>181.37139639284646</c:v>
                </c:pt>
                <c:pt idx="1">
                  <c:v>183.23913227447338</c:v>
                </c:pt>
                <c:pt idx="2">
                  <c:v>186.42094903752968</c:v>
                </c:pt>
                <c:pt idx="3">
                  <c:v>190.88346232032833</c:v>
                </c:pt>
                <c:pt idx="4">
                  <c:v>194.78618650882504</c:v>
                </c:pt>
                <c:pt idx="5">
                  <c:v>197.38105236331299</c:v>
                </c:pt>
                <c:pt idx="6">
                  <c:v>198.09911876169406</c:v>
                </c:pt>
                <c:pt idx="7">
                  <c:v>202.48686631111497</c:v>
                </c:pt>
                <c:pt idx="8">
                  <c:v>206.90233837098381</c:v>
                </c:pt>
                <c:pt idx="9">
                  <c:v>211.05619066623626</c:v>
                </c:pt>
                <c:pt idx="10">
                  <c:v>210.56227512042395</c:v>
                </c:pt>
                <c:pt idx="11">
                  <c:v>214.86208245103191</c:v>
                </c:pt>
                <c:pt idx="12">
                  <c:v>215.84741732956917</c:v>
                </c:pt>
                <c:pt idx="13">
                  <c:v>214.41702983974125</c:v>
                </c:pt>
                <c:pt idx="14">
                  <c:v>219.14141548404021</c:v>
                </c:pt>
                <c:pt idx="15">
                  <c:v>217.71454859631001</c:v>
                </c:pt>
                <c:pt idx="16">
                  <c:v>216.75725612924262</c:v>
                </c:pt>
                <c:pt idx="17">
                  <c:v>219.26031242574373</c:v>
                </c:pt>
                <c:pt idx="18">
                  <c:v>219.36318061065523</c:v>
                </c:pt>
                <c:pt idx="19">
                  <c:v>223.62353594062608</c:v>
                </c:pt>
                <c:pt idx="20">
                  <c:v>221.3370334771023</c:v>
                </c:pt>
                <c:pt idx="21">
                  <c:v>222.6053967598348</c:v>
                </c:pt>
                <c:pt idx="22">
                  <c:v>221.76704552964625</c:v>
                </c:pt>
                <c:pt idx="23">
                  <c:v>220.29679488335154</c:v>
                </c:pt>
                <c:pt idx="24">
                  <c:v>218.3765282251166</c:v>
                </c:pt>
                <c:pt idx="25">
                  <c:v>215.63535374096679</c:v>
                </c:pt>
                <c:pt idx="26">
                  <c:v>212.32648128117313</c:v>
                </c:pt>
                <c:pt idx="27">
                  <c:v>211.41425877311536</c:v>
                </c:pt>
                <c:pt idx="28">
                  <c:v>211.52668042157472</c:v>
                </c:pt>
                <c:pt idx="29">
                  <c:v>209.08914584902931</c:v>
                </c:pt>
                <c:pt idx="30">
                  <c:v>208.87826614198462</c:v>
                </c:pt>
                <c:pt idx="31">
                  <c:v>204.3840784791507</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SK</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1.3385353143718997</c:v>
                </c:pt>
                <c:pt idx="2">
                  <c:v>1.5300089426387358</c:v>
                </c:pt>
                <c:pt idx="3">
                  <c:v>1.7436794343658948</c:v>
                </c:pt>
                <c:pt idx="4">
                  <c:v>2.1215947604470426</c:v>
                </c:pt>
                <c:pt idx="5">
                  <c:v>2.4407678027156692</c:v>
                </c:pt>
                <c:pt idx="6">
                  <c:v>2.9468004244810242</c:v>
                </c:pt>
                <c:pt idx="7">
                  <c:v>3.1437921449289963</c:v>
                </c:pt>
                <c:pt idx="8">
                  <c:v>3.5448408660406887</c:v>
                </c:pt>
                <c:pt idx="9">
                  <c:v>3.9961504433840389</c:v>
                </c:pt>
                <c:pt idx="10">
                  <c:v>4.5482177172274918</c:v>
                </c:pt>
                <c:pt idx="11">
                  <c:v>5.0488312031740286</c:v>
                </c:pt>
                <c:pt idx="12">
                  <c:v>5.4725752093181743</c:v>
                </c:pt>
                <c:pt idx="13">
                  <c:v>6.1013053220788889</c:v>
                </c:pt>
                <c:pt idx="14">
                  <c:v>6.9590511967918207</c:v>
                </c:pt>
                <c:pt idx="15">
                  <c:v>7.8368054813713481</c:v>
                </c:pt>
                <c:pt idx="16">
                  <c:v>8.5304275230259776</c:v>
                </c:pt>
                <c:pt idx="17">
                  <c:v>9.8172799808506213</c:v>
                </c:pt>
                <c:pt idx="18">
                  <c:v>11.500590830997149</c:v>
                </c:pt>
                <c:pt idx="19">
                  <c:v>11.795637419280343</c:v>
                </c:pt>
                <c:pt idx="20">
                  <c:v>12.282120437804066</c:v>
                </c:pt>
                <c:pt idx="21">
                  <c:v>12.547389469795901</c:v>
                </c:pt>
                <c:pt idx="22">
                  <c:v>13.84049649337995</c:v>
                </c:pt>
                <c:pt idx="23">
                  <c:v>14.7652056926442</c:v>
                </c:pt>
                <c:pt idx="24">
                  <c:v>16.90069504033864</c:v>
                </c:pt>
                <c:pt idx="25">
                  <c:v>17.726816633451534</c:v>
                </c:pt>
                <c:pt idx="26">
                  <c:v>20.056240819849428</c:v>
                </c:pt>
                <c:pt idx="27">
                  <c:v>20.528143653249732</c:v>
                </c:pt>
                <c:pt idx="28">
                  <c:v>20.993482975774477</c:v>
                </c:pt>
                <c:pt idx="29">
                  <c:v>24.652129983794719</c:v>
                </c:pt>
                <c:pt idx="30">
                  <c:v>27.574179676711466</c:v>
                </c:pt>
                <c:pt idx="31">
                  <c:v>29.739605371973024</c:v>
                </c:pt>
              </c:numCache>
            </c:numRef>
          </c:xVal>
          <c:yVal>
            <c:numRef>
              <c:f>[0]!TestData.03Y</c:f>
              <c:numCache>
                <c:formatCode>General</c:formatCode>
                <c:ptCount val="32"/>
                <c:pt idx="0">
                  <c:v>198.15514824046753</c:v>
                </c:pt>
                <c:pt idx="1">
                  <c:v>201.18001361794435</c:v>
                </c:pt>
                <c:pt idx="2">
                  <c:v>203.09345981780166</c:v>
                </c:pt>
                <c:pt idx="3">
                  <c:v>206.079050888273</c:v>
                </c:pt>
                <c:pt idx="4">
                  <c:v>207.48430343857856</c:v>
                </c:pt>
                <c:pt idx="5">
                  <c:v>213.28817139160077</c:v>
                </c:pt>
                <c:pt idx="6">
                  <c:v>216.18720556764379</c:v>
                </c:pt>
                <c:pt idx="7">
                  <c:v>219.00426710172303</c:v>
                </c:pt>
                <c:pt idx="8">
                  <c:v>221.29558527665617</c:v>
                </c:pt>
                <c:pt idx="9">
                  <c:v>222.01301198589664</c:v>
                </c:pt>
                <c:pt idx="10">
                  <c:v>225.67872724381431</c:v>
                </c:pt>
                <c:pt idx="11">
                  <c:v>228.11315617204923</c:v>
                </c:pt>
                <c:pt idx="12">
                  <c:v>233.00152248279329</c:v>
                </c:pt>
                <c:pt idx="13">
                  <c:v>233.51290258772727</c:v>
                </c:pt>
                <c:pt idx="14">
                  <c:v>236.45885217532461</c:v>
                </c:pt>
                <c:pt idx="15">
                  <c:v>240.49202842249218</c:v>
                </c:pt>
                <c:pt idx="16">
                  <c:v>241.25628649721423</c:v>
                </c:pt>
                <c:pt idx="17">
                  <c:v>242.99939063958027</c:v>
                </c:pt>
                <c:pt idx="18">
                  <c:v>246.83435741414362</c:v>
                </c:pt>
                <c:pt idx="19">
                  <c:v>246.49171921687821</c:v>
                </c:pt>
                <c:pt idx="20">
                  <c:v>246.32975734904051</c:v>
                </c:pt>
                <c:pt idx="21">
                  <c:v>246.18593759200073</c:v>
                </c:pt>
                <c:pt idx="22">
                  <c:v>248.28947756895386</c:v>
                </c:pt>
                <c:pt idx="23">
                  <c:v>246.02163471354774</c:v>
                </c:pt>
                <c:pt idx="24">
                  <c:v>248.68121526046315</c:v>
                </c:pt>
                <c:pt idx="25">
                  <c:v>247.19979352308843</c:v>
                </c:pt>
                <c:pt idx="26">
                  <c:v>247.23218850523284</c:v>
                </c:pt>
                <c:pt idx="27">
                  <c:v>246.59912620307185</c:v>
                </c:pt>
                <c:pt idx="28">
                  <c:v>244.52572324918486</c:v>
                </c:pt>
                <c:pt idx="29">
                  <c:v>244.12077379108962</c:v>
                </c:pt>
                <c:pt idx="30">
                  <c:v>243.02878229404143</c:v>
                </c:pt>
                <c:pt idx="31">
                  <c:v>239.16010213741441</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SK</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1.3385353143718997</c:v>
                </c:pt>
                <c:pt idx="2">
                  <c:v>1.5300089426387358</c:v>
                </c:pt>
                <c:pt idx="3">
                  <c:v>1.7436794343658948</c:v>
                </c:pt>
                <c:pt idx="4">
                  <c:v>2.1215947604470426</c:v>
                </c:pt>
                <c:pt idx="5">
                  <c:v>2.4407678027156692</c:v>
                </c:pt>
                <c:pt idx="6">
                  <c:v>2.9468004244810242</c:v>
                </c:pt>
                <c:pt idx="7">
                  <c:v>3.1437921449289963</c:v>
                </c:pt>
                <c:pt idx="8">
                  <c:v>3.5448408660406887</c:v>
                </c:pt>
                <c:pt idx="9">
                  <c:v>3.9961504433840389</c:v>
                </c:pt>
                <c:pt idx="10">
                  <c:v>4.5482177172274918</c:v>
                </c:pt>
                <c:pt idx="11">
                  <c:v>5.0488312031740286</c:v>
                </c:pt>
                <c:pt idx="12">
                  <c:v>5.4725752093181743</c:v>
                </c:pt>
                <c:pt idx="13">
                  <c:v>6.1013053220788889</c:v>
                </c:pt>
                <c:pt idx="14">
                  <c:v>6.9590511967918207</c:v>
                </c:pt>
                <c:pt idx="15">
                  <c:v>7.8368054813713481</c:v>
                </c:pt>
                <c:pt idx="16">
                  <c:v>8.5304275230259776</c:v>
                </c:pt>
                <c:pt idx="17">
                  <c:v>9.8172799808506213</c:v>
                </c:pt>
                <c:pt idx="18">
                  <c:v>11.500590830997149</c:v>
                </c:pt>
                <c:pt idx="19">
                  <c:v>11.795637419280343</c:v>
                </c:pt>
                <c:pt idx="20">
                  <c:v>12.282120437804066</c:v>
                </c:pt>
                <c:pt idx="21">
                  <c:v>12.547389469795901</c:v>
                </c:pt>
                <c:pt idx="22">
                  <c:v>13.84049649337995</c:v>
                </c:pt>
                <c:pt idx="23">
                  <c:v>14.7652056926442</c:v>
                </c:pt>
                <c:pt idx="24">
                  <c:v>16.90069504033864</c:v>
                </c:pt>
                <c:pt idx="25">
                  <c:v>17.726816633451534</c:v>
                </c:pt>
                <c:pt idx="26">
                  <c:v>20.056240819849428</c:v>
                </c:pt>
                <c:pt idx="27">
                  <c:v>20.528143653249732</c:v>
                </c:pt>
                <c:pt idx="28">
                  <c:v>20.993482975774477</c:v>
                </c:pt>
                <c:pt idx="29">
                  <c:v>24.652129983794719</c:v>
                </c:pt>
                <c:pt idx="30">
                  <c:v>27.574179676711466</c:v>
                </c:pt>
                <c:pt idx="31">
                  <c:v>29.739605371973024</c:v>
                </c:pt>
              </c:numCache>
            </c:numRef>
          </c:xVal>
          <c:yVal>
            <c:numRef>
              <c:f>[0]!TestData.03Y</c:f>
              <c:numCache>
                <c:formatCode>General</c:formatCode>
                <c:ptCount val="32"/>
                <c:pt idx="0">
                  <c:v>198.15514824046753</c:v>
                </c:pt>
                <c:pt idx="1">
                  <c:v>201.18001361794435</c:v>
                </c:pt>
                <c:pt idx="2">
                  <c:v>203.09345981780166</c:v>
                </c:pt>
                <c:pt idx="3">
                  <c:v>206.079050888273</c:v>
                </c:pt>
                <c:pt idx="4">
                  <c:v>207.48430343857856</c:v>
                </c:pt>
                <c:pt idx="5">
                  <c:v>213.28817139160077</c:v>
                </c:pt>
                <c:pt idx="6">
                  <c:v>216.18720556764379</c:v>
                </c:pt>
                <c:pt idx="7">
                  <c:v>219.00426710172303</c:v>
                </c:pt>
                <c:pt idx="8">
                  <c:v>221.29558527665617</c:v>
                </c:pt>
                <c:pt idx="9">
                  <c:v>222.01301198589664</c:v>
                </c:pt>
                <c:pt idx="10">
                  <c:v>225.67872724381431</c:v>
                </c:pt>
                <c:pt idx="11">
                  <c:v>228.11315617204923</c:v>
                </c:pt>
                <c:pt idx="12">
                  <c:v>233.00152248279329</c:v>
                </c:pt>
                <c:pt idx="13">
                  <c:v>233.51290258772727</c:v>
                </c:pt>
                <c:pt idx="14">
                  <c:v>236.45885217532461</c:v>
                </c:pt>
                <c:pt idx="15">
                  <c:v>240.49202842249218</c:v>
                </c:pt>
                <c:pt idx="16">
                  <c:v>241.25628649721423</c:v>
                </c:pt>
                <c:pt idx="17">
                  <c:v>242.99939063958027</c:v>
                </c:pt>
                <c:pt idx="18">
                  <c:v>246.83435741414362</c:v>
                </c:pt>
                <c:pt idx="19">
                  <c:v>246.49171921687821</c:v>
                </c:pt>
                <c:pt idx="20">
                  <c:v>246.32975734904051</c:v>
                </c:pt>
                <c:pt idx="21">
                  <c:v>246.18593759200073</c:v>
                </c:pt>
                <c:pt idx="22">
                  <c:v>248.28947756895386</c:v>
                </c:pt>
                <c:pt idx="23">
                  <c:v>246.02163471354774</c:v>
                </c:pt>
                <c:pt idx="24">
                  <c:v>248.68121526046315</c:v>
                </c:pt>
                <c:pt idx="25">
                  <c:v>247.19979352308843</c:v>
                </c:pt>
                <c:pt idx="26">
                  <c:v>247.23218850523284</c:v>
                </c:pt>
                <c:pt idx="27">
                  <c:v>246.59912620307185</c:v>
                </c:pt>
                <c:pt idx="28">
                  <c:v>244.52572324918486</c:v>
                </c:pt>
                <c:pt idx="29">
                  <c:v>244.12077379108962</c:v>
                </c:pt>
                <c:pt idx="30">
                  <c:v>243.02878229404143</c:v>
                </c:pt>
                <c:pt idx="31">
                  <c:v>239.16010213741441</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SK</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1.3385353143718997</c:v>
                </c:pt>
                <c:pt idx="2">
                  <c:v>1.5300089426387358</c:v>
                </c:pt>
                <c:pt idx="3">
                  <c:v>1.7436794343658948</c:v>
                </c:pt>
                <c:pt idx="4">
                  <c:v>2.1215947604470426</c:v>
                </c:pt>
                <c:pt idx="5">
                  <c:v>2.4407678027156692</c:v>
                </c:pt>
                <c:pt idx="6">
                  <c:v>2.9468004244810242</c:v>
                </c:pt>
                <c:pt idx="7">
                  <c:v>3.1437921449289963</c:v>
                </c:pt>
                <c:pt idx="8">
                  <c:v>3.5448408660406887</c:v>
                </c:pt>
                <c:pt idx="9">
                  <c:v>3.9961504433840389</c:v>
                </c:pt>
                <c:pt idx="10">
                  <c:v>4.5482177172274918</c:v>
                </c:pt>
                <c:pt idx="11">
                  <c:v>5.0488312031740286</c:v>
                </c:pt>
                <c:pt idx="12">
                  <c:v>5.4725752093181743</c:v>
                </c:pt>
                <c:pt idx="13">
                  <c:v>6.1013053220788889</c:v>
                </c:pt>
                <c:pt idx="14">
                  <c:v>6.9590511967918207</c:v>
                </c:pt>
                <c:pt idx="15">
                  <c:v>7.8368054813713481</c:v>
                </c:pt>
                <c:pt idx="16">
                  <c:v>8.5304275230259776</c:v>
                </c:pt>
                <c:pt idx="17">
                  <c:v>9.8172799808506213</c:v>
                </c:pt>
                <c:pt idx="18">
                  <c:v>11.500590830997149</c:v>
                </c:pt>
                <c:pt idx="19">
                  <c:v>11.795637419280343</c:v>
                </c:pt>
                <c:pt idx="20">
                  <c:v>12.282120437804066</c:v>
                </c:pt>
                <c:pt idx="21">
                  <c:v>12.547389469795901</c:v>
                </c:pt>
                <c:pt idx="22">
                  <c:v>13.84049649337995</c:v>
                </c:pt>
                <c:pt idx="23">
                  <c:v>14.7652056926442</c:v>
                </c:pt>
                <c:pt idx="24">
                  <c:v>16.90069504033864</c:v>
                </c:pt>
                <c:pt idx="25">
                  <c:v>17.726816633451534</c:v>
                </c:pt>
                <c:pt idx="26">
                  <c:v>20.056240819849428</c:v>
                </c:pt>
                <c:pt idx="27">
                  <c:v>20.528143653249732</c:v>
                </c:pt>
                <c:pt idx="28">
                  <c:v>20.993482975774477</c:v>
                </c:pt>
                <c:pt idx="29">
                  <c:v>24.652129983794719</c:v>
                </c:pt>
                <c:pt idx="30">
                  <c:v>27.574179676711466</c:v>
                </c:pt>
                <c:pt idx="31">
                  <c:v>29.739605371973024</c:v>
                </c:pt>
              </c:numCache>
            </c:numRef>
          </c:xVal>
          <c:yVal>
            <c:numRef>
              <c:f>[0]!TestData.03Y</c:f>
              <c:numCache>
                <c:formatCode>General</c:formatCode>
                <c:ptCount val="32"/>
                <c:pt idx="0">
                  <c:v>198.15514824046753</c:v>
                </c:pt>
                <c:pt idx="1">
                  <c:v>201.18001361794435</c:v>
                </c:pt>
                <c:pt idx="2">
                  <c:v>203.09345981780166</c:v>
                </c:pt>
                <c:pt idx="3">
                  <c:v>206.079050888273</c:v>
                </c:pt>
                <c:pt idx="4">
                  <c:v>207.48430343857856</c:v>
                </c:pt>
                <c:pt idx="5">
                  <c:v>213.28817139160077</c:v>
                </c:pt>
                <c:pt idx="6">
                  <c:v>216.18720556764379</c:v>
                </c:pt>
                <c:pt idx="7">
                  <c:v>219.00426710172303</c:v>
                </c:pt>
                <c:pt idx="8">
                  <c:v>221.29558527665617</c:v>
                </c:pt>
                <c:pt idx="9">
                  <c:v>222.01301198589664</c:v>
                </c:pt>
                <c:pt idx="10">
                  <c:v>225.67872724381431</c:v>
                </c:pt>
                <c:pt idx="11">
                  <c:v>228.11315617204923</c:v>
                </c:pt>
                <c:pt idx="12">
                  <c:v>233.00152248279329</c:v>
                </c:pt>
                <c:pt idx="13">
                  <c:v>233.51290258772727</c:v>
                </c:pt>
                <c:pt idx="14">
                  <c:v>236.45885217532461</c:v>
                </c:pt>
                <c:pt idx="15">
                  <c:v>240.49202842249218</c:v>
                </c:pt>
                <c:pt idx="16">
                  <c:v>241.25628649721423</c:v>
                </c:pt>
                <c:pt idx="17">
                  <c:v>242.99939063958027</c:v>
                </c:pt>
                <c:pt idx="18">
                  <c:v>246.83435741414362</c:v>
                </c:pt>
                <c:pt idx="19">
                  <c:v>246.49171921687821</c:v>
                </c:pt>
                <c:pt idx="20">
                  <c:v>246.32975734904051</c:v>
                </c:pt>
                <c:pt idx="21">
                  <c:v>246.18593759200073</c:v>
                </c:pt>
                <c:pt idx="22">
                  <c:v>248.28947756895386</c:v>
                </c:pt>
                <c:pt idx="23">
                  <c:v>246.02163471354774</c:v>
                </c:pt>
                <c:pt idx="24">
                  <c:v>248.68121526046315</c:v>
                </c:pt>
                <c:pt idx="25">
                  <c:v>247.19979352308843</c:v>
                </c:pt>
                <c:pt idx="26">
                  <c:v>247.23218850523284</c:v>
                </c:pt>
                <c:pt idx="27">
                  <c:v>246.59912620307185</c:v>
                </c:pt>
                <c:pt idx="28">
                  <c:v>244.52572324918486</c:v>
                </c:pt>
                <c:pt idx="29">
                  <c:v>244.12077379108962</c:v>
                </c:pt>
                <c:pt idx="30">
                  <c:v>243.02878229404143</c:v>
                </c:pt>
                <c:pt idx="31">
                  <c:v>239.16010213741441</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SI</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1.33278346236484</c:v>
                </c:pt>
                <c:pt idx="2">
                  <c:v>1.7148614406288727</c:v>
                </c:pt>
                <c:pt idx="3">
                  <c:v>2.0238599228566687</c:v>
                </c:pt>
                <c:pt idx="4">
                  <c:v>2.4858753053911395</c:v>
                </c:pt>
                <c:pt idx="5">
                  <c:v>2.8375155890795241</c:v>
                </c:pt>
                <c:pt idx="6">
                  <c:v>3.4734498939297165</c:v>
                </c:pt>
                <c:pt idx="7">
                  <c:v>3.7487342330412163</c:v>
                </c:pt>
                <c:pt idx="8">
                  <c:v>4.5132334905565017</c:v>
                </c:pt>
                <c:pt idx="9">
                  <c:v>4.924508600259518</c:v>
                </c:pt>
                <c:pt idx="10">
                  <c:v>5.3190393613623002</c:v>
                </c:pt>
                <c:pt idx="11">
                  <c:v>5.9203563698068224</c:v>
                </c:pt>
                <c:pt idx="12">
                  <c:v>6.2475577333538199</c:v>
                </c:pt>
                <c:pt idx="13">
                  <c:v>6.6505087938588181</c:v>
                </c:pt>
                <c:pt idx="14">
                  <c:v>7.663485242589128</c:v>
                </c:pt>
                <c:pt idx="15">
                  <c:v>8.5951664452981316</c:v>
                </c:pt>
                <c:pt idx="16">
                  <c:v>8.93371625856207</c:v>
                </c:pt>
                <c:pt idx="17">
                  <c:v>9.1602258996545807</c:v>
                </c:pt>
                <c:pt idx="18">
                  <c:v>10.269646109001929</c:v>
                </c:pt>
                <c:pt idx="19">
                  <c:v>10.535622991149152</c:v>
                </c:pt>
                <c:pt idx="20">
                  <c:v>10.868104776170764</c:v>
                </c:pt>
                <c:pt idx="21">
                  <c:v>12.206034101949607</c:v>
                </c:pt>
                <c:pt idx="22">
                  <c:v>13.438784171846006</c:v>
                </c:pt>
                <c:pt idx="23">
                  <c:v>14.779733874325359</c:v>
                </c:pt>
                <c:pt idx="24">
                  <c:v>15.613995244429113</c:v>
                </c:pt>
                <c:pt idx="25">
                  <c:v>17.577592301190485</c:v>
                </c:pt>
                <c:pt idx="26">
                  <c:v>18.839541474873162</c:v>
                </c:pt>
                <c:pt idx="27">
                  <c:v>21.986160853607981</c:v>
                </c:pt>
                <c:pt idx="28">
                  <c:v>23.540327221676371</c:v>
                </c:pt>
                <c:pt idx="29">
                  <c:v>24.977018972171717</c:v>
                </c:pt>
                <c:pt idx="30">
                  <c:v>27.706498926801039</c:v>
                </c:pt>
                <c:pt idx="31">
                  <c:v>32.234283487036457</c:v>
                </c:pt>
              </c:numCache>
            </c:numRef>
          </c:xVal>
          <c:yVal>
            <c:numRef>
              <c:f>[0]!TestData.04Y</c:f>
              <c:numCache>
                <c:formatCode>General</c:formatCode>
                <c:ptCount val="32"/>
                <c:pt idx="0">
                  <c:v>232.59496278432516</c:v>
                </c:pt>
                <c:pt idx="1">
                  <c:v>236.21079628756306</c:v>
                </c:pt>
                <c:pt idx="2">
                  <c:v>239.15603344153504</c:v>
                </c:pt>
                <c:pt idx="3">
                  <c:v>243.86409039963837</c:v>
                </c:pt>
                <c:pt idx="4">
                  <c:v>247.03402663160352</c:v>
                </c:pt>
                <c:pt idx="5">
                  <c:v>245.8960294225158</c:v>
                </c:pt>
                <c:pt idx="6">
                  <c:v>250.84124718725707</c:v>
                </c:pt>
                <c:pt idx="7">
                  <c:v>253.442768419527</c:v>
                </c:pt>
                <c:pt idx="8">
                  <c:v>253.49791995623883</c:v>
                </c:pt>
                <c:pt idx="9">
                  <c:v>256.40897337585744</c:v>
                </c:pt>
                <c:pt idx="10">
                  <c:v>259.79978840274828</c:v>
                </c:pt>
                <c:pt idx="11">
                  <c:v>261.75876857531199</c:v>
                </c:pt>
                <c:pt idx="12">
                  <c:v>261.14079492965988</c:v>
                </c:pt>
                <c:pt idx="13">
                  <c:v>260.78984131722086</c:v>
                </c:pt>
                <c:pt idx="14">
                  <c:v>261.95072692658965</c:v>
                </c:pt>
                <c:pt idx="15">
                  <c:v>264.98267355238363</c:v>
                </c:pt>
                <c:pt idx="16">
                  <c:v>263.99116133317023</c:v>
                </c:pt>
                <c:pt idx="17">
                  <c:v>263.07676512534476</c:v>
                </c:pt>
                <c:pt idx="18">
                  <c:v>263.5812822671744</c:v>
                </c:pt>
                <c:pt idx="19">
                  <c:v>266.41781525250678</c:v>
                </c:pt>
                <c:pt idx="20">
                  <c:v>263.5017296369403</c:v>
                </c:pt>
                <c:pt idx="21">
                  <c:v>264.28600228141653</c:v>
                </c:pt>
                <c:pt idx="22">
                  <c:v>265.17116469736948</c:v>
                </c:pt>
                <c:pt idx="23">
                  <c:v>261.31054409871047</c:v>
                </c:pt>
                <c:pt idx="24">
                  <c:v>259.97270593129548</c:v>
                </c:pt>
                <c:pt idx="25">
                  <c:v>259.79410702070408</c:v>
                </c:pt>
                <c:pt idx="26">
                  <c:v>259.26703590562602</c:v>
                </c:pt>
                <c:pt idx="27">
                  <c:v>255.942905862674</c:v>
                </c:pt>
                <c:pt idx="28">
                  <c:v>253.06271759796059</c:v>
                </c:pt>
                <c:pt idx="29">
                  <c:v>250.11716565618934</c:v>
                </c:pt>
                <c:pt idx="30">
                  <c:v>247.0706709428153</c:v>
                </c:pt>
                <c:pt idx="31">
                  <c:v>242.59110390209747</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SI</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1.33278346236484</c:v>
                </c:pt>
                <c:pt idx="2">
                  <c:v>1.7148614406288727</c:v>
                </c:pt>
                <c:pt idx="3">
                  <c:v>2.0238599228566687</c:v>
                </c:pt>
                <c:pt idx="4">
                  <c:v>2.4858753053911395</c:v>
                </c:pt>
                <c:pt idx="5">
                  <c:v>2.8375155890795241</c:v>
                </c:pt>
                <c:pt idx="6">
                  <c:v>3.4734498939297165</c:v>
                </c:pt>
                <c:pt idx="7">
                  <c:v>3.7487342330412163</c:v>
                </c:pt>
                <c:pt idx="8">
                  <c:v>4.5132334905565017</c:v>
                </c:pt>
                <c:pt idx="9">
                  <c:v>4.924508600259518</c:v>
                </c:pt>
                <c:pt idx="10">
                  <c:v>5.3190393613623002</c:v>
                </c:pt>
                <c:pt idx="11">
                  <c:v>5.9203563698068224</c:v>
                </c:pt>
                <c:pt idx="12">
                  <c:v>6.2475577333538199</c:v>
                </c:pt>
                <c:pt idx="13">
                  <c:v>6.6505087938588181</c:v>
                </c:pt>
                <c:pt idx="14">
                  <c:v>7.663485242589128</c:v>
                </c:pt>
                <c:pt idx="15">
                  <c:v>8.5951664452981316</c:v>
                </c:pt>
                <c:pt idx="16">
                  <c:v>8.93371625856207</c:v>
                </c:pt>
                <c:pt idx="17">
                  <c:v>9.1602258996545807</c:v>
                </c:pt>
                <c:pt idx="18">
                  <c:v>10.269646109001929</c:v>
                </c:pt>
                <c:pt idx="19">
                  <c:v>10.535622991149152</c:v>
                </c:pt>
                <c:pt idx="20">
                  <c:v>10.868104776170764</c:v>
                </c:pt>
                <c:pt idx="21">
                  <c:v>12.206034101949607</c:v>
                </c:pt>
                <c:pt idx="22">
                  <c:v>13.438784171846006</c:v>
                </c:pt>
                <c:pt idx="23">
                  <c:v>14.779733874325359</c:v>
                </c:pt>
                <c:pt idx="24">
                  <c:v>15.613995244429113</c:v>
                </c:pt>
                <c:pt idx="25">
                  <c:v>17.577592301190485</c:v>
                </c:pt>
                <c:pt idx="26">
                  <c:v>18.839541474873162</c:v>
                </c:pt>
                <c:pt idx="27">
                  <c:v>21.986160853607981</c:v>
                </c:pt>
                <c:pt idx="28">
                  <c:v>23.540327221676371</c:v>
                </c:pt>
                <c:pt idx="29">
                  <c:v>24.977018972171717</c:v>
                </c:pt>
                <c:pt idx="30">
                  <c:v>27.706498926801039</c:v>
                </c:pt>
                <c:pt idx="31">
                  <c:v>32.234283487036457</c:v>
                </c:pt>
              </c:numCache>
            </c:numRef>
          </c:xVal>
          <c:yVal>
            <c:numRef>
              <c:f>[0]!TestData.04Y</c:f>
              <c:numCache>
                <c:formatCode>General</c:formatCode>
                <c:ptCount val="32"/>
                <c:pt idx="0">
                  <c:v>232.59496278432516</c:v>
                </c:pt>
                <c:pt idx="1">
                  <c:v>236.21079628756306</c:v>
                </c:pt>
                <c:pt idx="2">
                  <c:v>239.15603344153504</c:v>
                </c:pt>
                <c:pt idx="3">
                  <c:v>243.86409039963837</c:v>
                </c:pt>
                <c:pt idx="4">
                  <c:v>247.03402663160352</c:v>
                </c:pt>
                <c:pt idx="5">
                  <c:v>245.8960294225158</c:v>
                </c:pt>
                <c:pt idx="6">
                  <c:v>250.84124718725707</c:v>
                </c:pt>
                <c:pt idx="7">
                  <c:v>253.442768419527</c:v>
                </c:pt>
                <c:pt idx="8">
                  <c:v>253.49791995623883</c:v>
                </c:pt>
                <c:pt idx="9">
                  <c:v>256.40897337585744</c:v>
                </c:pt>
                <c:pt idx="10">
                  <c:v>259.79978840274828</c:v>
                </c:pt>
                <c:pt idx="11">
                  <c:v>261.75876857531199</c:v>
                </c:pt>
                <c:pt idx="12">
                  <c:v>261.14079492965988</c:v>
                </c:pt>
                <c:pt idx="13">
                  <c:v>260.78984131722086</c:v>
                </c:pt>
                <c:pt idx="14">
                  <c:v>261.95072692658965</c:v>
                </c:pt>
                <c:pt idx="15">
                  <c:v>264.98267355238363</c:v>
                </c:pt>
                <c:pt idx="16">
                  <c:v>263.99116133317023</c:v>
                </c:pt>
                <c:pt idx="17">
                  <c:v>263.07676512534476</c:v>
                </c:pt>
                <c:pt idx="18">
                  <c:v>263.5812822671744</c:v>
                </c:pt>
                <c:pt idx="19">
                  <c:v>266.41781525250678</c:v>
                </c:pt>
                <c:pt idx="20">
                  <c:v>263.5017296369403</c:v>
                </c:pt>
                <c:pt idx="21">
                  <c:v>264.28600228141653</c:v>
                </c:pt>
                <c:pt idx="22">
                  <c:v>265.17116469736948</c:v>
                </c:pt>
                <c:pt idx="23">
                  <c:v>261.31054409871047</c:v>
                </c:pt>
                <c:pt idx="24">
                  <c:v>259.97270593129548</c:v>
                </c:pt>
                <c:pt idx="25">
                  <c:v>259.79410702070408</c:v>
                </c:pt>
                <c:pt idx="26">
                  <c:v>259.26703590562602</c:v>
                </c:pt>
                <c:pt idx="27">
                  <c:v>255.942905862674</c:v>
                </c:pt>
                <c:pt idx="28">
                  <c:v>253.06271759796059</c:v>
                </c:pt>
                <c:pt idx="29">
                  <c:v>250.11716565618934</c:v>
                </c:pt>
                <c:pt idx="30">
                  <c:v>247.0706709428153</c:v>
                </c:pt>
                <c:pt idx="31">
                  <c:v>242.59110390209747</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SI</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1.33278346236484</c:v>
                </c:pt>
                <c:pt idx="2">
                  <c:v>1.7148614406288727</c:v>
                </c:pt>
                <c:pt idx="3">
                  <c:v>2.0238599228566687</c:v>
                </c:pt>
                <c:pt idx="4">
                  <c:v>2.4858753053911395</c:v>
                </c:pt>
                <c:pt idx="5">
                  <c:v>2.8375155890795241</c:v>
                </c:pt>
                <c:pt idx="6">
                  <c:v>3.4734498939297165</c:v>
                </c:pt>
                <c:pt idx="7">
                  <c:v>3.7487342330412163</c:v>
                </c:pt>
                <c:pt idx="8">
                  <c:v>4.5132334905565017</c:v>
                </c:pt>
                <c:pt idx="9">
                  <c:v>4.924508600259518</c:v>
                </c:pt>
                <c:pt idx="10">
                  <c:v>5.3190393613623002</c:v>
                </c:pt>
                <c:pt idx="11">
                  <c:v>5.9203563698068224</c:v>
                </c:pt>
                <c:pt idx="12">
                  <c:v>6.2475577333538199</c:v>
                </c:pt>
                <c:pt idx="13">
                  <c:v>6.6505087938588181</c:v>
                </c:pt>
                <c:pt idx="14">
                  <c:v>7.663485242589128</c:v>
                </c:pt>
                <c:pt idx="15">
                  <c:v>8.5951664452981316</c:v>
                </c:pt>
                <c:pt idx="16">
                  <c:v>8.93371625856207</c:v>
                </c:pt>
                <c:pt idx="17">
                  <c:v>9.1602258996545807</c:v>
                </c:pt>
                <c:pt idx="18">
                  <c:v>10.269646109001929</c:v>
                </c:pt>
                <c:pt idx="19">
                  <c:v>10.535622991149152</c:v>
                </c:pt>
                <c:pt idx="20">
                  <c:v>10.868104776170764</c:v>
                </c:pt>
                <c:pt idx="21">
                  <c:v>12.206034101949607</c:v>
                </c:pt>
                <c:pt idx="22">
                  <c:v>13.438784171846006</c:v>
                </c:pt>
                <c:pt idx="23">
                  <c:v>14.779733874325359</c:v>
                </c:pt>
                <c:pt idx="24">
                  <c:v>15.613995244429113</c:v>
                </c:pt>
                <c:pt idx="25">
                  <c:v>17.577592301190485</c:v>
                </c:pt>
                <c:pt idx="26">
                  <c:v>18.839541474873162</c:v>
                </c:pt>
                <c:pt idx="27">
                  <c:v>21.986160853607981</c:v>
                </c:pt>
                <c:pt idx="28">
                  <c:v>23.540327221676371</c:v>
                </c:pt>
                <c:pt idx="29">
                  <c:v>24.977018972171717</c:v>
                </c:pt>
                <c:pt idx="30">
                  <c:v>27.706498926801039</c:v>
                </c:pt>
                <c:pt idx="31">
                  <c:v>32.234283487036457</c:v>
                </c:pt>
              </c:numCache>
            </c:numRef>
          </c:xVal>
          <c:yVal>
            <c:numRef>
              <c:f>[0]!TestData.04Y</c:f>
              <c:numCache>
                <c:formatCode>General</c:formatCode>
                <c:ptCount val="32"/>
                <c:pt idx="0">
                  <c:v>232.59496278432516</c:v>
                </c:pt>
                <c:pt idx="1">
                  <c:v>236.21079628756306</c:v>
                </c:pt>
                <c:pt idx="2">
                  <c:v>239.15603344153504</c:v>
                </c:pt>
                <c:pt idx="3">
                  <c:v>243.86409039963837</c:v>
                </c:pt>
                <c:pt idx="4">
                  <c:v>247.03402663160352</c:v>
                </c:pt>
                <c:pt idx="5">
                  <c:v>245.8960294225158</c:v>
                </c:pt>
                <c:pt idx="6">
                  <c:v>250.84124718725707</c:v>
                </c:pt>
                <c:pt idx="7">
                  <c:v>253.442768419527</c:v>
                </c:pt>
                <c:pt idx="8">
                  <c:v>253.49791995623883</c:v>
                </c:pt>
                <c:pt idx="9">
                  <c:v>256.40897337585744</c:v>
                </c:pt>
                <c:pt idx="10">
                  <c:v>259.79978840274828</c:v>
                </c:pt>
                <c:pt idx="11">
                  <c:v>261.75876857531199</c:v>
                </c:pt>
                <c:pt idx="12">
                  <c:v>261.14079492965988</c:v>
                </c:pt>
                <c:pt idx="13">
                  <c:v>260.78984131722086</c:v>
                </c:pt>
                <c:pt idx="14">
                  <c:v>261.95072692658965</c:v>
                </c:pt>
                <c:pt idx="15">
                  <c:v>264.98267355238363</c:v>
                </c:pt>
                <c:pt idx="16">
                  <c:v>263.99116133317023</c:v>
                </c:pt>
                <c:pt idx="17">
                  <c:v>263.07676512534476</c:v>
                </c:pt>
                <c:pt idx="18">
                  <c:v>263.5812822671744</c:v>
                </c:pt>
                <c:pt idx="19">
                  <c:v>266.41781525250678</c:v>
                </c:pt>
                <c:pt idx="20">
                  <c:v>263.5017296369403</c:v>
                </c:pt>
                <c:pt idx="21">
                  <c:v>264.28600228141653</c:v>
                </c:pt>
                <c:pt idx="22">
                  <c:v>265.17116469736948</c:v>
                </c:pt>
                <c:pt idx="23">
                  <c:v>261.31054409871047</c:v>
                </c:pt>
                <c:pt idx="24">
                  <c:v>259.97270593129548</c:v>
                </c:pt>
                <c:pt idx="25">
                  <c:v>259.79410702070408</c:v>
                </c:pt>
                <c:pt idx="26">
                  <c:v>259.26703590562602</c:v>
                </c:pt>
                <c:pt idx="27">
                  <c:v>255.942905862674</c:v>
                </c:pt>
                <c:pt idx="28">
                  <c:v>253.06271759796059</c:v>
                </c:pt>
                <c:pt idx="29">
                  <c:v>250.11716565618934</c:v>
                </c:pt>
                <c:pt idx="30">
                  <c:v>247.0706709428153</c:v>
                </c:pt>
                <c:pt idx="31">
                  <c:v>242.59110390209747</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LU</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1.3029996417463856</c:v>
                </c:pt>
                <c:pt idx="2">
                  <c:v>1.6515408004407408</c:v>
                </c:pt>
                <c:pt idx="3">
                  <c:v>2.0518247937912366</c:v>
                </c:pt>
                <c:pt idx="4">
                  <c:v>2.346874750133511</c:v>
                </c:pt>
                <c:pt idx="5">
                  <c:v>2.868120459533448</c:v>
                </c:pt>
                <c:pt idx="6">
                  <c:v>3.2958113162601443</c:v>
                </c:pt>
                <c:pt idx="7">
                  <c:v>4.0267240438410683</c:v>
                </c:pt>
                <c:pt idx="8">
                  <c:v>4.7329028467817036</c:v>
                </c:pt>
                <c:pt idx="9">
                  <c:v>5.2880132672214675</c:v>
                </c:pt>
                <c:pt idx="10">
                  <c:v>5.8944490877580034</c:v>
                </c:pt>
                <c:pt idx="11">
                  <c:v>6.1867592296056513</c:v>
                </c:pt>
                <c:pt idx="12">
                  <c:v>6.3654927722986354</c:v>
                </c:pt>
                <c:pt idx="13">
                  <c:v>6.9675466374838022</c:v>
                </c:pt>
                <c:pt idx="14">
                  <c:v>7.5991681809638187</c:v>
                </c:pt>
                <c:pt idx="15">
                  <c:v>7.9927861977749384</c:v>
                </c:pt>
                <c:pt idx="16">
                  <c:v>9.5167959392731092</c:v>
                </c:pt>
                <c:pt idx="17">
                  <c:v>10.981248932617707</c:v>
                </c:pt>
                <c:pt idx="18">
                  <c:v>11.587846995386201</c:v>
                </c:pt>
                <c:pt idx="19">
                  <c:v>12.344027214824033</c:v>
                </c:pt>
                <c:pt idx="20">
                  <c:v>14.142376796193147</c:v>
                </c:pt>
                <c:pt idx="21">
                  <c:v>16.283677950478182</c:v>
                </c:pt>
                <c:pt idx="22">
                  <c:v>19.230214117323033</c:v>
                </c:pt>
                <c:pt idx="23">
                  <c:v>21.477716197613251</c:v>
                </c:pt>
                <c:pt idx="24">
                  <c:v>23.456496414745676</c:v>
                </c:pt>
                <c:pt idx="25">
                  <c:v>25.815655965929135</c:v>
                </c:pt>
                <c:pt idx="26">
                  <c:v>27.00625705549492</c:v>
                </c:pt>
                <c:pt idx="27">
                  <c:v>31.725251578194143</c:v>
                </c:pt>
                <c:pt idx="28">
                  <c:v>33.637215797103757</c:v>
                </c:pt>
                <c:pt idx="29">
                  <c:v>38.28413538846101</c:v>
                </c:pt>
                <c:pt idx="30">
                  <c:v>39.482196460947137</c:v>
                </c:pt>
                <c:pt idx="31">
                  <c:v>45.244991055798742</c:v>
                </c:pt>
              </c:numCache>
            </c:numRef>
          </c:xVal>
          <c:yVal>
            <c:numRef>
              <c:f>[0]!TestData.05Y</c:f>
              <c:numCache>
                <c:formatCode>General</c:formatCode>
                <c:ptCount val="32"/>
                <c:pt idx="0">
                  <c:v>171.93196398419323</c:v>
                </c:pt>
                <c:pt idx="1">
                  <c:v>175.29316521605008</c:v>
                </c:pt>
                <c:pt idx="2">
                  <c:v>178.47281879339678</c:v>
                </c:pt>
                <c:pt idx="3">
                  <c:v>180.87026224979977</c:v>
                </c:pt>
                <c:pt idx="4">
                  <c:v>185.67117689633932</c:v>
                </c:pt>
                <c:pt idx="5">
                  <c:v>185.66048301323619</c:v>
                </c:pt>
                <c:pt idx="6">
                  <c:v>190.75415087254922</c:v>
                </c:pt>
                <c:pt idx="7">
                  <c:v>196.33843366360034</c:v>
                </c:pt>
                <c:pt idx="8">
                  <c:v>199.31695709835438</c:v>
                </c:pt>
                <c:pt idx="9">
                  <c:v>203.06425815644735</c:v>
                </c:pt>
                <c:pt idx="10">
                  <c:v>202.61655784309707</c:v>
                </c:pt>
                <c:pt idx="11">
                  <c:v>205.18156533275237</c:v>
                </c:pt>
                <c:pt idx="12">
                  <c:v>205.5318515971482</c:v>
                </c:pt>
                <c:pt idx="13">
                  <c:v>207.33086374671234</c:v>
                </c:pt>
                <c:pt idx="14">
                  <c:v>207.74044786395208</c:v>
                </c:pt>
                <c:pt idx="15">
                  <c:v>212.0208421608958</c:v>
                </c:pt>
                <c:pt idx="16">
                  <c:v>212.21006271967715</c:v>
                </c:pt>
                <c:pt idx="17">
                  <c:v>213.79532959687626</c:v>
                </c:pt>
                <c:pt idx="18">
                  <c:v>214.59613389062875</c:v>
                </c:pt>
                <c:pt idx="19">
                  <c:v>214.39987434850195</c:v>
                </c:pt>
                <c:pt idx="20">
                  <c:v>216.40943696345164</c:v>
                </c:pt>
                <c:pt idx="21">
                  <c:v>214.30734175269745</c:v>
                </c:pt>
                <c:pt idx="22">
                  <c:v>214.96446164754278</c:v>
                </c:pt>
                <c:pt idx="23">
                  <c:v>214.19927975238343</c:v>
                </c:pt>
                <c:pt idx="24">
                  <c:v>214.60301865400297</c:v>
                </c:pt>
                <c:pt idx="25">
                  <c:v>212.67963354739453</c:v>
                </c:pt>
                <c:pt idx="26">
                  <c:v>208.95731205619398</c:v>
                </c:pt>
                <c:pt idx="27">
                  <c:v>208.47609194100755</c:v>
                </c:pt>
                <c:pt idx="28">
                  <c:v>207.70665808978777</c:v>
                </c:pt>
                <c:pt idx="29">
                  <c:v>202.9752211292554</c:v>
                </c:pt>
                <c:pt idx="30">
                  <c:v>203.5510992463459</c:v>
                </c:pt>
                <c:pt idx="31">
                  <c:v>202.74327051601074</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LU</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1.3029996417463856</c:v>
                </c:pt>
                <c:pt idx="2">
                  <c:v>1.6515408004407408</c:v>
                </c:pt>
                <c:pt idx="3">
                  <c:v>2.0518247937912366</c:v>
                </c:pt>
                <c:pt idx="4">
                  <c:v>2.346874750133511</c:v>
                </c:pt>
                <c:pt idx="5">
                  <c:v>2.868120459533448</c:v>
                </c:pt>
                <c:pt idx="6">
                  <c:v>3.2958113162601443</c:v>
                </c:pt>
                <c:pt idx="7">
                  <c:v>4.0267240438410683</c:v>
                </c:pt>
                <c:pt idx="8">
                  <c:v>4.7329028467817036</c:v>
                </c:pt>
                <c:pt idx="9">
                  <c:v>5.2880132672214675</c:v>
                </c:pt>
                <c:pt idx="10">
                  <c:v>5.8944490877580034</c:v>
                </c:pt>
                <c:pt idx="11">
                  <c:v>6.1867592296056513</c:v>
                </c:pt>
                <c:pt idx="12">
                  <c:v>6.3654927722986354</c:v>
                </c:pt>
                <c:pt idx="13">
                  <c:v>6.9675466374838022</c:v>
                </c:pt>
                <c:pt idx="14">
                  <c:v>7.5991681809638187</c:v>
                </c:pt>
                <c:pt idx="15">
                  <c:v>7.9927861977749384</c:v>
                </c:pt>
                <c:pt idx="16">
                  <c:v>9.5167959392731092</c:v>
                </c:pt>
                <c:pt idx="17">
                  <c:v>10.981248932617707</c:v>
                </c:pt>
                <c:pt idx="18">
                  <c:v>11.587846995386201</c:v>
                </c:pt>
                <c:pt idx="19">
                  <c:v>12.344027214824033</c:v>
                </c:pt>
                <c:pt idx="20">
                  <c:v>14.142376796193147</c:v>
                </c:pt>
                <c:pt idx="21">
                  <c:v>16.283677950478182</c:v>
                </c:pt>
                <c:pt idx="22">
                  <c:v>19.230214117323033</c:v>
                </c:pt>
                <c:pt idx="23">
                  <c:v>21.477716197613251</c:v>
                </c:pt>
                <c:pt idx="24">
                  <c:v>23.456496414745676</c:v>
                </c:pt>
                <c:pt idx="25">
                  <c:v>25.815655965929135</c:v>
                </c:pt>
                <c:pt idx="26">
                  <c:v>27.00625705549492</c:v>
                </c:pt>
                <c:pt idx="27">
                  <c:v>31.725251578194143</c:v>
                </c:pt>
                <c:pt idx="28">
                  <c:v>33.637215797103757</c:v>
                </c:pt>
                <c:pt idx="29">
                  <c:v>38.28413538846101</c:v>
                </c:pt>
                <c:pt idx="30">
                  <c:v>39.482196460947137</c:v>
                </c:pt>
                <c:pt idx="31">
                  <c:v>45.244991055798742</c:v>
                </c:pt>
              </c:numCache>
            </c:numRef>
          </c:xVal>
          <c:yVal>
            <c:numRef>
              <c:f>[0]!TestData.05Y</c:f>
              <c:numCache>
                <c:formatCode>General</c:formatCode>
                <c:ptCount val="32"/>
                <c:pt idx="0">
                  <c:v>171.93196398419323</c:v>
                </c:pt>
                <c:pt idx="1">
                  <c:v>175.29316521605008</c:v>
                </c:pt>
                <c:pt idx="2">
                  <c:v>178.47281879339678</c:v>
                </c:pt>
                <c:pt idx="3">
                  <c:v>180.87026224979977</c:v>
                </c:pt>
                <c:pt idx="4">
                  <c:v>185.67117689633932</c:v>
                </c:pt>
                <c:pt idx="5">
                  <c:v>185.66048301323619</c:v>
                </c:pt>
                <c:pt idx="6">
                  <c:v>190.75415087254922</c:v>
                </c:pt>
                <c:pt idx="7">
                  <c:v>196.33843366360034</c:v>
                </c:pt>
                <c:pt idx="8">
                  <c:v>199.31695709835438</c:v>
                </c:pt>
                <c:pt idx="9">
                  <c:v>203.06425815644735</c:v>
                </c:pt>
                <c:pt idx="10">
                  <c:v>202.61655784309707</c:v>
                </c:pt>
                <c:pt idx="11">
                  <c:v>205.18156533275237</c:v>
                </c:pt>
                <c:pt idx="12">
                  <c:v>205.5318515971482</c:v>
                </c:pt>
                <c:pt idx="13">
                  <c:v>207.33086374671234</c:v>
                </c:pt>
                <c:pt idx="14">
                  <c:v>207.74044786395208</c:v>
                </c:pt>
                <c:pt idx="15">
                  <c:v>212.0208421608958</c:v>
                </c:pt>
                <c:pt idx="16">
                  <c:v>212.21006271967715</c:v>
                </c:pt>
                <c:pt idx="17">
                  <c:v>213.79532959687626</c:v>
                </c:pt>
                <c:pt idx="18">
                  <c:v>214.59613389062875</c:v>
                </c:pt>
                <c:pt idx="19">
                  <c:v>214.39987434850195</c:v>
                </c:pt>
                <c:pt idx="20">
                  <c:v>216.40943696345164</c:v>
                </c:pt>
                <c:pt idx="21">
                  <c:v>214.30734175269745</c:v>
                </c:pt>
                <c:pt idx="22">
                  <c:v>214.96446164754278</c:v>
                </c:pt>
                <c:pt idx="23">
                  <c:v>214.19927975238343</c:v>
                </c:pt>
                <c:pt idx="24">
                  <c:v>214.60301865400297</c:v>
                </c:pt>
                <c:pt idx="25">
                  <c:v>212.67963354739453</c:v>
                </c:pt>
                <c:pt idx="26">
                  <c:v>208.95731205619398</c:v>
                </c:pt>
                <c:pt idx="27">
                  <c:v>208.47609194100755</c:v>
                </c:pt>
                <c:pt idx="28">
                  <c:v>207.70665808978777</c:v>
                </c:pt>
                <c:pt idx="29">
                  <c:v>202.9752211292554</c:v>
                </c:pt>
                <c:pt idx="30">
                  <c:v>203.5510992463459</c:v>
                </c:pt>
                <c:pt idx="31">
                  <c:v>202.74327051601074</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LU</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1.3029996417463856</c:v>
                </c:pt>
                <c:pt idx="2">
                  <c:v>1.6515408004407408</c:v>
                </c:pt>
                <c:pt idx="3">
                  <c:v>2.0518247937912366</c:v>
                </c:pt>
                <c:pt idx="4">
                  <c:v>2.346874750133511</c:v>
                </c:pt>
                <c:pt idx="5">
                  <c:v>2.868120459533448</c:v>
                </c:pt>
                <c:pt idx="6">
                  <c:v>3.2958113162601443</c:v>
                </c:pt>
                <c:pt idx="7">
                  <c:v>4.0267240438410683</c:v>
                </c:pt>
                <c:pt idx="8">
                  <c:v>4.7329028467817036</c:v>
                </c:pt>
                <c:pt idx="9">
                  <c:v>5.2880132672214675</c:v>
                </c:pt>
                <c:pt idx="10">
                  <c:v>5.8944490877580034</c:v>
                </c:pt>
                <c:pt idx="11">
                  <c:v>6.1867592296056513</c:v>
                </c:pt>
                <c:pt idx="12">
                  <c:v>6.3654927722986354</c:v>
                </c:pt>
                <c:pt idx="13">
                  <c:v>6.9675466374838022</c:v>
                </c:pt>
                <c:pt idx="14">
                  <c:v>7.5991681809638187</c:v>
                </c:pt>
                <c:pt idx="15">
                  <c:v>7.9927861977749384</c:v>
                </c:pt>
                <c:pt idx="16">
                  <c:v>9.5167959392731092</c:v>
                </c:pt>
                <c:pt idx="17">
                  <c:v>10.981248932617707</c:v>
                </c:pt>
                <c:pt idx="18">
                  <c:v>11.587846995386201</c:v>
                </c:pt>
                <c:pt idx="19">
                  <c:v>12.344027214824033</c:v>
                </c:pt>
                <c:pt idx="20">
                  <c:v>14.142376796193147</c:v>
                </c:pt>
                <c:pt idx="21">
                  <c:v>16.283677950478182</c:v>
                </c:pt>
                <c:pt idx="22">
                  <c:v>19.230214117323033</c:v>
                </c:pt>
                <c:pt idx="23">
                  <c:v>21.477716197613251</c:v>
                </c:pt>
                <c:pt idx="24">
                  <c:v>23.456496414745676</c:v>
                </c:pt>
                <c:pt idx="25">
                  <c:v>25.815655965929135</c:v>
                </c:pt>
                <c:pt idx="26">
                  <c:v>27.00625705549492</c:v>
                </c:pt>
                <c:pt idx="27">
                  <c:v>31.725251578194143</c:v>
                </c:pt>
                <c:pt idx="28">
                  <c:v>33.637215797103757</c:v>
                </c:pt>
                <c:pt idx="29">
                  <c:v>38.28413538846101</c:v>
                </c:pt>
                <c:pt idx="30">
                  <c:v>39.482196460947137</c:v>
                </c:pt>
                <c:pt idx="31">
                  <c:v>45.244991055798742</c:v>
                </c:pt>
              </c:numCache>
            </c:numRef>
          </c:xVal>
          <c:yVal>
            <c:numRef>
              <c:f>[0]!TestData.05Y</c:f>
              <c:numCache>
                <c:formatCode>General</c:formatCode>
                <c:ptCount val="32"/>
                <c:pt idx="0">
                  <c:v>171.93196398419323</c:v>
                </c:pt>
                <c:pt idx="1">
                  <c:v>175.29316521605008</c:v>
                </c:pt>
                <c:pt idx="2">
                  <c:v>178.47281879339678</c:v>
                </c:pt>
                <c:pt idx="3">
                  <c:v>180.87026224979977</c:v>
                </c:pt>
                <c:pt idx="4">
                  <c:v>185.67117689633932</c:v>
                </c:pt>
                <c:pt idx="5">
                  <c:v>185.66048301323619</c:v>
                </c:pt>
                <c:pt idx="6">
                  <c:v>190.75415087254922</c:v>
                </c:pt>
                <c:pt idx="7">
                  <c:v>196.33843366360034</c:v>
                </c:pt>
                <c:pt idx="8">
                  <c:v>199.31695709835438</c:v>
                </c:pt>
                <c:pt idx="9">
                  <c:v>203.06425815644735</c:v>
                </c:pt>
                <c:pt idx="10">
                  <c:v>202.61655784309707</c:v>
                </c:pt>
                <c:pt idx="11">
                  <c:v>205.18156533275237</c:v>
                </c:pt>
                <c:pt idx="12">
                  <c:v>205.5318515971482</c:v>
                </c:pt>
                <c:pt idx="13">
                  <c:v>207.33086374671234</c:v>
                </c:pt>
                <c:pt idx="14">
                  <c:v>207.74044786395208</c:v>
                </c:pt>
                <c:pt idx="15">
                  <c:v>212.0208421608958</c:v>
                </c:pt>
                <c:pt idx="16">
                  <c:v>212.21006271967715</c:v>
                </c:pt>
                <c:pt idx="17">
                  <c:v>213.79532959687626</c:v>
                </c:pt>
                <c:pt idx="18">
                  <c:v>214.59613389062875</c:v>
                </c:pt>
                <c:pt idx="19">
                  <c:v>214.39987434850195</c:v>
                </c:pt>
                <c:pt idx="20">
                  <c:v>216.40943696345164</c:v>
                </c:pt>
                <c:pt idx="21">
                  <c:v>214.30734175269745</c:v>
                </c:pt>
                <c:pt idx="22">
                  <c:v>214.96446164754278</c:v>
                </c:pt>
                <c:pt idx="23">
                  <c:v>214.19927975238343</c:v>
                </c:pt>
                <c:pt idx="24">
                  <c:v>214.60301865400297</c:v>
                </c:pt>
                <c:pt idx="25">
                  <c:v>212.67963354739453</c:v>
                </c:pt>
                <c:pt idx="26">
                  <c:v>208.95731205619398</c:v>
                </c:pt>
                <c:pt idx="27">
                  <c:v>208.47609194100755</c:v>
                </c:pt>
                <c:pt idx="28">
                  <c:v>207.70665808978777</c:v>
                </c:pt>
                <c:pt idx="29">
                  <c:v>202.9752211292554</c:v>
                </c:pt>
                <c:pt idx="30">
                  <c:v>203.5510992463459</c:v>
                </c:pt>
                <c:pt idx="31">
                  <c:v>202.74327051601074</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HR</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1.2876244111486215</c:v>
                </c:pt>
                <c:pt idx="2">
                  <c:v>1.5008411611753876</c:v>
                </c:pt>
                <c:pt idx="3">
                  <c:v>1.7697749938705178</c:v>
                </c:pt>
                <c:pt idx="4">
                  <c:v>2.2048794070643596</c:v>
                </c:pt>
                <c:pt idx="5">
                  <c:v>2.6212426692654378</c:v>
                </c:pt>
                <c:pt idx="6">
                  <c:v>3.0505287735597726</c:v>
                </c:pt>
                <c:pt idx="7">
                  <c:v>3.722170983074327</c:v>
                </c:pt>
                <c:pt idx="8">
                  <c:v>3.9349036524349432</c:v>
                </c:pt>
                <c:pt idx="9">
                  <c:v>4.4159886198407081</c:v>
                </c:pt>
                <c:pt idx="10">
                  <c:v>5.1824214677799789</c:v>
                </c:pt>
                <c:pt idx="11">
                  <c:v>5.9231717211091928</c:v>
                </c:pt>
                <c:pt idx="12">
                  <c:v>6.7072714241372253</c:v>
                </c:pt>
                <c:pt idx="13">
                  <c:v>7.3748464055398433</c:v>
                </c:pt>
                <c:pt idx="14">
                  <c:v>8.7025488474866606</c:v>
                </c:pt>
                <c:pt idx="15">
                  <c:v>9.4607429970849655</c:v>
                </c:pt>
                <c:pt idx="16">
                  <c:v>10.596908096479897</c:v>
                </c:pt>
                <c:pt idx="17">
                  <c:v>11.437186069818408</c:v>
                </c:pt>
                <c:pt idx="18">
                  <c:v>13.48368538431626</c:v>
                </c:pt>
                <c:pt idx="19">
                  <c:v>14.525347071479775</c:v>
                </c:pt>
                <c:pt idx="20">
                  <c:v>15.582204455267153</c:v>
                </c:pt>
                <c:pt idx="21">
                  <c:v>15.977680567615311</c:v>
                </c:pt>
                <c:pt idx="22">
                  <c:v>18.208695072404897</c:v>
                </c:pt>
                <c:pt idx="23">
                  <c:v>19.908231422743729</c:v>
                </c:pt>
                <c:pt idx="24">
                  <c:v>20.439619577474016</c:v>
                </c:pt>
                <c:pt idx="25">
                  <c:v>22.002404144599971</c:v>
                </c:pt>
                <c:pt idx="26">
                  <c:v>25.685090984531978</c:v>
                </c:pt>
                <c:pt idx="27">
                  <c:v>26.492052432940021</c:v>
                </c:pt>
                <c:pt idx="28">
                  <c:v>28.617777688308752</c:v>
                </c:pt>
                <c:pt idx="29">
                  <c:v>31.25971780382611</c:v>
                </c:pt>
                <c:pt idx="30">
                  <c:v>31.463718709236492</c:v>
                </c:pt>
                <c:pt idx="31">
                  <c:v>35.555482969370679</c:v>
                </c:pt>
              </c:numCache>
            </c:numRef>
          </c:xVal>
          <c:yVal>
            <c:numRef>
              <c:f>[0]!TestData.06Y</c:f>
              <c:numCache>
                <c:formatCode>General</c:formatCode>
                <c:ptCount val="32"/>
                <c:pt idx="0">
                  <c:v>149.72115258254127</c:v>
                </c:pt>
                <c:pt idx="1">
                  <c:v>155.13610464286893</c:v>
                </c:pt>
                <c:pt idx="2">
                  <c:v>157.57010772822397</c:v>
                </c:pt>
                <c:pt idx="3">
                  <c:v>156.93633189163128</c:v>
                </c:pt>
                <c:pt idx="4">
                  <c:v>162.73771445007162</c:v>
                </c:pt>
                <c:pt idx="5">
                  <c:v>166.87326981623232</c:v>
                </c:pt>
                <c:pt idx="6">
                  <c:v>171.42591442335311</c:v>
                </c:pt>
                <c:pt idx="7">
                  <c:v>175.78904227204916</c:v>
                </c:pt>
                <c:pt idx="8">
                  <c:v>175.76794315387266</c:v>
                </c:pt>
                <c:pt idx="9">
                  <c:v>181.36556194953619</c:v>
                </c:pt>
                <c:pt idx="10">
                  <c:v>183.64643556811987</c:v>
                </c:pt>
                <c:pt idx="11">
                  <c:v>187.36884296998068</c:v>
                </c:pt>
                <c:pt idx="12">
                  <c:v>191.5039107610765</c:v>
                </c:pt>
                <c:pt idx="13">
                  <c:v>195.26468184488027</c:v>
                </c:pt>
                <c:pt idx="14">
                  <c:v>198.00288766712333</c:v>
                </c:pt>
                <c:pt idx="15">
                  <c:v>197.63229598179353</c:v>
                </c:pt>
                <c:pt idx="16">
                  <c:v>201.71560264805677</c:v>
                </c:pt>
                <c:pt idx="17">
                  <c:v>199.90353930517699</c:v>
                </c:pt>
                <c:pt idx="18">
                  <c:v>202.95954338806655</c:v>
                </c:pt>
                <c:pt idx="19">
                  <c:v>203.32201620888824</c:v>
                </c:pt>
                <c:pt idx="20">
                  <c:v>200.97949885761227</c:v>
                </c:pt>
                <c:pt idx="21">
                  <c:v>201.76710806526836</c:v>
                </c:pt>
                <c:pt idx="22">
                  <c:v>200.24089723125431</c:v>
                </c:pt>
                <c:pt idx="23">
                  <c:v>199.34514289857918</c:v>
                </c:pt>
                <c:pt idx="24">
                  <c:v>202.76123858718006</c:v>
                </c:pt>
                <c:pt idx="25">
                  <c:v>199.64464411557736</c:v>
                </c:pt>
                <c:pt idx="26">
                  <c:v>198.14470883253924</c:v>
                </c:pt>
                <c:pt idx="27">
                  <c:v>196.31081495798662</c:v>
                </c:pt>
                <c:pt idx="28">
                  <c:v>195.85383328613739</c:v>
                </c:pt>
                <c:pt idx="29">
                  <c:v>194.30392395469647</c:v>
                </c:pt>
                <c:pt idx="30">
                  <c:v>193.7230030489379</c:v>
                </c:pt>
                <c:pt idx="31">
                  <c:v>189.89926257831155</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HR</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1.2876244111486215</c:v>
                </c:pt>
                <c:pt idx="2">
                  <c:v>1.5008411611753876</c:v>
                </c:pt>
                <c:pt idx="3">
                  <c:v>1.7697749938705178</c:v>
                </c:pt>
                <c:pt idx="4">
                  <c:v>2.2048794070643596</c:v>
                </c:pt>
                <c:pt idx="5">
                  <c:v>2.6212426692654378</c:v>
                </c:pt>
                <c:pt idx="6">
                  <c:v>3.0505287735597726</c:v>
                </c:pt>
                <c:pt idx="7">
                  <c:v>3.722170983074327</c:v>
                </c:pt>
                <c:pt idx="8">
                  <c:v>3.9349036524349432</c:v>
                </c:pt>
                <c:pt idx="9">
                  <c:v>4.4159886198407081</c:v>
                </c:pt>
                <c:pt idx="10">
                  <c:v>5.1824214677799789</c:v>
                </c:pt>
                <c:pt idx="11">
                  <c:v>5.9231717211091928</c:v>
                </c:pt>
                <c:pt idx="12">
                  <c:v>6.7072714241372253</c:v>
                </c:pt>
                <c:pt idx="13">
                  <c:v>7.3748464055398433</c:v>
                </c:pt>
                <c:pt idx="14">
                  <c:v>8.7025488474866606</c:v>
                </c:pt>
                <c:pt idx="15">
                  <c:v>9.4607429970849655</c:v>
                </c:pt>
                <c:pt idx="16">
                  <c:v>10.596908096479897</c:v>
                </c:pt>
                <c:pt idx="17">
                  <c:v>11.437186069818408</c:v>
                </c:pt>
                <c:pt idx="18">
                  <c:v>13.48368538431626</c:v>
                </c:pt>
                <c:pt idx="19">
                  <c:v>14.525347071479775</c:v>
                </c:pt>
                <c:pt idx="20">
                  <c:v>15.582204455267153</c:v>
                </c:pt>
                <c:pt idx="21">
                  <c:v>15.977680567615311</c:v>
                </c:pt>
                <c:pt idx="22">
                  <c:v>18.208695072404897</c:v>
                </c:pt>
                <c:pt idx="23">
                  <c:v>19.908231422743729</c:v>
                </c:pt>
                <c:pt idx="24">
                  <c:v>20.439619577474016</c:v>
                </c:pt>
                <c:pt idx="25">
                  <c:v>22.002404144599971</c:v>
                </c:pt>
                <c:pt idx="26">
                  <c:v>25.685090984531978</c:v>
                </c:pt>
                <c:pt idx="27">
                  <c:v>26.492052432940021</c:v>
                </c:pt>
                <c:pt idx="28">
                  <c:v>28.617777688308752</c:v>
                </c:pt>
                <c:pt idx="29">
                  <c:v>31.25971780382611</c:v>
                </c:pt>
                <c:pt idx="30">
                  <c:v>31.463718709236492</c:v>
                </c:pt>
                <c:pt idx="31">
                  <c:v>35.555482969370679</c:v>
                </c:pt>
              </c:numCache>
            </c:numRef>
          </c:xVal>
          <c:yVal>
            <c:numRef>
              <c:f>[0]!TestData.06Y</c:f>
              <c:numCache>
                <c:formatCode>General</c:formatCode>
                <c:ptCount val="32"/>
                <c:pt idx="0">
                  <c:v>149.72115258254127</c:v>
                </c:pt>
                <c:pt idx="1">
                  <c:v>155.13610464286893</c:v>
                </c:pt>
                <c:pt idx="2">
                  <c:v>157.57010772822397</c:v>
                </c:pt>
                <c:pt idx="3">
                  <c:v>156.93633189163128</c:v>
                </c:pt>
                <c:pt idx="4">
                  <c:v>162.73771445007162</c:v>
                </c:pt>
                <c:pt idx="5">
                  <c:v>166.87326981623232</c:v>
                </c:pt>
                <c:pt idx="6">
                  <c:v>171.42591442335311</c:v>
                </c:pt>
                <c:pt idx="7">
                  <c:v>175.78904227204916</c:v>
                </c:pt>
                <c:pt idx="8">
                  <c:v>175.76794315387266</c:v>
                </c:pt>
                <c:pt idx="9">
                  <c:v>181.36556194953619</c:v>
                </c:pt>
                <c:pt idx="10">
                  <c:v>183.64643556811987</c:v>
                </c:pt>
                <c:pt idx="11">
                  <c:v>187.36884296998068</c:v>
                </c:pt>
                <c:pt idx="12">
                  <c:v>191.5039107610765</c:v>
                </c:pt>
                <c:pt idx="13">
                  <c:v>195.26468184488027</c:v>
                </c:pt>
                <c:pt idx="14">
                  <c:v>198.00288766712333</c:v>
                </c:pt>
                <c:pt idx="15">
                  <c:v>197.63229598179353</c:v>
                </c:pt>
                <c:pt idx="16">
                  <c:v>201.71560264805677</c:v>
                </c:pt>
                <c:pt idx="17">
                  <c:v>199.90353930517699</c:v>
                </c:pt>
                <c:pt idx="18">
                  <c:v>202.95954338806655</c:v>
                </c:pt>
                <c:pt idx="19">
                  <c:v>203.32201620888824</c:v>
                </c:pt>
                <c:pt idx="20">
                  <c:v>200.97949885761227</c:v>
                </c:pt>
                <c:pt idx="21">
                  <c:v>201.76710806526836</c:v>
                </c:pt>
                <c:pt idx="22">
                  <c:v>200.24089723125431</c:v>
                </c:pt>
                <c:pt idx="23">
                  <c:v>199.34514289857918</c:v>
                </c:pt>
                <c:pt idx="24">
                  <c:v>202.76123858718006</c:v>
                </c:pt>
                <c:pt idx="25">
                  <c:v>199.64464411557736</c:v>
                </c:pt>
                <c:pt idx="26">
                  <c:v>198.14470883253924</c:v>
                </c:pt>
                <c:pt idx="27">
                  <c:v>196.31081495798662</c:v>
                </c:pt>
                <c:pt idx="28">
                  <c:v>195.85383328613739</c:v>
                </c:pt>
                <c:pt idx="29">
                  <c:v>194.30392395469647</c:v>
                </c:pt>
                <c:pt idx="30">
                  <c:v>193.7230030489379</c:v>
                </c:pt>
                <c:pt idx="31">
                  <c:v>189.89926257831155</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HR</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1.2876244111486215</c:v>
                </c:pt>
                <c:pt idx="2">
                  <c:v>1.5008411611753876</c:v>
                </c:pt>
                <c:pt idx="3">
                  <c:v>1.7697749938705178</c:v>
                </c:pt>
                <c:pt idx="4">
                  <c:v>2.2048794070643596</c:v>
                </c:pt>
                <c:pt idx="5">
                  <c:v>2.6212426692654378</c:v>
                </c:pt>
                <c:pt idx="6">
                  <c:v>3.0505287735597726</c:v>
                </c:pt>
                <c:pt idx="7">
                  <c:v>3.722170983074327</c:v>
                </c:pt>
                <c:pt idx="8">
                  <c:v>3.9349036524349432</c:v>
                </c:pt>
                <c:pt idx="9">
                  <c:v>4.4159886198407081</c:v>
                </c:pt>
                <c:pt idx="10">
                  <c:v>5.1824214677799789</c:v>
                </c:pt>
                <c:pt idx="11">
                  <c:v>5.9231717211091928</c:v>
                </c:pt>
                <c:pt idx="12">
                  <c:v>6.7072714241372253</c:v>
                </c:pt>
                <c:pt idx="13">
                  <c:v>7.3748464055398433</c:v>
                </c:pt>
                <c:pt idx="14">
                  <c:v>8.7025488474866606</c:v>
                </c:pt>
                <c:pt idx="15">
                  <c:v>9.4607429970849655</c:v>
                </c:pt>
                <c:pt idx="16">
                  <c:v>10.596908096479897</c:v>
                </c:pt>
                <c:pt idx="17">
                  <c:v>11.437186069818408</c:v>
                </c:pt>
                <c:pt idx="18">
                  <c:v>13.48368538431626</c:v>
                </c:pt>
                <c:pt idx="19">
                  <c:v>14.525347071479775</c:v>
                </c:pt>
                <c:pt idx="20">
                  <c:v>15.582204455267153</c:v>
                </c:pt>
                <c:pt idx="21">
                  <c:v>15.977680567615311</c:v>
                </c:pt>
                <c:pt idx="22">
                  <c:v>18.208695072404897</c:v>
                </c:pt>
                <c:pt idx="23">
                  <c:v>19.908231422743729</c:v>
                </c:pt>
                <c:pt idx="24">
                  <c:v>20.439619577474016</c:v>
                </c:pt>
                <c:pt idx="25">
                  <c:v>22.002404144599971</c:v>
                </c:pt>
                <c:pt idx="26">
                  <c:v>25.685090984531978</c:v>
                </c:pt>
                <c:pt idx="27">
                  <c:v>26.492052432940021</c:v>
                </c:pt>
                <c:pt idx="28">
                  <c:v>28.617777688308752</c:v>
                </c:pt>
                <c:pt idx="29">
                  <c:v>31.25971780382611</c:v>
                </c:pt>
                <c:pt idx="30">
                  <c:v>31.463718709236492</c:v>
                </c:pt>
                <c:pt idx="31">
                  <c:v>35.555482969370679</c:v>
                </c:pt>
              </c:numCache>
            </c:numRef>
          </c:xVal>
          <c:yVal>
            <c:numRef>
              <c:f>[0]!TestData.06Y</c:f>
              <c:numCache>
                <c:formatCode>General</c:formatCode>
                <c:ptCount val="32"/>
                <c:pt idx="0">
                  <c:v>149.72115258254127</c:v>
                </c:pt>
                <c:pt idx="1">
                  <c:v>155.13610464286893</c:v>
                </c:pt>
                <c:pt idx="2">
                  <c:v>157.57010772822397</c:v>
                </c:pt>
                <c:pt idx="3">
                  <c:v>156.93633189163128</c:v>
                </c:pt>
                <c:pt idx="4">
                  <c:v>162.73771445007162</c:v>
                </c:pt>
                <c:pt idx="5">
                  <c:v>166.87326981623232</c:v>
                </c:pt>
                <c:pt idx="6">
                  <c:v>171.42591442335311</c:v>
                </c:pt>
                <c:pt idx="7">
                  <c:v>175.78904227204916</c:v>
                </c:pt>
                <c:pt idx="8">
                  <c:v>175.76794315387266</c:v>
                </c:pt>
                <c:pt idx="9">
                  <c:v>181.36556194953619</c:v>
                </c:pt>
                <c:pt idx="10">
                  <c:v>183.64643556811987</c:v>
                </c:pt>
                <c:pt idx="11">
                  <c:v>187.36884296998068</c:v>
                </c:pt>
                <c:pt idx="12">
                  <c:v>191.5039107610765</c:v>
                </c:pt>
                <c:pt idx="13">
                  <c:v>195.26468184488027</c:v>
                </c:pt>
                <c:pt idx="14">
                  <c:v>198.00288766712333</c:v>
                </c:pt>
                <c:pt idx="15">
                  <c:v>197.63229598179353</c:v>
                </c:pt>
                <c:pt idx="16">
                  <c:v>201.71560264805677</c:v>
                </c:pt>
                <c:pt idx="17">
                  <c:v>199.90353930517699</c:v>
                </c:pt>
                <c:pt idx="18">
                  <c:v>202.95954338806655</c:v>
                </c:pt>
                <c:pt idx="19">
                  <c:v>203.32201620888824</c:v>
                </c:pt>
                <c:pt idx="20">
                  <c:v>200.97949885761227</c:v>
                </c:pt>
                <c:pt idx="21">
                  <c:v>201.76710806526836</c:v>
                </c:pt>
                <c:pt idx="22">
                  <c:v>200.24089723125431</c:v>
                </c:pt>
                <c:pt idx="23">
                  <c:v>199.34514289857918</c:v>
                </c:pt>
                <c:pt idx="24">
                  <c:v>202.76123858718006</c:v>
                </c:pt>
                <c:pt idx="25">
                  <c:v>199.64464411557736</c:v>
                </c:pt>
                <c:pt idx="26">
                  <c:v>198.14470883253924</c:v>
                </c:pt>
                <c:pt idx="27">
                  <c:v>196.31081495798662</c:v>
                </c:pt>
                <c:pt idx="28">
                  <c:v>195.85383328613739</c:v>
                </c:pt>
                <c:pt idx="29">
                  <c:v>194.30392395469647</c:v>
                </c:pt>
                <c:pt idx="30">
                  <c:v>193.7230030489379</c:v>
                </c:pt>
                <c:pt idx="31">
                  <c:v>189.89926257831155</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LT</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1.3080880697639159</c:v>
                </c:pt>
                <c:pt idx="2">
                  <c:v>1.5864836003459952</c:v>
                </c:pt>
                <c:pt idx="3">
                  <c:v>1.795929506138829</c:v>
                </c:pt>
                <c:pt idx="4">
                  <c:v>2.1101315487036048</c:v>
                </c:pt>
                <c:pt idx="5">
                  <c:v>2.5358337289447967</c:v>
                </c:pt>
                <c:pt idx="6">
                  <c:v>3.0162543020239982</c:v>
                </c:pt>
                <c:pt idx="7">
                  <c:v>3.4628032522544814</c:v>
                </c:pt>
                <c:pt idx="8">
                  <c:v>3.9886598510463793</c:v>
                </c:pt>
                <c:pt idx="9">
                  <c:v>4.8027337658614275</c:v>
                </c:pt>
                <c:pt idx="10">
                  <c:v>5.3867230182052168</c:v>
                </c:pt>
                <c:pt idx="11">
                  <c:v>6.4910730255933151</c:v>
                </c:pt>
                <c:pt idx="12">
                  <c:v>7.131740082001456</c:v>
                </c:pt>
                <c:pt idx="13">
                  <c:v>8.4248565380407623</c:v>
                </c:pt>
                <c:pt idx="14">
                  <c:v>9.5250355959020414</c:v>
                </c:pt>
                <c:pt idx="15">
                  <c:v>10.216058606644753</c:v>
                </c:pt>
                <c:pt idx="16">
                  <c:v>10.99211530285708</c:v>
                </c:pt>
                <c:pt idx="17">
                  <c:v>12.767067790595258</c:v>
                </c:pt>
                <c:pt idx="18">
                  <c:v>14.966487768268605</c:v>
                </c:pt>
                <c:pt idx="19">
                  <c:v>15.90776022624134</c:v>
                </c:pt>
                <c:pt idx="20">
                  <c:v>16.322876505097955</c:v>
                </c:pt>
                <c:pt idx="21">
                  <c:v>18.985804226697361</c:v>
                </c:pt>
                <c:pt idx="22">
                  <c:v>19.710639252020918</c:v>
                </c:pt>
                <c:pt idx="23">
                  <c:v>20.593800341666931</c:v>
                </c:pt>
                <c:pt idx="24">
                  <c:v>22.613934538497798</c:v>
                </c:pt>
                <c:pt idx="25">
                  <c:v>23.927555039889121</c:v>
                </c:pt>
                <c:pt idx="26">
                  <c:v>26.731182427071587</c:v>
                </c:pt>
                <c:pt idx="27">
                  <c:v>28.311774565442985</c:v>
                </c:pt>
                <c:pt idx="28">
                  <c:v>31.833906832179938</c:v>
                </c:pt>
                <c:pt idx="29">
                  <c:v>34.39345407546346</c:v>
                </c:pt>
                <c:pt idx="30">
                  <c:v>37.908916463548159</c:v>
                </c:pt>
                <c:pt idx="31">
                  <c:v>43.464078664892831</c:v>
                </c:pt>
              </c:numCache>
            </c:numRef>
          </c:xVal>
          <c:yVal>
            <c:numRef>
              <c:f>[0]!TestData.07Y</c:f>
              <c:numCache>
                <c:formatCode>General</c:formatCode>
                <c:ptCount val="32"/>
                <c:pt idx="0">
                  <c:v>188.26107090697059</c:v>
                </c:pt>
                <c:pt idx="1">
                  <c:v>187.42975389915506</c:v>
                </c:pt>
                <c:pt idx="2">
                  <c:v>189.95815389875506</c:v>
                </c:pt>
                <c:pt idx="3">
                  <c:v>192.83469553267295</c:v>
                </c:pt>
                <c:pt idx="4">
                  <c:v>194.78291958876983</c:v>
                </c:pt>
                <c:pt idx="5">
                  <c:v>199.55012331499105</c:v>
                </c:pt>
                <c:pt idx="6">
                  <c:v>200.74593774283636</c:v>
                </c:pt>
                <c:pt idx="7">
                  <c:v>203.03091721861776</c:v>
                </c:pt>
                <c:pt idx="8">
                  <c:v>206.43109251922036</c:v>
                </c:pt>
                <c:pt idx="9">
                  <c:v>210.5078289536504</c:v>
                </c:pt>
                <c:pt idx="10">
                  <c:v>212.98270245360794</c:v>
                </c:pt>
                <c:pt idx="11">
                  <c:v>213.34022353952381</c:v>
                </c:pt>
                <c:pt idx="12">
                  <c:v>216.6384565459995</c:v>
                </c:pt>
                <c:pt idx="13">
                  <c:v>217.96252358349346</c:v>
                </c:pt>
                <c:pt idx="14">
                  <c:v>219.53542068778918</c:v>
                </c:pt>
                <c:pt idx="15">
                  <c:v>219.9062826251816</c:v>
                </c:pt>
                <c:pt idx="16">
                  <c:v>221.61612035314636</c:v>
                </c:pt>
                <c:pt idx="17">
                  <c:v>220.06863035026606</c:v>
                </c:pt>
                <c:pt idx="18">
                  <c:v>218.17449028374105</c:v>
                </c:pt>
                <c:pt idx="19">
                  <c:v>218.32085574468152</c:v>
                </c:pt>
                <c:pt idx="20">
                  <c:v>218.36003863127607</c:v>
                </c:pt>
                <c:pt idx="21">
                  <c:v>214.55202552021012</c:v>
                </c:pt>
                <c:pt idx="22">
                  <c:v>214.95628176970556</c:v>
                </c:pt>
                <c:pt idx="23">
                  <c:v>212.10694962163285</c:v>
                </c:pt>
                <c:pt idx="24">
                  <c:v>212.7797811704643</c:v>
                </c:pt>
                <c:pt idx="25">
                  <c:v>211.23951163714679</c:v>
                </c:pt>
                <c:pt idx="26">
                  <c:v>205.72304793422038</c:v>
                </c:pt>
                <c:pt idx="27">
                  <c:v>207.85116151552177</c:v>
                </c:pt>
                <c:pt idx="28">
                  <c:v>201.5931121986622</c:v>
                </c:pt>
                <c:pt idx="29">
                  <c:v>200.0423973723837</c:v>
                </c:pt>
                <c:pt idx="30">
                  <c:v>198.30461728895088</c:v>
                </c:pt>
                <c:pt idx="31">
                  <c:v>192.96356147343022</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LT</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1.3080880697639159</c:v>
                </c:pt>
                <c:pt idx="2">
                  <c:v>1.5864836003459952</c:v>
                </c:pt>
                <c:pt idx="3">
                  <c:v>1.795929506138829</c:v>
                </c:pt>
                <c:pt idx="4">
                  <c:v>2.1101315487036048</c:v>
                </c:pt>
                <c:pt idx="5">
                  <c:v>2.5358337289447967</c:v>
                </c:pt>
                <c:pt idx="6">
                  <c:v>3.0162543020239982</c:v>
                </c:pt>
                <c:pt idx="7">
                  <c:v>3.4628032522544814</c:v>
                </c:pt>
                <c:pt idx="8">
                  <c:v>3.9886598510463793</c:v>
                </c:pt>
                <c:pt idx="9">
                  <c:v>4.8027337658614275</c:v>
                </c:pt>
                <c:pt idx="10">
                  <c:v>5.3867230182052168</c:v>
                </c:pt>
                <c:pt idx="11">
                  <c:v>6.4910730255933151</c:v>
                </c:pt>
                <c:pt idx="12">
                  <c:v>7.131740082001456</c:v>
                </c:pt>
                <c:pt idx="13">
                  <c:v>8.4248565380407623</c:v>
                </c:pt>
                <c:pt idx="14">
                  <c:v>9.5250355959020414</c:v>
                </c:pt>
                <c:pt idx="15">
                  <c:v>10.216058606644753</c:v>
                </c:pt>
                <c:pt idx="16">
                  <c:v>10.99211530285708</c:v>
                </c:pt>
                <c:pt idx="17">
                  <c:v>12.767067790595258</c:v>
                </c:pt>
                <c:pt idx="18">
                  <c:v>14.966487768268605</c:v>
                </c:pt>
                <c:pt idx="19">
                  <c:v>15.90776022624134</c:v>
                </c:pt>
                <c:pt idx="20">
                  <c:v>16.322876505097955</c:v>
                </c:pt>
                <c:pt idx="21">
                  <c:v>18.985804226697361</c:v>
                </c:pt>
                <c:pt idx="22">
                  <c:v>19.710639252020918</c:v>
                </c:pt>
                <c:pt idx="23">
                  <c:v>20.593800341666931</c:v>
                </c:pt>
                <c:pt idx="24">
                  <c:v>22.613934538497798</c:v>
                </c:pt>
                <c:pt idx="25">
                  <c:v>23.927555039889121</c:v>
                </c:pt>
                <c:pt idx="26">
                  <c:v>26.731182427071587</c:v>
                </c:pt>
                <c:pt idx="27">
                  <c:v>28.311774565442985</c:v>
                </c:pt>
                <c:pt idx="28">
                  <c:v>31.833906832179938</c:v>
                </c:pt>
                <c:pt idx="29">
                  <c:v>34.39345407546346</c:v>
                </c:pt>
                <c:pt idx="30">
                  <c:v>37.908916463548159</c:v>
                </c:pt>
                <c:pt idx="31">
                  <c:v>43.464078664892831</c:v>
                </c:pt>
              </c:numCache>
            </c:numRef>
          </c:xVal>
          <c:yVal>
            <c:numRef>
              <c:f>[0]!TestData.07Y</c:f>
              <c:numCache>
                <c:formatCode>General</c:formatCode>
                <c:ptCount val="32"/>
                <c:pt idx="0">
                  <c:v>188.26107090697059</c:v>
                </c:pt>
                <c:pt idx="1">
                  <c:v>187.42975389915506</c:v>
                </c:pt>
                <c:pt idx="2">
                  <c:v>189.95815389875506</c:v>
                </c:pt>
                <c:pt idx="3">
                  <c:v>192.83469553267295</c:v>
                </c:pt>
                <c:pt idx="4">
                  <c:v>194.78291958876983</c:v>
                </c:pt>
                <c:pt idx="5">
                  <c:v>199.55012331499105</c:v>
                </c:pt>
                <c:pt idx="6">
                  <c:v>200.74593774283636</c:v>
                </c:pt>
                <c:pt idx="7">
                  <c:v>203.03091721861776</c:v>
                </c:pt>
                <c:pt idx="8">
                  <c:v>206.43109251922036</c:v>
                </c:pt>
                <c:pt idx="9">
                  <c:v>210.5078289536504</c:v>
                </c:pt>
                <c:pt idx="10">
                  <c:v>212.98270245360794</c:v>
                </c:pt>
                <c:pt idx="11">
                  <c:v>213.34022353952381</c:v>
                </c:pt>
                <c:pt idx="12">
                  <c:v>216.6384565459995</c:v>
                </c:pt>
                <c:pt idx="13">
                  <c:v>217.96252358349346</c:v>
                </c:pt>
                <c:pt idx="14">
                  <c:v>219.53542068778918</c:v>
                </c:pt>
                <c:pt idx="15">
                  <c:v>219.9062826251816</c:v>
                </c:pt>
                <c:pt idx="16">
                  <c:v>221.61612035314636</c:v>
                </c:pt>
                <c:pt idx="17">
                  <c:v>220.06863035026606</c:v>
                </c:pt>
                <c:pt idx="18">
                  <c:v>218.17449028374105</c:v>
                </c:pt>
                <c:pt idx="19">
                  <c:v>218.32085574468152</c:v>
                </c:pt>
                <c:pt idx="20">
                  <c:v>218.36003863127607</c:v>
                </c:pt>
                <c:pt idx="21">
                  <c:v>214.55202552021012</c:v>
                </c:pt>
                <c:pt idx="22">
                  <c:v>214.95628176970556</c:v>
                </c:pt>
                <c:pt idx="23">
                  <c:v>212.10694962163285</c:v>
                </c:pt>
                <c:pt idx="24">
                  <c:v>212.7797811704643</c:v>
                </c:pt>
                <c:pt idx="25">
                  <c:v>211.23951163714679</c:v>
                </c:pt>
                <c:pt idx="26">
                  <c:v>205.72304793422038</c:v>
                </c:pt>
                <c:pt idx="27">
                  <c:v>207.85116151552177</c:v>
                </c:pt>
                <c:pt idx="28">
                  <c:v>201.5931121986622</c:v>
                </c:pt>
                <c:pt idx="29">
                  <c:v>200.0423973723837</c:v>
                </c:pt>
                <c:pt idx="30">
                  <c:v>198.30461728895088</c:v>
                </c:pt>
                <c:pt idx="31">
                  <c:v>192.96356147343022</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LT</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1.3080880697639159</c:v>
                </c:pt>
                <c:pt idx="2">
                  <c:v>1.5864836003459952</c:v>
                </c:pt>
                <c:pt idx="3">
                  <c:v>1.795929506138829</c:v>
                </c:pt>
                <c:pt idx="4">
                  <c:v>2.1101315487036048</c:v>
                </c:pt>
                <c:pt idx="5">
                  <c:v>2.5358337289447967</c:v>
                </c:pt>
                <c:pt idx="6">
                  <c:v>3.0162543020239982</c:v>
                </c:pt>
                <c:pt idx="7">
                  <c:v>3.4628032522544814</c:v>
                </c:pt>
                <c:pt idx="8">
                  <c:v>3.9886598510463793</c:v>
                </c:pt>
                <c:pt idx="9">
                  <c:v>4.8027337658614275</c:v>
                </c:pt>
                <c:pt idx="10">
                  <c:v>5.3867230182052168</c:v>
                </c:pt>
                <c:pt idx="11">
                  <c:v>6.4910730255933151</c:v>
                </c:pt>
                <c:pt idx="12">
                  <c:v>7.131740082001456</c:v>
                </c:pt>
                <c:pt idx="13">
                  <c:v>8.4248565380407623</c:v>
                </c:pt>
                <c:pt idx="14">
                  <c:v>9.5250355959020414</c:v>
                </c:pt>
                <c:pt idx="15">
                  <c:v>10.216058606644753</c:v>
                </c:pt>
                <c:pt idx="16">
                  <c:v>10.99211530285708</c:v>
                </c:pt>
                <c:pt idx="17">
                  <c:v>12.767067790595258</c:v>
                </c:pt>
                <c:pt idx="18">
                  <c:v>14.966487768268605</c:v>
                </c:pt>
                <c:pt idx="19">
                  <c:v>15.90776022624134</c:v>
                </c:pt>
                <c:pt idx="20">
                  <c:v>16.322876505097955</c:v>
                </c:pt>
                <c:pt idx="21">
                  <c:v>18.985804226697361</c:v>
                </c:pt>
                <c:pt idx="22">
                  <c:v>19.710639252020918</c:v>
                </c:pt>
                <c:pt idx="23">
                  <c:v>20.593800341666931</c:v>
                </c:pt>
                <c:pt idx="24">
                  <c:v>22.613934538497798</c:v>
                </c:pt>
                <c:pt idx="25">
                  <c:v>23.927555039889121</c:v>
                </c:pt>
                <c:pt idx="26">
                  <c:v>26.731182427071587</c:v>
                </c:pt>
                <c:pt idx="27">
                  <c:v>28.311774565442985</c:v>
                </c:pt>
                <c:pt idx="28">
                  <c:v>31.833906832179938</c:v>
                </c:pt>
                <c:pt idx="29">
                  <c:v>34.39345407546346</c:v>
                </c:pt>
                <c:pt idx="30">
                  <c:v>37.908916463548159</c:v>
                </c:pt>
                <c:pt idx="31">
                  <c:v>43.464078664892831</c:v>
                </c:pt>
              </c:numCache>
            </c:numRef>
          </c:xVal>
          <c:yVal>
            <c:numRef>
              <c:f>[0]!TestData.07Y</c:f>
              <c:numCache>
                <c:formatCode>General</c:formatCode>
                <c:ptCount val="32"/>
                <c:pt idx="0">
                  <c:v>188.26107090697059</c:v>
                </c:pt>
                <c:pt idx="1">
                  <c:v>187.42975389915506</c:v>
                </c:pt>
                <c:pt idx="2">
                  <c:v>189.95815389875506</c:v>
                </c:pt>
                <c:pt idx="3">
                  <c:v>192.83469553267295</c:v>
                </c:pt>
                <c:pt idx="4">
                  <c:v>194.78291958876983</c:v>
                </c:pt>
                <c:pt idx="5">
                  <c:v>199.55012331499105</c:v>
                </c:pt>
                <c:pt idx="6">
                  <c:v>200.74593774283636</c:v>
                </c:pt>
                <c:pt idx="7">
                  <c:v>203.03091721861776</c:v>
                </c:pt>
                <c:pt idx="8">
                  <c:v>206.43109251922036</c:v>
                </c:pt>
                <c:pt idx="9">
                  <c:v>210.5078289536504</c:v>
                </c:pt>
                <c:pt idx="10">
                  <c:v>212.98270245360794</c:v>
                </c:pt>
                <c:pt idx="11">
                  <c:v>213.34022353952381</c:v>
                </c:pt>
                <c:pt idx="12">
                  <c:v>216.6384565459995</c:v>
                </c:pt>
                <c:pt idx="13">
                  <c:v>217.96252358349346</c:v>
                </c:pt>
                <c:pt idx="14">
                  <c:v>219.53542068778918</c:v>
                </c:pt>
                <c:pt idx="15">
                  <c:v>219.9062826251816</c:v>
                </c:pt>
                <c:pt idx="16">
                  <c:v>221.61612035314636</c:v>
                </c:pt>
                <c:pt idx="17">
                  <c:v>220.06863035026606</c:v>
                </c:pt>
                <c:pt idx="18">
                  <c:v>218.17449028374105</c:v>
                </c:pt>
                <c:pt idx="19">
                  <c:v>218.32085574468152</c:v>
                </c:pt>
                <c:pt idx="20">
                  <c:v>218.36003863127607</c:v>
                </c:pt>
                <c:pt idx="21">
                  <c:v>214.55202552021012</c:v>
                </c:pt>
                <c:pt idx="22">
                  <c:v>214.95628176970556</c:v>
                </c:pt>
                <c:pt idx="23">
                  <c:v>212.10694962163285</c:v>
                </c:pt>
                <c:pt idx="24">
                  <c:v>212.7797811704643</c:v>
                </c:pt>
                <c:pt idx="25">
                  <c:v>211.23951163714679</c:v>
                </c:pt>
                <c:pt idx="26">
                  <c:v>205.72304793422038</c:v>
                </c:pt>
                <c:pt idx="27">
                  <c:v>207.85116151552177</c:v>
                </c:pt>
                <c:pt idx="28">
                  <c:v>201.5931121986622</c:v>
                </c:pt>
                <c:pt idx="29">
                  <c:v>200.0423973723837</c:v>
                </c:pt>
                <c:pt idx="30">
                  <c:v>198.30461728895088</c:v>
                </c:pt>
                <c:pt idx="31">
                  <c:v>192.96356147343022</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56D91460-BF66-974E-9CB2-2A2CED2CE280}"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9FB1-8244-BD3F-4EB6DF646F07}"/>
                </c:ext>
              </c:extLst>
            </c:dLbl>
            <c:dLbl>
              <c:idx val="1"/>
              <c:tx>
                <c:rich>
                  <a:bodyPr/>
                  <a:lstStyle/>
                  <a:p>
                    <a:fld id="{1E37BAFD-71E8-F944-8474-D28460AC0FF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EA69E706-0487-5747-85FB-8A4F11F335B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3D2D6D81-AF89-5742-A81E-67D94E69B0B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E4367195-0789-F749-9DB7-8215B0E46B02}"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E003A187-39A7-E342-854F-561FA05087F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2208DE0B-9864-B54E-9582-865519A9652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208.03551469662921</c:v>
                </c:pt>
                <c:pt idx="1">
                  <c:v>181.37139639284646</c:v>
                </c:pt>
                <c:pt idx="2">
                  <c:v>198.15514824046753</c:v>
                </c:pt>
                <c:pt idx="3">
                  <c:v>232.59496278432516</c:v>
                </c:pt>
                <c:pt idx="4">
                  <c:v>171.93196398419323</c:v>
                </c:pt>
                <c:pt idx="5">
                  <c:v>149.72115258254127</c:v>
                </c:pt>
                <c:pt idx="6">
                  <c:v>188.26107090697059</c:v>
                </c:pt>
              </c:numCache>
            </c:numRef>
          </c:yVal>
          <c:smooth val="0"/>
          <c:extLst>
            <c:ext xmlns:c15="http://schemas.microsoft.com/office/drawing/2012/chart" uri="{02D57815-91ED-43cb-92C2-25804820EDAC}">
              <c15:datalabelsRange>
                <c15:f>[0]!TestData_Labels.Label</c15:f>
                <c15:dlblRangeCache>
                  <c:ptCount val="7"/>
                  <c:pt idx="0">
                    <c:v>PT</c:v>
                  </c:pt>
                  <c:pt idx="1">
                    <c:v>IE</c:v>
                  </c:pt>
                  <c:pt idx="2">
                    <c:v>SK</c:v>
                  </c:pt>
                  <c:pt idx="3">
                    <c:v>SI</c:v>
                  </c:pt>
                  <c:pt idx="4">
                    <c:v>LU</c:v>
                  </c:pt>
                  <c:pt idx="5">
                    <c:v>HR</c:v>
                  </c:pt>
                  <c:pt idx="6">
                    <c:v>LT</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6D47F50C-00B9-514B-A010-86F870CFA88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9FB1-8244-BD3F-4EB6DF646F07}"/>
                </c:ext>
              </c:extLst>
            </c:dLbl>
            <c:dLbl>
              <c:idx val="1"/>
              <c:tx>
                <c:rich>
                  <a:bodyPr/>
                  <a:lstStyle/>
                  <a:p>
                    <a:fld id="{533936B1-6D06-D24E-84FF-E6B7C200CBFB}"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7289ECB6-B764-014E-9816-39260A9374E7}"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7A802789-D695-FD45-A987-8D296F3AA52D}"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26F61E5F-B92F-3D46-AC53-50996842368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8A8AC6F3-A052-224B-A2C5-43F1F5E19079}"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A2B4D2F9-60FC-EA40-98AD-6C55B44F2AE3}"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45.977394006857459</c:v>
                </c:pt>
                <c:pt idx="1">
                  <c:v>32.624272147959282</c:v>
                </c:pt>
                <c:pt idx="2">
                  <c:v>29.739605371973024</c:v>
                </c:pt>
                <c:pt idx="3">
                  <c:v>32.234283487036457</c:v>
                </c:pt>
                <c:pt idx="4">
                  <c:v>45.244991055798742</c:v>
                </c:pt>
                <c:pt idx="5">
                  <c:v>35.555482969370679</c:v>
                </c:pt>
                <c:pt idx="6">
                  <c:v>43.464078664892831</c:v>
                </c:pt>
              </c:numCache>
            </c:numRef>
          </c:xVal>
          <c:yVal>
            <c:numRef>
              <c:f>[0]!TestData_Labels.Right_Y</c:f>
              <c:numCache>
                <c:formatCode>General</c:formatCode>
                <c:ptCount val="7"/>
                <c:pt idx="0">
                  <c:v>222.38928107868247</c:v>
                </c:pt>
                <c:pt idx="1">
                  <c:v>204.3840784791507</c:v>
                </c:pt>
                <c:pt idx="2">
                  <c:v>239.16010213741441</c:v>
                </c:pt>
                <c:pt idx="3">
                  <c:v>242.59110390209747</c:v>
                </c:pt>
                <c:pt idx="4">
                  <c:v>202.74327051601074</c:v>
                </c:pt>
                <c:pt idx="5">
                  <c:v>189.89926257831155</c:v>
                </c:pt>
                <c:pt idx="6">
                  <c:v>192.96356147343022</c:v>
                </c:pt>
              </c:numCache>
            </c:numRef>
          </c:yVal>
          <c:smooth val="0"/>
          <c:extLst>
            <c:ext xmlns:c15="http://schemas.microsoft.com/office/drawing/2012/chart" uri="{02D57815-91ED-43cb-92C2-25804820EDAC}">
              <c15:datalabelsRange>
                <c15:f>[0]!TestData_Labels.Label</c15:f>
                <c15:dlblRangeCache>
                  <c:ptCount val="7"/>
                  <c:pt idx="0">
                    <c:v>PT</c:v>
                  </c:pt>
                  <c:pt idx="1">
                    <c:v>IE</c:v>
                  </c:pt>
                  <c:pt idx="2">
                    <c:v>SK</c:v>
                  </c:pt>
                  <c:pt idx="3">
                    <c:v>SI</c:v>
                  </c:pt>
                  <c:pt idx="4">
                    <c:v>LU</c:v>
                  </c:pt>
                  <c:pt idx="5">
                    <c:v>HR</c:v>
                  </c:pt>
                  <c:pt idx="6">
                    <c:v>LT</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50"/>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60"/>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206.68358443489853</v>
      </c>
      <c r="S2" s="1">
        <f ca="1" xml:space="preserve"> TestData.Y_0_a + TestData.Y_0_b*(2*RAND() - 1)</f>
        <v>182.78421619132865</v>
      </c>
      <c r="V2" s="1">
        <f ca="1" xml:space="preserve"> TestData.Y_0_a + TestData.Y_0_b*(2*RAND() - 1)</f>
        <v>223.67271492409532</v>
      </c>
      <c r="Y2" s="1">
        <f ca="1" xml:space="preserve"> TestData.Y_0_a + TestData.Y_0_b*(2*RAND() - 1)</f>
        <v>218.31420001308004</v>
      </c>
      <c r="AB2" s="1">
        <f ca="1" xml:space="preserve"> TestData.Y_0_a + TestData.Y_0_b*(2*RAND() - 1)</f>
        <v>192.78375385397436</v>
      </c>
      <c r="AE2" s="1">
        <f ca="1" xml:space="preserve"> TestData.Y_0_a + TestData.Y_0_b*(2*RAND() - 1)</f>
        <v>177.58514013951731</v>
      </c>
      <c r="AH2" s="1">
        <f ca="1" xml:space="preserve"> TestData.Y_0_a + TestData.Y_0_b*(2*RAND() - 1)</f>
        <v>180.67519036849896</v>
      </c>
    </row>
    <row r="3" spans="12:45" x14ac:dyDescent="0.2">
      <c r="P3" s="1">
        <f ca="1" xml:space="preserve"> TestData.Y_1_a + TestData.Y_1_b*(2*RAND() - 1)</f>
        <v>94.480835859568586</v>
      </c>
      <c r="S3" s="1">
        <f ca="1" xml:space="preserve"> TestData.Y_1_a + TestData.Y_1_b*(2*RAND() - 1)</f>
        <v>86.887568465568435</v>
      </c>
      <c r="V3" s="1">
        <f ca="1" xml:space="preserve"> TestData.Y_1_a + TestData.Y_1_b*(2*RAND() - 1)</f>
        <v>58.570170088206027</v>
      </c>
      <c r="Y3" s="1">
        <f ca="1" xml:space="preserve"> TestData.Y_1_a + TestData.Y_1_b*(2*RAND() - 1)</f>
        <v>96.339762373970899</v>
      </c>
      <c r="AB3" s="1">
        <f ca="1" xml:space="preserve"> TestData.Y_1_a + TestData.Y_1_b*(2*RAND() - 1)</f>
        <v>57.57804078030086</v>
      </c>
      <c r="AE3" s="1">
        <f ca="1" xml:space="preserve"> TestData.Y_1_a + TestData.Y_1_b*(2*RAND() - 1)</f>
        <v>62.411600641668954</v>
      </c>
      <c r="AH3" s="1">
        <f ca="1" xml:space="preserve"> TestData.Y_1_a + TestData.Y_1_b*(2*RAND() - 1)</f>
        <v>84.841309593188328</v>
      </c>
    </row>
    <row r="4" spans="12:45" x14ac:dyDescent="0.2">
      <c r="P4" s="1">
        <f ca="1" xml:space="preserve"> TestData.Y_2_a + TestData.Y_2_b*(2*RAND() - 1)</f>
        <v>-105.74987241375493</v>
      </c>
      <c r="S4" s="1">
        <f ca="1" xml:space="preserve"> TestData.Y_2_a + TestData.Y_2_b*(2*RAND() - 1)</f>
        <v>-99.719813827174505</v>
      </c>
      <c r="V4" s="1">
        <f ca="1" xml:space="preserve"> TestData.Y_2_a + TestData.Y_2_b*(2*RAND() - 1)</f>
        <v>-96.834629445618774</v>
      </c>
      <c r="Y4" s="1">
        <f ca="1" xml:space="preserve"> TestData.Y_2_a + TestData.Y_2_b*(2*RAND() - 1)</f>
        <v>-90.578458163599876</v>
      </c>
      <c r="AB4" s="1">
        <f ca="1" xml:space="preserve"> TestData.Y_2_a + TestData.Y_2_b*(2*RAND() - 1)</f>
        <v>-90.677107320367782</v>
      </c>
      <c r="AE4" s="1">
        <f ca="1" xml:space="preserve"> TestData.Y_2_a + TestData.Y_2_b*(2*RAND() - 1)</f>
        <v>-103.10080740109656</v>
      </c>
      <c r="AH4" s="1">
        <f ca="1" xml:space="preserve"> TestData.Y_2_a + TestData.Y_2_b*(2*RAND() - 1)</f>
        <v>-89.516205535369807</v>
      </c>
    </row>
    <row r="6" spans="12:45" ht="17" thickBot="1" x14ac:dyDescent="0.25">
      <c r="M6" s="2" t="s">
        <v>563</v>
      </c>
      <c r="P6" s="2" t="s">
        <v>0</v>
      </c>
      <c r="S6" s="2" t="s">
        <v>1</v>
      </c>
      <c r="V6" s="2" t="s">
        <v>2</v>
      </c>
      <c r="Y6" s="2" t="s">
        <v>3</v>
      </c>
      <c r="AB6" s="2" t="s">
        <v>4</v>
      </c>
      <c r="AE6" s="2" t="s">
        <v>5</v>
      </c>
      <c r="AH6" s="2" t="s">
        <v>6</v>
      </c>
    </row>
    <row r="7" spans="12:45" x14ac:dyDescent="0.2">
      <c r="M7" s="11" t="s">
        <v>570</v>
      </c>
      <c r="P7" s="1" t="str" cm="1">
        <f t="array" aca="1" ref="P7" ca="1" xml:space="preserve"> INDEX(SeriesFormatAlias.SeriesName, MOD(TestData.SeriesNameNumFirst + MID(P$6,10,2) - 1 - TestData.SeriesNameNumMin, 1 + TestData.SeriesNameNumMax - TestData.SeriesNameNumMin) + TestData.SeriesNameNumMin)</f>
        <v>PT</v>
      </c>
      <c r="S7" s="1" t="str" cm="1">
        <f t="array" aca="1" ref="S7" ca="1" xml:space="preserve"> INDEX(SeriesFormatAlias.SeriesName, MOD(TestData.SeriesNameNumFirst + MID(S$6,10,2) - 1 - TestData.SeriesNameNumMin, 1 + TestData.SeriesNameNumMax - TestData.SeriesNameNumMin) + TestData.SeriesNameNumMin)</f>
        <v>IE</v>
      </c>
      <c r="V7" s="1" t="str" cm="1">
        <f t="array" aca="1" ref="V7" ca="1" xml:space="preserve"> INDEX(SeriesFormatAlias.SeriesName, MOD(TestData.SeriesNameNumFirst + MID(V$6,10,2) - 1 - TestData.SeriesNameNumMin, 1 + TestData.SeriesNameNumMax - TestData.SeriesNameNumMin) + TestData.SeriesNameNumMin)</f>
        <v>SK</v>
      </c>
      <c r="Y7" s="1" t="str" cm="1">
        <f t="array" aca="1" ref="Y7" ca="1" xml:space="preserve"> INDEX(SeriesFormatAlias.SeriesName, MOD(TestData.SeriesNameNumFirst + MID(Y$6,10,2) - 1 - TestData.SeriesNameNumMin, 1 + TestData.SeriesNameNumMax - TestData.SeriesNameNumMin) + TestData.SeriesNameNumMin)</f>
        <v>SI</v>
      </c>
      <c r="AB7" s="1" t="str" cm="1">
        <f t="array" aca="1" ref="AB7" ca="1" xml:space="preserve"> INDEX(SeriesFormatAlias.SeriesName, MOD(TestData.SeriesNameNumFirst + MID(AB$6,10,2) - 1 - TestData.SeriesNameNumMin, 1 + TestData.SeriesNameNumMax - TestData.SeriesNameNumMin) + TestData.SeriesNameNumMin)</f>
        <v>LU</v>
      </c>
      <c r="AE7" s="1" t="str" cm="1">
        <f t="array" aca="1" ref="AE7" ca="1" xml:space="preserve"> INDEX(SeriesFormatAlias.SeriesName, MOD(TestData.SeriesNameNumFirst + MID(AE$6,10,2) - 1 - TestData.SeriesNameNumMin, 1 + TestData.SeriesNameNumMax - TestData.SeriesNameNumMin) + TestData.SeriesNameNumMin)</f>
        <v>HR</v>
      </c>
      <c r="AH7" s="1" t="str" cm="1">
        <f t="array" aca="1" ref="AH7" ca="1" xml:space="preserve"> INDEX(SeriesFormatAlias.SeriesName, MOD(TestData.SeriesNameNumFirst + MID(AH$6,10,2) - 1 - TestData.SeriesNameNumMin, 1 + TestData.SeriesNameNumMax - TestData.SeriesNameNumMin) + TestData.SeriesNameNumMin)</f>
        <v>LT</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549</v>
      </c>
      <c r="AN9" s="2" t="s">
        <v>21</v>
      </c>
      <c r="AO9" s="2" t="s">
        <v>550</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208.03551469662921</v>
      </c>
      <c r="R10" s="1">
        <v>1</v>
      </c>
      <c r="S10" s="1">
        <f t="shared" ref="S10:S34" ca="1" si="1" xml:space="preserve"> S$2 + S$3*EXP(- R10 / TestData.Z_1) + S$4*EXP(- R10 / TestData.Z_2)  + TestData.VerticalRandomisation*(2*RAND() - 1)</f>
        <v>181.37139639284646</v>
      </c>
      <c r="U10" s="1">
        <v>1</v>
      </c>
      <c r="V10" s="1">
        <f t="shared" ref="V10:V34" ca="1" si="2" xml:space="preserve"> V$2 + V$3*EXP(- U10 / TestData.Z_1) + V$4*EXP(- U10 / TestData.Z_2)  + TestData.VerticalRandomisation*(2*RAND() - 1)</f>
        <v>198.15514824046753</v>
      </c>
      <c r="X10" s="1">
        <v>1</v>
      </c>
      <c r="Y10" s="1">
        <f t="shared" ref="Y10:Y34" ca="1" si="3" xml:space="preserve"> Y$2 + Y$3*EXP(- X10 / TestData.Z_1) + Y$4*EXP(- X10 / TestData.Z_2)  + TestData.VerticalRandomisation*(2*RAND() - 1)</f>
        <v>232.59496278432516</v>
      </c>
      <c r="AA10" s="1">
        <v>1</v>
      </c>
      <c r="AB10" s="1">
        <f t="shared" ref="AB10:AB34" ca="1" si="4" xml:space="preserve"> AB$2 + AB$3*EXP(- AA10 / TestData.Z_1) + AB$4*EXP(- AA10 / TestData.Z_2)  + TestData.VerticalRandomisation*(2*RAND() - 1)</f>
        <v>171.93196398419323</v>
      </c>
      <c r="AD10" s="1">
        <v>1</v>
      </c>
      <c r="AE10" s="1">
        <f t="shared" ref="AE10:AE34" ca="1" si="5" xml:space="preserve"> AE$2 + AE$3*EXP(- AD10 / TestData.Z_1) + AE$4*EXP(- AD10 / TestData.Z_2)  + TestData.VerticalRandomisation*(2*RAND() - 1)</f>
        <v>149.72115258254127</v>
      </c>
      <c r="AG10" s="1">
        <v>1</v>
      </c>
      <c r="AH10" s="1">
        <f t="shared" ref="AH10:AH41" ca="1" si="6" xml:space="preserve"> AH$2 + AH$3*EXP(- AG10 / TestData.Z_1) + AH$4*EXP(- AG10 / TestData.Z_2)  + TestData.VerticalRandomisation*(2*RAND() - 1)</f>
        <v>188.26107090697059</v>
      </c>
      <c r="AJ10" s="1" cm="1">
        <f t="array" ref="AJ10" xml:space="preserve"> 1 + ROW() - _xlfn.SINGLE(ROW(TestData.RowNum))</f>
        <v>1</v>
      </c>
      <c r="AN10" s="4" t="str">
        <f ca="1" xml:space="preserve"> TestData.01Name</f>
        <v>PT</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45.977394006857459</v>
      </c>
      <c r="AR10" s="4" cm="1">
        <f t="array" aca="1" ref="AR10" ca="1" xml:space="preserve"> IF(_xlfn.SINGLE(TestData_Labels.Good), INDEX(TestData.01Y, _xlfn.MAXIFS(TestData.RowNum,    TestData.01Y,"&gt;="&amp;TestData.MinY,    TestData.01Y,"&lt;="&amp;TestData.MaxY,   TestData.01X,_xlfn.SINGLE(TestData_Labels.Left_X))), #N/A)</f>
        <v>208.03551469662921</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222.38928107868247</v>
      </c>
    </row>
    <row r="11" spans="12:45" x14ac:dyDescent="0.2">
      <c r="L11" s="3" t="s">
        <v>27</v>
      </c>
      <c r="M11" s="1">
        <f xml:space="preserve"> MATCH("XK", SeriesFormatAlias.SeriesName, 0)</f>
        <v>34</v>
      </c>
      <c r="O11" s="1">
        <f t="shared" ref="O11:O34" ca="1" si="7" xml:space="preserve"> TestData.SpeedX  +  (1 + RAND()*TestData.SpeedX) * O10</f>
        <v>1.2296649962677739</v>
      </c>
      <c r="P11" s="1">
        <f t="shared" ca="1" si="0"/>
        <v>210.49157065883944</v>
      </c>
      <c r="R11" s="1">
        <f t="shared" ref="R11:R34" ca="1" si="8" xml:space="preserve"> TestData.SpeedX  +  (1 + RAND()*TestData.SpeedX) * R10</f>
        <v>1.2457001418497928</v>
      </c>
      <c r="S11" s="1">
        <f t="shared" ca="1" si="1"/>
        <v>183.23913227447338</v>
      </c>
      <c r="U11" s="1">
        <f t="shared" ref="U11:U34" ca="1" si="9" xml:space="preserve"> TestData.SpeedX  +  (1 + RAND()*TestData.SpeedX) * U10</f>
        <v>1.3385353143718997</v>
      </c>
      <c r="V11" s="1">
        <f t="shared" ca="1" si="2"/>
        <v>201.18001361794435</v>
      </c>
      <c r="X11" s="1">
        <f t="shared" ref="X11:X34" ca="1" si="10" xml:space="preserve"> TestData.SpeedX  +  (1 + RAND()*TestData.SpeedX) * X10</f>
        <v>1.33278346236484</v>
      </c>
      <c r="Y11" s="1">
        <f t="shared" ca="1" si="3"/>
        <v>236.21079628756306</v>
      </c>
      <c r="AA11" s="1">
        <f t="shared" ref="AA11:AA34" ca="1" si="11" xml:space="preserve"> TestData.SpeedX  +  (1 + RAND()*TestData.SpeedX) * AA10</f>
        <v>1.3029996417463856</v>
      </c>
      <c r="AB11" s="1">
        <f t="shared" ca="1" si="4"/>
        <v>175.29316521605008</v>
      </c>
      <c r="AD11" s="1">
        <f t="shared" ref="AD11:AD34" ca="1" si="12" xml:space="preserve"> TestData.SpeedX  +  (1 + RAND()*TestData.SpeedX) * AD10</f>
        <v>1.2876244111486215</v>
      </c>
      <c r="AE11" s="1">
        <f t="shared" ca="1" si="5"/>
        <v>155.13610464286893</v>
      </c>
      <c r="AG11" s="1">
        <f t="shared" ref="AG11:AG34" ca="1" si="13" xml:space="preserve"> TestData.SpeedX  +  (1 + RAND()*TestData.SpeedX) * AG10</f>
        <v>1.3080880697639159</v>
      </c>
      <c r="AH11" s="1">
        <f t="shared" ca="1" si="6"/>
        <v>187.42975389915506</v>
      </c>
      <c r="AJ11" s="1" cm="1">
        <f t="array" ref="AJ11" xml:space="preserve"> 1 + ROW() - _xlfn.SINGLE(ROW(TestData.RowNum))</f>
        <v>2</v>
      </c>
      <c r="AN11" s="4" t="str">
        <f ca="1" xml:space="preserve"> TestData.02Name</f>
        <v>IE</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32.624272147959282</v>
      </c>
      <c r="AR11" s="4" cm="1">
        <f t="array" aca="1" ref="AR11" ca="1" xml:space="preserve"> IF(_xlfn.SINGLE(TestData_Labels.Good), INDEX(TestData.02Y, _xlfn.MAXIFS(TestData.RowNum,    TestData.02Y,"&gt;="&amp;TestData.MinY,    TestData.02Y,"&lt;="&amp;TestData.MaxY,   TestData.02X,_xlfn.SINGLE(TestData_Labels.Left_X))), #N/A)</f>
        <v>181.37139639284646</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204.3840784791507</v>
      </c>
    </row>
    <row r="12" spans="12:45" x14ac:dyDescent="0.2">
      <c r="L12" s="3" t="s">
        <v>28</v>
      </c>
      <c r="M12" s="1">
        <f ca="1" xml:space="preserve"> IF(TRUE, TestData.SeriesNameNumMin + MOD(INT(NOW()*24*60)*5 - 1, 1 + TestData.SeriesNameNumMax - TestData.SeriesNameNumMin), TestData.SeriesNameNumMin )</f>
        <v>22</v>
      </c>
      <c r="O12" s="1">
        <f t="shared" ca="1" si="7"/>
        <v>1.618755742164997</v>
      </c>
      <c r="P12" s="1">
        <f t="shared" ca="1" si="0"/>
        <v>214.77383693955352</v>
      </c>
      <c r="R12" s="1">
        <f t="shared" ca="1" si="8"/>
        <v>1.6124414363846937</v>
      </c>
      <c r="S12" s="1">
        <f t="shared" ca="1" si="1"/>
        <v>186.42094903752968</v>
      </c>
      <c r="U12" s="1">
        <f t="shared" ca="1" si="9"/>
        <v>1.5300089426387358</v>
      </c>
      <c r="V12" s="1">
        <f t="shared" ca="1" si="2"/>
        <v>203.09345981780166</v>
      </c>
      <c r="X12" s="1">
        <f t="shared" ca="1" si="10"/>
        <v>1.7148614406288727</v>
      </c>
      <c r="Y12" s="1">
        <f t="shared" ca="1" si="3"/>
        <v>239.15603344153504</v>
      </c>
      <c r="AA12" s="1">
        <f t="shared" ca="1" si="11"/>
        <v>1.6515408004407408</v>
      </c>
      <c r="AB12" s="1">
        <f t="shared" ca="1" si="4"/>
        <v>178.47281879339678</v>
      </c>
      <c r="AD12" s="1">
        <f t="shared" ca="1" si="12"/>
        <v>1.5008411611753876</v>
      </c>
      <c r="AE12" s="1">
        <f t="shared" ca="1" si="5"/>
        <v>157.57010772822397</v>
      </c>
      <c r="AG12" s="1">
        <f t="shared" ca="1" si="13"/>
        <v>1.5864836003459952</v>
      </c>
      <c r="AH12" s="1">
        <f t="shared" ca="1" si="6"/>
        <v>189.95815389875506</v>
      </c>
      <c r="AJ12" s="1" cm="1">
        <f t="array" ref="AJ12" xml:space="preserve"> 1 + ROW() - _xlfn.SINGLE(ROW(TestData.RowNum))</f>
        <v>3</v>
      </c>
      <c r="AN12" s="4" t="str">
        <f ca="1" xml:space="preserve"> TestData.03Name</f>
        <v>SK</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29.739605371973024</v>
      </c>
      <c r="AR12" s="4" cm="1">
        <f t="array" aca="1" ref="AR12" ca="1" xml:space="preserve"> IF(_xlfn.SINGLE(TestData_Labels.Good), INDEX(TestData.03Y, _xlfn.MAXIFS(TestData.RowNum,    TestData.03Y,"&gt;="&amp;TestData.MinY,    TestData.03Y,"&lt;="&amp;TestData.MaxY,   TestData.03X,_xlfn.SINGLE(TestData_Labels.Left_X))), #N/A)</f>
        <v>198.15514824046753</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239.16010213741441</v>
      </c>
    </row>
    <row r="13" spans="12:45" x14ac:dyDescent="0.2">
      <c r="L13" s="3" t="s">
        <v>29</v>
      </c>
      <c r="M13" s="1">
        <v>24</v>
      </c>
      <c r="O13" s="1">
        <f t="shared" ca="1" si="7"/>
        <v>1.9860367431851549</v>
      </c>
      <c r="P13" s="1">
        <f t="shared" ca="1" si="0"/>
        <v>216.01305824864548</v>
      </c>
      <c r="R13" s="1">
        <f t="shared" ca="1" si="8"/>
        <v>2.0278870196723946</v>
      </c>
      <c r="S13" s="1">
        <f t="shared" ca="1" si="1"/>
        <v>190.88346232032833</v>
      </c>
      <c r="U13" s="1">
        <f t="shared" ca="1" si="9"/>
        <v>1.7436794343658948</v>
      </c>
      <c r="V13" s="1">
        <f t="shared" ca="1" si="2"/>
        <v>206.079050888273</v>
      </c>
      <c r="X13" s="1">
        <f t="shared" ca="1" si="10"/>
        <v>2.0238599228566687</v>
      </c>
      <c r="Y13" s="1">
        <f t="shared" ca="1" si="3"/>
        <v>243.86409039963837</v>
      </c>
      <c r="AA13" s="1">
        <f t="shared" ca="1" si="11"/>
        <v>2.0518247937912366</v>
      </c>
      <c r="AB13" s="1">
        <f t="shared" ca="1" si="4"/>
        <v>180.87026224979977</v>
      </c>
      <c r="AD13" s="1">
        <f t="shared" ca="1" si="12"/>
        <v>1.7697749938705178</v>
      </c>
      <c r="AE13" s="1">
        <f t="shared" ca="1" si="5"/>
        <v>156.93633189163128</v>
      </c>
      <c r="AG13" s="1">
        <f t="shared" ca="1" si="13"/>
        <v>1.795929506138829</v>
      </c>
      <c r="AH13" s="1">
        <f t="shared" ca="1" si="6"/>
        <v>192.83469553267295</v>
      </c>
      <c r="AJ13" s="1" cm="1">
        <f t="array" ref="AJ13" xml:space="preserve"> 1 + ROW() - _xlfn.SINGLE(ROW(TestData.RowNum))</f>
        <v>4</v>
      </c>
      <c r="AN13" s="4" t="str">
        <f ca="1" xml:space="preserve"> TestData.04Name</f>
        <v>SI</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32.234283487036457</v>
      </c>
      <c r="AR13" s="4" cm="1">
        <f t="array" aca="1" ref="AR13" ca="1" xml:space="preserve"> IF(_xlfn.SINGLE(TestData_Labels.Good), INDEX(TestData.04Y, _xlfn.MAXIFS(TestData.RowNum,    TestData.04Y,"&gt;="&amp;TestData.MinY,    TestData.04Y,"&lt;="&amp;TestData.MaxY,   TestData.04X,_xlfn.SINGLE(TestData_Labels.Left_X))), #N/A)</f>
        <v>232.59496278432516</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242.59110390209747</v>
      </c>
    </row>
    <row r="14" spans="12:45" x14ac:dyDescent="0.2">
      <c r="L14" s="3" t="s">
        <v>30</v>
      </c>
      <c r="M14" s="1">
        <v>6</v>
      </c>
      <c r="O14" s="1">
        <f t="shared" ca="1" si="7"/>
        <v>2.4283124649275263</v>
      </c>
      <c r="P14" s="1">
        <f t="shared" ca="1" si="0"/>
        <v>222.06142332840219</v>
      </c>
      <c r="R14" s="1">
        <f t="shared" ca="1" si="8"/>
        <v>2.3361062027249622</v>
      </c>
      <c r="S14" s="1">
        <f t="shared" ca="1" si="1"/>
        <v>194.78618650882504</v>
      </c>
      <c r="U14" s="1">
        <f t="shared" ca="1" si="9"/>
        <v>2.1215947604470426</v>
      </c>
      <c r="V14" s="1">
        <f t="shared" ca="1" si="2"/>
        <v>207.48430343857856</v>
      </c>
      <c r="X14" s="1">
        <f t="shared" ca="1" si="10"/>
        <v>2.4858753053911395</v>
      </c>
      <c r="Y14" s="1">
        <f t="shared" ca="1" si="3"/>
        <v>247.03402663160352</v>
      </c>
      <c r="AA14" s="1">
        <f t="shared" ca="1" si="11"/>
        <v>2.346874750133511</v>
      </c>
      <c r="AB14" s="1">
        <f t="shared" ca="1" si="4"/>
        <v>185.67117689633932</v>
      </c>
      <c r="AD14" s="1">
        <f t="shared" ca="1" si="12"/>
        <v>2.2048794070643596</v>
      </c>
      <c r="AE14" s="1">
        <f t="shared" ca="1" si="5"/>
        <v>162.73771445007162</v>
      </c>
      <c r="AG14" s="1">
        <f t="shared" ca="1" si="13"/>
        <v>2.1101315487036048</v>
      </c>
      <c r="AH14" s="1">
        <f t="shared" ca="1" si="6"/>
        <v>194.78291958876983</v>
      </c>
      <c r="AJ14" s="1" cm="1">
        <f t="array" ref="AJ14" xml:space="preserve"> 1 + ROW() - _xlfn.SINGLE(ROW(TestData.RowNum))</f>
        <v>5</v>
      </c>
      <c r="AN14" s="4" t="str">
        <f ca="1" xml:space="preserve"> TestData.05Name</f>
        <v>LU</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45.244991055798742</v>
      </c>
      <c r="AR14" s="4" cm="1">
        <f t="array" aca="1" ref="AR14" ca="1" xml:space="preserve"> IF(_xlfn.SINGLE(TestData_Labels.Good), INDEX(TestData.05Y, _xlfn.MAXIFS(TestData.RowNum,    TestData.05Y,"&gt;="&amp;TestData.MinY,    TestData.05Y,"&lt;="&amp;TestData.MaxY,   TestData.05X,_xlfn.SINGLE(TestData_Labels.Left_X))), #N/A)</f>
        <v>171.93196398419323</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202.74327051601074</v>
      </c>
    </row>
    <row r="15" spans="12:45" x14ac:dyDescent="0.2">
      <c r="L15" s="3" t="s">
        <v>31</v>
      </c>
      <c r="M15" s="1">
        <v>0.17499999999999999</v>
      </c>
      <c r="O15" s="1">
        <f t="shared" ca="1" si="7"/>
        <v>2.9029805338793748</v>
      </c>
      <c r="P15" s="1">
        <f t="shared" ca="1" si="0"/>
        <v>226.89551397775435</v>
      </c>
      <c r="R15" s="1">
        <f t="shared" ca="1" si="8"/>
        <v>2.5626233868950785</v>
      </c>
      <c r="S15" s="1">
        <f t="shared" ca="1" si="1"/>
        <v>197.38105236331299</v>
      </c>
      <c r="U15" s="1">
        <f t="shared" ca="1" si="9"/>
        <v>2.4407678027156692</v>
      </c>
      <c r="V15" s="1">
        <f t="shared" ca="1" si="2"/>
        <v>213.28817139160077</v>
      </c>
      <c r="X15" s="1">
        <f t="shared" ca="1" si="10"/>
        <v>2.8375155890795241</v>
      </c>
      <c r="Y15" s="1">
        <f t="shared" ca="1" si="3"/>
        <v>245.8960294225158</v>
      </c>
      <c r="AA15" s="1">
        <f t="shared" ca="1" si="11"/>
        <v>2.868120459533448</v>
      </c>
      <c r="AB15" s="1">
        <f t="shared" ca="1" si="4"/>
        <v>185.66048301323619</v>
      </c>
      <c r="AD15" s="1">
        <f t="shared" ca="1" si="12"/>
        <v>2.6212426692654378</v>
      </c>
      <c r="AE15" s="1">
        <f t="shared" ca="1" si="5"/>
        <v>166.87326981623232</v>
      </c>
      <c r="AG15" s="1">
        <f t="shared" ca="1" si="13"/>
        <v>2.5358337289447967</v>
      </c>
      <c r="AH15" s="1">
        <f t="shared" ca="1" si="6"/>
        <v>199.55012331499105</v>
      </c>
      <c r="AJ15" s="1" cm="1">
        <f t="array" ref="AJ15" xml:space="preserve"> 1 + ROW() - _xlfn.SINGLE(ROW(TestData.RowNum))</f>
        <v>6</v>
      </c>
      <c r="AN15" s="4" t="str">
        <f ca="1" xml:space="preserve"> TestData.06Name</f>
        <v>HR</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35.555482969370679</v>
      </c>
      <c r="AR15" s="4" cm="1">
        <f t="array" aca="1" ref="AR15" ca="1" xml:space="preserve"> IF(_xlfn.SINGLE(TestData_Labels.Good), INDEX(TestData.06Y, _xlfn.MAXIFS(TestData.RowNum,    TestData.06Y,"&gt;="&amp;TestData.MinY,    TestData.06Y,"&lt;="&amp;TestData.MaxY,   TestData.06X,_xlfn.SINGLE(TestData_Labels.Left_X))), #N/A)</f>
        <v>149.72115258254127</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189.89926257831155</v>
      </c>
    </row>
    <row r="16" spans="12:45" x14ac:dyDescent="0.2">
      <c r="L16" s="3" t="s">
        <v>32</v>
      </c>
      <c r="M16" s="1">
        <v>200</v>
      </c>
      <c r="O16" s="1">
        <f t="shared" ca="1" si="7"/>
        <v>3.5426244234734536</v>
      </c>
      <c r="P16" s="1">
        <f t="shared" ca="1" si="0"/>
        <v>230.96297780033689</v>
      </c>
      <c r="R16" s="1">
        <f t="shared" ca="1" si="8"/>
        <v>3.160828650399587</v>
      </c>
      <c r="S16" s="1">
        <f t="shared" ca="1" si="1"/>
        <v>198.09911876169406</v>
      </c>
      <c r="U16" s="1">
        <f t="shared" ca="1" si="9"/>
        <v>2.9468004244810242</v>
      </c>
      <c r="V16" s="1">
        <f t="shared" ca="1" si="2"/>
        <v>216.18720556764379</v>
      </c>
      <c r="X16" s="1">
        <f t="shared" ca="1" si="10"/>
        <v>3.4734498939297165</v>
      </c>
      <c r="Y16" s="1">
        <f t="shared" ca="1" si="3"/>
        <v>250.84124718725707</v>
      </c>
      <c r="AA16" s="1">
        <f t="shared" ca="1" si="11"/>
        <v>3.2958113162601443</v>
      </c>
      <c r="AB16" s="1">
        <f t="shared" ca="1" si="4"/>
        <v>190.75415087254922</v>
      </c>
      <c r="AD16" s="1">
        <f t="shared" ca="1" si="12"/>
        <v>3.0505287735597726</v>
      </c>
      <c r="AE16" s="1">
        <f t="shared" ca="1" si="5"/>
        <v>171.42591442335311</v>
      </c>
      <c r="AG16" s="1">
        <f t="shared" ca="1" si="13"/>
        <v>3.0162543020239982</v>
      </c>
      <c r="AH16" s="1">
        <f t="shared" ca="1" si="6"/>
        <v>200.74593774283636</v>
      </c>
      <c r="AJ16" s="1" cm="1">
        <f t="array" ref="AJ16" xml:space="preserve"> 1 + ROW() - _xlfn.SINGLE(ROW(TestData.RowNum))</f>
        <v>7</v>
      </c>
      <c r="AN16" s="4" t="str">
        <f ca="1" xml:space="preserve"> TestData.07Name</f>
        <v>LT</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43.464078664892831</v>
      </c>
      <c r="AR16" s="4" cm="1">
        <f t="array" aca="1" ref="AR16" ca="1" xml:space="preserve"> IF(_xlfn.SINGLE(TestData_Labels.Good), INDEX(TestData.07Y, _xlfn.MAXIFS(TestData.RowNum,    TestData.07Y,"&gt;="&amp;TestData.MinY,    TestData.07Y,"&lt;="&amp;TestData.MaxY,   TestData.07X,_xlfn.SINGLE(TestData_Labels.Left_X))), #N/A)</f>
        <v>188.26107090697059</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192.96356147343022</v>
      </c>
    </row>
    <row r="17" spans="12:36" x14ac:dyDescent="0.2">
      <c r="L17" s="3" t="s">
        <v>33</v>
      </c>
      <c r="M17" s="1">
        <v>75</v>
      </c>
      <c r="O17" s="1">
        <f t="shared" ca="1" si="7"/>
        <v>3.7893571201095559</v>
      </c>
      <c r="P17" s="1">
        <f t="shared" ca="1" si="0"/>
        <v>233.06001242506352</v>
      </c>
      <c r="R17" s="1">
        <f t="shared" ca="1" si="8"/>
        <v>3.7329020399860435</v>
      </c>
      <c r="S17" s="1">
        <f t="shared" ca="1" si="1"/>
        <v>202.48686631111497</v>
      </c>
      <c r="U17" s="1">
        <f t="shared" ca="1" si="9"/>
        <v>3.1437921449289963</v>
      </c>
      <c r="V17" s="1">
        <f t="shared" ca="1" si="2"/>
        <v>219.00426710172303</v>
      </c>
      <c r="X17" s="1">
        <f t="shared" ca="1" si="10"/>
        <v>3.7487342330412163</v>
      </c>
      <c r="Y17" s="1">
        <f t="shared" ca="1" si="3"/>
        <v>253.442768419527</v>
      </c>
      <c r="AA17" s="1">
        <f t="shared" ca="1" si="11"/>
        <v>4.0267240438410683</v>
      </c>
      <c r="AB17" s="1">
        <f t="shared" ca="1" si="4"/>
        <v>196.33843366360034</v>
      </c>
      <c r="AD17" s="1">
        <f t="shared" ca="1" si="12"/>
        <v>3.722170983074327</v>
      </c>
      <c r="AE17" s="1">
        <f t="shared" ca="1" si="5"/>
        <v>175.78904227204916</v>
      </c>
      <c r="AG17" s="1">
        <f t="shared" ca="1" si="13"/>
        <v>3.4628032522544814</v>
      </c>
      <c r="AH17" s="1">
        <f t="shared" ca="1" si="6"/>
        <v>203.03091721861776</v>
      </c>
      <c r="AJ17" s="1" cm="1">
        <f t="array" ref="AJ17" xml:space="preserve"> 1 + ROW() - _xlfn.SINGLE(ROW(TestData.RowNum))</f>
        <v>8</v>
      </c>
    </row>
    <row r="18" spans="12:36" x14ac:dyDescent="0.2">
      <c r="L18" s="3" t="s">
        <v>34</v>
      </c>
      <c r="M18" s="1">
        <v>-100</v>
      </c>
      <c r="O18" s="1">
        <f t="shared" ca="1" si="7"/>
        <v>4.1799133070777703</v>
      </c>
      <c r="P18" s="1">
        <f t="shared" ca="1" si="0"/>
        <v>231.96402563607472</v>
      </c>
      <c r="R18" s="1">
        <f t="shared" ca="1" si="8"/>
        <v>4.2791005952798731</v>
      </c>
      <c r="S18" s="1">
        <f t="shared" ca="1" si="1"/>
        <v>206.90233837098381</v>
      </c>
      <c r="U18" s="1">
        <f t="shared" ca="1" si="9"/>
        <v>3.5448408660406887</v>
      </c>
      <c r="V18" s="1">
        <f t="shared" ca="1" si="2"/>
        <v>221.29558527665617</v>
      </c>
      <c r="X18" s="1">
        <f t="shared" ca="1" si="10"/>
        <v>4.5132334905565017</v>
      </c>
      <c r="Y18" s="1">
        <f t="shared" ca="1" si="3"/>
        <v>253.49791995623883</v>
      </c>
      <c r="AA18" s="1">
        <f t="shared" ca="1" si="11"/>
        <v>4.7329028467817036</v>
      </c>
      <c r="AB18" s="1">
        <f t="shared" ca="1" si="4"/>
        <v>199.31695709835438</v>
      </c>
      <c r="AD18" s="1">
        <f t="shared" ca="1" si="12"/>
        <v>3.9349036524349432</v>
      </c>
      <c r="AE18" s="1">
        <f t="shared" ca="1" si="5"/>
        <v>175.76794315387266</v>
      </c>
      <c r="AG18" s="1">
        <f t="shared" ca="1" si="13"/>
        <v>3.9886598510463793</v>
      </c>
      <c r="AH18" s="1">
        <f t="shared" ca="1" si="6"/>
        <v>206.43109251922036</v>
      </c>
      <c r="AJ18" s="1" cm="1">
        <f t="array" ref="AJ18" xml:space="preserve"> 1 + ROW() - _xlfn.SINGLE(ROW(TestData.RowNum))</f>
        <v>9</v>
      </c>
    </row>
    <row r="19" spans="12:36" x14ac:dyDescent="0.2">
      <c r="L19" s="3" t="s">
        <v>35</v>
      </c>
      <c r="M19" s="1">
        <v>25</v>
      </c>
      <c r="O19" s="1">
        <f t="shared" ca="1" si="7"/>
        <v>4.8054365087881692</v>
      </c>
      <c r="P19" s="1">
        <f t="shared" ca="1" si="0"/>
        <v>238.18996132838348</v>
      </c>
      <c r="R19" s="1">
        <f t="shared" ca="1" si="8"/>
        <v>4.9448788540523392</v>
      </c>
      <c r="S19" s="1">
        <f t="shared" ca="1" si="1"/>
        <v>211.05619066623626</v>
      </c>
      <c r="U19" s="1">
        <f t="shared" ca="1" si="9"/>
        <v>3.9961504433840389</v>
      </c>
      <c r="V19" s="1">
        <f t="shared" ca="1" si="2"/>
        <v>222.01301198589664</v>
      </c>
      <c r="X19" s="1">
        <f t="shared" ca="1" si="10"/>
        <v>4.924508600259518</v>
      </c>
      <c r="Y19" s="1">
        <f t="shared" ca="1" si="3"/>
        <v>256.40897337585744</v>
      </c>
      <c r="AA19" s="1">
        <f t="shared" ca="1" si="11"/>
        <v>5.2880132672214675</v>
      </c>
      <c r="AB19" s="1">
        <f t="shared" ca="1" si="4"/>
        <v>203.06425815644735</v>
      </c>
      <c r="AD19" s="1">
        <f t="shared" ca="1" si="12"/>
        <v>4.4159886198407081</v>
      </c>
      <c r="AE19" s="1">
        <f t="shared" ca="1" si="5"/>
        <v>181.36556194953619</v>
      </c>
      <c r="AG19" s="1">
        <f t="shared" ca="1" si="13"/>
        <v>4.8027337658614275</v>
      </c>
      <c r="AH19" s="1">
        <f t="shared" ca="1" si="6"/>
        <v>210.5078289536504</v>
      </c>
      <c r="AJ19" s="1" cm="1">
        <f t="array" ref="AJ19" xml:space="preserve"> 1 + ROW() - _xlfn.SINGLE(ROW(TestData.RowNum))</f>
        <v>10</v>
      </c>
    </row>
    <row r="20" spans="12:36" x14ac:dyDescent="0.2">
      <c r="L20" s="3" t="s">
        <v>36</v>
      </c>
      <c r="M20" s="1">
        <v>25</v>
      </c>
      <c r="O20" s="1">
        <f t="shared" ca="1" si="7"/>
        <v>5.135422344819613</v>
      </c>
      <c r="P20" s="1">
        <f t="shared" ca="1" si="0"/>
        <v>237.31663456735166</v>
      </c>
      <c r="R20" s="1">
        <f t="shared" ca="1" si="8"/>
        <v>5.6357328391208004</v>
      </c>
      <c r="S20" s="1">
        <f t="shared" ca="1" si="1"/>
        <v>210.56227512042395</v>
      </c>
      <c r="U20" s="1">
        <f t="shared" ca="1" si="9"/>
        <v>4.5482177172274918</v>
      </c>
      <c r="V20" s="1">
        <f t="shared" ca="1" si="2"/>
        <v>225.67872724381431</v>
      </c>
      <c r="X20" s="1">
        <f t="shared" ca="1" si="10"/>
        <v>5.3190393613623002</v>
      </c>
      <c r="Y20" s="1">
        <f t="shared" ca="1" si="3"/>
        <v>259.79978840274828</v>
      </c>
      <c r="AA20" s="1">
        <f t="shared" ca="1" si="11"/>
        <v>5.8944490877580034</v>
      </c>
      <c r="AB20" s="1">
        <f t="shared" ca="1" si="4"/>
        <v>202.61655784309707</v>
      </c>
      <c r="AD20" s="1">
        <f t="shared" ca="1" si="12"/>
        <v>5.1824214677799789</v>
      </c>
      <c r="AE20" s="1">
        <f t="shared" ca="1" si="5"/>
        <v>183.64643556811987</v>
      </c>
      <c r="AG20" s="1">
        <f t="shared" ca="1" si="13"/>
        <v>5.3867230182052168</v>
      </c>
      <c r="AH20" s="1">
        <f t="shared" ca="1" si="6"/>
        <v>212.98270245360794</v>
      </c>
      <c r="AJ20" s="1" cm="1">
        <f t="array" ref="AJ20" xml:space="preserve"> 1 + ROW() - _xlfn.SINGLE(ROW(TestData.RowNum))</f>
        <v>11</v>
      </c>
    </row>
    <row r="21" spans="12:36" x14ac:dyDescent="0.2">
      <c r="L21" s="3" t="s">
        <v>37</v>
      </c>
      <c r="M21" s="1">
        <v>15</v>
      </c>
      <c r="O21" s="1">
        <f t="shared" ca="1" si="7"/>
        <v>5.9693673295027638</v>
      </c>
      <c r="P21" s="1">
        <f t="shared" ca="1" si="0"/>
        <v>242.41069963071351</v>
      </c>
      <c r="R21" s="1">
        <f t="shared" ca="1" si="8"/>
        <v>5.9175090312081471</v>
      </c>
      <c r="S21" s="1">
        <f t="shared" ca="1" si="1"/>
        <v>214.86208245103191</v>
      </c>
      <c r="U21" s="1">
        <f t="shared" ca="1" si="9"/>
        <v>5.0488312031740286</v>
      </c>
      <c r="V21" s="1">
        <f t="shared" ca="1" si="2"/>
        <v>228.11315617204923</v>
      </c>
      <c r="X21" s="1">
        <f t="shared" ca="1" si="10"/>
        <v>5.9203563698068224</v>
      </c>
      <c r="Y21" s="1">
        <f t="shared" ca="1" si="3"/>
        <v>261.75876857531199</v>
      </c>
      <c r="AA21" s="1">
        <f t="shared" ca="1" si="11"/>
        <v>6.1867592296056513</v>
      </c>
      <c r="AB21" s="1">
        <f t="shared" ca="1" si="4"/>
        <v>205.18156533275237</v>
      </c>
      <c r="AD21" s="1">
        <f t="shared" ca="1" si="12"/>
        <v>5.9231717211091928</v>
      </c>
      <c r="AE21" s="1">
        <f t="shared" ca="1" si="5"/>
        <v>187.36884296998068</v>
      </c>
      <c r="AG21" s="1">
        <f t="shared" ca="1" si="13"/>
        <v>6.4910730255933151</v>
      </c>
      <c r="AH21" s="1">
        <f t="shared" ca="1" si="6"/>
        <v>213.34022353952381</v>
      </c>
      <c r="AJ21" s="1" cm="1">
        <f t="array" ref="AJ21" xml:space="preserve"> 1 + ROW() - _xlfn.SINGLE(ROW(TestData.RowNum))</f>
        <v>12</v>
      </c>
    </row>
    <row r="22" spans="12:36" x14ac:dyDescent="0.2">
      <c r="L22" s="3" t="s">
        <v>38</v>
      </c>
      <c r="M22" s="1">
        <v>2</v>
      </c>
      <c r="O22" s="1">
        <f t="shared" ca="1" si="7"/>
        <v>6.6564979599714782</v>
      </c>
      <c r="P22" s="1">
        <f t="shared" ca="1" si="0"/>
        <v>241.783398711925</v>
      </c>
      <c r="R22" s="1">
        <f t="shared" ca="1" si="8"/>
        <v>6.2875017073862747</v>
      </c>
      <c r="S22" s="1">
        <f t="shared" ca="1" si="1"/>
        <v>215.84741732956917</v>
      </c>
      <c r="U22" s="1">
        <f t="shared" ca="1" si="9"/>
        <v>5.4725752093181743</v>
      </c>
      <c r="V22" s="1">
        <f t="shared" ca="1" si="2"/>
        <v>233.00152248279329</v>
      </c>
      <c r="X22" s="1">
        <f t="shared" ca="1" si="10"/>
        <v>6.2475577333538199</v>
      </c>
      <c r="Y22" s="1">
        <f t="shared" ca="1" si="3"/>
        <v>261.14079492965988</v>
      </c>
      <c r="AA22" s="1">
        <f t="shared" ca="1" si="11"/>
        <v>6.3654927722986354</v>
      </c>
      <c r="AB22" s="1">
        <f t="shared" ca="1" si="4"/>
        <v>205.5318515971482</v>
      </c>
      <c r="AD22" s="1">
        <f t="shared" ca="1" si="12"/>
        <v>6.7072714241372253</v>
      </c>
      <c r="AE22" s="1">
        <f t="shared" ca="1" si="5"/>
        <v>191.5039107610765</v>
      </c>
      <c r="AG22" s="1">
        <f t="shared" ca="1" si="13"/>
        <v>7.131740082001456</v>
      </c>
      <c r="AH22" s="1">
        <f t="shared" ca="1" si="6"/>
        <v>216.6384565459995</v>
      </c>
      <c r="AJ22" s="1" cm="1">
        <f t="array" ref="AJ22" xml:space="preserve"> 1 + ROW() - _xlfn.SINGLE(ROW(TestData.RowNum))</f>
        <v>13</v>
      </c>
    </row>
    <row r="23" spans="12:36" x14ac:dyDescent="0.2">
      <c r="M23" s="5" t="s">
        <v>551</v>
      </c>
      <c r="O23" s="1">
        <f t="shared" ca="1" si="7"/>
        <v>7.0571419235543011</v>
      </c>
      <c r="P23" s="1">
        <f t="shared" ca="1" si="0"/>
        <v>244.50266789026864</v>
      </c>
      <c r="R23" s="1">
        <f t="shared" ca="1" si="8"/>
        <v>6.7544195514121226</v>
      </c>
      <c r="S23" s="1">
        <f t="shared" ca="1" si="1"/>
        <v>214.41702983974125</v>
      </c>
      <c r="U23" s="1">
        <f t="shared" ca="1" si="9"/>
        <v>6.1013053220788889</v>
      </c>
      <c r="V23" s="1">
        <f t="shared" ca="1" si="2"/>
        <v>233.51290258772727</v>
      </c>
      <c r="X23" s="1">
        <f t="shared" ca="1" si="10"/>
        <v>6.6505087938588181</v>
      </c>
      <c r="Y23" s="1">
        <f t="shared" ca="1" si="3"/>
        <v>260.78984131722086</v>
      </c>
      <c r="AA23" s="1">
        <f t="shared" ca="1" si="11"/>
        <v>6.9675466374838022</v>
      </c>
      <c r="AB23" s="1">
        <f t="shared" ca="1" si="4"/>
        <v>207.33086374671234</v>
      </c>
      <c r="AD23" s="1">
        <f t="shared" ca="1" si="12"/>
        <v>7.3748464055398433</v>
      </c>
      <c r="AE23" s="1">
        <f t="shared" ca="1" si="5"/>
        <v>195.26468184488027</v>
      </c>
      <c r="AG23" s="1">
        <f t="shared" ca="1" si="13"/>
        <v>8.4248565380407623</v>
      </c>
      <c r="AH23" s="1">
        <f t="shared" ca="1" si="6"/>
        <v>217.96252358349346</v>
      </c>
      <c r="AJ23" s="1" cm="1">
        <f t="array" ref="AJ23" xml:space="preserve"> 1 + ROW() - _xlfn.SINGLE(ROW(TestData.RowNum))</f>
        <v>14</v>
      </c>
    </row>
    <row r="24" spans="12:36" x14ac:dyDescent="0.2">
      <c r="O24" s="1">
        <f t="shared" ca="1" si="7"/>
        <v>7.5559492925897187</v>
      </c>
      <c r="P24" s="1">
        <f t="shared" ca="1" si="0"/>
        <v>244.69950814530714</v>
      </c>
      <c r="R24" s="1">
        <f t="shared" ca="1" si="8"/>
        <v>7.3518424000440987</v>
      </c>
      <c r="S24" s="1">
        <f t="shared" ca="1" si="1"/>
        <v>219.14141548404021</v>
      </c>
      <c r="U24" s="1">
        <f t="shared" ca="1" si="9"/>
        <v>6.9590511967918207</v>
      </c>
      <c r="V24" s="1">
        <f t="shared" ca="1" si="2"/>
        <v>236.45885217532461</v>
      </c>
      <c r="X24" s="1">
        <f t="shared" ca="1" si="10"/>
        <v>7.663485242589128</v>
      </c>
      <c r="Y24" s="1">
        <f t="shared" ca="1" si="3"/>
        <v>261.95072692658965</v>
      </c>
      <c r="AA24" s="1">
        <f t="shared" ca="1" si="11"/>
        <v>7.5991681809638187</v>
      </c>
      <c r="AB24" s="1">
        <f t="shared" ca="1" si="4"/>
        <v>207.74044786395208</v>
      </c>
      <c r="AD24" s="1">
        <f t="shared" ca="1" si="12"/>
        <v>8.7025488474866606</v>
      </c>
      <c r="AE24" s="1">
        <f t="shared" ca="1" si="5"/>
        <v>198.00288766712333</v>
      </c>
      <c r="AG24" s="1">
        <f t="shared" ca="1" si="13"/>
        <v>9.5250355959020414</v>
      </c>
      <c r="AH24" s="1">
        <f t="shared" ca="1" si="6"/>
        <v>219.53542068778918</v>
      </c>
      <c r="AJ24" s="1" cm="1">
        <f t="array" ref="AJ24" xml:space="preserve"> 1 + ROW() - _xlfn.SINGLE(ROW(TestData.RowNum))</f>
        <v>15</v>
      </c>
    </row>
    <row r="25" spans="12:36" x14ac:dyDescent="0.2">
      <c r="O25" s="1">
        <f t="shared" ca="1" si="7"/>
        <v>7.9804895907291851</v>
      </c>
      <c r="P25" s="1">
        <f t="shared" ca="1" si="0"/>
        <v>245.47214418562436</v>
      </c>
      <c r="R25" s="1">
        <f t="shared" ca="1" si="8"/>
        <v>7.5602468581857396</v>
      </c>
      <c r="S25" s="1">
        <f t="shared" ca="1" si="1"/>
        <v>217.71454859631001</v>
      </c>
      <c r="U25" s="1">
        <f t="shared" ca="1" si="9"/>
        <v>7.8368054813713481</v>
      </c>
      <c r="V25" s="1">
        <f t="shared" ca="1" si="2"/>
        <v>240.49202842249218</v>
      </c>
      <c r="X25" s="1">
        <f t="shared" ca="1" si="10"/>
        <v>8.5951664452981316</v>
      </c>
      <c r="Y25" s="1">
        <f t="shared" ca="1" si="3"/>
        <v>264.98267355238363</v>
      </c>
      <c r="AA25" s="1">
        <f t="shared" ca="1" si="11"/>
        <v>7.9927861977749384</v>
      </c>
      <c r="AB25" s="1">
        <f t="shared" ca="1" si="4"/>
        <v>212.0208421608958</v>
      </c>
      <c r="AD25" s="1">
        <f t="shared" ca="1" si="12"/>
        <v>9.4607429970849655</v>
      </c>
      <c r="AE25" s="1">
        <f t="shared" ca="1" si="5"/>
        <v>197.63229598179353</v>
      </c>
      <c r="AG25" s="1">
        <f t="shared" ca="1" si="13"/>
        <v>10.216058606644753</v>
      </c>
      <c r="AH25" s="1">
        <f t="shared" ca="1" si="6"/>
        <v>219.9062826251816</v>
      </c>
      <c r="AJ25" s="1" cm="1">
        <f t="array" ref="AJ25" xml:space="preserve"> 1 + ROW() - _xlfn.SINGLE(ROW(TestData.RowNum))</f>
        <v>16</v>
      </c>
    </row>
    <row r="26" spans="12:36" x14ac:dyDescent="0.2">
      <c r="M26" s="5" t="s">
        <v>552</v>
      </c>
      <c r="O26" s="1">
        <f t="shared" ca="1" si="7"/>
        <v>9.4845149127252366</v>
      </c>
      <c r="P26" s="1">
        <f t="shared" ca="1" si="0"/>
        <v>249.01461767600665</v>
      </c>
      <c r="R26" s="1">
        <f t="shared" ca="1" si="8"/>
        <v>7.993794310672401</v>
      </c>
      <c r="S26" s="1">
        <f t="shared" ca="1" si="1"/>
        <v>216.75725612924262</v>
      </c>
      <c r="U26" s="1">
        <f t="shared" ca="1" si="9"/>
        <v>8.5304275230259776</v>
      </c>
      <c r="V26" s="1">
        <f t="shared" ca="1" si="2"/>
        <v>241.25628649721423</v>
      </c>
      <c r="X26" s="1">
        <f t="shared" ca="1" si="10"/>
        <v>8.93371625856207</v>
      </c>
      <c r="Y26" s="1">
        <f t="shared" ca="1" si="3"/>
        <v>263.99116133317023</v>
      </c>
      <c r="AA26" s="1">
        <f t="shared" ca="1" si="11"/>
        <v>9.5167959392731092</v>
      </c>
      <c r="AB26" s="1">
        <f t="shared" ca="1" si="4"/>
        <v>212.21006271967715</v>
      </c>
      <c r="AD26" s="1">
        <f t="shared" ca="1" si="12"/>
        <v>10.596908096479897</v>
      </c>
      <c r="AE26" s="1">
        <f t="shared" ca="1" si="5"/>
        <v>201.71560264805677</v>
      </c>
      <c r="AG26" s="1">
        <f t="shared" ca="1" si="13"/>
        <v>10.99211530285708</v>
      </c>
      <c r="AH26" s="1">
        <f t="shared" ca="1" si="6"/>
        <v>221.61612035314636</v>
      </c>
      <c r="AJ26" s="1" cm="1">
        <f t="array" ref="AJ26" xml:space="preserve"> 1 + ROW() - _xlfn.SINGLE(ROW(TestData.RowNum))</f>
        <v>17</v>
      </c>
    </row>
    <row r="27" spans="12:36" x14ac:dyDescent="0.2">
      <c r="O27" s="1">
        <f t="shared" ca="1" si="7"/>
        <v>11.121305198641242</v>
      </c>
      <c r="P27" s="1">
        <f t="shared" ca="1" si="0"/>
        <v>247.86388673011803</v>
      </c>
      <c r="R27" s="1">
        <f t="shared" ca="1" si="8"/>
        <v>9.1688178883964824</v>
      </c>
      <c r="S27" s="1">
        <f t="shared" ca="1" si="1"/>
        <v>219.26031242574373</v>
      </c>
      <c r="U27" s="1">
        <f t="shared" ca="1" si="9"/>
        <v>9.8172799808506213</v>
      </c>
      <c r="V27" s="1">
        <f t="shared" ca="1" si="2"/>
        <v>242.99939063958027</v>
      </c>
      <c r="X27" s="1">
        <f t="shared" ca="1" si="10"/>
        <v>9.1602258996545807</v>
      </c>
      <c r="Y27" s="1">
        <f t="shared" ca="1" si="3"/>
        <v>263.07676512534476</v>
      </c>
      <c r="AA27" s="1">
        <f t="shared" ca="1" si="11"/>
        <v>10.981248932617707</v>
      </c>
      <c r="AB27" s="1">
        <f t="shared" ca="1" si="4"/>
        <v>213.79532959687626</v>
      </c>
      <c r="AD27" s="1">
        <f t="shared" ca="1" si="12"/>
        <v>11.437186069818408</v>
      </c>
      <c r="AE27" s="1">
        <f t="shared" ca="1" si="5"/>
        <v>199.90353930517699</v>
      </c>
      <c r="AG27" s="1">
        <f t="shared" ca="1" si="13"/>
        <v>12.767067790595258</v>
      </c>
      <c r="AH27" s="1">
        <f t="shared" ca="1" si="6"/>
        <v>220.06863035026606</v>
      </c>
      <c r="AJ27" s="1" cm="1">
        <f t="array" ref="AJ27" xml:space="preserve"> 1 + ROW() - _xlfn.SINGLE(ROW(TestData.RowNum))</f>
        <v>18</v>
      </c>
    </row>
    <row r="28" spans="12:36" x14ac:dyDescent="0.2">
      <c r="M28" s="5" t="s">
        <v>39</v>
      </c>
      <c r="O28" s="1">
        <f t="shared" ca="1" si="7"/>
        <v>13.158271012075652</v>
      </c>
      <c r="P28" s="1">
        <f t="shared" ca="1" si="0"/>
        <v>248.86796465380002</v>
      </c>
      <c r="R28" s="1">
        <f t="shared" ca="1" si="8"/>
        <v>9.888809536473202</v>
      </c>
      <c r="S28" s="1">
        <f t="shared" ca="1" si="1"/>
        <v>219.36318061065523</v>
      </c>
      <c r="U28" s="1">
        <f t="shared" ca="1" si="9"/>
        <v>11.500590830997149</v>
      </c>
      <c r="V28" s="1">
        <f t="shared" ca="1" si="2"/>
        <v>246.83435741414362</v>
      </c>
      <c r="X28" s="1">
        <f t="shared" ca="1" si="10"/>
        <v>10.269646109001929</v>
      </c>
      <c r="Y28" s="1">
        <f t="shared" ca="1" si="3"/>
        <v>263.5812822671744</v>
      </c>
      <c r="AA28" s="1">
        <f t="shared" ca="1" si="11"/>
        <v>11.587846995386201</v>
      </c>
      <c r="AB28" s="1">
        <f t="shared" ca="1" si="4"/>
        <v>214.59613389062875</v>
      </c>
      <c r="AD28" s="1">
        <f t="shared" ca="1" si="12"/>
        <v>13.48368538431626</v>
      </c>
      <c r="AE28" s="1">
        <f t="shared" ca="1" si="5"/>
        <v>202.95954338806655</v>
      </c>
      <c r="AG28" s="1">
        <f t="shared" ca="1" si="13"/>
        <v>14.966487768268605</v>
      </c>
      <c r="AH28" s="1">
        <f t="shared" ca="1" si="6"/>
        <v>218.17449028374105</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14.967343297895287</v>
      </c>
      <c r="P29" s="1">
        <f t="shared" ca="1" si="0"/>
        <v>247.95470729033048</v>
      </c>
      <c r="R29" s="1">
        <f t="shared" ca="1" si="8"/>
        <v>11.333153738040412</v>
      </c>
      <c r="S29" s="1">
        <f t="shared" ca="1" si="1"/>
        <v>223.62353594062608</v>
      </c>
      <c r="U29" s="1">
        <f t="shared" ca="1" si="9"/>
        <v>11.795637419280343</v>
      </c>
      <c r="V29" s="1">
        <f t="shared" ca="1" si="2"/>
        <v>246.49171921687821</v>
      </c>
      <c r="X29" s="1">
        <f t="shared" ca="1" si="10"/>
        <v>10.535622991149152</v>
      </c>
      <c r="Y29" s="1">
        <f t="shared" ca="1" si="3"/>
        <v>266.41781525250678</v>
      </c>
      <c r="AA29" s="1">
        <f t="shared" ca="1" si="11"/>
        <v>12.344027214824033</v>
      </c>
      <c r="AB29" s="1">
        <f t="shared" ca="1" si="4"/>
        <v>214.39987434850195</v>
      </c>
      <c r="AD29" s="1">
        <f t="shared" ca="1" si="12"/>
        <v>14.525347071479775</v>
      </c>
      <c r="AE29" s="1">
        <f t="shared" ca="1" si="5"/>
        <v>203.32201620888824</v>
      </c>
      <c r="AG29" s="1">
        <f t="shared" ca="1" si="13"/>
        <v>15.90776022624134</v>
      </c>
      <c r="AH29" s="1">
        <f t="shared" ca="1" si="6"/>
        <v>218.32085574468152</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45.244991055798742</v>
      </c>
      <c r="O30" s="1">
        <f t="shared" ca="1" si="7"/>
        <v>16.339290842478889</v>
      </c>
      <c r="P30" s="1">
        <f t="shared" ca="1" si="0"/>
        <v>247.22969779083675</v>
      </c>
      <c r="R30" s="1">
        <f t="shared" ca="1" si="8"/>
        <v>12.730443483329909</v>
      </c>
      <c r="S30" s="1">
        <f t="shared" ca="1" si="1"/>
        <v>221.3370334771023</v>
      </c>
      <c r="U30" s="1">
        <f t="shared" ca="1" si="9"/>
        <v>12.282120437804066</v>
      </c>
      <c r="V30" s="1">
        <f t="shared" ca="1" si="2"/>
        <v>246.32975734904051</v>
      </c>
      <c r="X30" s="1">
        <f t="shared" ca="1" si="10"/>
        <v>10.868104776170764</v>
      </c>
      <c r="Y30" s="1">
        <f t="shared" ca="1" si="3"/>
        <v>263.5017296369403</v>
      </c>
      <c r="AA30" s="1">
        <f t="shared" ca="1" si="11"/>
        <v>14.142376796193147</v>
      </c>
      <c r="AB30" s="1">
        <f t="shared" ca="1" si="4"/>
        <v>216.40943696345164</v>
      </c>
      <c r="AD30" s="1">
        <f t="shared" ca="1" si="12"/>
        <v>15.582204455267153</v>
      </c>
      <c r="AE30" s="1">
        <f t="shared" ca="1" si="5"/>
        <v>200.97949885761227</v>
      </c>
      <c r="AG30" s="1">
        <f t="shared" ca="1" si="13"/>
        <v>16.322876505097955</v>
      </c>
      <c r="AH30" s="1">
        <f t="shared" ca="1" si="6"/>
        <v>218.36003863127607</v>
      </c>
      <c r="AJ30" s="1" cm="1">
        <f t="array" ref="AJ30" xml:space="preserve"> 1 + ROW() - _xlfn.SINGLE(ROW(TestData.RowNum))</f>
        <v>21</v>
      </c>
    </row>
    <row r="31" spans="12:36" x14ac:dyDescent="0.2">
      <c r="L31" s="3" t="s">
        <v>42</v>
      </c>
      <c r="M31" s="1">
        <f ca="1" xml:space="preserve"> IF(TestData.RawMaxX &gt; 40, 10, 5)</f>
        <v>10</v>
      </c>
      <c r="O31" s="1">
        <f t="shared" ca="1" si="7"/>
        <v>17.884051390487855</v>
      </c>
      <c r="P31" s="1">
        <f t="shared" ca="1" si="0"/>
        <v>245.6378467407641</v>
      </c>
      <c r="R31" s="1">
        <f t="shared" ca="1" si="8"/>
        <v>13.742625627472501</v>
      </c>
      <c r="S31" s="1">
        <f t="shared" ca="1" si="1"/>
        <v>222.6053967598348</v>
      </c>
      <c r="U31" s="1">
        <f t="shared" ca="1" si="9"/>
        <v>12.547389469795901</v>
      </c>
      <c r="V31" s="1">
        <f t="shared" ca="1" si="2"/>
        <v>246.18593759200073</v>
      </c>
      <c r="X31" s="1">
        <f t="shared" ca="1" si="10"/>
        <v>12.206034101949607</v>
      </c>
      <c r="Y31" s="1">
        <f t="shared" ca="1" si="3"/>
        <v>264.28600228141653</v>
      </c>
      <c r="AA31" s="1">
        <f t="shared" ca="1" si="11"/>
        <v>16.283677950478182</v>
      </c>
      <c r="AB31" s="1">
        <f t="shared" ca="1" si="4"/>
        <v>214.30734175269745</v>
      </c>
      <c r="AD31" s="1">
        <f t="shared" ca="1" si="12"/>
        <v>15.977680567615311</v>
      </c>
      <c r="AE31" s="1">
        <f t="shared" ca="1" si="5"/>
        <v>201.76710806526836</v>
      </c>
      <c r="AG31" s="1">
        <f t="shared" ca="1" si="13"/>
        <v>18.985804226697361</v>
      </c>
      <c r="AH31" s="1">
        <f t="shared" ca="1" si="6"/>
        <v>214.55202552021012</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18.278689772226731</v>
      </c>
      <c r="P32" s="1">
        <f t="shared" ca="1" si="0"/>
        <v>245.84106586651882</v>
      </c>
      <c r="R32" s="1">
        <f t="shared" ca="1" si="8"/>
        <v>14.050952808327114</v>
      </c>
      <c r="S32" s="1">
        <f t="shared" ca="1" si="1"/>
        <v>221.76704552964625</v>
      </c>
      <c r="U32" s="1">
        <f t="shared" ca="1" si="9"/>
        <v>13.84049649337995</v>
      </c>
      <c r="V32" s="1">
        <f t="shared" ca="1" si="2"/>
        <v>248.28947756895386</v>
      </c>
      <c r="X32" s="1">
        <f t="shared" ca="1" si="10"/>
        <v>13.438784171846006</v>
      </c>
      <c r="Y32" s="1">
        <f t="shared" ca="1" si="3"/>
        <v>265.17116469736948</v>
      </c>
      <c r="AA32" s="1">
        <f t="shared" ca="1" si="11"/>
        <v>19.230214117323033</v>
      </c>
      <c r="AB32" s="1">
        <f t="shared" ca="1" si="4"/>
        <v>214.96446164754278</v>
      </c>
      <c r="AD32" s="1">
        <f t="shared" ca="1" si="12"/>
        <v>18.208695072404897</v>
      </c>
      <c r="AE32" s="1">
        <f t="shared" ca="1" si="5"/>
        <v>200.24089723125431</v>
      </c>
      <c r="AG32" s="1">
        <f t="shared" ca="1" si="13"/>
        <v>19.710639252020918</v>
      </c>
      <c r="AH32" s="1">
        <f t="shared" ca="1" si="6"/>
        <v>214.95628176970556</v>
      </c>
      <c r="AJ32" s="1" cm="1">
        <f t="array" ref="AJ32" xml:space="preserve"> 1 + ROW() - _xlfn.SINGLE(ROW(TestData.RowNum))</f>
        <v>23</v>
      </c>
    </row>
    <row r="33" spans="12:36" x14ac:dyDescent="0.2">
      <c r="L33" s="3" t="s">
        <v>44</v>
      </c>
      <c r="M33" s="1">
        <f ca="1" xml:space="preserve"> FLOOR(TestData.RawMinX, TestData.MajorX)</f>
        <v>0</v>
      </c>
      <c r="O33" s="1">
        <f t="shared" ca="1" si="7"/>
        <v>20.608057098828009</v>
      </c>
      <c r="P33" s="1">
        <f t="shared" ca="1" si="0"/>
        <v>241.99562076120637</v>
      </c>
      <c r="R33" s="1">
        <f t="shared" ca="1" si="8"/>
        <v>16.322381245908677</v>
      </c>
      <c r="S33" s="1">
        <f t="shared" ca="1" si="1"/>
        <v>220.29679488335154</v>
      </c>
      <c r="U33" s="1">
        <f t="shared" ca="1" si="9"/>
        <v>14.7652056926442</v>
      </c>
      <c r="V33" s="1">
        <f t="shared" ca="1" si="2"/>
        <v>246.02163471354774</v>
      </c>
      <c r="X33" s="1">
        <f t="shared" ca="1" si="10"/>
        <v>14.779733874325359</v>
      </c>
      <c r="Y33" s="1">
        <f t="shared" ca="1" si="3"/>
        <v>261.31054409871047</v>
      </c>
      <c r="AA33" s="1">
        <f t="shared" ca="1" si="11"/>
        <v>21.477716197613251</v>
      </c>
      <c r="AB33" s="1">
        <f t="shared" ca="1" si="4"/>
        <v>214.19927975238343</v>
      </c>
      <c r="AD33" s="1">
        <f t="shared" ca="1" si="12"/>
        <v>19.908231422743729</v>
      </c>
      <c r="AE33" s="1">
        <f t="shared" ca="1" si="5"/>
        <v>199.34514289857918</v>
      </c>
      <c r="AG33" s="1">
        <f t="shared" ca="1" si="13"/>
        <v>20.593800341666931</v>
      </c>
      <c r="AH33" s="1">
        <f t="shared" ca="1" si="6"/>
        <v>212.10694962163285</v>
      </c>
      <c r="AJ33" s="1" cm="1">
        <f t="array" ref="AJ33" xml:space="preserve"> 1 + ROW() - _xlfn.SINGLE(ROW(TestData.RowNum))</f>
        <v>24</v>
      </c>
    </row>
    <row r="34" spans="12:36" x14ac:dyDescent="0.2">
      <c r="L34" s="3" t="s">
        <v>45</v>
      </c>
      <c r="M34" s="1">
        <f ca="1" xml:space="preserve"> MIN(CEILING(TestData.RawMaxX, TestData.MinorX), 50)</f>
        <v>46</v>
      </c>
      <c r="O34" s="1">
        <f t="shared" ca="1" si="7"/>
        <v>23.624861429134654</v>
      </c>
      <c r="P34" s="1">
        <f t="shared" ca="1" si="0"/>
        <v>240.10056456697879</v>
      </c>
      <c r="R34" s="1">
        <f t="shared" ca="1" si="8"/>
        <v>18.943938068434079</v>
      </c>
      <c r="S34" s="1">
        <f t="shared" ca="1" si="1"/>
        <v>218.3765282251166</v>
      </c>
      <c r="U34" s="1">
        <f t="shared" ca="1" si="9"/>
        <v>16.90069504033864</v>
      </c>
      <c r="V34" s="1">
        <f t="shared" ca="1" si="2"/>
        <v>248.68121526046315</v>
      </c>
      <c r="X34" s="1">
        <f t="shared" ca="1" si="10"/>
        <v>15.613995244429113</v>
      </c>
      <c r="Y34" s="1">
        <f t="shared" ca="1" si="3"/>
        <v>259.97270593129548</v>
      </c>
      <c r="AA34" s="1">
        <f t="shared" ca="1" si="11"/>
        <v>23.456496414745676</v>
      </c>
      <c r="AB34" s="1">
        <f t="shared" ca="1" si="4"/>
        <v>214.60301865400297</v>
      </c>
      <c r="AD34" s="1">
        <f t="shared" ca="1" si="12"/>
        <v>20.439619577474016</v>
      </c>
      <c r="AE34" s="1">
        <f t="shared" ca="1" si="5"/>
        <v>202.76123858718006</v>
      </c>
      <c r="AG34" s="1">
        <f t="shared" ca="1" si="13"/>
        <v>22.613934538497798</v>
      </c>
      <c r="AH34" s="1">
        <f t="shared" ca="1" si="6"/>
        <v>212.7797811704643</v>
      </c>
      <c r="AJ34" s="1" cm="1">
        <f t="array" ref="AJ34" xml:space="preserve"> 1 + ROW() - _xlfn.SINGLE(ROW(TestData.RowNum))</f>
        <v>25</v>
      </c>
    </row>
    <row r="35" spans="12:36" x14ac:dyDescent="0.2">
      <c r="M35" s="1" t="e" cm="1">
        <f t="array" aca="1" ref="M35" ca="1" xml:space="preserve"> axis_scale("Test", "Chart_Test", TRUE, TRUE, TestData.MinX, TestData.MaxX, TestData.MajorX, TestData.MinorX)</f>
        <v>#NAME?</v>
      </c>
      <c r="N35" s="6" t="str">
        <f xml:space="preserve"> _xlfn.UNICHAR(10232) &amp; " "</f>
        <v xml:space="preserve">⟸ </v>
      </c>
      <c r="O35" s="1">
        <f t="shared" ref="O35:O40" ca="1" si="14" xml:space="preserve"> TestData.SpeedX  +  (1 + RAND()*TestData.SpeedX) * O34</f>
        <v>25.19445924955463</v>
      </c>
      <c r="P35" s="1">
        <f t="shared" ref="P35:P40" ca="1" si="15" xml:space="preserve"> P$2 + P$3*EXP(- O35 / TestData.Z_1) + P$4*EXP(- O35 / TestData.Z_2)  + TestData.VerticalRandomisation*(2*RAND() - 1)</f>
        <v>236.48945012038649</v>
      </c>
      <c r="R35" s="1">
        <f t="shared" ref="R35:R40" ca="1" si="16" xml:space="preserve"> TestData.SpeedX  +  (1 + RAND()*TestData.SpeedX) * R34</f>
        <v>20.951512360655173</v>
      </c>
      <c r="S35" s="1">
        <f t="shared" ref="S35:S40" ca="1" si="17" xml:space="preserve"> S$2 + S$3*EXP(- R35 / TestData.Z_1) + S$4*EXP(- R35 / TestData.Z_2)  + TestData.VerticalRandomisation*(2*RAND() - 1)</f>
        <v>215.63535374096679</v>
      </c>
      <c r="U35" s="1">
        <f t="shared" ref="U35:U40" ca="1" si="18" xml:space="preserve"> TestData.SpeedX  +  (1 + RAND()*TestData.SpeedX) * U34</f>
        <v>17.726816633451534</v>
      </c>
      <c r="V35" s="1">
        <f t="shared" ref="V35:V40" ca="1" si="19" xml:space="preserve"> V$2 + V$3*EXP(- U35 / TestData.Z_1) + V$4*EXP(- U35 / TestData.Z_2)  + TestData.VerticalRandomisation*(2*RAND() - 1)</f>
        <v>247.19979352308843</v>
      </c>
      <c r="X35" s="1">
        <f t="shared" ref="X35:X40" ca="1" si="20" xml:space="preserve"> TestData.SpeedX  +  (1 + RAND()*TestData.SpeedX) * X34</f>
        <v>17.577592301190485</v>
      </c>
      <c r="Y35" s="1">
        <f t="shared" ref="Y35:Y40" ca="1" si="21" xml:space="preserve"> Y$2 + Y$3*EXP(- X35 / TestData.Z_1) + Y$4*EXP(- X35 / TestData.Z_2)  + TestData.VerticalRandomisation*(2*RAND() - 1)</f>
        <v>259.79410702070408</v>
      </c>
      <c r="AA35" s="1">
        <f t="shared" ref="AA35:AA40" ca="1" si="22" xml:space="preserve"> TestData.SpeedX  +  (1 + RAND()*TestData.SpeedX) * AA34</f>
        <v>25.815655965929135</v>
      </c>
      <c r="AB35" s="1">
        <f t="shared" ref="AB35:AB40" ca="1" si="23" xml:space="preserve"> AB$2 + AB$3*EXP(- AA35 / TestData.Z_1) + AB$4*EXP(- AA35 / TestData.Z_2)  + TestData.VerticalRandomisation*(2*RAND() - 1)</f>
        <v>212.67963354739453</v>
      </c>
      <c r="AD35" s="1">
        <f t="shared" ref="AD35:AD40" ca="1" si="24" xml:space="preserve"> TestData.SpeedX  +  (1 + RAND()*TestData.SpeedX) * AD34</f>
        <v>22.002404144599971</v>
      </c>
      <c r="AE35" s="1">
        <f t="shared" ref="AE35:AE40" ca="1" si="25" xml:space="preserve"> AE$2 + AE$3*EXP(- AD35 / TestData.Z_1) + AE$4*EXP(- AD35 / TestData.Z_2)  + TestData.VerticalRandomisation*(2*RAND() - 1)</f>
        <v>199.64464411557736</v>
      </c>
      <c r="AG35" s="1">
        <f t="shared" ref="AG35:AG40" ca="1" si="26" xml:space="preserve"> TestData.SpeedX  +  (1 + RAND()*TestData.SpeedX) * AG34</f>
        <v>23.927555039889121</v>
      </c>
      <c r="AH35" s="1">
        <f t="shared" ca="1" si="6"/>
        <v>211.23951163714679</v>
      </c>
      <c r="AJ35" s="1" cm="1">
        <f t="array" ref="AJ35" xml:space="preserve"> 1 + ROW() - _xlfn.SINGLE(ROW(TestData.RowNum))</f>
        <v>26</v>
      </c>
    </row>
    <row r="36" spans="12:36" x14ac:dyDescent="0.2">
      <c r="O36" s="1">
        <f t="shared" ca="1" si="14"/>
        <v>28.882540320653188</v>
      </c>
      <c r="P36" s="1">
        <f t="shared" ca="1" si="15"/>
        <v>232.69517375925054</v>
      </c>
      <c r="R36" s="1">
        <f t="shared" ca="1" si="16"/>
        <v>22.926439156529462</v>
      </c>
      <c r="S36" s="1">
        <f t="shared" ca="1" si="17"/>
        <v>212.32648128117313</v>
      </c>
      <c r="U36" s="1">
        <f t="shared" ca="1" si="18"/>
        <v>20.056240819849428</v>
      </c>
      <c r="V36" s="1">
        <f t="shared" ca="1" si="19"/>
        <v>247.23218850523284</v>
      </c>
      <c r="X36" s="1">
        <f t="shared" ca="1" si="20"/>
        <v>18.839541474873162</v>
      </c>
      <c r="Y36" s="1">
        <f t="shared" ca="1" si="21"/>
        <v>259.26703590562602</v>
      </c>
      <c r="AA36" s="1">
        <f t="shared" ca="1" si="22"/>
        <v>27.00625705549492</v>
      </c>
      <c r="AB36" s="1">
        <f t="shared" ca="1" si="23"/>
        <v>208.95731205619398</v>
      </c>
      <c r="AD36" s="1">
        <f t="shared" ca="1" si="24"/>
        <v>25.685090984531978</v>
      </c>
      <c r="AE36" s="1">
        <f t="shared" ca="1" si="25"/>
        <v>198.14470883253924</v>
      </c>
      <c r="AG36" s="1">
        <f t="shared" ca="1" si="26"/>
        <v>26.731182427071587</v>
      </c>
      <c r="AH36" s="1">
        <f t="shared" ca="1" si="6"/>
        <v>205.72304793422038</v>
      </c>
      <c r="AJ36" s="1" cm="1">
        <f t="array" ref="AJ36" xml:space="preserve"> 1 + ROW() - _xlfn.SINGLE(ROW(TestData.RowNum))</f>
        <v>27</v>
      </c>
    </row>
    <row r="37" spans="12:36" x14ac:dyDescent="0.2">
      <c r="M37" s="5" t="s">
        <v>46</v>
      </c>
      <c r="O37" s="1">
        <f t="shared" ca="1" si="14"/>
        <v>32.556860824779982</v>
      </c>
      <c r="P37" s="1">
        <f t="shared" ca="1" si="15"/>
        <v>231.80618554643078</v>
      </c>
      <c r="R37" s="1">
        <f t="shared" ca="1" si="16"/>
        <v>25.541420206232548</v>
      </c>
      <c r="S37" s="1">
        <f t="shared" ca="1" si="17"/>
        <v>211.41425877311536</v>
      </c>
      <c r="U37" s="1">
        <f t="shared" ca="1" si="18"/>
        <v>20.528143653249732</v>
      </c>
      <c r="V37" s="1">
        <f t="shared" ca="1" si="19"/>
        <v>246.59912620307185</v>
      </c>
      <c r="X37" s="1">
        <f t="shared" ca="1" si="20"/>
        <v>21.986160853607981</v>
      </c>
      <c r="Y37" s="1">
        <f t="shared" ca="1" si="21"/>
        <v>255.942905862674</v>
      </c>
      <c r="AA37" s="1">
        <f t="shared" ca="1" si="22"/>
        <v>31.725251578194143</v>
      </c>
      <c r="AB37" s="1">
        <f t="shared" ca="1" si="23"/>
        <v>208.47609194100755</v>
      </c>
      <c r="AD37" s="1">
        <f t="shared" ca="1" si="24"/>
        <v>26.492052432940021</v>
      </c>
      <c r="AE37" s="1">
        <f t="shared" ca="1" si="25"/>
        <v>196.31081495798662</v>
      </c>
      <c r="AG37" s="1">
        <f t="shared" ca="1" si="26"/>
        <v>28.311774565442985</v>
      </c>
      <c r="AH37" s="1">
        <f t="shared" ca="1" si="6"/>
        <v>207.85116151552177</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149.72115258254127</v>
      </c>
      <c r="O38" s="1">
        <f t="shared" ca="1" si="14"/>
        <v>33.46318981712664</v>
      </c>
      <c r="P38" s="1">
        <f t="shared" ca="1" si="15"/>
        <v>230.90110953857851</v>
      </c>
      <c r="R38" s="1">
        <f t="shared" ca="1" si="16"/>
        <v>26.603962892613865</v>
      </c>
      <c r="S38" s="1">
        <f t="shared" ca="1" si="17"/>
        <v>211.52668042157472</v>
      </c>
      <c r="U38" s="1">
        <f t="shared" ca="1" si="18"/>
        <v>20.993482975774477</v>
      </c>
      <c r="V38" s="1">
        <f t="shared" ca="1" si="19"/>
        <v>244.52572324918486</v>
      </c>
      <c r="X38" s="1">
        <f t="shared" ca="1" si="20"/>
        <v>23.540327221676371</v>
      </c>
      <c r="Y38" s="1">
        <f t="shared" ca="1" si="21"/>
        <v>253.06271759796059</v>
      </c>
      <c r="AA38" s="1">
        <f t="shared" ca="1" si="22"/>
        <v>33.637215797103757</v>
      </c>
      <c r="AB38" s="1">
        <f t="shared" ca="1" si="23"/>
        <v>207.70665808978777</v>
      </c>
      <c r="AD38" s="1">
        <f t="shared" ca="1" si="24"/>
        <v>28.617777688308752</v>
      </c>
      <c r="AE38" s="1">
        <f t="shared" ca="1" si="25"/>
        <v>195.85383328613739</v>
      </c>
      <c r="AG38" s="1">
        <f t="shared" ca="1" si="26"/>
        <v>31.833906832179938</v>
      </c>
      <c r="AH38" s="1">
        <f t="shared" ca="1" si="6"/>
        <v>201.5931121986622</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266.41781525250678</v>
      </c>
      <c r="N39" s="6"/>
      <c r="O39" s="1">
        <f t="shared" ca="1" si="14"/>
        <v>37.876863053063289</v>
      </c>
      <c r="P39" s="1">
        <f t="shared" ca="1" si="15"/>
        <v>227.26451893413531</v>
      </c>
      <c r="R39" s="1">
        <f t="shared" ca="1" si="16"/>
        <v>27.159666213782323</v>
      </c>
      <c r="S39" s="1">
        <f t="shared" ca="1" si="17"/>
        <v>209.08914584902931</v>
      </c>
      <c r="U39" s="1">
        <f t="shared" ca="1" si="18"/>
        <v>24.652129983794719</v>
      </c>
      <c r="V39" s="1">
        <f t="shared" ca="1" si="19"/>
        <v>244.12077379108962</v>
      </c>
      <c r="X39" s="1">
        <f t="shared" ca="1" si="20"/>
        <v>24.977018972171717</v>
      </c>
      <c r="Y39" s="1">
        <f t="shared" ca="1" si="21"/>
        <v>250.11716565618934</v>
      </c>
      <c r="AA39" s="1">
        <f t="shared" ca="1" si="22"/>
        <v>38.28413538846101</v>
      </c>
      <c r="AB39" s="1">
        <f t="shared" ca="1" si="23"/>
        <v>202.9752211292554</v>
      </c>
      <c r="AD39" s="1">
        <f t="shared" ca="1" si="24"/>
        <v>31.25971780382611</v>
      </c>
      <c r="AE39" s="1">
        <f t="shared" ca="1" si="25"/>
        <v>194.30392395469647</v>
      </c>
      <c r="AG39" s="1">
        <f t="shared" ca="1" si="26"/>
        <v>34.39345407546346</v>
      </c>
      <c r="AH39" s="1">
        <f t="shared" ca="1" si="6"/>
        <v>200.0423973723837</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40.712488868091675</v>
      </c>
      <c r="P40" s="1">
        <f t="shared" ca="1" si="15"/>
        <v>224.85414484983067</v>
      </c>
      <c r="R40" s="1">
        <f t="shared" ca="1" si="16"/>
        <v>28.53157213159248</v>
      </c>
      <c r="S40" s="1">
        <f t="shared" ca="1" si="17"/>
        <v>208.87826614198462</v>
      </c>
      <c r="U40" s="1">
        <f t="shared" ca="1" si="18"/>
        <v>27.574179676711466</v>
      </c>
      <c r="V40" s="1">
        <f t="shared" ca="1" si="19"/>
        <v>243.02878229404143</v>
      </c>
      <c r="X40" s="1">
        <f t="shared" ca="1" si="20"/>
        <v>27.706498926801039</v>
      </c>
      <c r="Y40" s="1">
        <f t="shared" ca="1" si="21"/>
        <v>247.0706709428153</v>
      </c>
      <c r="AA40" s="1">
        <f t="shared" ca="1" si="22"/>
        <v>39.482196460947137</v>
      </c>
      <c r="AB40" s="1">
        <f t="shared" ca="1" si="23"/>
        <v>203.5510992463459</v>
      </c>
      <c r="AD40" s="1">
        <f t="shared" ca="1" si="24"/>
        <v>31.463718709236492</v>
      </c>
      <c r="AE40" s="1">
        <f t="shared" ca="1" si="25"/>
        <v>193.7230030489379</v>
      </c>
      <c r="AG40" s="1">
        <f t="shared" ca="1" si="26"/>
        <v>37.908916463548159</v>
      </c>
      <c r="AH40" s="1">
        <f t="shared" ca="1" si="6"/>
        <v>198.30461728895088</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45.977394006857459</v>
      </c>
      <c r="P41" s="1">
        <f t="shared" ref="P41" ca="1" si="28" xml:space="preserve"> P$2 + P$3*EXP(- O41 / TestData.Z_1) + P$4*EXP(- O41 / TestData.Z_2)  + TestData.VerticalRandomisation*(2*RAND() - 1)</f>
        <v>222.38928107868247</v>
      </c>
      <c r="R41" s="1">
        <f t="shared" ref="R41" ca="1" si="29" xml:space="preserve"> TestData.SpeedX  +  (1 + RAND()*TestData.SpeedX) * R40</f>
        <v>32.624272147959282</v>
      </c>
      <c r="S41" s="1">
        <f t="shared" ref="S41" ca="1" si="30" xml:space="preserve"> S$2 + S$3*EXP(- R41 / TestData.Z_1) + S$4*EXP(- R41 / TestData.Z_2)  + TestData.VerticalRandomisation*(2*RAND() - 1)</f>
        <v>204.3840784791507</v>
      </c>
      <c r="U41" s="1">
        <f t="shared" ref="U41" ca="1" si="31" xml:space="preserve"> TestData.SpeedX  +  (1 + RAND()*TestData.SpeedX) * U40</f>
        <v>29.739605371973024</v>
      </c>
      <c r="V41" s="1">
        <f t="shared" ref="V41" ca="1" si="32" xml:space="preserve"> V$2 + V$3*EXP(- U41 / TestData.Z_1) + V$4*EXP(- U41 / TestData.Z_2)  + TestData.VerticalRandomisation*(2*RAND() - 1)</f>
        <v>239.16010213741441</v>
      </c>
      <c r="X41" s="1">
        <f t="shared" ref="X41" ca="1" si="33" xml:space="preserve"> TestData.SpeedX  +  (1 + RAND()*TestData.SpeedX) * X40</f>
        <v>32.234283487036457</v>
      </c>
      <c r="Y41" s="1">
        <f t="shared" ref="Y41" ca="1" si="34" xml:space="preserve"> Y$2 + Y$3*EXP(- X41 / TestData.Z_1) + Y$4*EXP(- X41 / TestData.Z_2)  + TestData.VerticalRandomisation*(2*RAND() - 1)</f>
        <v>242.59110390209747</v>
      </c>
      <c r="AA41" s="1">
        <f t="shared" ref="AA41" ca="1" si="35" xml:space="preserve"> TestData.SpeedX  +  (1 + RAND()*TestData.SpeedX) * AA40</f>
        <v>45.244991055798742</v>
      </c>
      <c r="AB41" s="1">
        <f t="shared" ref="AB41" ca="1" si="36" xml:space="preserve"> AB$2 + AB$3*EXP(- AA41 / TestData.Z_1) + AB$4*EXP(- AA41 / TestData.Z_2)  + TestData.VerticalRandomisation*(2*RAND() - 1)</f>
        <v>202.74327051601074</v>
      </c>
      <c r="AD41" s="1">
        <f t="shared" ref="AD41" ca="1" si="37" xml:space="preserve"> TestData.SpeedX  +  (1 + RAND()*TestData.SpeedX) * AD40</f>
        <v>35.555482969370679</v>
      </c>
      <c r="AE41" s="1">
        <f t="shared" ref="AE41" ca="1" si="38" xml:space="preserve"> AE$2 + AE$3*EXP(- AD41 / TestData.Z_1) + AE$4*EXP(- AD41 / TestData.Z_2)  + TestData.VerticalRandomisation*(2*RAND() - 1)</f>
        <v>189.89926257831155</v>
      </c>
      <c r="AG41" s="1">
        <f t="shared" ref="AG41" ca="1" si="39" xml:space="preserve"> TestData.SpeedX  +  (1 + RAND()*TestData.SpeedX) * AG40</f>
        <v>43.464078664892831</v>
      </c>
      <c r="AH41" s="1">
        <f t="shared" ca="1" si="6"/>
        <v>192.96356147343022</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125</v>
      </c>
    </row>
    <row r="44" spans="12:36" x14ac:dyDescent="0.2">
      <c r="L44" s="3" t="s">
        <v>53</v>
      </c>
      <c r="M44" s="1">
        <f ca="1" xml:space="preserve"> CEILING(TestData.RawMaxY, TestData.MinorY)</f>
        <v>270</v>
      </c>
    </row>
    <row r="45" spans="12:36" x14ac:dyDescent="0.2">
      <c r="M45" s="1" t="e" cm="1">
        <f t="array" aca="1" ref="M45" ca="1" xml:space="preserve"> axis_scale("Test", "Chart_Test", FALSE, TRUE, TestData.MinY, TestData.MaxY, TestData.MajorY, TestData.MinorY)</f>
        <v>#NAME?</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B371"/>
  <sheetViews>
    <sheetView workbookViewId="0">
      <pane ySplit="5" topLeftCell="A11"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5" max="5" width="10.83203125" style="9"/>
    <col min="6" max="17" width="10.83203125" style="1"/>
    <col min="18" max="18" width="10.83203125" style="9"/>
    <col min="20" max="23" width="10.83203125" style="1"/>
    <col min="24" max="24" width="10.83203125" style="9"/>
    <col min="25" max="27" width="10.83203125" style="1"/>
    <col min="28" max="28" width="11.1640625" style="1" bestFit="1" customWidth="1"/>
  </cols>
  <sheetData>
    <row r="2" spans="2:28" x14ac:dyDescent="0.2">
      <c r="B2" s="3" t="s">
        <v>58</v>
      </c>
      <c r="C2" s="6" t="str" cm="1">
        <f t="array" aca="1" ref="C2" ca="1" xml:space="preserve"> CHOOSE(2,   "C:\ChartMarkers\",   LEFT(CELL("filename"),  FIND("[",CELL("filename")) - 1) &amp; "ChartMarkers_Excel/")</f>
        <v>/Users/JDAW/Documents/GitHub/chart_markers/Spreadsheets/ChartMarkers_Excel/</v>
      </c>
    </row>
    <row r="3" spans="2:28" x14ac:dyDescent="0.2">
      <c r="B3" s="3" t="s">
        <v>564</v>
      </c>
      <c r="C3" s="6" t="s">
        <v>565</v>
      </c>
    </row>
    <row r="5" spans="2:28" ht="17" thickBot="1" x14ac:dyDescent="0.25">
      <c r="B5" s="2" t="s">
        <v>59</v>
      </c>
      <c r="C5" s="2" t="s">
        <v>60</v>
      </c>
      <c r="G5" s="2" t="s">
        <v>410</v>
      </c>
      <c r="H5" s="2" t="s">
        <v>411</v>
      </c>
      <c r="J5" s="2" t="s">
        <v>412</v>
      </c>
      <c r="K5" s="2" t="s">
        <v>413</v>
      </c>
      <c r="L5" s="2" t="s">
        <v>414</v>
      </c>
      <c r="M5" s="2" t="s">
        <v>415</v>
      </c>
      <c r="N5" s="2" t="s">
        <v>416</v>
      </c>
      <c r="O5" s="2" t="s">
        <v>417</v>
      </c>
      <c r="P5" s="2" t="s">
        <v>418</v>
      </c>
      <c r="T5" s="2" t="s">
        <v>539</v>
      </c>
      <c r="U5" s="2" t="s">
        <v>540</v>
      </c>
      <c r="V5" s="2" t="s">
        <v>541</v>
      </c>
      <c r="Z5" s="2" t="s">
        <v>542</v>
      </c>
      <c r="AA5" s="2" t="s">
        <v>543</v>
      </c>
      <c r="AB5" s="2" t="s">
        <v>544</v>
      </c>
    </row>
    <row r="6" spans="2:28" x14ac:dyDescent="0.2">
      <c r="B6" s="1" t="s">
        <v>61</v>
      </c>
      <c r="C6" s="1" t="str">
        <f t="shared" ref="C6:C37" si="0" xml:space="preserve"> _xlfn.SINGLE(SeriesFormatAlias.SeriesName)</f>
        <v>USD</v>
      </c>
      <c r="G6" s="1" t="s">
        <v>61</v>
      </c>
      <c r="H6" s="1" t="str">
        <f xml:space="preserve"> "000000"</f>
        <v>000000</v>
      </c>
      <c r="J6" s="1">
        <f t="shared" ref="J6" si="1" xml:space="preserve"> IF(AND(LEN(ChartLines.ID)&gt;0,"Unused"&lt;&gt;ChartLines.ID), COUNTIFS(ChartLines.ID,ChartLines.ID), "·")</f>
        <v>1</v>
      </c>
      <c r="K6" s="1">
        <f t="shared" ref="K6" si="2" xml:space="preserve"> IF(AND(LEN(ChartLines.ID)&gt;0,"Unused"&lt;&gt;ChartLines.ID), COUNTIFS(ChartLines.ID,ChartLines.ID,   ChartLines.RowNum,"&lt;="&amp;ChartLines.RowNum), "·")</f>
        <v>1</v>
      </c>
      <c r="L6" s="1" t="str" cm="1">
        <f t="array" ref="L6" xml:space="preserve"> _xlfn.IFS(OR(LEN(_xlfn.SINGLE(ChartLines.ID))=0,"Unused"=_xlfn.SINGLE(ChartLines.ID)), "·",   1=_xlfn.SINGLE(ChartLines.NumInstances), IF("USD"=_xlfn.SINGLE(ChartLines.ID), "SoleBig", "SoleOrdinary"),   1=_xlfn.SINGLE(ChartLines.InstanceNum), "Outer",   TRUE, "Inner")</f>
        <v>SoleBig</v>
      </c>
      <c r="M6" s="1">
        <f t="shared" ref="M6" si="3" xml:space="preserve"> IF(LEN(ChartLines.Hex6)=6, HEX2DEC(LEFT(ChartLines.Hex6, 2)), "·")</f>
        <v>0</v>
      </c>
      <c r="N6" s="1">
        <f t="shared" ref="N6" si="4" xml:space="preserve"> IF(LEN(ChartLines.Hex6)=6, HEX2DEC(MID(ChartLines.Hex6, 3, 2)), "·")</f>
        <v>0</v>
      </c>
      <c r="O6" s="1">
        <f t="shared" ref="O6" si="5" xml:space="preserve"> IF(LEN(ChartLines.Hex6)=6, HEX2DEC(RIGHT(ChartLines.Hex6, 2)), "·")</f>
        <v>0</v>
      </c>
      <c r="P6" s="1" cm="1">
        <f t="array" ref="P6" xml:space="preserve"> 1 + ROW() - _xlfn.SINGLE(ROW(ChartLines.RowNum))</f>
        <v>1</v>
      </c>
      <c r="T6" s="1" t="s">
        <v>545</v>
      </c>
      <c r="U6" s="1">
        <v>3.6</v>
      </c>
      <c r="V6" s="1">
        <v>3</v>
      </c>
      <c r="Z6" s="1" cm="1">
        <f t="array" ref="Z6" xml:space="preserve"> 1 + ROW() - _xlfn.SINGLE(ROW(AxisScaling.RowNum))</f>
        <v>1</v>
      </c>
      <c r="AA6" s="1" cm="1">
        <f t="array" ref="AA6:AA69" xml:space="preserve"> _xlfn.LET(_xlpm.Major, INDEX({10,25,50}, MOD(AxisScaling.RowNum - 1,3)+1) * 10^(INT((AxisScaling.RowNum - 1)/3) - 7),   IF(_xlpm.Major=2.5, 2, _xlpm.Major) )</f>
        <v>9.9999999999999995E-7</v>
      </c>
      <c r="AB6" s="1" cm="1">
        <f t="array" ref="AB6:AB69" xml:space="preserve"> _xlfn.SWITCH(AxisScaling.Major,   2, 0.5,   10, 2,   AxisScaling.Major / _xlfn.SWITCH(AxisScaling.Major * 10^-CEILING(LOG(AxisScaling.Major),1),   1,4,   0.25,5,   0.5,5) )</f>
        <v>2.4999999999999999E-7</v>
      </c>
    </row>
    <row r="7" spans="2:28" x14ac:dyDescent="0.2">
      <c r="B7" s="1" t="s">
        <v>62</v>
      </c>
      <c r="C7" s="1" t="str">
        <f t="shared" si="0"/>
        <v>EUR</v>
      </c>
      <c r="G7" s="1" t="s">
        <v>419</v>
      </c>
      <c r="J7" s="1" t="str">
        <f t="shared" ref="J7" si="6" xml:space="preserve"> IF(AND(LEN(ChartLines.ID)&gt;0,"Unused"&lt;&gt;ChartLines.ID), COUNTIFS(ChartLines.ID,ChartLines.ID), "·")</f>
        <v>·</v>
      </c>
      <c r="K7" s="1" t="str">
        <f t="shared" ref="K7" si="7" xml:space="preserve"> IF(AND(LEN(ChartLines.ID)&gt;0,"Unused"&lt;&gt;ChartLines.ID), COUNTIFS(ChartLines.ID,ChartLines.ID,   ChartLines.RowNum,"&lt;="&amp;ChartLines.RowNum), "·")</f>
        <v>·</v>
      </c>
      <c r="L7" s="1" t="str" cm="1">
        <f t="array" ref="L7" xml:space="preserve"> _xlfn.IFS(OR(LEN(_xlfn.SINGLE(ChartLines.ID))=0,"Unused"=_xlfn.SINGLE(ChartLines.ID)), "·",   1=_xlfn.SINGLE(ChartLines.NumInstances), IF("USD"=_xlfn.SINGLE(ChartLines.ID), "SoleBig", "SoleOrdinary"),   1=_xlfn.SINGLE(ChartLines.InstanceNum), "Outer",   TRUE, "Inner")</f>
        <v>·</v>
      </c>
      <c r="M7" s="1" t="str">
        <f t="shared" ref="M7" si="8" xml:space="preserve"> IF(LEN(ChartLines.Hex6)=6, HEX2DEC(LEFT(ChartLines.Hex6, 2)), "·")</f>
        <v>·</v>
      </c>
      <c r="N7" s="1" t="str">
        <f t="shared" ref="N7" si="9" xml:space="preserve"> IF(LEN(ChartLines.Hex6)=6, HEX2DEC(MID(ChartLines.Hex6, 3, 2)), "·")</f>
        <v>·</v>
      </c>
      <c r="O7" s="1" t="str">
        <f t="shared" ref="O7" si="10" xml:space="preserve"> IF(LEN(ChartLines.Hex6)=6, HEX2DEC(RIGHT(ChartLines.Hex6, 2)), "·")</f>
        <v>·</v>
      </c>
      <c r="P7" s="1" cm="1">
        <f t="array" ref="P7" xml:space="preserve"> 1 + ROW() - _xlfn.SINGLE(ROW(ChartLines.RowNum))</f>
        <v>2</v>
      </c>
      <c r="T7" s="1" t="s">
        <v>546</v>
      </c>
      <c r="U7" s="1">
        <v>1.2</v>
      </c>
      <c r="V7" s="1">
        <v>1</v>
      </c>
      <c r="Z7" s="1" cm="1">
        <f t="array" ref="Z7" xml:space="preserve"> 1 + ROW() - _xlfn.SINGLE(ROW(AxisScaling.RowNum))</f>
        <v>2</v>
      </c>
      <c r="AA7" s="1">
        <v>2.4999999999999998E-6</v>
      </c>
      <c r="AB7" s="1">
        <v>4.9999999999999998E-7</v>
      </c>
    </row>
    <row r="8" spans="2:28" x14ac:dyDescent="0.2">
      <c r="B8" s="1" t="s">
        <v>63</v>
      </c>
      <c r="C8" s="1" t="str">
        <f t="shared" si="0"/>
        <v>GBP</v>
      </c>
      <c r="G8" s="1" t="s">
        <v>62</v>
      </c>
      <c r="H8" s="1" t="s">
        <v>420</v>
      </c>
      <c r="J8" s="1">
        <f t="shared" ref="J8" si="11" xml:space="preserve"> IF(AND(LEN(ChartLines.ID)&gt;0,"Unused"&lt;&gt;ChartLines.ID), COUNTIFS(ChartLines.ID,ChartLines.ID), "·")</f>
        <v>1</v>
      </c>
      <c r="K8" s="1">
        <f t="shared" ref="K8" si="12" xml:space="preserve"> IF(AND(LEN(ChartLines.ID)&gt;0,"Unused"&lt;&gt;ChartLines.ID), COUNTIFS(ChartLines.ID,ChartLines.ID,   ChartLines.RowNum,"&lt;="&amp;ChartLines.RowNum), "·")</f>
        <v>1</v>
      </c>
      <c r="L8" s="1" t="str" cm="1">
        <f t="array" ref="L8" xml:space="preserve"> _xlfn.IFS(OR(LEN(_xlfn.SINGLE(ChartLines.ID))=0,"Unused"=_xlfn.SINGLE(ChartLines.ID)), "·",   1=_xlfn.SINGLE(ChartLines.NumInstances), IF("USD"=_xlfn.SINGLE(ChartLines.ID), "SoleBig", "SoleOrdinary"),   1=_xlfn.SINGLE(ChartLines.InstanceNum), "Outer",   TRUE, "Inner")</f>
        <v>SoleOrdinary</v>
      </c>
      <c r="M8" s="1">
        <f t="shared" ref="M8" si="13" xml:space="preserve"> IF(LEN(ChartLines.Hex6)=6, HEX2DEC(LEFT(ChartLines.Hex6, 2)), "·")</f>
        <v>255</v>
      </c>
      <c r="N8" s="1">
        <f t="shared" ref="N8" si="14" xml:space="preserve"> IF(LEN(ChartLines.Hex6)=6, HEX2DEC(MID(ChartLines.Hex6, 3, 2)), "·")</f>
        <v>51</v>
      </c>
      <c r="O8" s="1">
        <f t="shared" ref="O8" si="15" xml:space="preserve"> IF(LEN(ChartLines.Hex6)=6, HEX2DEC(RIGHT(ChartLines.Hex6, 2)), "·")</f>
        <v>255</v>
      </c>
      <c r="P8" s="1" cm="1">
        <f t="array" ref="P8" xml:space="preserve"> 1 + ROW() - _xlfn.SINGLE(ROW(ChartLines.RowNum))</f>
        <v>3</v>
      </c>
      <c r="T8" s="1" t="s">
        <v>547</v>
      </c>
      <c r="U8" s="1">
        <f xml:space="preserve"> U$6 - U$7</f>
        <v>2.4000000000000004</v>
      </c>
      <c r="V8" s="1">
        <f xml:space="preserve"> AVERAGE(V$6:V$7)</f>
        <v>2</v>
      </c>
      <c r="Z8" s="1" cm="1">
        <f t="array" ref="Z8" xml:space="preserve"> 1 + ROW() - _xlfn.SINGLE(ROW(AxisScaling.RowNum))</f>
        <v>3</v>
      </c>
      <c r="AA8" s="1">
        <v>4.9999999999999996E-6</v>
      </c>
      <c r="AB8" s="1">
        <v>9.9999999999999995E-7</v>
      </c>
    </row>
    <row r="9" spans="2:28" x14ac:dyDescent="0.2">
      <c r="B9" s="1" t="s">
        <v>64</v>
      </c>
      <c r="C9" s="1" t="str">
        <f t="shared" si="0"/>
        <v>JPY</v>
      </c>
      <c r="G9" s="1" t="s">
        <v>419</v>
      </c>
      <c r="J9" s="1" t="str">
        <f t="shared" ref="J9" si="16" xml:space="preserve"> IF(AND(LEN(ChartLines.ID)&gt;0,"Unused"&lt;&gt;ChartLines.ID), COUNTIFS(ChartLines.ID,ChartLines.ID), "·")</f>
        <v>·</v>
      </c>
      <c r="K9" s="1" t="str">
        <f t="shared" ref="K9" si="17" xml:space="preserve"> IF(AND(LEN(ChartLines.ID)&gt;0,"Unused"&lt;&gt;ChartLines.ID), COUNTIFS(ChartLines.ID,ChartLines.ID,   ChartLines.RowNum,"&lt;="&amp;ChartLines.RowNum), "·")</f>
        <v>·</v>
      </c>
      <c r="L9" s="1" t="str" cm="1">
        <f t="array" ref="L9" xml:space="preserve"> _xlfn.IFS(OR(LEN(_xlfn.SINGLE(ChartLines.ID))=0,"Unused"=_xlfn.SINGLE(ChartLines.ID)), "·",   1=_xlfn.SINGLE(ChartLines.NumInstances), IF("USD"=_xlfn.SINGLE(ChartLines.ID), "SoleBig", "SoleOrdinary"),   1=_xlfn.SINGLE(ChartLines.InstanceNum), "Outer",   TRUE, "Inner")</f>
        <v>·</v>
      </c>
      <c r="M9" s="1" t="str">
        <f t="shared" ref="M9" si="18" xml:space="preserve"> IF(LEN(ChartLines.Hex6)=6, HEX2DEC(LEFT(ChartLines.Hex6, 2)), "·")</f>
        <v>·</v>
      </c>
      <c r="N9" s="1" t="str">
        <f t="shared" ref="N9" si="19" xml:space="preserve"> IF(LEN(ChartLines.Hex6)=6, HEX2DEC(MID(ChartLines.Hex6, 3, 2)), "·")</f>
        <v>·</v>
      </c>
      <c r="O9" s="1" t="str">
        <f t="shared" ref="O9" si="20" xml:space="preserve"> IF(LEN(ChartLines.Hex6)=6, HEX2DEC(RIGHT(ChartLines.Hex6, 2)), "·")</f>
        <v>·</v>
      </c>
      <c r="P9" s="1" cm="1">
        <f t="array" ref="P9" xml:space="preserve"> 1 + ROW() - _xlfn.SINGLE(ROW(ChartLines.RowNum))</f>
        <v>4</v>
      </c>
      <c r="T9" s="1" t="s">
        <v>548</v>
      </c>
      <c r="U9" s="1">
        <f xml:space="preserve"> MAX(U$6:U$8)</f>
        <v>3.6</v>
      </c>
      <c r="V9" s="1">
        <f xml:space="preserve"> V$6</f>
        <v>3</v>
      </c>
      <c r="Z9" s="1" cm="1">
        <f t="array" ref="Z9" xml:space="preserve"> 1 + ROW() - _xlfn.SINGLE(ROW(AxisScaling.RowNum))</f>
        <v>4</v>
      </c>
      <c r="AA9" s="1">
        <v>9.9999999999999991E-6</v>
      </c>
      <c r="AB9" s="1">
        <v>2.4999999999999998E-6</v>
      </c>
    </row>
    <row r="10" spans="2:28" x14ac:dyDescent="0.2">
      <c r="B10" s="1" t="s">
        <v>65</v>
      </c>
      <c r="C10" s="1" t="str">
        <f t="shared" si="0"/>
        <v>CHF</v>
      </c>
      <c r="G10" s="1" t="s">
        <v>63</v>
      </c>
      <c r="H10" s="1" t="str">
        <f xml:space="preserve"> "012169"</f>
        <v>012169</v>
      </c>
      <c r="J10" s="1">
        <f t="shared" ref="J10" si="21" xml:space="preserve"> IF(AND(LEN(ChartLines.ID)&gt;0,"Unused"&lt;&gt;ChartLines.ID), COUNTIFS(ChartLines.ID,ChartLines.ID), "·")</f>
        <v>1</v>
      </c>
      <c r="K10" s="1">
        <f t="shared" ref="K10" si="22" xml:space="preserve"> IF(AND(LEN(ChartLines.ID)&gt;0,"Unused"&lt;&gt;ChartLines.ID), COUNTIFS(ChartLines.ID,ChartLines.ID,   ChartLines.RowNum,"&lt;="&amp;ChartLines.RowNum), "·")</f>
        <v>1</v>
      </c>
      <c r="L10" s="1" t="str" cm="1">
        <f t="array" ref="L10" xml:space="preserve"> _xlfn.IFS(OR(LEN(_xlfn.SINGLE(ChartLines.ID))=0,"Unused"=_xlfn.SINGLE(ChartLines.ID)), "·",   1=_xlfn.SINGLE(ChartLines.NumInstances), IF("USD"=_xlfn.SINGLE(ChartLines.ID), "SoleBig", "SoleOrdinary"),   1=_xlfn.SINGLE(ChartLines.InstanceNum), "Outer",   TRUE, "Inner")</f>
        <v>SoleOrdinary</v>
      </c>
      <c r="M10" s="1">
        <f t="shared" ref="M10" si="23" xml:space="preserve"> IF(LEN(ChartLines.Hex6)=6, HEX2DEC(LEFT(ChartLines.Hex6, 2)), "·")</f>
        <v>1</v>
      </c>
      <c r="N10" s="1">
        <f t="shared" ref="N10" si="24" xml:space="preserve"> IF(LEN(ChartLines.Hex6)=6, HEX2DEC(MID(ChartLines.Hex6, 3, 2)), "·")</f>
        <v>33</v>
      </c>
      <c r="O10" s="1">
        <f t="shared" ref="O10" si="25" xml:space="preserve"> IF(LEN(ChartLines.Hex6)=6, HEX2DEC(RIGHT(ChartLines.Hex6, 2)), "·")</f>
        <v>105</v>
      </c>
      <c r="P10" s="1" cm="1">
        <f t="array" ref="P10" xml:space="preserve"> 1 + ROW() - _xlfn.SINGLE(ROW(ChartLines.RowNum))</f>
        <v>5</v>
      </c>
      <c r="Z10" s="1" cm="1">
        <f t="array" ref="Z10" xml:space="preserve"> 1 + ROW() - _xlfn.SINGLE(ROW(AxisScaling.RowNum))</f>
        <v>5</v>
      </c>
      <c r="AA10" s="1">
        <v>2.4999999999999998E-5</v>
      </c>
      <c r="AB10" s="1">
        <v>4.9999999999999996E-6</v>
      </c>
    </row>
    <row r="11" spans="2:28" x14ac:dyDescent="0.2">
      <c r="B11" s="1" t="s">
        <v>66</v>
      </c>
      <c r="C11" s="1" t="str">
        <f t="shared" si="0"/>
        <v>CAD</v>
      </c>
      <c r="G11" s="1" t="s">
        <v>419</v>
      </c>
      <c r="J11" s="1" t="str">
        <f t="shared" ref="J11" si="26" xml:space="preserve"> IF(AND(LEN(ChartLines.ID)&gt;0,"Unused"&lt;&gt;ChartLines.ID), COUNTIFS(ChartLines.ID,ChartLines.ID), "·")</f>
        <v>·</v>
      </c>
      <c r="K11" s="1" t="str">
        <f t="shared" ref="K11" si="27" xml:space="preserve"> IF(AND(LEN(ChartLines.ID)&gt;0,"Unused"&lt;&gt;ChartLines.ID), COUNTIFS(ChartLines.ID,ChartLines.ID,   ChartLines.RowNum,"&lt;="&amp;ChartLines.RowNum), "·")</f>
        <v>·</v>
      </c>
      <c r="L11" s="1" t="str" cm="1">
        <f t="array" ref="L11" xml:space="preserve"> _xlfn.IFS(OR(LEN(_xlfn.SINGLE(ChartLines.ID))=0,"Unused"=_xlfn.SINGLE(ChartLines.ID)), "·",   1=_xlfn.SINGLE(ChartLines.NumInstances), IF("USD"=_xlfn.SINGLE(ChartLines.ID), "SoleBig", "SoleOrdinary"),   1=_xlfn.SINGLE(ChartLines.InstanceNum), "Outer",   TRUE, "Inner")</f>
        <v>·</v>
      </c>
      <c r="M11" s="1" t="str">
        <f t="shared" ref="M11" si="28" xml:space="preserve"> IF(LEN(ChartLines.Hex6)=6, HEX2DEC(LEFT(ChartLines.Hex6, 2)), "·")</f>
        <v>·</v>
      </c>
      <c r="N11" s="1" t="str">
        <f t="shared" ref="N11" si="29" xml:space="preserve"> IF(LEN(ChartLines.Hex6)=6, HEX2DEC(MID(ChartLines.Hex6, 3, 2)), "·")</f>
        <v>·</v>
      </c>
      <c r="O11" s="1" t="str">
        <f t="shared" ref="O11" si="30" xml:space="preserve"> IF(LEN(ChartLines.Hex6)=6, HEX2DEC(RIGHT(ChartLines.Hex6, 2)), "·")</f>
        <v>·</v>
      </c>
      <c r="P11" s="1" cm="1">
        <f t="array" ref="P11" xml:space="preserve"> 1 + ROW() - _xlfn.SINGLE(ROW(ChartLines.RowNum))</f>
        <v>6</v>
      </c>
      <c r="Z11" s="1" cm="1">
        <f t="array" ref="Z11" xml:space="preserve"> 1 + ROW() - _xlfn.SINGLE(ROW(AxisScaling.RowNum))</f>
        <v>6</v>
      </c>
      <c r="AA11" s="1">
        <v>4.9999999999999996E-5</v>
      </c>
      <c r="AB11" s="1">
        <v>9.9999999999999991E-6</v>
      </c>
    </row>
    <row r="12" spans="2:28" x14ac:dyDescent="0.2">
      <c r="B12" s="1" t="s">
        <v>67</v>
      </c>
      <c r="C12" s="1" t="str">
        <f t="shared" si="0"/>
        <v>AUD</v>
      </c>
      <c r="G12" s="1" t="s">
        <v>64</v>
      </c>
      <c r="H12" s="1" t="s">
        <v>421</v>
      </c>
      <c r="J12" s="1">
        <f t="shared" ref="J12" si="31" xml:space="preserve"> IF(AND(LEN(ChartLines.ID)&gt;0,"Unused"&lt;&gt;ChartLines.ID), COUNTIFS(ChartLines.ID,ChartLines.ID), "·")</f>
        <v>1</v>
      </c>
      <c r="K12" s="1">
        <f t="shared" ref="K12" si="32" xml:space="preserve"> IF(AND(LEN(ChartLines.ID)&gt;0,"Unused"&lt;&gt;ChartLines.ID), COUNTIFS(ChartLines.ID,ChartLines.ID,   ChartLines.RowNum,"&lt;="&amp;ChartLines.RowNum), "·")</f>
        <v>1</v>
      </c>
      <c r="L12" s="1" t="str" cm="1">
        <f t="array" ref="L12" xml:space="preserve"> _xlfn.IFS(OR(LEN(_xlfn.SINGLE(ChartLines.ID))=0,"Unused"=_xlfn.SINGLE(ChartLines.ID)), "·",   1=_xlfn.SINGLE(ChartLines.NumInstances), IF("USD"=_xlfn.SINGLE(ChartLines.ID), "SoleBig", "SoleOrdinary"),   1=_xlfn.SINGLE(ChartLines.InstanceNum), "Outer",   TRUE, "Inner")</f>
        <v>SoleOrdinary</v>
      </c>
      <c r="M12" s="1">
        <f t="shared" ref="M12" si="33" xml:space="preserve"> IF(LEN(ChartLines.Hex6)=6, HEX2DEC(LEFT(ChartLines.Hex6, 2)), "·")</f>
        <v>239</v>
      </c>
      <c r="N12" s="1">
        <f t="shared" ref="N12" si="34" xml:space="preserve"> IF(LEN(ChartLines.Hex6)=6, HEX2DEC(MID(ChartLines.Hex6, 3, 2)), "·")</f>
        <v>51</v>
      </c>
      <c r="O12" s="1">
        <f t="shared" ref="O12" si="35" xml:space="preserve"> IF(LEN(ChartLines.Hex6)=6, HEX2DEC(RIGHT(ChartLines.Hex6, 2)), "·")</f>
        <v>64</v>
      </c>
      <c r="P12" s="1" cm="1">
        <f t="array" ref="P12" xml:space="preserve"> 1 + ROW() - _xlfn.SINGLE(ROW(ChartLines.RowNum))</f>
        <v>7</v>
      </c>
      <c r="Z12" s="1" cm="1">
        <f t="array" ref="Z12" xml:space="preserve"> 1 + ROW() - _xlfn.SINGLE(ROW(AxisScaling.RowNum))</f>
        <v>7</v>
      </c>
      <c r="AA12" s="1">
        <v>1E-4</v>
      </c>
      <c r="AB12" s="1">
        <v>2.5000000000000001E-5</v>
      </c>
    </row>
    <row r="13" spans="2:28" x14ac:dyDescent="0.2">
      <c r="B13" s="1" t="s">
        <v>68</v>
      </c>
      <c r="C13" s="1" t="str">
        <f t="shared" si="0"/>
        <v>NZD</v>
      </c>
      <c r="G13" s="1" t="s">
        <v>419</v>
      </c>
      <c r="J13" s="1" t="str">
        <f t="shared" ref="J13" si="36" xml:space="preserve"> IF(AND(LEN(ChartLines.ID)&gt;0,"Unused"&lt;&gt;ChartLines.ID), COUNTIFS(ChartLines.ID,ChartLines.ID), "·")</f>
        <v>·</v>
      </c>
      <c r="K13" s="1" t="str">
        <f t="shared" ref="K13" si="37" xml:space="preserve"> IF(AND(LEN(ChartLines.ID)&gt;0,"Unused"&lt;&gt;ChartLines.ID), COUNTIFS(ChartLines.ID,ChartLines.ID,   ChartLines.RowNum,"&lt;="&amp;ChartLines.RowNum), "·")</f>
        <v>·</v>
      </c>
      <c r="L13" s="1" t="str" cm="1">
        <f t="array" ref="L13" xml:space="preserve"> _xlfn.IFS(OR(LEN(_xlfn.SINGLE(ChartLines.ID))=0,"Unused"=_xlfn.SINGLE(ChartLines.ID)), "·",   1=_xlfn.SINGLE(ChartLines.NumInstances), IF("USD"=_xlfn.SINGLE(ChartLines.ID), "SoleBig", "SoleOrdinary"),   1=_xlfn.SINGLE(ChartLines.InstanceNum), "Outer",   TRUE, "Inner")</f>
        <v>·</v>
      </c>
      <c r="M13" s="1" t="str">
        <f t="shared" ref="M13" si="38" xml:space="preserve"> IF(LEN(ChartLines.Hex6)=6, HEX2DEC(LEFT(ChartLines.Hex6, 2)), "·")</f>
        <v>·</v>
      </c>
      <c r="N13" s="1" t="str">
        <f t="shared" ref="N13" si="39" xml:space="preserve"> IF(LEN(ChartLines.Hex6)=6, HEX2DEC(MID(ChartLines.Hex6, 3, 2)), "·")</f>
        <v>·</v>
      </c>
      <c r="O13" s="1" t="str">
        <f t="shared" ref="O13" si="40" xml:space="preserve"> IF(LEN(ChartLines.Hex6)=6, HEX2DEC(RIGHT(ChartLines.Hex6, 2)), "·")</f>
        <v>·</v>
      </c>
      <c r="P13" s="1" cm="1">
        <f t="array" ref="P13" xml:space="preserve"> 1 + ROW() - _xlfn.SINGLE(ROW(ChartLines.RowNum))</f>
        <v>8</v>
      </c>
      <c r="Z13" s="1" cm="1">
        <f t="array" ref="Z13" xml:space="preserve"> 1 + ROW() - _xlfn.SINGLE(ROW(AxisScaling.RowNum))</f>
        <v>8</v>
      </c>
      <c r="AA13" s="1">
        <v>2.5000000000000001E-4</v>
      </c>
      <c r="AB13" s="1">
        <v>5.0000000000000002E-5</v>
      </c>
    </row>
    <row r="14" spans="2:28" x14ac:dyDescent="0.2">
      <c r="B14" s="1" t="s">
        <v>69</v>
      </c>
      <c r="C14" s="1" t="str">
        <f t="shared" si="0"/>
        <v>SEK</v>
      </c>
      <c r="G14" s="1" t="s">
        <v>65</v>
      </c>
      <c r="H14" s="1" t="s">
        <v>422</v>
      </c>
      <c r="J14" s="1">
        <f t="shared" ref="J14" si="41" xml:space="preserve"> IF(AND(LEN(ChartLines.ID)&gt;0,"Unused"&lt;&gt;ChartLines.ID), COUNTIFS(ChartLines.ID,ChartLines.ID), "·")</f>
        <v>2</v>
      </c>
      <c r="K14" s="1">
        <f t="shared" ref="K14" si="42" xml:space="preserve"> IF(AND(LEN(ChartLines.ID)&gt;0,"Unused"&lt;&gt;ChartLines.ID), COUNTIFS(ChartLines.ID,ChartLines.ID,   ChartLines.RowNum,"&lt;="&amp;ChartLines.RowNum), "·")</f>
        <v>1</v>
      </c>
      <c r="L14" s="1" t="str" cm="1">
        <f t="array" ref="L14" xml:space="preserve"> _xlfn.IFS(OR(LEN(_xlfn.SINGLE(ChartLines.ID))=0,"Unused"=_xlfn.SINGLE(ChartLines.ID)), "·",   1=_xlfn.SINGLE(ChartLines.NumInstances), IF("USD"=_xlfn.SINGLE(ChartLines.ID), "SoleBig", "SoleOrdinary"),   1=_xlfn.SINGLE(ChartLines.InstanceNum), "Outer",   TRUE, "Inner")</f>
        <v>Outer</v>
      </c>
      <c r="M14" s="1">
        <f t="shared" ref="M14" si="43" xml:space="preserve"> IF(LEN(ChartLines.Hex6)=6, HEX2DEC(LEFT(ChartLines.Hex6, 2)), "·")</f>
        <v>255</v>
      </c>
      <c r="N14" s="1">
        <f t="shared" ref="N14" si="44" xml:space="preserve"> IF(LEN(ChartLines.Hex6)=6, HEX2DEC(MID(ChartLines.Hex6, 3, 2)), "·")</f>
        <v>0</v>
      </c>
      <c r="O14" s="1">
        <f t="shared" ref="O14" si="45" xml:space="preserve"> IF(LEN(ChartLines.Hex6)=6, HEX2DEC(RIGHT(ChartLines.Hex6, 2)), "·")</f>
        <v>0</v>
      </c>
      <c r="P14" s="1" cm="1">
        <f t="array" ref="P14" xml:space="preserve"> 1 + ROW() - _xlfn.SINGLE(ROW(ChartLines.RowNum))</f>
        <v>9</v>
      </c>
      <c r="Z14" s="1" cm="1">
        <f t="array" ref="Z14" xml:space="preserve"> 1 + ROW() - _xlfn.SINGLE(ROW(AxisScaling.RowNum))</f>
        <v>9</v>
      </c>
      <c r="AA14" s="1">
        <v>5.0000000000000001E-4</v>
      </c>
      <c r="AB14" s="1">
        <v>1E-4</v>
      </c>
    </row>
    <row r="15" spans="2:28" x14ac:dyDescent="0.2">
      <c r="B15" s="1" t="s">
        <v>70</v>
      </c>
      <c r="C15" s="1" t="str">
        <f t="shared" si="0"/>
        <v>NOK</v>
      </c>
      <c r="G15" s="1" t="s">
        <v>65</v>
      </c>
      <c r="H15" s="1" t="s">
        <v>423</v>
      </c>
      <c r="J15" s="1">
        <f t="shared" ref="J15" si="46" xml:space="preserve"> IF(AND(LEN(ChartLines.ID)&gt;0,"Unused"&lt;&gt;ChartLines.ID), COUNTIFS(ChartLines.ID,ChartLines.ID), "·")</f>
        <v>2</v>
      </c>
      <c r="K15" s="1">
        <f t="shared" ref="K15" si="47" xml:space="preserve"> IF(AND(LEN(ChartLines.ID)&gt;0,"Unused"&lt;&gt;ChartLines.ID), COUNTIFS(ChartLines.ID,ChartLines.ID,   ChartLines.RowNum,"&lt;="&amp;ChartLines.RowNum), "·")</f>
        <v>2</v>
      </c>
      <c r="L15" s="1" t="str" cm="1">
        <f t="array" ref="L15" xml:space="preserve"> _xlfn.IFS(OR(LEN(_xlfn.SINGLE(ChartLines.ID))=0,"Unused"=_xlfn.SINGLE(ChartLines.ID)), "·",   1=_xlfn.SINGLE(ChartLines.NumInstances), IF("USD"=_xlfn.SINGLE(ChartLines.ID), "SoleBig", "SoleOrdinary"),   1=_xlfn.SINGLE(ChartLines.InstanceNum), "Outer",   TRUE, "Inner")</f>
        <v>Inner</v>
      </c>
      <c r="M15" s="1">
        <f t="shared" ref="M15" si="48" xml:space="preserve"> IF(LEN(ChartLines.Hex6)=6, HEX2DEC(LEFT(ChartLines.Hex6, 2)), "·")</f>
        <v>255</v>
      </c>
      <c r="N15" s="1">
        <f t="shared" ref="N15" si="49" xml:space="preserve"> IF(LEN(ChartLines.Hex6)=6, HEX2DEC(MID(ChartLines.Hex6, 3, 2)), "·")</f>
        <v>255</v>
      </c>
      <c r="O15" s="1">
        <f t="shared" ref="O15" si="50" xml:space="preserve"> IF(LEN(ChartLines.Hex6)=6, HEX2DEC(RIGHT(ChartLines.Hex6, 2)), "·")</f>
        <v>255</v>
      </c>
      <c r="P15" s="1" cm="1">
        <f t="array" ref="P15" xml:space="preserve"> 1 + ROW() - _xlfn.SINGLE(ROW(ChartLines.RowNum))</f>
        <v>10</v>
      </c>
      <c r="Z15" s="1" cm="1">
        <f t="array" ref="Z15" xml:space="preserve"> 1 + ROW() - _xlfn.SINGLE(ROW(AxisScaling.RowNum))</f>
        <v>10</v>
      </c>
      <c r="AA15" s="1">
        <v>1E-3</v>
      </c>
      <c r="AB15" s="1">
        <v>2.5000000000000001E-4</v>
      </c>
    </row>
    <row r="16" spans="2:28" x14ac:dyDescent="0.2">
      <c r="B16" s="1" t="s">
        <v>71</v>
      </c>
      <c r="C16" s="1" t="str">
        <f t="shared" si="0"/>
        <v>EU</v>
      </c>
      <c r="G16" s="1" t="s">
        <v>66</v>
      </c>
      <c r="H16" s="1" t="s">
        <v>422</v>
      </c>
      <c r="J16" s="1">
        <f t="shared" ref="J16" si="51" xml:space="preserve"> IF(AND(LEN(ChartLines.ID)&gt;0,"Unused"&lt;&gt;ChartLines.ID), COUNTIFS(ChartLines.ID,ChartLines.ID), "·")</f>
        <v>2</v>
      </c>
      <c r="K16" s="1">
        <f t="shared" ref="K16" si="52" xml:space="preserve"> IF(AND(LEN(ChartLines.ID)&gt;0,"Unused"&lt;&gt;ChartLines.ID), COUNTIFS(ChartLines.ID,ChartLines.ID,   ChartLines.RowNum,"&lt;="&amp;ChartLines.RowNum), "·")</f>
        <v>1</v>
      </c>
      <c r="L16" s="1" t="str" cm="1">
        <f t="array" ref="L16" xml:space="preserve"> _xlfn.IFS(OR(LEN(_xlfn.SINGLE(ChartLines.ID))=0,"Unused"=_xlfn.SINGLE(ChartLines.ID)), "·",   1=_xlfn.SINGLE(ChartLines.NumInstances), IF("USD"=_xlfn.SINGLE(ChartLines.ID), "SoleBig", "SoleOrdinary"),   1=_xlfn.SINGLE(ChartLines.InstanceNum), "Outer",   TRUE, "Inner")</f>
        <v>Outer</v>
      </c>
      <c r="M16" s="1">
        <f t="shared" ref="M16" si="53" xml:space="preserve"> IF(LEN(ChartLines.Hex6)=6, HEX2DEC(LEFT(ChartLines.Hex6, 2)), "·")</f>
        <v>255</v>
      </c>
      <c r="N16" s="1">
        <f t="shared" ref="N16" si="54" xml:space="preserve"> IF(LEN(ChartLines.Hex6)=6, HEX2DEC(MID(ChartLines.Hex6, 3, 2)), "·")</f>
        <v>0</v>
      </c>
      <c r="O16" s="1">
        <f t="shared" ref="O16" si="55" xml:space="preserve"> IF(LEN(ChartLines.Hex6)=6, HEX2DEC(RIGHT(ChartLines.Hex6, 2)), "·")</f>
        <v>0</v>
      </c>
      <c r="P16" s="1" cm="1">
        <f t="array" ref="P16" xml:space="preserve"> 1 + ROW() - _xlfn.SINGLE(ROW(ChartLines.RowNum))</f>
        <v>11</v>
      </c>
      <c r="Z16" s="1" cm="1">
        <f t="array" ref="Z16" xml:space="preserve"> 1 + ROW() - _xlfn.SINGLE(ROW(AxisScaling.RowNum))</f>
        <v>11</v>
      </c>
      <c r="AA16" s="1">
        <v>2.5000000000000001E-3</v>
      </c>
      <c r="AB16" s="1">
        <v>5.0000000000000001E-4</v>
      </c>
    </row>
    <row r="17" spans="2:28" x14ac:dyDescent="0.2">
      <c r="B17" s="1" t="s">
        <v>72</v>
      </c>
      <c r="C17" s="1" t="str">
        <f t="shared" si="0"/>
        <v>_ECB</v>
      </c>
      <c r="G17" s="1" t="s">
        <v>66</v>
      </c>
      <c r="H17" s="1" t="str">
        <f xml:space="preserve"> "000000"</f>
        <v>000000</v>
      </c>
      <c r="J17" s="1">
        <f t="shared" ref="J17" si="56" xml:space="preserve"> IF(AND(LEN(ChartLines.ID)&gt;0,"Unused"&lt;&gt;ChartLines.ID), COUNTIFS(ChartLines.ID,ChartLines.ID), "·")</f>
        <v>2</v>
      </c>
      <c r="K17" s="1">
        <f t="shared" ref="K17" si="57" xml:space="preserve"> IF(AND(LEN(ChartLines.ID)&gt;0,"Unused"&lt;&gt;ChartLines.ID), COUNTIFS(ChartLines.ID,ChartLines.ID,   ChartLines.RowNum,"&lt;="&amp;ChartLines.RowNum), "·")</f>
        <v>2</v>
      </c>
      <c r="L17" s="1" t="str" cm="1">
        <f t="array" ref="L17" xml:space="preserve"> _xlfn.IFS(OR(LEN(_xlfn.SINGLE(ChartLines.ID))=0,"Unused"=_xlfn.SINGLE(ChartLines.ID)), "·",   1=_xlfn.SINGLE(ChartLines.NumInstances), IF("USD"=_xlfn.SINGLE(ChartLines.ID), "SoleBig", "SoleOrdinary"),   1=_xlfn.SINGLE(ChartLines.InstanceNum), "Outer",   TRUE, "Inner")</f>
        <v>Inner</v>
      </c>
      <c r="M17" s="1">
        <f t="shared" ref="M17" si="58" xml:space="preserve"> IF(LEN(ChartLines.Hex6)=6, HEX2DEC(LEFT(ChartLines.Hex6, 2)), "·")</f>
        <v>0</v>
      </c>
      <c r="N17" s="1">
        <f t="shared" ref="N17" si="59" xml:space="preserve"> IF(LEN(ChartLines.Hex6)=6, HEX2DEC(MID(ChartLines.Hex6, 3, 2)), "·")</f>
        <v>0</v>
      </c>
      <c r="O17" s="1">
        <f t="shared" ref="O17" si="60" xml:space="preserve"> IF(LEN(ChartLines.Hex6)=6, HEX2DEC(RIGHT(ChartLines.Hex6, 2)), "·")</f>
        <v>0</v>
      </c>
      <c r="P17" s="1" cm="1">
        <f t="array" ref="P17" xml:space="preserve"> 1 + ROW() - _xlfn.SINGLE(ROW(ChartLines.RowNum))</f>
        <v>12</v>
      </c>
      <c r="Z17" s="1" cm="1">
        <f t="array" ref="Z17" xml:space="preserve"> 1 + ROW() - _xlfn.SINGLE(ROW(AxisScaling.RowNum))</f>
        <v>12</v>
      </c>
      <c r="AA17" s="1">
        <v>5.0000000000000001E-3</v>
      </c>
      <c r="AB17" s="1">
        <v>1E-3</v>
      </c>
    </row>
    <row r="18" spans="2:28" x14ac:dyDescent="0.2">
      <c r="B18" s="1" t="s">
        <v>54</v>
      </c>
      <c r="C18" s="1" t="str">
        <f t="shared" si="0"/>
        <v>DE</v>
      </c>
      <c r="G18" s="1" t="s">
        <v>67</v>
      </c>
      <c r="H18" s="1" t="s">
        <v>424</v>
      </c>
      <c r="J18" s="1">
        <f t="shared" ref="J18" si="61" xml:space="preserve"> IF(AND(LEN(ChartLines.ID)&gt;0,"Unused"&lt;&gt;ChartLines.ID), COUNTIFS(ChartLines.ID,ChartLines.ID), "·")</f>
        <v>2</v>
      </c>
      <c r="K18" s="1">
        <f t="shared" ref="K18" si="62" xml:space="preserve"> IF(AND(LEN(ChartLines.ID)&gt;0,"Unused"&lt;&gt;ChartLines.ID), COUNTIFS(ChartLines.ID,ChartLines.ID,   ChartLines.RowNum,"&lt;="&amp;ChartLines.RowNum), "·")</f>
        <v>1</v>
      </c>
      <c r="L18" s="1" t="str" cm="1">
        <f t="array" ref="L18" xml:space="preserve"> _xlfn.IFS(OR(LEN(_xlfn.SINGLE(ChartLines.ID))=0,"Unused"=_xlfn.SINGLE(ChartLines.ID)), "·",   1=_xlfn.SINGLE(ChartLines.NumInstances), IF("USD"=_xlfn.SINGLE(ChartLines.ID), "SoleBig", "SoleOrdinary"),   1=_xlfn.SINGLE(ChartLines.InstanceNum), "Outer",   TRUE, "Inner")</f>
        <v>Outer</v>
      </c>
      <c r="M18" s="1">
        <f t="shared" ref="M18" si="63" xml:space="preserve"> IF(LEN(ChartLines.Hex6)=6, HEX2DEC(LEFT(ChartLines.Hex6, 2)), "·")</f>
        <v>0</v>
      </c>
      <c r="N18" s="1">
        <f t="shared" ref="N18" si="64" xml:space="preserve"> IF(LEN(ChartLines.Hex6)=6, HEX2DEC(MID(ChartLines.Hex6, 3, 2)), "·")</f>
        <v>132</v>
      </c>
      <c r="O18" s="1">
        <f t="shared" ref="O18" si="65" xml:space="preserve"> IF(LEN(ChartLines.Hex6)=6, HEX2DEC(RIGHT(ChartLines.Hex6, 2)), "·")</f>
        <v>61</v>
      </c>
      <c r="P18" s="1" cm="1">
        <f t="array" ref="P18" xml:space="preserve"> 1 + ROW() - _xlfn.SINGLE(ROW(ChartLines.RowNum))</f>
        <v>13</v>
      </c>
      <c r="Z18" s="1" cm="1">
        <f t="array" ref="Z18" xml:space="preserve"> 1 + ROW() - _xlfn.SINGLE(ROW(AxisScaling.RowNum))</f>
        <v>13</v>
      </c>
      <c r="AA18" s="1">
        <v>0.01</v>
      </c>
      <c r="AB18" s="1">
        <v>2.5000000000000001E-3</v>
      </c>
    </row>
    <row r="19" spans="2:28" x14ac:dyDescent="0.2">
      <c r="B19" s="1" t="s">
        <v>55</v>
      </c>
      <c r="C19" s="1" t="str">
        <f t="shared" si="0"/>
        <v>FR</v>
      </c>
      <c r="G19" s="1" t="s">
        <v>67</v>
      </c>
      <c r="H19" s="1" t="s">
        <v>425</v>
      </c>
      <c r="J19" s="1">
        <f t="shared" ref="J19" si="66" xml:space="preserve"> IF(AND(LEN(ChartLines.ID)&gt;0,"Unused"&lt;&gt;ChartLines.ID), COUNTIFS(ChartLines.ID,ChartLines.ID), "·")</f>
        <v>2</v>
      </c>
      <c r="K19" s="1">
        <f t="shared" ref="K19" si="67" xml:space="preserve"> IF(AND(LEN(ChartLines.ID)&gt;0,"Unused"&lt;&gt;ChartLines.ID), COUNTIFS(ChartLines.ID,ChartLines.ID,   ChartLines.RowNum,"&lt;="&amp;ChartLines.RowNum), "·")</f>
        <v>2</v>
      </c>
      <c r="L19" s="1" t="str" cm="1">
        <f t="array" ref="L19" xml:space="preserve"> _xlfn.IFS(OR(LEN(_xlfn.SINGLE(ChartLines.ID))=0,"Unused"=_xlfn.SINGLE(ChartLines.ID)), "·",   1=_xlfn.SINGLE(ChartLines.NumInstances), IF("USD"=_xlfn.SINGLE(ChartLines.ID), "SoleBig", "SoleOrdinary"),   1=_xlfn.SINGLE(ChartLines.InstanceNum), "Outer",   TRUE, "Inner")</f>
        <v>Inner</v>
      </c>
      <c r="M19" s="1">
        <f t="shared" ref="M19" si="68" xml:space="preserve"> IF(LEN(ChartLines.Hex6)=6, HEX2DEC(LEFT(ChartLines.Hex6, 2)), "·")</f>
        <v>255</v>
      </c>
      <c r="N19" s="1">
        <f t="shared" ref="N19" si="69" xml:space="preserve"> IF(LEN(ChartLines.Hex6)=6, HEX2DEC(MID(ChartLines.Hex6, 3, 2)), "·")</f>
        <v>205</v>
      </c>
      <c r="O19" s="1">
        <f t="shared" ref="O19" si="70" xml:space="preserve"> IF(LEN(ChartLines.Hex6)=6, HEX2DEC(RIGHT(ChartLines.Hex6, 2)), "·")</f>
        <v>0</v>
      </c>
      <c r="P19" s="1" cm="1">
        <f t="array" ref="P19" xml:space="preserve"> 1 + ROW() - _xlfn.SINGLE(ROW(ChartLines.RowNum))</f>
        <v>14</v>
      </c>
      <c r="Z19" s="1" cm="1">
        <f t="array" ref="Z19" xml:space="preserve"> 1 + ROW() - _xlfn.SINGLE(ROW(AxisScaling.RowNum))</f>
        <v>14</v>
      </c>
      <c r="AA19" s="1">
        <v>2.5000000000000001E-2</v>
      </c>
      <c r="AB19" s="1">
        <v>5.0000000000000001E-3</v>
      </c>
    </row>
    <row r="20" spans="2:28" x14ac:dyDescent="0.2">
      <c r="B20" s="1" t="s">
        <v>56</v>
      </c>
      <c r="C20" s="1" t="str">
        <f t="shared" si="0"/>
        <v>IT</v>
      </c>
      <c r="G20" s="1" t="s">
        <v>68</v>
      </c>
      <c r="H20" s="1" t="str">
        <f xml:space="preserve"> "012169"</f>
        <v>012169</v>
      </c>
      <c r="J20" s="1">
        <f t="shared" ref="J20" si="71" xml:space="preserve"> IF(AND(LEN(ChartLines.ID)&gt;0,"Unused"&lt;&gt;ChartLines.ID), COUNTIFS(ChartLines.ID,ChartLines.ID), "·")</f>
        <v>2</v>
      </c>
      <c r="K20" s="1">
        <f t="shared" ref="K20" si="72" xml:space="preserve"> IF(AND(LEN(ChartLines.ID)&gt;0,"Unused"&lt;&gt;ChartLines.ID), COUNTIFS(ChartLines.ID,ChartLines.ID,   ChartLines.RowNum,"&lt;="&amp;ChartLines.RowNum), "·")</f>
        <v>1</v>
      </c>
      <c r="L20" s="1" t="str" cm="1">
        <f t="array" ref="L20" xml:space="preserve"> _xlfn.IFS(OR(LEN(_xlfn.SINGLE(ChartLines.ID))=0,"Unused"=_xlfn.SINGLE(ChartLines.ID)), "·",   1=_xlfn.SINGLE(ChartLines.NumInstances), IF("USD"=_xlfn.SINGLE(ChartLines.ID), "SoleBig", "SoleOrdinary"),   1=_xlfn.SINGLE(ChartLines.InstanceNum), "Outer",   TRUE, "Inner")</f>
        <v>Outer</v>
      </c>
      <c r="M20" s="1">
        <f t="shared" ref="M20" si="73" xml:space="preserve"> IF(LEN(ChartLines.Hex6)=6, HEX2DEC(LEFT(ChartLines.Hex6, 2)), "·")</f>
        <v>1</v>
      </c>
      <c r="N20" s="1">
        <f t="shared" ref="N20" si="74" xml:space="preserve"> IF(LEN(ChartLines.Hex6)=6, HEX2DEC(MID(ChartLines.Hex6, 3, 2)), "·")</f>
        <v>33</v>
      </c>
      <c r="O20" s="1">
        <f t="shared" ref="O20" si="75" xml:space="preserve"> IF(LEN(ChartLines.Hex6)=6, HEX2DEC(RIGHT(ChartLines.Hex6, 2)), "·")</f>
        <v>105</v>
      </c>
      <c r="P20" s="1" cm="1">
        <f t="array" ref="P20" xml:space="preserve"> 1 + ROW() - _xlfn.SINGLE(ROW(ChartLines.RowNum))</f>
        <v>15</v>
      </c>
      <c r="Z20" s="1" cm="1">
        <f t="array" ref="Z20" xml:space="preserve"> 1 + ROW() - _xlfn.SINGLE(ROW(AxisScaling.RowNum))</f>
        <v>15</v>
      </c>
      <c r="AA20" s="1">
        <v>0.05</v>
      </c>
      <c r="AB20" s="1">
        <v>0.01</v>
      </c>
    </row>
    <row r="21" spans="2:28" x14ac:dyDescent="0.2">
      <c r="B21" s="1" t="s">
        <v>73</v>
      </c>
      <c r="C21" s="1" t="str">
        <f t="shared" si="0"/>
        <v>ES</v>
      </c>
      <c r="G21" s="1" t="s">
        <v>68</v>
      </c>
      <c r="H21" s="1" t="s">
        <v>426</v>
      </c>
      <c r="J21" s="1">
        <f t="shared" ref="J21" si="76" xml:space="preserve"> IF(AND(LEN(ChartLines.ID)&gt;0,"Unused"&lt;&gt;ChartLines.ID), COUNTIFS(ChartLines.ID,ChartLines.ID), "·")</f>
        <v>2</v>
      </c>
      <c r="K21" s="1">
        <f t="shared" ref="K21" si="77" xml:space="preserve"> IF(AND(LEN(ChartLines.ID)&gt;0,"Unused"&lt;&gt;ChartLines.ID), COUNTIFS(ChartLines.ID,ChartLines.ID,   ChartLines.RowNum,"&lt;="&amp;ChartLines.RowNum), "·")</f>
        <v>2</v>
      </c>
      <c r="L21" s="1" t="str" cm="1">
        <f t="array" ref="L21" xml:space="preserve"> _xlfn.IFS(OR(LEN(_xlfn.SINGLE(ChartLines.ID))=0,"Unused"=_xlfn.SINGLE(ChartLines.ID)), "·",   1=_xlfn.SINGLE(ChartLines.NumInstances), IF("USD"=_xlfn.SINGLE(ChartLines.ID), "SoleBig", "SoleOrdinary"),   1=_xlfn.SINGLE(ChartLines.InstanceNum), "Outer",   TRUE, "Inner")</f>
        <v>Inner</v>
      </c>
      <c r="M21" s="1">
        <f t="shared" ref="M21" si="78" xml:space="preserve"> IF(LEN(ChartLines.Hex6)=6, HEX2DEC(LEFT(ChartLines.Hex6, 2)), "·")</f>
        <v>200</v>
      </c>
      <c r="N21" s="1">
        <f t="shared" ref="N21" si="79" xml:space="preserve"> IF(LEN(ChartLines.Hex6)=6, HEX2DEC(MID(ChartLines.Hex6, 3, 2)), "·")</f>
        <v>16</v>
      </c>
      <c r="O21" s="1">
        <f t="shared" ref="O21" si="80" xml:space="preserve"> IF(LEN(ChartLines.Hex6)=6, HEX2DEC(RIGHT(ChartLines.Hex6, 2)), "·")</f>
        <v>46</v>
      </c>
      <c r="P21" s="1" cm="1">
        <f t="array" ref="P21" xml:space="preserve"> 1 + ROW() - _xlfn.SINGLE(ROW(ChartLines.RowNum))</f>
        <v>16</v>
      </c>
      <c r="Z21" s="1" cm="1">
        <f t="array" ref="Z21" xml:space="preserve"> 1 + ROW() - _xlfn.SINGLE(ROW(AxisScaling.RowNum))</f>
        <v>16</v>
      </c>
      <c r="AA21" s="1">
        <v>0.1</v>
      </c>
      <c r="AB21" s="1">
        <v>2.5000000000000001E-2</v>
      </c>
    </row>
    <row r="22" spans="2:28" x14ac:dyDescent="0.2">
      <c r="B22" s="1" t="s">
        <v>74</v>
      </c>
      <c r="C22" s="1" t="str">
        <f t="shared" si="0"/>
        <v>NL</v>
      </c>
      <c r="G22" s="1" t="s">
        <v>69</v>
      </c>
      <c r="H22" s="1" t="str">
        <f xml:space="preserve"> "004B87"</f>
        <v>004B87</v>
      </c>
      <c r="J22" s="1">
        <f t="shared" ref="J22" si="81" xml:space="preserve"> IF(AND(LEN(ChartLines.ID)&gt;0,"Unused"&lt;&gt;ChartLines.ID), COUNTIFS(ChartLines.ID,ChartLines.ID), "·")</f>
        <v>2</v>
      </c>
      <c r="K22" s="1">
        <f t="shared" ref="K22" si="82" xml:space="preserve"> IF(AND(LEN(ChartLines.ID)&gt;0,"Unused"&lt;&gt;ChartLines.ID), COUNTIFS(ChartLines.ID,ChartLines.ID,   ChartLines.RowNum,"&lt;="&amp;ChartLines.RowNum), "·")</f>
        <v>1</v>
      </c>
      <c r="L22" s="1" t="str" cm="1">
        <f t="array" ref="L22" xml:space="preserve"> _xlfn.IFS(OR(LEN(_xlfn.SINGLE(ChartLines.ID))=0,"Unused"=_xlfn.SINGLE(ChartLines.ID)), "·",   1=_xlfn.SINGLE(ChartLines.NumInstances), IF("USD"=_xlfn.SINGLE(ChartLines.ID), "SoleBig", "SoleOrdinary"),   1=_xlfn.SINGLE(ChartLines.InstanceNum), "Outer",   TRUE, "Inner")</f>
        <v>Outer</v>
      </c>
      <c r="M22" s="1">
        <f t="shared" ref="M22" si="83" xml:space="preserve"> IF(LEN(ChartLines.Hex6)=6, HEX2DEC(LEFT(ChartLines.Hex6, 2)), "·")</f>
        <v>0</v>
      </c>
      <c r="N22" s="1">
        <f t="shared" ref="N22" si="84" xml:space="preserve"> IF(LEN(ChartLines.Hex6)=6, HEX2DEC(MID(ChartLines.Hex6, 3, 2)), "·")</f>
        <v>75</v>
      </c>
      <c r="O22" s="1">
        <f t="shared" ref="O22" si="85" xml:space="preserve"> IF(LEN(ChartLines.Hex6)=6, HEX2DEC(RIGHT(ChartLines.Hex6, 2)), "·")</f>
        <v>135</v>
      </c>
      <c r="P22" s="1" cm="1">
        <f t="array" ref="P22" xml:space="preserve"> 1 + ROW() - _xlfn.SINGLE(ROW(ChartLines.RowNum))</f>
        <v>17</v>
      </c>
      <c r="Z22" s="1" cm="1">
        <f t="array" ref="Z22" xml:space="preserve"> 1 + ROW() - _xlfn.SINGLE(ROW(AxisScaling.RowNum))</f>
        <v>17</v>
      </c>
      <c r="AA22" s="1">
        <v>0.25</v>
      </c>
      <c r="AB22" s="1">
        <v>0.05</v>
      </c>
    </row>
    <row r="23" spans="2:28" x14ac:dyDescent="0.2">
      <c r="B23" s="1" t="s">
        <v>75</v>
      </c>
      <c r="C23" s="1" t="str">
        <f t="shared" si="0"/>
        <v>BE</v>
      </c>
      <c r="G23" s="1" t="s">
        <v>69</v>
      </c>
      <c r="H23" s="1" t="s">
        <v>427</v>
      </c>
      <c r="J23" s="1">
        <f t="shared" ref="J23" si="86" xml:space="preserve"> IF(AND(LEN(ChartLines.ID)&gt;0,"Unused"&lt;&gt;ChartLines.ID), COUNTIFS(ChartLines.ID,ChartLines.ID), "·")</f>
        <v>2</v>
      </c>
      <c r="K23" s="1">
        <f t="shared" ref="K23" si="87" xml:space="preserve"> IF(AND(LEN(ChartLines.ID)&gt;0,"Unused"&lt;&gt;ChartLines.ID), COUNTIFS(ChartLines.ID,ChartLines.ID,   ChartLines.RowNum,"&lt;="&amp;ChartLines.RowNum), "·")</f>
        <v>2</v>
      </c>
      <c r="L23" s="1" t="str" cm="1">
        <f t="array" ref="L23" xml:space="preserve"> _xlfn.IFS(OR(LEN(_xlfn.SINGLE(ChartLines.ID))=0,"Unused"=_xlfn.SINGLE(ChartLines.ID)), "·",   1=_xlfn.SINGLE(ChartLines.NumInstances), IF("USD"=_xlfn.SINGLE(ChartLines.ID), "SoleBig", "SoleOrdinary"),   1=_xlfn.SINGLE(ChartLines.InstanceNum), "Outer",   TRUE, "Inner")</f>
        <v>Inner</v>
      </c>
      <c r="M23" s="1">
        <f t="shared" ref="M23" si="88" xml:space="preserve"> IF(LEN(ChartLines.Hex6)=6, HEX2DEC(LEFT(ChartLines.Hex6, 2)), "·")</f>
        <v>255</v>
      </c>
      <c r="N23" s="1">
        <f t="shared" ref="N23" si="89" xml:space="preserve"> IF(LEN(ChartLines.Hex6)=6, HEX2DEC(MID(ChartLines.Hex6, 3, 2)), "·")</f>
        <v>209</v>
      </c>
      <c r="O23" s="1">
        <f t="shared" ref="O23" si="90" xml:space="preserve"> IF(LEN(ChartLines.Hex6)=6, HEX2DEC(RIGHT(ChartLines.Hex6, 2)), "·")</f>
        <v>0</v>
      </c>
      <c r="P23" s="1" cm="1">
        <f t="array" ref="P23" xml:space="preserve"> 1 + ROW() - _xlfn.SINGLE(ROW(ChartLines.RowNum))</f>
        <v>18</v>
      </c>
      <c r="Z23" s="1" cm="1">
        <f t="array" ref="Z23" xml:space="preserve"> 1 + ROW() - _xlfn.SINGLE(ROW(AxisScaling.RowNum))</f>
        <v>18</v>
      </c>
      <c r="AA23" s="1">
        <v>0.5</v>
      </c>
      <c r="AB23" s="1">
        <v>0.1</v>
      </c>
    </row>
    <row r="24" spans="2:28" x14ac:dyDescent="0.2">
      <c r="B24" s="1" t="s">
        <v>76</v>
      </c>
      <c r="C24" s="1" t="str">
        <f t="shared" si="0"/>
        <v>AT</v>
      </c>
      <c r="G24" s="1" t="s">
        <v>70</v>
      </c>
      <c r="H24" s="1" t="s">
        <v>428</v>
      </c>
      <c r="J24" s="1">
        <f t="shared" ref="J24" si="91" xml:space="preserve"> IF(AND(LEN(ChartLines.ID)&gt;0,"Unused"&lt;&gt;ChartLines.ID), COUNTIFS(ChartLines.ID,ChartLines.ID), "·")</f>
        <v>2</v>
      </c>
      <c r="K24" s="1">
        <f t="shared" ref="K24" si="92" xml:space="preserve"> IF(AND(LEN(ChartLines.ID)&gt;0,"Unused"&lt;&gt;ChartLines.ID), COUNTIFS(ChartLines.ID,ChartLines.ID,   ChartLines.RowNum,"&lt;="&amp;ChartLines.RowNum), "·")</f>
        <v>1</v>
      </c>
      <c r="L24" s="1" t="str" cm="1">
        <f t="array" ref="L24" xml:space="preserve"> _xlfn.IFS(OR(LEN(_xlfn.SINGLE(ChartLines.ID))=0,"Unused"=_xlfn.SINGLE(ChartLines.ID)), "·",   1=_xlfn.SINGLE(ChartLines.NumInstances), IF("USD"=_xlfn.SINGLE(ChartLines.ID), "SoleBig", "SoleOrdinary"),   1=_xlfn.SINGLE(ChartLines.InstanceNum), "Outer",   TRUE, "Inner")</f>
        <v>Outer</v>
      </c>
      <c r="M24" s="1">
        <f t="shared" ref="M24" si="93" xml:space="preserve"> IF(LEN(ChartLines.Hex6)=6, HEX2DEC(LEFT(ChartLines.Hex6, 2)), "·")</f>
        <v>186</v>
      </c>
      <c r="N24" s="1">
        <f t="shared" ref="N24" si="94" xml:space="preserve"> IF(LEN(ChartLines.Hex6)=6, HEX2DEC(MID(ChartLines.Hex6, 3, 2)), "·")</f>
        <v>12</v>
      </c>
      <c r="O24" s="1">
        <f t="shared" ref="O24" si="95" xml:space="preserve"> IF(LEN(ChartLines.Hex6)=6, HEX2DEC(RIGHT(ChartLines.Hex6, 2)), "·")</f>
        <v>47</v>
      </c>
      <c r="P24" s="1" cm="1">
        <f t="array" ref="P24" xml:space="preserve"> 1 + ROW() - _xlfn.SINGLE(ROW(ChartLines.RowNum))</f>
        <v>19</v>
      </c>
      <c r="Z24" s="1" cm="1">
        <f t="array" ref="Z24" xml:space="preserve"> 1 + ROW() - _xlfn.SINGLE(ROW(AxisScaling.RowNum))</f>
        <v>19</v>
      </c>
      <c r="AA24" s="1">
        <v>1</v>
      </c>
      <c r="AB24" s="1">
        <v>0.25</v>
      </c>
    </row>
    <row r="25" spans="2:28" x14ac:dyDescent="0.2">
      <c r="B25" s="1" t="s">
        <v>77</v>
      </c>
      <c r="C25" s="1" t="str">
        <f t="shared" si="0"/>
        <v>FI</v>
      </c>
      <c r="G25" s="1" t="s">
        <v>70</v>
      </c>
      <c r="H25" s="1" t="s">
        <v>429</v>
      </c>
      <c r="J25" s="1">
        <f t="shared" ref="J25" si="96" xml:space="preserve"> IF(AND(LEN(ChartLines.ID)&gt;0,"Unused"&lt;&gt;ChartLines.ID), COUNTIFS(ChartLines.ID,ChartLines.ID), "·")</f>
        <v>2</v>
      </c>
      <c r="K25" s="1">
        <f t="shared" ref="K25" si="97" xml:space="preserve"> IF(AND(LEN(ChartLines.ID)&gt;0,"Unused"&lt;&gt;ChartLines.ID), COUNTIFS(ChartLines.ID,ChartLines.ID,   ChartLines.RowNum,"&lt;="&amp;ChartLines.RowNum), "·")</f>
        <v>2</v>
      </c>
      <c r="L25" s="1" t="str" cm="1">
        <f t="array" ref="L25" xml:space="preserve"> _xlfn.IFS(OR(LEN(_xlfn.SINGLE(ChartLines.ID))=0,"Unused"=_xlfn.SINGLE(ChartLines.ID)), "·",   1=_xlfn.SINGLE(ChartLines.NumInstances), IF("USD"=_xlfn.SINGLE(ChartLines.ID), "SoleBig", "SoleOrdinary"),   1=_xlfn.SINGLE(ChartLines.InstanceNum), "Outer",   TRUE, "Inner")</f>
        <v>Inner</v>
      </c>
      <c r="M25" s="1">
        <f t="shared" ref="M25" si="98" xml:space="preserve"> IF(LEN(ChartLines.Hex6)=6, HEX2DEC(LEFT(ChartLines.Hex6, 2)), "·")</f>
        <v>0</v>
      </c>
      <c r="N25" s="1">
        <f t="shared" ref="N25" si="99" xml:space="preserve"> IF(LEN(ChartLines.Hex6)=6, HEX2DEC(MID(ChartLines.Hex6, 3, 2)), "·")</f>
        <v>32</v>
      </c>
      <c r="O25" s="1">
        <f t="shared" ref="O25" si="100" xml:space="preserve"> IF(LEN(ChartLines.Hex6)=6, HEX2DEC(RIGHT(ChartLines.Hex6, 2)), "·")</f>
        <v>91</v>
      </c>
      <c r="P25" s="1" cm="1">
        <f t="array" ref="P25" xml:space="preserve"> 1 + ROW() - _xlfn.SINGLE(ROW(ChartLines.RowNum))</f>
        <v>20</v>
      </c>
      <c r="Z25" s="1" cm="1">
        <f t="array" ref="Z25" xml:space="preserve"> 1 + ROW() - _xlfn.SINGLE(ROW(AxisScaling.RowNum))</f>
        <v>20</v>
      </c>
      <c r="AA25" s="1">
        <v>2</v>
      </c>
      <c r="AB25" s="1">
        <v>0.5</v>
      </c>
    </row>
    <row r="26" spans="2:28" x14ac:dyDescent="0.2">
      <c r="B26" s="1" t="s">
        <v>78</v>
      </c>
      <c r="C26" s="1" t="str">
        <f t="shared" si="0"/>
        <v>GR</v>
      </c>
      <c r="J26" s="1" t="str">
        <f t="shared" ref="J26" si="101" xml:space="preserve"> IF(AND(LEN(ChartLines.ID)&gt;0,"Unused"&lt;&gt;ChartLines.ID), COUNTIFS(ChartLines.ID,ChartLines.ID), "·")</f>
        <v>·</v>
      </c>
      <c r="K26" s="1" t="str">
        <f t="shared" ref="K26" si="102" xml:space="preserve"> IF(AND(LEN(ChartLines.ID)&gt;0,"Unused"&lt;&gt;ChartLines.ID), COUNTIFS(ChartLines.ID,ChartLines.ID,   ChartLines.RowNum,"&lt;="&amp;ChartLines.RowNum), "·")</f>
        <v>·</v>
      </c>
      <c r="L26" s="1" t="str" cm="1">
        <f t="array" ref="L26" xml:space="preserve"> _xlfn.IFS(OR(LEN(_xlfn.SINGLE(ChartLines.ID))=0,"Unused"=_xlfn.SINGLE(ChartLines.ID)), "·",   1=_xlfn.SINGLE(ChartLines.NumInstances), IF("USD"=_xlfn.SINGLE(ChartLines.ID), "SoleBig", "SoleOrdinary"),   1=_xlfn.SINGLE(ChartLines.InstanceNum), "Outer",   TRUE, "Inner")</f>
        <v>·</v>
      </c>
      <c r="M26" s="1" t="str">
        <f t="shared" ref="M26" si="103" xml:space="preserve"> IF(LEN(ChartLines.Hex6)=6, HEX2DEC(LEFT(ChartLines.Hex6, 2)), "·")</f>
        <v>·</v>
      </c>
      <c r="N26" s="1" t="str">
        <f t="shared" ref="N26" si="104" xml:space="preserve"> IF(LEN(ChartLines.Hex6)=6, HEX2DEC(MID(ChartLines.Hex6, 3, 2)), "·")</f>
        <v>·</v>
      </c>
      <c r="O26" s="1" t="str">
        <f t="shared" ref="O26" si="105" xml:space="preserve"> IF(LEN(ChartLines.Hex6)=6, HEX2DEC(RIGHT(ChartLines.Hex6, 2)), "·")</f>
        <v>·</v>
      </c>
      <c r="P26" s="1" cm="1">
        <f t="array" ref="P26" xml:space="preserve"> 1 + ROW() - _xlfn.SINGLE(ROW(ChartLines.RowNum))</f>
        <v>21</v>
      </c>
      <c r="Z26" s="1" cm="1">
        <f t="array" ref="Z26" xml:space="preserve"> 1 + ROW() - _xlfn.SINGLE(ROW(AxisScaling.RowNum))</f>
        <v>21</v>
      </c>
      <c r="AA26" s="1">
        <v>5</v>
      </c>
      <c r="AB26" s="1">
        <v>1</v>
      </c>
    </row>
    <row r="27" spans="2:28" x14ac:dyDescent="0.2">
      <c r="B27" s="1" t="s">
        <v>79</v>
      </c>
      <c r="C27" s="1" t="str">
        <f t="shared" si="0"/>
        <v>PT</v>
      </c>
      <c r="G27" s="1" t="s">
        <v>71</v>
      </c>
      <c r="H27" s="1" t="s">
        <v>420</v>
      </c>
      <c r="J27" s="1">
        <f t="shared" ref="J27" si="106" xml:space="preserve"> IF(AND(LEN(ChartLines.ID)&gt;0,"Unused"&lt;&gt;ChartLines.ID), COUNTIFS(ChartLines.ID,ChartLines.ID), "·")</f>
        <v>2</v>
      </c>
      <c r="K27" s="1">
        <f t="shared" ref="K27" si="107" xml:space="preserve"> IF(AND(LEN(ChartLines.ID)&gt;0,"Unused"&lt;&gt;ChartLines.ID), COUNTIFS(ChartLines.ID,ChartLines.ID,   ChartLines.RowNum,"&lt;="&amp;ChartLines.RowNum), "·")</f>
        <v>1</v>
      </c>
      <c r="L27" s="1" t="str" cm="1">
        <f t="array" ref="L27" xml:space="preserve"> _xlfn.IFS(OR(LEN(_xlfn.SINGLE(ChartLines.ID))=0,"Unused"=_xlfn.SINGLE(ChartLines.ID)), "·",   1=_xlfn.SINGLE(ChartLines.NumInstances), IF("USD"=_xlfn.SINGLE(ChartLines.ID), "SoleBig", "SoleOrdinary"),   1=_xlfn.SINGLE(ChartLines.InstanceNum), "Outer",   TRUE, "Inner")</f>
        <v>Outer</v>
      </c>
      <c r="M27" s="1">
        <f t="shared" ref="M27" si="108" xml:space="preserve"> IF(LEN(ChartLines.Hex6)=6, HEX2DEC(LEFT(ChartLines.Hex6, 2)), "·")</f>
        <v>255</v>
      </c>
      <c r="N27" s="1">
        <f t="shared" ref="N27" si="109" xml:space="preserve"> IF(LEN(ChartLines.Hex6)=6, HEX2DEC(MID(ChartLines.Hex6, 3, 2)), "·")</f>
        <v>51</v>
      </c>
      <c r="O27" s="1">
        <f t="shared" ref="O27" si="110" xml:space="preserve"> IF(LEN(ChartLines.Hex6)=6, HEX2DEC(RIGHT(ChartLines.Hex6, 2)), "·")</f>
        <v>255</v>
      </c>
      <c r="P27" s="1" cm="1">
        <f t="array" ref="P27" xml:space="preserve"> 1 + ROW() - _xlfn.SINGLE(ROW(ChartLines.RowNum))</f>
        <v>22</v>
      </c>
      <c r="Z27" s="1" cm="1">
        <f t="array" ref="Z27" xml:space="preserve"> 1 + ROW() - _xlfn.SINGLE(ROW(AxisScaling.RowNum))</f>
        <v>22</v>
      </c>
      <c r="AA27" s="1">
        <v>10</v>
      </c>
      <c r="AB27" s="1">
        <v>2</v>
      </c>
    </row>
    <row r="28" spans="2:28" x14ac:dyDescent="0.2">
      <c r="B28" s="1" t="s">
        <v>80</v>
      </c>
      <c r="C28" s="1" t="str">
        <f t="shared" si="0"/>
        <v>IE</v>
      </c>
      <c r="G28" s="1" t="s">
        <v>71</v>
      </c>
      <c r="H28" s="1" t="s">
        <v>423</v>
      </c>
      <c r="J28" s="1">
        <f t="shared" ref="J28" si="111" xml:space="preserve"> IF(AND(LEN(ChartLines.ID)&gt;0,"Unused"&lt;&gt;ChartLines.ID), COUNTIFS(ChartLines.ID,ChartLines.ID), "·")</f>
        <v>2</v>
      </c>
      <c r="K28" s="1">
        <f t="shared" ref="K28" si="112" xml:space="preserve"> IF(AND(LEN(ChartLines.ID)&gt;0,"Unused"&lt;&gt;ChartLines.ID), COUNTIFS(ChartLines.ID,ChartLines.ID,   ChartLines.RowNum,"&lt;="&amp;ChartLines.RowNum), "·")</f>
        <v>2</v>
      </c>
      <c r="L28" s="1" t="str" cm="1">
        <f t="array" ref="L28" xml:space="preserve"> _xlfn.IFS(OR(LEN(_xlfn.SINGLE(ChartLines.ID))=0,"Unused"=_xlfn.SINGLE(ChartLines.ID)), "·",   1=_xlfn.SINGLE(ChartLines.NumInstances), IF("USD"=_xlfn.SINGLE(ChartLines.ID), "SoleBig", "SoleOrdinary"),   1=_xlfn.SINGLE(ChartLines.InstanceNum), "Outer",   TRUE, "Inner")</f>
        <v>Inner</v>
      </c>
      <c r="M28" s="1">
        <f t="shared" ref="M28" si="113" xml:space="preserve"> IF(LEN(ChartLines.Hex6)=6, HEX2DEC(LEFT(ChartLines.Hex6, 2)), "·")</f>
        <v>255</v>
      </c>
      <c r="N28" s="1">
        <f t="shared" ref="N28" si="114" xml:space="preserve"> IF(LEN(ChartLines.Hex6)=6, HEX2DEC(MID(ChartLines.Hex6, 3, 2)), "·")</f>
        <v>255</v>
      </c>
      <c r="O28" s="1">
        <f t="shared" ref="O28" si="115" xml:space="preserve"> IF(LEN(ChartLines.Hex6)=6, HEX2DEC(RIGHT(ChartLines.Hex6, 2)), "·")</f>
        <v>255</v>
      </c>
      <c r="P28" s="1" cm="1">
        <f t="array" ref="P28" xml:space="preserve"> 1 + ROW() - _xlfn.SINGLE(ROW(ChartLines.RowNum))</f>
        <v>23</v>
      </c>
      <c r="Z28" s="1" cm="1">
        <f t="array" ref="Z28" xml:space="preserve"> 1 + ROW() - _xlfn.SINGLE(ROW(AxisScaling.RowNum))</f>
        <v>23</v>
      </c>
      <c r="AA28" s="1">
        <v>25</v>
      </c>
      <c r="AB28" s="1">
        <v>5</v>
      </c>
    </row>
    <row r="29" spans="2:28" x14ac:dyDescent="0.2">
      <c r="B29" s="1" t="s">
        <v>57</v>
      </c>
      <c r="C29" s="1" t="str">
        <f t="shared" si="0"/>
        <v>SK</v>
      </c>
      <c r="G29" s="1" t="s">
        <v>72</v>
      </c>
      <c r="H29" s="1" t="str">
        <f xml:space="preserve"> "000000"</f>
        <v>000000</v>
      </c>
      <c r="J29" s="1">
        <f t="shared" ref="J29" si="116" xml:space="preserve"> IF(AND(LEN(ChartLines.ID)&gt;0,"Unused"&lt;&gt;ChartLines.ID), COUNTIFS(ChartLines.ID,ChartLines.ID), "·")</f>
        <v>2</v>
      </c>
      <c r="K29" s="1">
        <f t="shared" ref="K29" si="117" xml:space="preserve"> IF(AND(LEN(ChartLines.ID)&gt;0,"Unused"&lt;&gt;ChartLines.ID), COUNTIFS(ChartLines.ID,ChartLines.ID,   ChartLines.RowNum,"&lt;="&amp;ChartLines.RowNum), "·")</f>
        <v>1</v>
      </c>
      <c r="L29" s="1" t="str" cm="1">
        <f t="array" ref="L29" xml:space="preserve"> _xlfn.IFS(OR(LEN(_xlfn.SINGLE(ChartLines.ID))=0,"Unused"=_xlfn.SINGLE(ChartLines.ID)), "·",   1=_xlfn.SINGLE(ChartLines.NumInstances), IF("USD"=_xlfn.SINGLE(ChartLines.ID), "SoleBig", "SoleOrdinary"),   1=_xlfn.SINGLE(ChartLines.InstanceNum), "Outer",   TRUE, "Inner")</f>
        <v>Outer</v>
      </c>
      <c r="M29" s="1">
        <f t="shared" ref="M29" si="118" xml:space="preserve"> IF(LEN(ChartLines.Hex6)=6, HEX2DEC(LEFT(ChartLines.Hex6, 2)), "·")</f>
        <v>0</v>
      </c>
      <c r="N29" s="1">
        <f t="shared" ref="N29" si="119" xml:space="preserve"> IF(LEN(ChartLines.Hex6)=6, HEX2DEC(MID(ChartLines.Hex6, 3, 2)), "·")</f>
        <v>0</v>
      </c>
      <c r="O29" s="1">
        <f t="shared" ref="O29" si="120" xml:space="preserve"> IF(LEN(ChartLines.Hex6)=6, HEX2DEC(RIGHT(ChartLines.Hex6, 2)), "·")</f>
        <v>0</v>
      </c>
      <c r="P29" s="1" cm="1">
        <f t="array" ref="P29" xml:space="preserve"> 1 + ROW() - _xlfn.SINGLE(ROW(ChartLines.RowNum))</f>
        <v>24</v>
      </c>
      <c r="Z29" s="1" cm="1">
        <f t="array" ref="Z29" xml:space="preserve"> 1 + ROW() - _xlfn.SINGLE(ROW(AxisScaling.RowNum))</f>
        <v>24</v>
      </c>
      <c r="AA29" s="1">
        <v>50</v>
      </c>
      <c r="AB29" s="1">
        <v>10</v>
      </c>
    </row>
    <row r="30" spans="2:28" x14ac:dyDescent="0.2">
      <c r="B30" s="1" t="s">
        <v>81</v>
      </c>
      <c r="C30" s="1" t="str">
        <f t="shared" si="0"/>
        <v>SI</v>
      </c>
      <c r="G30" s="1" t="s">
        <v>72</v>
      </c>
      <c r="H30" s="1" t="s">
        <v>420</v>
      </c>
      <c r="J30" s="1">
        <f t="shared" ref="J30" si="121" xml:space="preserve"> IF(AND(LEN(ChartLines.ID)&gt;0,"Unused"&lt;&gt;ChartLines.ID), COUNTIFS(ChartLines.ID,ChartLines.ID), "·")</f>
        <v>2</v>
      </c>
      <c r="K30" s="1">
        <f t="shared" ref="K30" si="122" xml:space="preserve"> IF(AND(LEN(ChartLines.ID)&gt;0,"Unused"&lt;&gt;ChartLines.ID), COUNTIFS(ChartLines.ID,ChartLines.ID,   ChartLines.RowNum,"&lt;="&amp;ChartLines.RowNum), "·")</f>
        <v>2</v>
      </c>
      <c r="L30" s="1" t="str" cm="1">
        <f t="array" ref="L30" xml:space="preserve"> _xlfn.IFS(OR(LEN(_xlfn.SINGLE(ChartLines.ID))=0,"Unused"=_xlfn.SINGLE(ChartLines.ID)), "·",   1=_xlfn.SINGLE(ChartLines.NumInstances), IF("USD"=_xlfn.SINGLE(ChartLines.ID), "SoleBig", "SoleOrdinary"),   1=_xlfn.SINGLE(ChartLines.InstanceNum), "Outer",   TRUE, "Inner")</f>
        <v>Inner</v>
      </c>
      <c r="M30" s="1">
        <f t="shared" ref="M30" si="123" xml:space="preserve"> IF(LEN(ChartLines.Hex6)=6, HEX2DEC(LEFT(ChartLines.Hex6, 2)), "·")</f>
        <v>255</v>
      </c>
      <c r="N30" s="1">
        <f t="shared" ref="N30" si="124" xml:space="preserve"> IF(LEN(ChartLines.Hex6)=6, HEX2DEC(MID(ChartLines.Hex6, 3, 2)), "·")</f>
        <v>51</v>
      </c>
      <c r="O30" s="1">
        <f t="shared" ref="O30" si="125" xml:space="preserve"> IF(LEN(ChartLines.Hex6)=6, HEX2DEC(RIGHT(ChartLines.Hex6, 2)), "·")</f>
        <v>255</v>
      </c>
      <c r="P30" s="1" cm="1">
        <f t="array" ref="P30" xml:space="preserve"> 1 + ROW() - _xlfn.SINGLE(ROW(ChartLines.RowNum))</f>
        <v>25</v>
      </c>
      <c r="Z30" s="1" cm="1">
        <f t="array" ref="Z30" xml:space="preserve"> 1 + ROW() - _xlfn.SINGLE(ROW(AxisScaling.RowNum))</f>
        <v>25</v>
      </c>
      <c r="AA30" s="1">
        <v>100</v>
      </c>
      <c r="AB30" s="1">
        <v>25</v>
      </c>
    </row>
    <row r="31" spans="2:28" x14ac:dyDescent="0.2">
      <c r="B31" s="1" t="s">
        <v>82</v>
      </c>
      <c r="C31" s="1" t="str">
        <f t="shared" si="0"/>
        <v>LU</v>
      </c>
      <c r="G31" s="1" t="s">
        <v>54</v>
      </c>
      <c r="H31" s="1" t="str">
        <f xml:space="preserve"> "000000"</f>
        <v>000000</v>
      </c>
      <c r="J31" s="1">
        <f t="shared" ref="J31" si="126" xml:space="preserve"> IF(AND(LEN(ChartLines.ID)&gt;0,"Unused"&lt;&gt;ChartLines.ID), COUNTIFS(ChartLines.ID,ChartLines.ID), "·")</f>
        <v>2</v>
      </c>
      <c r="K31" s="1">
        <f t="shared" ref="K31" si="127" xml:space="preserve"> IF(AND(LEN(ChartLines.ID)&gt;0,"Unused"&lt;&gt;ChartLines.ID), COUNTIFS(ChartLines.ID,ChartLines.ID,   ChartLines.RowNum,"&lt;="&amp;ChartLines.RowNum), "·")</f>
        <v>1</v>
      </c>
      <c r="L31" s="1" t="str" cm="1">
        <f t="array" ref="L31" xml:space="preserve"> _xlfn.IFS(OR(LEN(_xlfn.SINGLE(ChartLines.ID))=0,"Unused"=_xlfn.SINGLE(ChartLines.ID)), "·",   1=_xlfn.SINGLE(ChartLines.NumInstances), IF("USD"=_xlfn.SINGLE(ChartLines.ID), "SoleBig", "SoleOrdinary"),   1=_xlfn.SINGLE(ChartLines.InstanceNum), "Outer",   TRUE, "Inner")</f>
        <v>Outer</v>
      </c>
      <c r="M31" s="1">
        <f t="shared" ref="M31" si="128" xml:space="preserve"> IF(LEN(ChartLines.Hex6)=6, HEX2DEC(LEFT(ChartLines.Hex6, 2)), "·")</f>
        <v>0</v>
      </c>
      <c r="N31" s="1">
        <f t="shared" ref="N31" si="129" xml:space="preserve"> IF(LEN(ChartLines.Hex6)=6, HEX2DEC(MID(ChartLines.Hex6, 3, 2)), "·")</f>
        <v>0</v>
      </c>
      <c r="O31" s="1">
        <f t="shared" ref="O31" si="130" xml:space="preserve"> IF(LEN(ChartLines.Hex6)=6, HEX2DEC(RIGHT(ChartLines.Hex6, 2)), "·")</f>
        <v>0</v>
      </c>
      <c r="P31" s="1" cm="1">
        <f t="array" ref="P31" xml:space="preserve"> 1 + ROW() - _xlfn.SINGLE(ROW(ChartLines.RowNum))</f>
        <v>26</v>
      </c>
      <c r="Z31" s="1" cm="1">
        <f t="array" ref="Z31" xml:space="preserve"> 1 + ROW() - _xlfn.SINGLE(ROW(AxisScaling.RowNum))</f>
        <v>26</v>
      </c>
      <c r="AA31" s="1">
        <v>250</v>
      </c>
      <c r="AB31" s="1">
        <v>50</v>
      </c>
    </row>
    <row r="32" spans="2:28" x14ac:dyDescent="0.2">
      <c r="B32" s="1" t="s">
        <v>83</v>
      </c>
      <c r="C32" s="1" t="str">
        <f t="shared" si="0"/>
        <v>HR</v>
      </c>
      <c r="G32" s="1" t="s">
        <v>54</v>
      </c>
      <c r="H32" s="1" t="s">
        <v>423</v>
      </c>
      <c r="J32" s="1">
        <f t="shared" ref="J32" si="131" xml:space="preserve"> IF(AND(LEN(ChartLines.ID)&gt;0,"Unused"&lt;&gt;ChartLines.ID), COUNTIFS(ChartLines.ID,ChartLines.ID), "·")</f>
        <v>2</v>
      </c>
      <c r="K32" s="1">
        <f t="shared" ref="K32" si="132" xml:space="preserve"> IF(AND(LEN(ChartLines.ID)&gt;0,"Unused"&lt;&gt;ChartLines.ID), COUNTIFS(ChartLines.ID,ChartLines.ID,   ChartLines.RowNum,"&lt;="&amp;ChartLines.RowNum), "·")</f>
        <v>2</v>
      </c>
      <c r="L32" s="1" t="str" cm="1">
        <f t="array" ref="L32" xml:space="preserve"> _xlfn.IFS(OR(LEN(_xlfn.SINGLE(ChartLines.ID))=0,"Unused"=_xlfn.SINGLE(ChartLines.ID)), "·",   1=_xlfn.SINGLE(ChartLines.NumInstances), IF("USD"=_xlfn.SINGLE(ChartLines.ID), "SoleBig", "SoleOrdinary"),   1=_xlfn.SINGLE(ChartLines.InstanceNum), "Outer",   TRUE, "Inner")</f>
        <v>Inner</v>
      </c>
      <c r="M32" s="1">
        <f t="shared" ref="M32" si="133" xml:space="preserve"> IF(LEN(ChartLines.Hex6)=6, HEX2DEC(LEFT(ChartLines.Hex6, 2)), "·")</f>
        <v>255</v>
      </c>
      <c r="N32" s="1">
        <f t="shared" ref="N32" si="134" xml:space="preserve"> IF(LEN(ChartLines.Hex6)=6, HEX2DEC(MID(ChartLines.Hex6, 3, 2)), "·")</f>
        <v>255</v>
      </c>
      <c r="O32" s="1">
        <f t="shared" ref="O32" si="135" xml:space="preserve"> IF(LEN(ChartLines.Hex6)=6, HEX2DEC(RIGHT(ChartLines.Hex6, 2)), "·")</f>
        <v>255</v>
      </c>
      <c r="P32" s="1" cm="1">
        <f t="array" ref="P32" xml:space="preserve"> 1 + ROW() - _xlfn.SINGLE(ROW(ChartLines.RowNum))</f>
        <v>27</v>
      </c>
      <c r="Z32" s="1" cm="1">
        <f t="array" ref="Z32" xml:space="preserve"> 1 + ROW() - _xlfn.SINGLE(ROW(AxisScaling.RowNum))</f>
        <v>27</v>
      </c>
      <c r="AA32" s="1">
        <v>500</v>
      </c>
      <c r="AB32" s="1">
        <v>100</v>
      </c>
    </row>
    <row r="33" spans="2:28" x14ac:dyDescent="0.2">
      <c r="B33" s="1" t="s">
        <v>84</v>
      </c>
      <c r="C33" s="1" t="str">
        <f t="shared" si="0"/>
        <v>LT</v>
      </c>
      <c r="G33" s="1" t="s">
        <v>55</v>
      </c>
      <c r="H33" s="1" t="s">
        <v>430</v>
      </c>
      <c r="J33" s="1">
        <f t="shared" ref="J33" si="136" xml:space="preserve"> IF(AND(LEN(ChartLines.ID)&gt;0,"Unused"&lt;&gt;ChartLines.ID), COUNTIFS(ChartLines.ID,ChartLines.ID), "·")</f>
        <v>2</v>
      </c>
      <c r="K33" s="1">
        <f t="shared" ref="K33" si="137" xml:space="preserve"> IF(AND(LEN(ChartLines.ID)&gt;0,"Unused"&lt;&gt;ChartLines.ID), COUNTIFS(ChartLines.ID,ChartLines.ID,   ChartLines.RowNum,"&lt;="&amp;ChartLines.RowNum), "·")</f>
        <v>1</v>
      </c>
      <c r="L33" s="1" t="str" cm="1">
        <f t="array" ref="L33" xml:space="preserve"> _xlfn.IFS(OR(LEN(_xlfn.SINGLE(ChartLines.ID))=0,"Unused"=_xlfn.SINGLE(ChartLines.ID)), "·",   1=_xlfn.SINGLE(ChartLines.NumInstances), IF("USD"=_xlfn.SINGLE(ChartLines.ID), "SoleBig", "SoleOrdinary"),   1=_xlfn.SINGLE(ChartLines.InstanceNum), "Outer",   TRUE, "Inner")</f>
        <v>Outer</v>
      </c>
      <c r="M33" s="1">
        <f t="shared" ref="M33" si="138" xml:space="preserve"> IF(LEN(ChartLines.Hex6)=6, HEX2DEC(LEFT(ChartLines.Hex6, 2)), "·")</f>
        <v>0</v>
      </c>
      <c r="N33" s="1">
        <f t="shared" ref="N33" si="139" xml:space="preserve"> IF(LEN(ChartLines.Hex6)=6, HEX2DEC(MID(ChartLines.Hex6, 3, 2)), "·")</f>
        <v>85</v>
      </c>
      <c r="O33" s="1">
        <f t="shared" ref="O33" si="140" xml:space="preserve"> IF(LEN(ChartLines.Hex6)=6, HEX2DEC(RIGHT(ChartLines.Hex6, 2)), "·")</f>
        <v>164</v>
      </c>
      <c r="P33" s="1" cm="1">
        <f t="array" ref="P33" xml:space="preserve"> 1 + ROW() - _xlfn.SINGLE(ROW(ChartLines.RowNum))</f>
        <v>28</v>
      </c>
      <c r="Z33" s="1" cm="1">
        <f t="array" ref="Z33" xml:space="preserve"> 1 + ROW() - _xlfn.SINGLE(ROW(AxisScaling.RowNum))</f>
        <v>28</v>
      </c>
      <c r="AA33" s="1">
        <v>1000</v>
      </c>
      <c r="AB33" s="1">
        <v>250</v>
      </c>
    </row>
    <row r="34" spans="2:28" x14ac:dyDescent="0.2">
      <c r="B34" s="1" t="s">
        <v>85</v>
      </c>
      <c r="C34" s="1" t="str">
        <f t="shared" si="0"/>
        <v>LV</v>
      </c>
      <c r="G34" s="1" t="s">
        <v>55</v>
      </c>
      <c r="H34" s="1" t="s">
        <v>431</v>
      </c>
      <c r="J34" s="1">
        <f t="shared" ref="J34" si="141" xml:space="preserve"> IF(AND(LEN(ChartLines.ID)&gt;0,"Unused"&lt;&gt;ChartLines.ID), COUNTIFS(ChartLines.ID,ChartLines.ID), "·")</f>
        <v>2</v>
      </c>
      <c r="K34" s="1">
        <f t="shared" ref="K34" si="142" xml:space="preserve"> IF(AND(LEN(ChartLines.ID)&gt;0,"Unused"&lt;&gt;ChartLines.ID), COUNTIFS(ChartLines.ID,ChartLines.ID,   ChartLines.RowNum,"&lt;="&amp;ChartLines.RowNum), "·")</f>
        <v>2</v>
      </c>
      <c r="L34" s="1" t="str" cm="1">
        <f t="array" ref="L34" xml:space="preserve"> _xlfn.IFS(OR(LEN(_xlfn.SINGLE(ChartLines.ID))=0,"Unused"=_xlfn.SINGLE(ChartLines.ID)), "·",   1=_xlfn.SINGLE(ChartLines.NumInstances), IF("USD"=_xlfn.SINGLE(ChartLines.ID), "SoleBig", "SoleOrdinary"),   1=_xlfn.SINGLE(ChartLines.InstanceNum), "Outer",   TRUE, "Inner")</f>
        <v>Inner</v>
      </c>
      <c r="M34" s="1">
        <f t="shared" ref="M34" si="143" xml:space="preserve"> IF(LEN(ChartLines.Hex6)=6, HEX2DEC(LEFT(ChartLines.Hex6, 2)), "·")</f>
        <v>239</v>
      </c>
      <c r="N34" s="1">
        <f t="shared" ref="N34" si="144" xml:space="preserve"> IF(LEN(ChartLines.Hex6)=6, HEX2DEC(MID(ChartLines.Hex6, 3, 2)), "·")</f>
        <v>65</v>
      </c>
      <c r="O34" s="1">
        <f t="shared" ref="O34" si="145" xml:space="preserve"> IF(LEN(ChartLines.Hex6)=6, HEX2DEC(RIGHT(ChartLines.Hex6, 2)), "·")</f>
        <v>53</v>
      </c>
      <c r="P34" s="1" cm="1">
        <f t="array" ref="P34" xml:space="preserve"> 1 + ROW() - _xlfn.SINGLE(ROW(ChartLines.RowNum))</f>
        <v>29</v>
      </c>
      <c r="Z34" s="1" cm="1">
        <f t="array" ref="Z34" xml:space="preserve"> 1 + ROW() - _xlfn.SINGLE(ROW(AxisScaling.RowNum))</f>
        <v>29</v>
      </c>
      <c r="AA34" s="1">
        <v>2500</v>
      </c>
      <c r="AB34" s="1">
        <v>500</v>
      </c>
    </row>
    <row r="35" spans="2:28" x14ac:dyDescent="0.2">
      <c r="B35" s="1" t="s">
        <v>86</v>
      </c>
      <c r="C35" s="1" t="str">
        <f t="shared" si="0"/>
        <v>EE</v>
      </c>
      <c r="G35" s="1" t="s">
        <v>56</v>
      </c>
      <c r="H35" s="1" t="s">
        <v>432</v>
      </c>
      <c r="J35" s="1">
        <f t="shared" ref="J35" si="146" xml:space="preserve"> IF(AND(LEN(ChartLines.ID)&gt;0,"Unused"&lt;&gt;ChartLines.ID), COUNTIFS(ChartLines.ID,ChartLines.ID), "·")</f>
        <v>2</v>
      </c>
      <c r="K35" s="1">
        <f t="shared" ref="K35" si="147" xml:space="preserve"> IF(AND(LEN(ChartLines.ID)&gt;0,"Unused"&lt;&gt;ChartLines.ID), COUNTIFS(ChartLines.ID,ChartLines.ID,   ChartLines.RowNum,"&lt;="&amp;ChartLines.RowNum), "·")</f>
        <v>1</v>
      </c>
      <c r="L35" s="1" t="str" cm="1">
        <f t="array" ref="L35" xml:space="preserve"> _xlfn.IFS(OR(LEN(_xlfn.SINGLE(ChartLines.ID))=0,"Unused"=_xlfn.SINGLE(ChartLines.ID)), "·",   1=_xlfn.SINGLE(ChartLines.NumInstances), IF("USD"=_xlfn.SINGLE(ChartLines.ID), "SoleBig", "SoleOrdinary"),   1=_xlfn.SINGLE(ChartLines.InstanceNum), "Outer",   TRUE, "Inner")</f>
        <v>Outer</v>
      </c>
      <c r="M35" s="1">
        <f t="shared" ref="M35" si="148" xml:space="preserve"> IF(LEN(ChartLines.Hex6)=6, HEX2DEC(LEFT(ChartLines.Hex6, 2)), "·")</f>
        <v>0</v>
      </c>
      <c r="N35" s="1">
        <f t="shared" ref="N35" si="149" xml:space="preserve"> IF(LEN(ChartLines.Hex6)=6, HEX2DEC(MID(ChartLines.Hex6, 3, 2)), "·")</f>
        <v>140</v>
      </c>
      <c r="O35" s="1">
        <f t="shared" ref="O35" si="150" xml:space="preserve"> IF(LEN(ChartLines.Hex6)=6, HEX2DEC(RIGHT(ChartLines.Hex6, 2)), "·")</f>
        <v>69</v>
      </c>
      <c r="P35" s="1" cm="1">
        <f t="array" ref="P35" xml:space="preserve"> 1 + ROW() - _xlfn.SINGLE(ROW(ChartLines.RowNum))</f>
        <v>30</v>
      </c>
      <c r="Z35" s="1" cm="1">
        <f t="array" ref="Z35" xml:space="preserve"> 1 + ROW() - _xlfn.SINGLE(ROW(AxisScaling.RowNum))</f>
        <v>30</v>
      </c>
      <c r="AA35" s="1">
        <v>5000</v>
      </c>
      <c r="AB35" s="1">
        <v>1000</v>
      </c>
    </row>
    <row r="36" spans="2:28" x14ac:dyDescent="0.2">
      <c r="B36" s="1" t="s">
        <v>87</v>
      </c>
      <c r="C36" s="1" t="str">
        <f t="shared" si="0"/>
        <v>CY</v>
      </c>
      <c r="G36" s="1" t="s">
        <v>56</v>
      </c>
      <c r="H36" s="1" t="s">
        <v>433</v>
      </c>
      <c r="J36" s="1">
        <f t="shared" ref="J36" si="151" xml:space="preserve"> IF(AND(LEN(ChartLines.ID)&gt;0,"Unused"&lt;&gt;ChartLines.ID), COUNTIFS(ChartLines.ID,ChartLines.ID), "·")</f>
        <v>2</v>
      </c>
      <c r="K36" s="1">
        <f t="shared" ref="K36" si="152" xml:space="preserve"> IF(AND(LEN(ChartLines.ID)&gt;0,"Unused"&lt;&gt;ChartLines.ID), COUNTIFS(ChartLines.ID,ChartLines.ID,   ChartLines.RowNum,"&lt;="&amp;ChartLines.RowNum), "·")</f>
        <v>2</v>
      </c>
      <c r="L36" s="1" t="str" cm="1">
        <f t="array" ref="L36" xml:space="preserve"> _xlfn.IFS(OR(LEN(_xlfn.SINGLE(ChartLines.ID))=0,"Unused"=_xlfn.SINGLE(ChartLines.ID)), "·",   1=_xlfn.SINGLE(ChartLines.NumInstances), IF("USD"=_xlfn.SINGLE(ChartLines.ID), "SoleBig", "SoleOrdinary"),   1=_xlfn.SINGLE(ChartLines.InstanceNum), "Outer",   TRUE, "Inner")</f>
        <v>Inner</v>
      </c>
      <c r="M36" s="1">
        <f t="shared" ref="M36" si="153" xml:space="preserve"> IF(LEN(ChartLines.Hex6)=6, HEX2DEC(LEFT(ChartLines.Hex6, 2)), "·")</f>
        <v>205</v>
      </c>
      <c r="N36" s="1">
        <f t="shared" ref="N36" si="154" xml:space="preserve"> IF(LEN(ChartLines.Hex6)=6, HEX2DEC(MID(ChartLines.Hex6, 3, 2)), "·")</f>
        <v>33</v>
      </c>
      <c r="O36" s="1">
        <f t="shared" ref="O36" si="155" xml:space="preserve"> IF(LEN(ChartLines.Hex6)=6, HEX2DEC(RIGHT(ChartLines.Hex6, 2)), "·")</f>
        <v>42</v>
      </c>
      <c r="P36" s="1" cm="1">
        <f t="array" ref="P36" xml:space="preserve"> 1 + ROW() - _xlfn.SINGLE(ROW(ChartLines.RowNum))</f>
        <v>31</v>
      </c>
      <c r="Z36" s="1" cm="1">
        <f t="array" ref="Z36" xml:space="preserve"> 1 + ROW() - _xlfn.SINGLE(ROW(AxisScaling.RowNum))</f>
        <v>31</v>
      </c>
      <c r="AA36" s="1">
        <v>10000</v>
      </c>
      <c r="AB36" s="1">
        <v>2500</v>
      </c>
    </row>
    <row r="37" spans="2:28" x14ac:dyDescent="0.2">
      <c r="B37" s="1" t="s">
        <v>88</v>
      </c>
      <c r="C37" s="1" t="str">
        <f t="shared" si="0"/>
        <v>MT</v>
      </c>
      <c r="G37" s="1" t="s">
        <v>73</v>
      </c>
      <c r="H37" s="1" t="s">
        <v>553</v>
      </c>
      <c r="J37" s="1">
        <f t="shared" ref="J37" si="156" xml:space="preserve"> IF(AND(LEN(ChartLines.ID)&gt;0,"Unused"&lt;&gt;ChartLines.ID), COUNTIFS(ChartLines.ID,ChartLines.ID), "·")</f>
        <v>2</v>
      </c>
      <c r="K37" s="1">
        <f t="shared" ref="K37" si="157" xml:space="preserve"> IF(AND(LEN(ChartLines.ID)&gt;0,"Unused"&lt;&gt;ChartLines.ID), COUNTIFS(ChartLines.ID,ChartLines.ID,   ChartLines.RowNum,"&lt;="&amp;ChartLines.RowNum), "·")</f>
        <v>1</v>
      </c>
      <c r="L37" s="1" t="str" cm="1">
        <f t="array" ref="L37" xml:space="preserve"> _xlfn.IFS(OR(LEN(_xlfn.SINGLE(ChartLines.ID))=0,"Unused"=_xlfn.SINGLE(ChartLines.ID)), "·",   1=_xlfn.SINGLE(ChartLines.NumInstances), IF("USD"=_xlfn.SINGLE(ChartLines.ID), "SoleBig", "SoleOrdinary"),   1=_xlfn.SINGLE(ChartLines.InstanceNum), "Outer",   TRUE, "Inner")</f>
        <v>Outer</v>
      </c>
      <c r="M37" s="1">
        <f t="shared" ref="M37" si="158" xml:space="preserve"> IF(LEN(ChartLines.Hex6)=6, HEX2DEC(LEFT(ChartLines.Hex6, 2)), "·")</f>
        <v>173</v>
      </c>
      <c r="N37" s="1">
        <f t="shared" ref="N37" si="159" xml:space="preserve"> IF(LEN(ChartLines.Hex6)=6, HEX2DEC(MID(ChartLines.Hex6, 3, 2)), "·")</f>
        <v>21</v>
      </c>
      <c r="O37" s="1">
        <f t="shared" ref="O37" si="160" xml:space="preserve"> IF(LEN(ChartLines.Hex6)=6, HEX2DEC(RIGHT(ChartLines.Hex6, 2)), "·")</f>
        <v>25</v>
      </c>
      <c r="P37" s="1" cm="1">
        <f t="array" ref="P37" xml:space="preserve"> 1 + ROW() - _xlfn.SINGLE(ROW(ChartLines.RowNum))</f>
        <v>32</v>
      </c>
      <c r="Z37" s="1" cm="1">
        <f t="array" ref="Z37" xml:space="preserve"> 1 + ROW() - _xlfn.SINGLE(ROW(AxisScaling.RowNum))</f>
        <v>32</v>
      </c>
      <c r="AA37" s="1">
        <v>25000</v>
      </c>
      <c r="AB37" s="1">
        <v>5000</v>
      </c>
    </row>
    <row r="38" spans="2:28" x14ac:dyDescent="0.2">
      <c r="B38" s="1" t="s">
        <v>89</v>
      </c>
      <c r="C38" s="1" t="str">
        <f t="shared" ref="C38:C69" si="161" xml:space="preserve"> _xlfn.SINGLE(SeriesFormatAlias.SeriesName)</f>
        <v>ME</v>
      </c>
      <c r="G38" s="1" t="s">
        <v>73</v>
      </c>
      <c r="H38" s="1" t="s">
        <v>554</v>
      </c>
      <c r="J38" s="1">
        <f t="shared" ref="J38" si="162" xml:space="preserve"> IF(AND(LEN(ChartLines.ID)&gt;0,"Unused"&lt;&gt;ChartLines.ID), COUNTIFS(ChartLines.ID,ChartLines.ID), "·")</f>
        <v>2</v>
      </c>
      <c r="K38" s="1">
        <f t="shared" ref="K38" si="163" xml:space="preserve"> IF(AND(LEN(ChartLines.ID)&gt;0,"Unused"&lt;&gt;ChartLines.ID), COUNTIFS(ChartLines.ID,ChartLines.ID,   ChartLines.RowNum,"&lt;="&amp;ChartLines.RowNum), "·")</f>
        <v>2</v>
      </c>
      <c r="L38" s="1" t="str" cm="1">
        <f t="array" ref="L38" xml:space="preserve"> _xlfn.IFS(OR(LEN(_xlfn.SINGLE(ChartLines.ID))=0,"Unused"=_xlfn.SINGLE(ChartLines.ID)), "·",   1=_xlfn.SINGLE(ChartLines.NumInstances), IF("USD"=_xlfn.SINGLE(ChartLines.ID), "SoleBig", "SoleOrdinary"),   1=_xlfn.SINGLE(ChartLines.InstanceNum), "Outer",   TRUE, "Inner")</f>
        <v>Inner</v>
      </c>
      <c r="M38" s="1">
        <f t="shared" ref="M38" si="164" xml:space="preserve"> IF(LEN(ChartLines.Hex6)=6, HEX2DEC(LEFT(ChartLines.Hex6, 2)), "·")</f>
        <v>250</v>
      </c>
      <c r="N38" s="1">
        <f t="shared" ref="N38" si="165" xml:space="preserve"> IF(LEN(ChartLines.Hex6)=6, HEX2DEC(MID(ChartLines.Hex6, 3, 2)), "·")</f>
        <v>189</v>
      </c>
      <c r="O38" s="1">
        <f t="shared" ref="O38" si="166" xml:space="preserve"> IF(LEN(ChartLines.Hex6)=6, HEX2DEC(RIGHT(ChartLines.Hex6, 2)), "·")</f>
        <v>0</v>
      </c>
      <c r="P38" s="1" cm="1">
        <f t="array" ref="P38" xml:space="preserve"> 1 + ROW() - _xlfn.SINGLE(ROW(ChartLines.RowNum))</f>
        <v>33</v>
      </c>
      <c r="Z38" s="1" cm="1">
        <f t="array" ref="Z38" xml:space="preserve"> 1 + ROW() - _xlfn.SINGLE(ROW(AxisScaling.RowNum))</f>
        <v>33</v>
      </c>
      <c r="AA38" s="1">
        <v>50000</v>
      </c>
      <c r="AB38" s="1">
        <v>10000</v>
      </c>
    </row>
    <row r="39" spans="2:28" x14ac:dyDescent="0.2">
      <c r="B39" s="1" t="s">
        <v>90</v>
      </c>
      <c r="C39" s="1" t="str">
        <f t="shared" si="161"/>
        <v>XK</v>
      </c>
      <c r="G39" s="1" t="s">
        <v>74</v>
      </c>
      <c r="H39" s="1" t="s">
        <v>434</v>
      </c>
      <c r="J39" s="1">
        <f t="shared" ref="J39" si="167" xml:space="preserve"> IF(AND(LEN(ChartLines.ID)&gt;0,"Unused"&lt;&gt;ChartLines.ID), COUNTIFS(ChartLines.ID,ChartLines.ID), "·")</f>
        <v>2</v>
      </c>
      <c r="K39" s="1">
        <f t="shared" ref="K39" si="168" xml:space="preserve"> IF(AND(LEN(ChartLines.ID)&gt;0,"Unused"&lt;&gt;ChartLines.ID), COUNTIFS(ChartLines.ID,ChartLines.ID,   ChartLines.RowNum,"&lt;="&amp;ChartLines.RowNum), "·")</f>
        <v>1</v>
      </c>
      <c r="L39" s="1" t="str" cm="1">
        <f t="array" ref="L39" xml:space="preserve"> _xlfn.IFS(OR(LEN(_xlfn.SINGLE(ChartLines.ID))=0,"Unused"=_xlfn.SINGLE(ChartLines.ID)), "·",   1=_xlfn.SINGLE(ChartLines.NumInstances), IF("USD"=_xlfn.SINGLE(ChartLines.ID), "SoleBig", "SoleOrdinary"),   1=_xlfn.SINGLE(ChartLines.InstanceNum), "Outer",   TRUE, "Inner")</f>
        <v>Outer</v>
      </c>
      <c r="M39" s="1">
        <f t="shared" ref="M39" si="169" xml:space="preserve"> IF(LEN(ChartLines.Hex6)=6, HEX2DEC(LEFT(ChartLines.Hex6, 2)), "·")</f>
        <v>0</v>
      </c>
      <c r="N39" s="1">
        <f t="shared" ref="N39" si="170" xml:space="preserve"> IF(LEN(ChartLines.Hex6)=6, HEX2DEC(MID(ChartLines.Hex6, 3, 2)), "·")</f>
        <v>61</v>
      </c>
      <c r="O39" s="1">
        <f t="shared" ref="O39" si="171" xml:space="preserve"> IF(LEN(ChartLines.Hex6)=6, HEX2DEC(RIGHT(ChartLines.Hex6, 2)), "·")</f>
        <v>165</v>
      </c>
      <c r="P39" s="1" cm="1">
        <f t="array" ref="P39" xml:space="preserve"> 1 + ROW() - _xlfn.SINGLE(ROW(ChartLines.RowNum))</f>
        <v>34</v>
      </c>
      <c r="Z39" s="1" cm="1">
        <f t="array" ref="Z39" xml:space="preserve"> 1 + ROW() - _xlfn.SINGLE(ROW(AxisScaling.RowNum))</f>
        <v>34</v>
      </c>
      <c r="AA39" s="1">
        <v>100000</v>
      </c>
      <c r="AB39" s="1">
        <v>25000</v>
      </c>
    </row>
    <row r="40" spans="2:28" x14ac:dyDescent="0.2">
      <c r="B40" s="1" t="s">
        <v>91</v>
      </c>
      <c r="C40" s="1" t="str">
        <f t="shared" si="161"/>
        <v>_ESM</v>
      </c>
      <c r="G40" s="1" t="s">
        <v>74</v>
      </c>
      <c r="H40" s="1" t="s">
        <v>435</v>
      </c>
      <c r="J40" s="1">
        <f t="shared" ref="J40" si="172" xml:space="preserve"> IF(AND(LEN(ChartLines.ID)&gt;0,"Unused"&lt;&gt;ChartLines.ID), COUNTIFS(ChartLines.ID,ChartLines.ID), "·")</f>
        <v>2</v>
      </c>
      <c r="K40" s="1">
        <f t="shared" ref="K40" si="173" xml:space="preserve"> IF(AND(LEN(ChartLines.ID)&gt;0,"Unused"&lt;&gt;ChartLines.ID), COUNTIFS(ChartLines.ID,ChartLines.ID,   ChartLines.RowNum,"&lt;="&amp;ChartLines.RowNum), "·")</f>
        <v>2</v>
      </c>
      <c r="L40" s="1" t="str" cm="1">
        <f t="array" ref="L40" xml:space="preserve"> _xlfn.IFS(OR(LEN(_xlfn.SINGLE(ChartLines.ID))=0,"Unused"=_xlfn.SINGLE(ChartLines.ID)), "·",   1=_xlfn.SINGLE(ChartLines.NumInstances), IF("USD"=_xlfn.SINGLE(ChartLines.ID), "SoleBig", "SoleOrdinary"),   1=_xlfn.SINGLE(ChartLines.InstanceNum), "Outer",   TRUE, "Inner")</f>
        <v>Inner</v>
      </c>
      <c r="M40" s="1">
        <f t="shared" ref="M40" si="174" xml:space="preserve"> IF(LEN(ChartLines.Hex6)=6, HEX2DEC(LEFT(ChartLines.Hex6, 2)), "·")</f>
        <v>250</v>
      </c>
      <c r="N40" s="1">
        <f t="shared" ref="N40" si="175" xml:space="preserve"> IF(LEN(ChartLines.Hex6)=6, HEX2DEC(MID(ChartLines.Hex6, 3, 2)), "·")</f>
        <v>155</v>
      </c>
      <c r="O40" s="1">
        <f t="shared" ref="O40" si="176" xml:space="preserve"> IF(LEN(ChartLines.Hex6)=6, HEX2DEC(RIGHT(ChartLines.Hex6, 2)), "·")</f>
        <v>30</v>
      </c>
      <c r="P40" s="1" cm="1">
        <f t="array" ref="P40" xml:space="preserve"> 1 + ROW() - _xlfn.SINGLE(ROW(ChartLines.RowNum))</f>
        <v>35</v>
      </c>
      <c r="Z40" s="1" cm="1">
        <f t="array" ref="Z40" xml:space="preserve"> 1 + ROW() - _xlfn.SINGLE(ROW(AxisScaling.RowNum))</f>
        <v>35</v>
      </c>
      <c r="AA40" s="1">
        <v>250000</v>
      </c>
      <c r="AB40" s="1">
        <v>50000</v>
      </c>
    </row>
    <row r="41" spans="2:28" x14ac:dyDescent="0.2">
      <c r="B41" s="1" t="s">
        <v>92</v>
      </c>
      <c r="C41" s="1" t="str">
        <f t="shared" si="161"/>
        <v>_EFSF</v>
      </c>
      <c r="G41" s="1" t="s">
        <v>75</v>
      </c>
      <c r="H41" s="1">
        <v>663319</v>
      </c>
      <c r="J41" s="1">
        <f t="shared" ref="J41" si="177" xml:space="preserve"> IF(AND(LEN(ChartLines.ID)&gt;0,"Unused"&lt;&gt;ChartLines.ID), COUNTIFS(ChartLines.ID,ChartLines.ID), "·")</f>
        <v>2</v>
      </c>
      <c r="K41" s="1">
        <f t="shared" ref="K41" si="178" xml:space="preserve"> IF(AND(LEN(ChartLines.ID)&gt;0,"Unused"&lt;&gt;ChartLines.ID), COUNTIFS(ChartLines.ID,ChartLines.ID,   ChartLines.RowNum,"&lt;="&amp;ChartLines.RowNum), "·")</f>
        <v>1</v>
      </c>
      <c r="L41" s="1" t="str" cm="1">
        <f t="array" ref="L41" xml:space="preserve"> _xlfn.IFS(OR(LEN(_xlfn.SINGLE(ChartLines.ID))=0,"Unused"=_xlfn.SINGLE(ChartLines.ID)), "·",   1=_xlfn.SINGLE(ChartLines.NumInstances), IF("USD"=_xlfn.SINGLE(ChartLines.ID), "SoleBig", "SoleOrdinary"),   1=_xlfn.SINGLE(ChartLines.InstanceNum), "Outer",   TRUE, "Inner")</f>
        <v>Outer</v>
      </c>
      <c r="M41" s="1">
        <f t="shared" ref="M41" si="179" xml:space="preserve"> IF(LEN(ChartLines.Hex6)=6, HEX2DEC(LEFT(ChartLines.Hex6, 2)), "·")</f>
        <v>102</v>
      </c>
      <c r="N41" s="1">
        <f t="shared" ref="N41" si="180" xml:space="preserve"> IF(LEN(ChartLines.Hex6)=6, HEX2DEC(MID(ChartLines.Hex6, 3, 2)), "·")</f>
        <v>51</v>
      </c>
      <c r="O41" s="1">
        <f t="shared" ref="O41" si="181" xml:space="preserve"> IF(LEN(ChartLines.Hex6)=6, HEX2DEC(RIGHT(ChartLines.Hex6, 2)), "·")</f>
        <v>25</v>
      </c>
      <c r="P41" s="1" cm="1">
        <f t="array" ref="P41" xml:space="preserve"> 1 + ROW() - _xlfn.SINGLE(ROW(ChartLines.RowNum))</f>
        <v>36</v>
      </c>
      <c r="Z41" s="1" cm="1">
        <f t="array" ref="Z41" xml:space="preserve"> 1 + ROW() - _xlfn.SINGLE(ROW(AxisScaling.RowNum))</f>
        <v>36</v>
      </c>
      <c r="AA41" s="1">
        <v>500000</v>
      </c>
      <c r="AB41" s="1">
        <v>100000</v>
      </c>
    </row>
    <row r="42" spans="2:28" x14ac:dyDescent="0.2">
      <c r="B42" s="1" t="s">
        <v>93</v>
      </c>
      <c r="C42" s="1" t="str">
        <f t="shared" si="161"/>
        <v>DKK</v>
      </c>
      <c r="G42" s="1" t="s">
        <v>75</v>
      </c>
      <c r="H42" s="1" t="s">
        <v>436</v>
      </c>
      <c r="J42" s="1">
        <f t="shared" ref="J42" si="182" xml:space="preserve"> IF(AND(LEN(ChartLines.ID)&gt;0,"Unused"&lt;&gt;ChartLines.ID), COUNTIFS(ChartLines.ID,ChartLines.ID), "·")</f>
        <v>2</v>
      </c>
      <c r="K42" s="1">
        <f t="shared" ref="K42" si="183" xml:space="preserve"> IF(AND(LEN(ChartLines.ID)&gt;0,"Unused"&lt;&gt;ChartLines.ID), COUNTIFS(ChartLines.ID,ChartLines.ID,   ChartLines.RowNum,"&lt;="&amp;ChartLines.RowNum), "·")</f>
        <v>2</v>
      </c>
      <c r="L42" s="1" t="str" cm="1">
        <f t="array" ref="L42" xml:space="preserve"> _xlfn.IFS(OR(LEN(_xlfn.SINGLE(ChartLines.ID))=0,"Unused"=_xlfn.SINGLE(ChartLines.ID)), "·",   1=_xlfn.SINGLE(ChartLines.NumInstances), IF("USD"=_xlfn.SINGLE(ChartLines.ID), "SoleBig", "SoleOrdinary"),   1=_xlfn.SINGLE(ChartLines.InstanceNum), "Outer",   TRUE, "Inner")</f>
        <v>Inner</v>
      </c>
      <c r="M42" s="1">
        <f t="shared" ref="M42" si="184" xml:space="preserve"> IF(LEN(ChartLines.Hex6)=6, HEX2DEC(LEFT(ChartLines.Hex6, 2)), "·")</f>
        <v>255</v>
      </c>
      <c r="N42" s="1">
        <f t="shared" ref="N42" si="185" xml:space="preserve"> IF(LEN(ChartLines.Hex6)=6, HEX2DEC(MID(ChartLines.Hex6, 3, 2)), "·")</f>
        <v>204</v>
      </c>
      <c r="O42" s="1">
        <f t="shared" ref="O42" si="186" xml:space="preserve"> IF(LEN(ChartLines.Hex6)=6, HEX2DEC(RIGHT(ChartLines.Hex6, 2)), "·")</f>
        <v>51</v>
      </c>
      <c r="P42" s="1" cm="1">
        <f t="array" ref="P42" xml:space="preserve"> 1 + ROW() - _xlfn.SINGLE(ROW(ChartLines.RowNum))</f>
        <v>37</v>
      </c>
      <c r="Z42" s="1" cm="1">
        <f t="array" ref="Z42" xml:space="preserve"> 1 + ROW() - _xlfn.SINGLE(ROW(AxisScaling.RowNum))</f>
        <v>37</v>
      </c>
      <c r="AA42" s="1">
        <v>1000000</v>
      </c>
      <c r="AB42" s="1">
        <v>250000</v>
      </c>
    </row>
    <row r="43" spans="2:28" x14ac:dyDescent="0.2">
      <c r="B43" s="1" t="s">
        <v>94</v>
      </c>
      <c r="C43" s="1" t="str">
        <f t="shared" si="161"/>
        <v>ISK</v>
      </c>
      <c r="G43" s="1" t="s">
        <v>76</v>
      </c>
      <c r="H43" s="1" t="s">
        <v>426</v>
      </c>
      <c r="J43" s="1">
        <f t="shared" ref="J43" si="187" xml:space="preserve"> IF(AND(LEN(ChartLines.ID)&gt;0,"Unused"&lt;&gt;ChartLines.ID), COUNTIFS(ChartLines.ID,ChartLines.ID), "·")</f>
        <v>2</v>
      </c>
      <c r="K43" s="1">
        <f t="shared" ref="K43" si="188" xml:space="preserve"> IF(AND(LEN(ChartLines.ID)&gt;0,"Unused"&lt;&gt;ChartLines.ID), COUNTIFS(ChartLines.ID,ChartLines.ID,   ChartLines.RowNum,"&lt;="&amp;ChartLines.RowNum), "·")</f>
        <v>1</v>
      </c>
      <c r="L43" s="1" t="str" cm="1">
        <f t="array" ref="L43" xml:space="preserve"> _xlfn.IFS(OR(LEN(_xlfn.SINGLE(ChartLines.ID))=0,"Unused"=_xlfn.SINGLE(ChartLines.ID)), "·",   1=_xlfn.SINGLE(ChartLines.NumInstances), IF("USD"=_xlfn.SINGLE(ChartLines.ID), "SoleBig", "SoleOrdinary"),   1=_xlfn.SINGLE(ChartLines.InstanceNum), "Outer",   TRUE, "Inner")</f>
        <v>Outer</v>
      </c>
      <c r="M43" s="1">
        <f t="shared" ref="M43" si="189" xml:space="preserve"> IF(LEN(ChartLines.Hex6)=6, HEX2DEC(LEFT(ChartLines.Hex6, 2)), "·")</f>
        <v>200</v>
      </c>
      <c r="N43" s="1">
        <f t="shared" ref="N43" si="190" xml:space="preserve"> IF(LEN(ChartLines.Hex6)=6, HEX2DEC(MID(ChartLines.Hex6, 3, 2)), "·")</f>
        <v>16</v>
      </c>
      <c r="O43" s="1">
        <f t="shared" ref="O43" si="191" xml:space="preserve"> IF(LEN(ChartLines.Hex6)=6, HEX2DEC(RIGHT(ChartLines.Hex6, 2)), "·")</f>
        <v>46</v>
      </c>
      <c r="P43" s="1" cm="1">
        <f t="array" ref="P43" xml:space="preserve"> 1 + ROW() - _xlfn.SINGLE(ROW(ChartLines.RowNum))</f>
        <v>38</v>
      </c>
      <c r="Z43" s="1" cm="1">
        <f t="array" ref="Z43" xml:space="preserve"> 1 + ROW() - _xlfn.SINGLE(ROW(AxisScaling.RowNum))</f>
        <v>38</v>
      </c>
      <c r="AA43" s="1">
        <v>2500000</v>
      </c>
      <c r="AB43" s="1">
        <v>500000</v>
      </c>
    </row>
    <row r="44" spans="2:28" x14ac:dyDescent="0.2">
      <c r="B44" s="1" t="s">
        <v>95</v>
      </c>
      <c r="C44" s="1" t="str">
        <f t="shared" si="161"/>
        <v>PLN</v>
      </c>
      <c r="G44" s="1" t="s">
        <v>76</v>
      </c>
      <c r="H44" s="1" t="s">
        <v>423</v>
      </c>
      <c r="J44" s="1">
        <f t="shared" ref="J44" si="192" xml:space="preserve"> IF(AND(LEN(ChartLines.ID)&gt;0,"Unused"&lt;&gt;ChartLines.ID), COUNTIFS(ChartLines.ID,ChartLines.ID), "·")</f>
        <v>2</v>
      </c>
      <c r="K44" s="1">
        <f t="shared" ref="K44" si="193" xml:space="preserve"> IF(AND(LEN(ChartLines.ID)&gt;0,"Unused"&lt;&gt;ChartLines.ID), COUNTIFS(ChartLines.ID,ChartLines.ID,   ChartLines.RowNum,"&lt;="&amp;ChartLines.RowNum), "·")</f>
        <v>2</v>
      </c>
      <c r="L44" s="1" t="str" cm="1">
        <f t="array" ref="L44" xml:space="preserve"> _xlfn.IFS(OR(LEN(_xlfn.SINGLE(ChartLines.ID))=0,"Unused"=_xlfn.SINGLE(ChartLines.ID)), "·",   1=_xlfn.SINGLE(ChartLines.NumInstances), IF("USD"=_xlfn.SINGLE(ChartLines.ID), "SoleBig", "SoleOrdinary"),   1=_xlfn.SINGLE(ChartLines.InstanceNum), "Outer",   TRUE, "Inner")</f>
        <v>Inner</v>
      </c>
      <c r="M44" s="1">
        <f t="shared" ref="M44" si="194" xml:space="preserve"> IF(LEN(ChartLines.Hex6)=6, HEX2DEC(LEFT(ChartLines.Hex6, 2)), "·")</f>
        <v>255</v>
      </c>
      <c r="N44" s="1">
        <f t="shared" ref="N44" si="195" xml:space="preserve"> IF(LEN(ChartLines.Hex6)=6, HEX2DEC(MID(ChartLines.Hex6, 3, 2)), "·")</f>
        <v>255</v>
      </c>
      <c r="O44" s="1">
        <f t="shared" ref="O44" si="196" xml:space="preserve"> IF(LEN(ChartLines.Hex6)=6, HEX2DEC(RIGHT(ChartLines.Hex6, 2)), "·")</f>
        <v>255</v>
      </c>
      <c r="P44" s="1" cm="1">
        <f t="array" ref="P44" xml:space="preserve"> 1 + ROW() - _xlfn.SINGLE(ROW(ChartLines.RowNum))</f>
        <v>39</v>
      </c>
      <c r="Z44" s="1" cm="1">
        <f t="array" ref="Z44" xml:space="preserve"> 1 + ROW() - _xlfn.SINGLE(ROW(AxisScaling.RowNum))</f>
        <v>39</v>
      </c>
      <c r="AA44" s="1">
        <v>5000000</v>
      </c>
      <c r="AB44" s="1">
        <v>1000000</v>
      </c>
    </row>
    <row r="45" spans="2:28" x14ac:dyDescent="0.2">
      <c r="B45" s="1" t="s">
        <v>96</v>
      </c>
      <c r="C45" s="1" t="str">
        <f t="shared" si="161"/>
        <v>CZK</v>
      </c>
      <c r="G45" s="1" t="s">
        <v>77</v>
      </c>
      <c r="H45" s="1" t="s">
        <v>437</v>
      </c>
      <c r="J45" s="1">
        <f t="shared" ref="J45" si="197" xml:space="preserve"> IF(AND(LEN(ChartLines.ID)&gt;0,"Unused"&lt;&gt;ChartLines.ID), COUNTIFS(ChartLines.ID,ChartLines.ID), "·")</f>
        <v>1</v>
      </c>
      <c r="K45" s="1">
        <f t="shared" ref="K45" si="198" xml:space="preserve"> IF(AND(LEN(ChartLines.ID)&gt;0,"Unused"&lt;&gt;ChartLines.ID), COUNTIFS(ChartLines.ID,ChartLines.ID,   ChartLines.RowNum,"&lt;="&amp;ChartLines.RowNum), "·")</f>
        <v>1</v>
      </c>
      <c r="L45" s="1" t="str" cm="1">
        <f t="array" ref="L45" xml:space="preserve"> _xlfn.IFS(OR(LEN(_xlfn.SINGLE(ChartLines.ID))=0,"Unused"=_xlfn.SINGLE(ChartLines.ID)), "·",   1=_xlfn.SINGLE(ChartLines.NumInstances), IF("USD"=_xlfn.SINGLE(ChartLines.ID), "SoleBig", "SoleOrdinary"),   1=_xlfn.SINGLE(ChartLines.InstanceNum), "Outer",   TRUE, "Inner")</f>
        <v>SoleOrdinary</v>
      </c>
      <c r="M45" s="1">
        <f t="shared" ref="M45" si="199" xml:space="preserve"> IF(LEN(ChartLines.Hex6)=6, HEX2DEC(LEFT(ChartLines.Hex6, 2)), "·")</f>
        <v>0</v>
      </c>
      <c r="N45" s="1">
        <f t="shared" ref="N45" si="200" xml:space="preserve"> IF(LEN(ChartLines.Hex6)=6, HEX2DEC(MID(ChartLines.Hex6, 3, 2)), "·")</f>
        <v>47</v>
      </c>
      <c r="O45" s="1">
        <f t="shared" ref="O45" si="201" xml:space="preserve"> IF(LEN(ChartLines.Hex6)=6, HEX2DEC(RIGHT(ChartLines.Hex6, 2)), "·")</f>
        <v>108</v>
      </c>
      <c r="P45" s="1" cm="1">
        <f t="array" ref="P45" xml:space="preserve"> 1 + ROW() - _xlfn.SINGLE(ROW(ChartLines.RowNum))</f>
        <v>40</v>
      </c>
      <c r="Z45" s="1" cm="1">
        <f t="array" ref="Z45" xml:space="preserve"> 1 + ROW() - _xlfn.SINGLE(ROW(AxisScaling.RowNum))</f>
        <v>40</v>
      </c>
      <c r="AA45" s="1">
        <v>10000000</v>
      </c>
      <c r="AB45" s="1">
        <v>2500000</v>
      </c>
    </row>
    <row r="46" spans="2:28" x14ac:dyDescent="0.2">
      <c r="B46" s="1" t="s">
        <v>97</v>
      </c>
      <c r="C46" s="1" t="str">
        <f t="shared" si="161"/>
        <v>HUF</v>
      </c>
      <c r="G46" s="1" t="s">
        <v>419</v>
      </c>
      <c r="J46" s="1" t="str">
        <f t="shared" ref="J46" si="202" xml:space="preserve"> IF(AND(LEN(ChartLines.ID)&gt;0,"Unused"&lt;&gt;ChartLines.ID), COUNTIFS(ChartLines.ID,ChartLines.ID), "·")</f>
        <v>·</v>
      </c>
      <c r="K46" s="1" t="str">
        <f t="shared" ref="K46" si="203" xml:space="preserve"> IF(AND(LEN(ChartLines.ID)&gt;0,"Unused"&lt;&gt;ChartLines.ID), COUNTIFS(ChartLines.ID,ChartLines.ID,   ChartLines.RowNum,"&lt;="&amp;ChartLines.RowNum), "·")</f>
        <v>·</v>
      </c>
      <c r="L46" s="1" t="str" cm="1">
        <f t="array" ref="L46" xml:space="preserve"> _xlfn.IFS(OR(LEN(_xlfn.SINGLE(ChartLines.ID))=0,"Unused"=_xlfn.SINGLE(ChartLines.ID)), "·",   1=_xlfn.SINGLE(ChartLines.NumInstances), IF("USD"=_xlfn.SINGLE(ChartLines.ID), "SoleBig", "SoleOrdinary"),   1=_xlfn.SINGLE(ChartLines.InstanceNum), "Outer",   TRUE, "Inner")</f>
        <v>·</v>
      </c>
      <c r="M46" s="1" t="str">
        <f t="shared" ref="M46" si="204" xml:space="preserve"> IF(LEN(ChartLines.Hex6)=6, HEX2DEC(LEFT(ChartLines.Hex6, 2)), "·")</f>
        <v>·</v>
      </c>
      <c r="N46" s="1" t="str">
        <f t="shared" ref="N46" si="205" xml:space="preserve"> IF(LEN(ChartLines.Hex6)=6, HEX2DEC(MID(ChartLines.Hex6, 3, 2)), "·")</f>
        <v>·</v>
      </c>
      <c r="O46" s="1" t="str">
        <f t="shared" ref="O46" si="206" xml:space="preserve"> IF(LEN(ChartLines.Hex6)=6, HEX2DEC(RIGHT(ChartLines.Hex6, 2)), "·")</f>
        <v>·</v>
      </c>
      <c r="P46" s="1" cm="1">
        <f t="array" ref="P46" xml:space="preserve"> 1 + ROW() - _xlfn.SINGLE(ROW(ChartLines.RowNum))</f>
        <v>41</v>
      </c>
      <c r="Z46" s="1" cm="1">
        <f t="array" ref="Z46" xml:space="preserve"> 1 + ROW() - _xlfn.SINGLE(ROW(AxisScaling.RowNum))</f>
        <v>41</v>
      </c>
      <c r="AA46" s="1">
        <v>25000000</v>
      </c>
      <c r="AB46" s="1">
        <v>5000000</v>
      </c>
    </row>
    <row r="47" spans="2:28" x14ac:dyDescent="0.2">
      <c r="B47" s="1" t="s">
        <v>98</v>
      </c>
      <c r="C47" s="1" t="str">
        <f t="shared" si="161"/>
        <v>RON</v>
      </c>
      <c r="G47" s="1" t="s">
        <v>78</v>
      </c>
      <c r="H47" s="1" t="s">
        <v>438</v>
      </c>
      <c r="J47" s="1">
        <f t="shared" ref="J47" si="207" xml:space="preserve"> IF(AND(LEN(ChartLines.ID)&gt;0,"Unused"&lt;&gt;ChartLines.ID), COUNTIFS(ChartLines.ID,ChartLines.ID), "·")</f>
        <v>2</v>
      </c>
      <c r="K47" s="1">
        <f t="shared" ref="K47" si="208" xml:space="preserve"> IF(AND(LEN(ChartLines.ID)&gt;0,"Unused"&lt;&gt;ChartLines.ID), COUNTIFS(ChartLines.ID,ChartLines.ID,   ChartLines.RowNum,"&lt;="&amp;ChartLines.RowNum), "·")</f>
        <v>1</v>
      </c>
      <c r="L47" s="1" t="str" cm="1">
        <f t="array" ref="L47" xml:space="preserve"> _xlfn.IFS(OR(LEN(_xlfn.SINGLE(ChartLines.ID))=0,"Unused"=_xlfn.SINGLE(ChartLines.ID)), "·",   1=_xlfn.SINGLE(ChartLines.NumInstances), IF("USD"=_xlfn.SINGLE(ChartLines.ID), "SoleBig", "SoleOrdinary"),   1=_xlfn.SINGLE(ChartLines.InstanceNum), "Outer",   TRUE, "Inner")</f>
        <v>Outer</v>
      </c>
      <c r="M47" s="1">
        <f t="shared" ref="M47" si="209" xml:space="preserve"> IF(LEN(ChartLines.Hex6)=6, HEX2DEC(LEFT(ChartLines.Hex6, 2)), "·")</f>
        <v>0</v>
      </c>
      <c r="N47" s="1">
        <f t="shared" ref="N47" si="210" xml:space="preserve"> IF(LEN(ChartLines.Hex6)=6, HEX2DEC(MID(ChartLines.Hex6, 3, 2)), "·")</f>
        <v>76</v>
      </c>
      <c r="O47" s="1">
        <f t="shared" ref="O47" si="211" xml:space="preserve"> IF(LEN(ChartLines.Hex6)=6, HEX2DEC(RIGHT(ChartLines.Hex6, 2)), "·")</f>
        <v>152</v>
      </c>
      <c r="P47" s="1" cm="1">
        <f t="array" ref="P47" xml:space="preserve"> 1 + ROW() - _xlfn.SINGLE(ROW(ChartLines.RowNum))</f>
        <v>42</v>
      </c>
      <c r="Z47" s="1" cm="1">
        <f t="array" ref="Z47" xml:space="preserve"> 1 + ROW() - _xlfn.SINGLE(ROW(AxisScaling.RowNum))</f>
        <v>42</v>
      </c>
      <c r="AA47" s="1">
        <v>50000000</v>
      </c>
      <c r="AB47" s="1">
        <v>10000000</v>
      </c>
    </row>
    <row r="48" spans="2:28" x14ac:dyDescent="0.2">
      <c r="B48" s="1" t="s">
        <v>99</v>
      </c>
      <c r="C48" s="1" t="str">
        <f t="shared" si="161"/>
        <v>BGN</v>
      </c>
      <c r="G48" s="1" t="s">
        <v>78</v>
      </c>
      <c r="H48" s="1" t="s">
        <v>423</v>
      </c>
      <c r="J48" s="1">
        <f t="shared" ref="J48" si="212" xml:space="preserve"> IF(AND(LEN(ChartLines.ID)&gt;0,"Unused"&lt;&gt;ChartLines.ID), COUNTIFS(ChartLines.ID,ChartLines.ID), "·")</f>
        <v>2</v>
      </c>
      <c r="K48" s="1">
        <f t="shared" ref="K48" si="213" xml:space="preserve"> IF(AND(LEN(ChartLines.ID)&gt;0,"Unused"&lt;&gt;ChartLines.ID), COUNTIFS(ChartLines.ID,ChartLines.ID,   ChartLines.RowNum,"&lt;="&amp;ChartLines.RowNum), "·")</f>
        <v>2</v>
      </c>
      <c r="L48" s="1" t="str" cm="1">
        <f t="array" ref="L48" xml:space="preserve"> _xlfn.IFS(OR(LEN(_xlfn.SINGLE(ChartLines.ID))=0,"Unused"=_xlfn.SINGLE(ChartLines.ID)), "·",   1=_xlfn.SINGLE(ChartLines.NumInstances), IF("USD"=_xlfn.SINGLE(ChartLines.ID), "SoleBig", "SoleOrdinary"),   1=_xlfn.SINGLE(ChartLines.InstanceNum), "Outer",   TRUE, "Inner")</f>
        <v>Inner</v>
      </c>
      <c r="M48" s="1">
        <f t="shared" ref="M48" si="214" xml:space="preserve"> IF(LEN(ChartLines.Hex6)=6, HEX2DEC(LEFT(ChartLines.Hex6, 2)), "·")</f>
        <v>255</v>
      </c>
      <c r="N48" s="1">
        <f t="shared" ref="N48" si="215" xml:space="preserve"> IF(LEN(ChartLines.Hex6)=6, HEX2DEC(MID(ChartLines.Hex6, 3, 2)), "·")</f>
        <v>255</v>
      </c>
      <c r="O48" s="1">
        <f t="shared" ref="O48" si="216" xml:space="preserve"> IF(LEN(ChartLines.Hex6)=6, HEX2DEC(RIGHT(ChartLines.Hex6, 2)), "·")</f>
        <v>255</v>
      </c>
      <c r="P48" s="1" cm="1">
        <f t="array" ref="P48" xml:space="preserve"> 1 + ROW() - _xlfn.SINGLE(ROW(ChartLines.RowNum))</f>
        <v>43</v>
      </c>
      <c r="Z48" s="1" cm="1">
        <f t="array" ref="Z48" xml:space="preserve"> 1 + ROW() - _xlfn.SINGLE(ROW(AxisScaling.RowNum))</f>
        <v>43</v>
      </c>
      <c r="AA48" s="1">
        <v>100000000</v>
      </c>
      <c r="AB48" s="1">
        <v>25000000</v>
      </c>
    </row>
    <row r="49" spans="2:28" x14ac:dyDescent="0.2">
      <c r="B49" s="1" t="s">
        <v>100</v>
      </c>
      <c r="C49" s="1" t="str">
        <f t="shared" si="161"/>
        <v>CNY</v>
      </c>
      <c r="G49" s="1" t="s">
        <v>79</v>
      </c>
      <c r="H49" s="1" t="s">
        <v>439</v>
      </c>
      <c r="J49" s="1">
        <f t="shared" ref="J49" si="217" xml:space="preserve"> IF(AND(LEN(ChartLines.ID)&gt;0,"Unused"&lt;&gt;ChartLines.ID), COUNTIFS(ChartLines.ID,ChartLines.ID), "·")</f>
        <v>2</v>
      </c>
      <c r="K49" s="1">
        <f t="shared" ref="K49" si="218" xml:space="preserve"> IF(AND(LEN(ChartLines.ID)&gt;0,"Unused"&lt;&gt;ChartLines.ID), COUNTIFS(ChartLines.ID,ChartLines.ID,   ChartLines.RowNum,"&lt;="&amp;ChartLines.RowNum), "·")</f>
        <v>1</v>
      </c>
      <c r="L49" s="1" t="str" cm="1">
        <f t="array" ref="L49" xml:space="preserve"> _xlfn.IFS(OR(LEN(_xlfn.SINGLE(ChartLines.ID))=0,"Unused"=_xlfn.SINGLE(ChartLines.ID)), "·",   1=_xlfn.SINGLE(ChartLines.NumInstances), IF("USD"=_xlfn.SINGLE(ChartLines.ID), "SoleBig", "SoleOrdinary"),   1=_xlfn.SINGLE(ChartLines.InstanceNum), "Outer",   TRUE, "Inner")</f>
        <v>Outer</v>
      </c>
      <c r="M49" s="1">
        <f t="shared" ref="M49" si="219" xml:space="preserve"> IF(LEN(ChartLines.Hex6)=6, HEX2DEC(LEFT(ChartLines.Hex6, 2)), "·")</f>
        <v>218</v>
      </c>
      <c r="N49" s="1">
        <f t="shared" ref="N49" si="220" xml:space="preserve"> IF(LEN(ChartLines.Hex6)=6, HEX2DEC(MID(ChartLines.Hex6, 3, 2)), "·")</f>
        <v>41</v>
      </c>
      <c r="O49" s="1">
        <f t="shared" ref="O49" si="221" xml:space="preserve"> IF(LEN(ChartLines.Hex6)=6, HEX2DEC(RIGHT(ChartLines.Hex6, 2)), "·")</f>
        <v>28</v>
      </c>
      <c r="P49" s="1" cm="1">
        <f t="array" ref="P49" xml:space="preserve"> 1 + ROW() - _xlfn.SINGLE(ROW(ChartLines.RowNum))</f>
        <v>44</v>
      </c>
      <c r="Z49" s="1" cm="1">
        <f t="array" ref="Z49" xml:space="preserve"> 1 + ROW() - _xlfn.SINGLE(ROW(AxisScaling.RowNum))</f>
        <v>44</v>
      </c>
      <c r="AA49" s="1">
        <v>250000000</v>
      </c>
      <c r="AB49" s="1">
        <v>50000000</v>
      </c>
    </row>
    <row r="50" spans="2:28" x14ac:dyDescent="0.2">
      <c r="B50" s="1" t="s">
        <v>101</v>
      </c>
      <c r="C50" s="1" t="str">
        <f t="shared" si="161"/>
        <v>HKD</v>
      </c>
      <c r="G50" s="1" t="s">
        <v>79</v>
      </c>
      <c r="H50" s="1" t="s">
        <v>440</v>
      </c>
      <c r="J50" s="1">
        <f t="shared" ref="J50" si="222" xml:space="preserve"> IF(AND(LEN(ChartLines.ID)&gt;0,"Unused"&lt;&gt;ChartLines.ID), COUNTIFS(ChartLines.ID,ChartLines.ID), "·")</f>
        <v>2</v>
      </c>
      <c r="K50" s="1">
        <f t="shared" ref="K50" si="223" xml:space="preserve"> IF(AND(LEN(ChartLines.ID)&gt;0,"Unused"&lt;&gt;ChartLines.ID), COUNTIFS(ChartLines.ID,ChartLines.ID,   ChartLines.RowNum,"&lt;="&amp;ChartLines.RowNum), "·")</f>
        <v>2</v>
      </c>
      <c r="L50" s="1" t="str" cm="1">
        <f t="array" ref="L50" xml:space="preserve"> _xlfn.IFS(OR(LEN(_xlfn.SINGLE(ChartLines.ID))=0,"Unused"=_xlfn.SINGLE(ChartLines.ID)), "·",   1=_xlfn.SINGLE(ChartLines.NumInstances), IF("USD"=_xlfn.SINGLE(ChartLines.ID), "SoleBig", "SoleOrdinary"),   1=_xlfn.SINGLE(ChartLines.InstanceNum), "Outer",   TRUE, "Inner")</f>
        <v>Inner</v>
      </c>
      <c r="M50" s="1">
        <f t="shared" ref="M50" si="224" xml:space="preserve"> IF(LEN(ChartLines.Hex6)=6, HEX2DEC(LEFT(ChartLines.Hex6, 2)), "·")</f>
        <v>4</v>
      </c>
      <c r="N50" s="1">
        <f t="shared" ref="N50" si="225" xml:space="preserve"> IF(LEN(ChartLines.Hex6)=6, HEX2DEC(MID(ChartLines.Hex6, 3, 2)), "·")</f>
        <v>106</v>
      </c>
      <c r="O50" s="1">
        <f t="shared" ref="O50" si="226" xml:space="preserve"> IF(LEN(ChartLines.Hex6)=6, HEX2DEC(RIGHT(ChartLines.Hex6, 2)), "·")</f>
        <v>56</v>
      </c>
      <c r="P50" s="1" cm="1">
        <f t="array" ref="P50" xml:space="preserve"> 1 + ROW() - _xlfn.SINGLE(ROW(ChartLines.RowNum))</f>
        <v>45</v>
      </c>
      <c r="Z50" s="1" cm="1">
        <f t="array" ref="Z50" xml:space="preserve"> 1 + ROW() - _xlfn.SINGLE(ROW(AxisScaling.RowNum))</f>
        <v>45</v>
      </c>
      <c r="AA50" s="1">
        <v>500000000</v>
      </c>
      <c r="AB50" s="1">
        <v>100000000</v>
      </c>
    </row>
    <row r="51" spans="2:28" x14ac:dyDescent="0.2">
      <c r="B51" s="1" t="s">
        <v>102</v>
      </c>
      <c r="C51" s="1" t="str">
        <f t="shared" si="161"/>
        <v>TWD</v>
      </c>
      <c r="G51" s="1" t="s">
        <v>80</v>
      </c>
      <c r="H51" s="1" t="s">
        <v>441</v>
      </c>
      <c r="J51" s="1">
        <f t="shared" ref="J51" si="227" xml:space="preserve"> IF(AND(LEN(ChartLines.ID)&gt;0,"Unused"&lt;&gt;ChartLines.ID), COUNTIFS(ChartLines.ID,ChartLines.ID), "·")</f>
        <v>2</v>
      </c>
      <c r="K51" s="1">
        <f t="shared" ref="K51" si="228" xml:space="preserve"> IF(AND(LEN(ChartLines.ID)&gt;0,"Unused"&lt;&gt;ChartLines.ID), COUNTIFS(ChartLines.ID,ChartLines.ID,   ChartLines.RowNum,"&lt;="&amp;ChartLines.RowNum), "·")</f>
        <v>1</v>
      </c>
      <c r="L51" s="1" t="str" cm="1">
        <f t="array" ref="L51" xml:space="preserve"> _xlfn.IFS(OR(LEN(_xlfn.SINGLE(ChartLines.ID))=0,"Unused"=_xlfn.SINGLE(ChartLines.ID)), "·",   1=_xlfn.SINGLE(ChartLines.NumInstances), IF("USD"=_xlfn.SINGLE(ChartLines.ID), "SoleBig", "SoleOrdinary"),   1=_xlfn.SINGLE(ChartLines.InstanceNum), "Outer",   TRUE, "Inner")</f>
        <v>Outer</v>
      </c>
      <c r="M51" s="1">
        <f t="shared" ref="M51" si="229" xml:space="preserve"> IF(LEN(ChartLines.Hex6)=6, HEX2DEC(LEFT(ChartLines.Hex6, 2)), "·")</f>
        <v>255</v>
      </c>
      <c r="N51" s="1">
        <f t="shared" ref="N51" si="230" xml:space="preserve"> IF(LEN(ChartLines.Hex6)=6, HEX2DEC(MID(ChartLines.Hex6, 3, 2)), "·")</f>
        <v>136</v>
      </c>
      <c r="O51" s="1">
        <f t="shared" ref="O51" si="231" xml:space="preserve"> IF(LEN(ChartLines.Hex6)=6, HEX2DEC(RIGHT(ChartLines.Hex6, 2)), "·")</f>
        <v>62</v>
      </c>
      <c r="P51" s="1" cm="1">
        <f t="array" ref="P51" xml:space="preserve"> 1 + ROW() - _xlfn.SINGLE(ROW(ChartLines.RowNum))</f>
        <v>46</v>
      </c>
      <c r="Z51" s="1" cm="1">
        <f t="array" ref="Z51" xml:space="preserve"> 1 + ROW() - _xlfn.SINGLE(ROW(AxisScaling.RowNum))</f>
        <v>46</v>
      </c>
      <c r="AA51" s="1">
        <v>1000000000</v>
      </c>
      <c r="AB51" s="1">
        <v>250000000</v>
      </c>
    </row>
    <row r="52" spans="2:28" x14ac:dyDescent="0.2">
      <c r="B52" s="1" t="s">
        <v>103</v>
      </c>
      <c r="C52" s="1" t="str">
        <f t="shared" si="161"/>
        <v>KRW</v>
      </c>
      <c r="G52" s="1" t="s">
        <v>80</v>
      </c>
      <c r="H52" s="1" t="s">
        <v>442</v>
      </c>
      <c r="J52" s="1">
        <f t="shared" ref="J52" si="232" xml:space="preserve"> IF(AND(LEN(ChartLines.ID)&gt;0,"Unused"&lt;&gt;ChartLines.ID), COUNTIFS(ChartLines.ID,ChartLines.ID), "·")</f>
        <v>2</v>
      </c>
      <c r="K52" s="1">
        <f t="shared" ref="K52" si="233" xml:space="preserve"> IF(AND(LEN(ChartLines.ID)&gt;0,"Unused"&lt;&gt;ChartLines.ID), COUNTIFS(ChartLines.ID,ChartLines.ID,   ChartLines.RowNum,"&lt;="&amp;ChartLines.RowNum), "·")</f>
        <v>2</v>
      </c>
      <c r="L52" s="1" t="str" cm="1">
        <f t="array" ref="L52" xml:space="preserve"> _xlfn.IFS(OR(LEN(_xlfn.SINGLE(ChartLines.ID))=0,"Unused"=_xlfn.SINGLE(ChartLines.ID)), "·",   1=_xlfn.SINGLE(ChartLines.NumInstances), IF("USD"=_xlfn.SINGLE(ChartLines.ID), "SoleBig", "SoleOrdinary"),   1=_xlfn.SINGLE(ChartLines.InstanceNum), "Outer",   TRUE, "Inner")</f>
        <v>Inner</v>
      </c>
      <c r="M52" s="1">
        <f t="shared" ref="M52" si="234" xml:space="preserve"> IF(LEN(ChartLines.Hex6)=6, HEX2DEC(LEFT(ChartLines.Hex6, 2)), "·")</f>
        <v>22</v>
      </c>
      <c r="N52" s="1">
        <f t="shared" ref="N52" si="235" xml:space="preserve"> IF(LEN(ChartLines.Hex6)=6, HEX2DEC(MID(ChartLines.Hex6, 3, 2)), "·")</f>
        <v>155</v>
      </c>
      <c r="O52" s="1">
        <f t="shared" ref="O52" si="236" xml:space="preserve"> IF(LEN(ChartLines.Hex6)=6, HEX2DEC(RIGHT(ChartLines.Hex6, 2)), "·")</f>
        <v>98</v>
      </c>
      <c r="P52" s="1" cm="1">
        <f t="array" ref="P52" xml:space="preserve"> 1 + ROW() - _xlfn.SINGLE(ROW(ChartLines.RowNum))</f>
        <v>47</v>
      </c>
      <c r="Z52" s="1" cm="1">
        <f t="array" ref="Z52" xml:space="preserve"> 1 + ROW() - _xlfn.SINGLE(ROW(AxisScaling.RowNum))</f>
        <v>47</v>
      </c>
      <c r="AA52" s="1">
        <v>2500000000</v>
      </c>
      <c r="AB52" s="1">
        <v>500000000</v>
      </c>
    </row>
    <row r="53" spans="2:28" x14ac:dyDescent="0.2">
      <c r="B53" s="1" t="s">
        <v>104</v>
      </c>
      <c r="C53" s="1" t="str">
        <f t="shared" si="161"/>
        <v>SGD</v>
      </c>
      <c r="G53" s="1" t="s">
        <v>57</v>
      </c>
      <c r="H53" s="1" t="s">
        <v>421</v>
      </c>
      <c r="J53" s="1">
        <f t="shared" ref="J53" si="237" xml:space="preserve"> IF(AND(LEN(ChartLines.ID)&gt;0,"Unused"&lt;&gt;ChartLines.ID), COUNTIFS(ChartLines.ID,ChartLines.ID), "·")</f>
        <v>2</v>
      </c>
      <c r="K53" s="1">
        <f t="shared" ref="K53" si="238" xml:space="preserve"> IF(AND(LEN(ChartLines.ID)&gt;0,"Unused"&lt;&gt;ChartLines.ID), COUNTIFS(ChartLines.ID,ChartLines.ID,   ChartLines.RowNum,"&lt;="&amp;ChartLines.RowNum), "·")</f>
        <v>1</v>
      </c>
      <c r="L53" s="1" t="str" cm="1">
        <f t="array" ref="L53" xml:space="preserve"> _xlfn.IFS(OR(LEN(_xlfn.SINGLE(ChartLines.ID))=0,"Unused"=_xlfn.SINGLE(ChartLines.ID)), "·",   1=_xlfn.SINGLE(ChartLines.NumInstances), IF("USD"=_xlfn.SINGLE(ChartLines.ID), "SoleBig", "SoleOrdinary"),   1=_xlfn.SINGLE(ChartLines.InstanceNum), "Outer",   TRUE, "Inner")</f>
        <v>Outer</v>
      </c>
      <c r="M53" s="1">
        <f t="shared" ref="M53" si="239" xml:space="preserve"> IF(LEN(ChartLines.Hex6)=6, HEX2DEC(LEFT(ChartLines.Hex6, 2)), "·")</f>
        <v>239</v>
      </c>
      <c r="N53" s="1">
        <f t="shared" ref="N53" si="240" xml:space="preserve"> IF(LEN(ChartLines.Hex6)=6, HEX2DEC(MID(ChartLines.Hex6, 3, 2)), "·")</f>
        <v>51</v>
      </c>
      <c r="O53" s="1">
        <f t="shared" ref="O53" si="241" xml:space="preserve"> IF(LEN(ChartLines.Hex6)=6, HEX2DEC(RIGHT(ChartLines.Hex6, 2)), "·")</f>
        <v>64</v>
      </c>
      <c r="P53" s="1" cm="1">
        <f t="array" ref="P53" xml:space="preserve"> 1 + ROW() - _xlfn.SINGLE(ROW(ChartLines.RowNum))</f>
        <v>48</v>
      </c>
      <c r="Z53" s="1" cm="1">
        <f t="array" ref="Z53" xml:space="preserve"> 1 + ROW() - _xlfn.SINGLE(ROW(AxisScaling.RowNum))</f>
        <v>48</v>
      </c>
      <c r="AA53" s="1">
        <v>5000000000</v>
      </c>
      <c r="AB53" s="1">
        <v>1000000000</v>
      </c>
    </row>
    <row r="54" spans="2:28" x14ac:dyDescent="0.2">
      <c r="B54" s="1" t="s">
        <v>105</v>
      </c>
      <c r="C54" s="1" t="str">
        <f t="shared" si="161"/>
        <v>MYR</v>
      </c>
      <c r="G54" s="1" t="s">
        <v>57</v>
      </c>
      <c r="H54" s="1" t="s">
        <v>443</v>
      </c>
      <c r="J54" s="1">
        <f t="shared" ref="J54" si="242" xml:space="preserve"> IF(AND(LEN(ChartLines.ID)&gt;0,"Unused"&lt;&gt;ChartLines.ID), COUNTIFS(ChartLines.ID,ChartLines.ID), "·")</f>
        <v>2</v>
      </c>
      <c r="K54" s="1">
        <f t="shared" ref="K54" si="243" xml:space="preserve"> IF(AND(LEN(ChartLines.ID)&gt;0,"Unused"&lt;&gt;ChartLines.ID), COUNTIFS(ChartLines.ID,ChartLines.ID,   ChartLines.RowNum,"&lt;="&amp;ChartLines.RowNum), "·")</f>
        <v>2</v>
      </c>
      <c r="L54" s="1" t="str" cm="1">
        <f t="array" ref="L54" xml:space="preserve"> _xlfn.IFS(OR(LEN(_xlfn.SINGLE(ChartLines.ID))=0,"Unused"=_xlfn.SINGLE(ChartLines.ID)), "·",   1=_xlfn.SINGLE(ChartLines.NumInstances), IF("USD"=_xlfn.SINGLE(ChartLines.ID), "SoleBig", "SoleOrdinary"),   1=_xlfn.SINGLE(ChartLines.InstanceNum), "Outer",   TRUE, "Inner")</f>
        <v>Inner</v>
      </c>
      <c r="M54" s="1">
        <f t="shared" ref="M54" si="244" xml:space="preserve"> IF(LEN(ChartLines.Hex6)=6, HEX2DEC(LEFT(ChartLines.Hex6, 2)), "·")</f>
        <v>3</v>
      </c>
      <c r="N54" s="1">
        <f t="shared" ref="N54" si="245" xml:space="preserve"> IF(LEN(ChartLines.Hex6)=6, HEX2DEC(MID(ChartLines.Hex6, 3, 2)), "·")</f>
        <v>77</v>
      </c>
      <c r="O54" s="1">
        <f t="shared" ref="O54" si="246" xml:space="preserve"> IF(LEN(ChartLines.Hex6)=6, HEX2DEC(RIGHT(ChartLines.Hex6, 2)), "·")</f>
        <v>163</v>
      </c>
      <c r="P54" s="1" cm="1">
        <f t="array" ref="P54" xml:space="preserve"> 1 + ROW() - _xlfn.SINGLE(ROW(ChartLines.RowNum))</f>
        <v>49</v>
      </c>
      <c r="Z54" s="1" cm="1">
        <f t="array" ref="Z54" xml:space="preserve"> 1 + ROW() - _xlfn.SINGLE(ROW(AxisScaling.RowNum))</f>
        <v>49</v>
      </c>
      <c r="AA54" s="1">
        <v>10000000000</v>
      </c>
      <c r="AB54" s="1">
        <v>2500000000</v>
      </c>
    </row>
    <row r="55" spans="2:28" x14ac:dyDescent="0.2">
      <c r="B55" s="1" t="s">
        <v>106</v>
      </c>
      <c r="C55" s="1" t="str">
        <f t="shared" si="161"/>
        <v>IDR</v>
      </c>
      <c r="G55" s="1" t="s">
        <v>81</v>
      </c>
      <c r="H55" s="1" t="s">
        <v>444</v>
      </c>
      <c r="J55" s="1">
        <f t="shared" ref="J55" si="247" xml:space="preserve"> IF(AND(LEN(ChartLines.ID)&gt;0,"Unused"&lt;&gt;ChartLines.ID), COUNTIFS(ChartLines.ID,ChartLines.ID), "·")</f>
        <v>2</v>
      </c>
      <c r="K55" s="1">
        <f t="shared" ref="K55" si="248" xml:space="preserve"> IF(AND(LEN(ChartLines.ID)&gt;0,"Unused"&lt;&gt;ChartLines.ID), COUNTIFS(ChartLines.ID,ChartLines.ID,   ChartLines.RowNum,"&lt;="&amp;ChartLines.RowNum), "·")</f>
        <v>1</v>
      </c>
      <c r="L55" s="1" t="str" cm="1">
        <f t="array" ref="L55" xml:space="preserve"> _xlfn.IFS(OR(LEN(_xlfn.SINGLE(ChartLines.ID))=0,"Unused"=_xlfn.SINGLE(ChartLines.ID)), "·",   1=_xlfn.SINGLE(ChartLines.NumInstances), IF("USD"=_xlfn.SINGLE(ChartLines.ID), "SoleBig", "SoleOrdinary"),   1=_xlfn.SINGLE(ChartLines.InstanceNum), "Outer",   TRUE, "Inner")</f>
        <v>Outer</v>
      </c>
      <c r="M55" s="1">
        <f t="shared" ref="M55" si="249" xml:space="preserve"> IF(LEN(ChartLines.Hex6)=6, HEX2DEC(LEFT(ChartLines.Hex6, 2)), "·")</f>
        <v>0</v>
      </c>
      <c r="N55" s="1">
        <f t="shared" ref="N55" si="250" xml:space="preserve"> IF(LEN(ChartLines.Hex6)=6, HEX2DEC(MID(ChartLines.Hex6, 3, 2)), "·")</f>
        <v>92</v>
      </c>
      <c r="O55" s="1">
        <f t="shared" ref="O55" si="251" xml:space="preserve"> IF(LEN(ChartLines.Hex6)=6, HEX2DEC(RIGHT(ChartLines.Hex6, 2)), "·")</f>
        <v>230</v>
      </c>
      <c r="P55" s="1" cm="1">
        <f t="array" ref="P55" xml:space="preserve"> 1 + ROW() - _xlfn.SINGLE(ROW(ChartLines.RowNum))</f>
        <v>50</v>
      </c>
      <c r="Z55" s="1" cm="1">
        <f t="array" ref="Z55" xml:space="preserve"> 1 + ROW() - _xlfn.SINGLE(ROW(AxisScaling.RowNum))</f>
        <v>50</v>
      </c>
      <c r="AA55" s="1">
        <v>25000000000</v>
      </c>
      <c r="AB55" s="1">
        <v>5000000000</v>
      </c>
    </row>
    <row r="56" spans="2:28" x14ac:dyDescent="0.2">
      <c r="B56" s="1" t="s">
        <v>107</v>
      </c>
      <c r="C56" s="1" t="str">
        <f t="shared" si="161"/>
        <v>THB</v>
      </c>
      <c r="G56" s="1" t="s">
        <v>81</v>
      </c>
      <c r="H56" s="1" t="s">
        <v>445</v>
      </c>
      <c r="J56" s="1">
        <f t="shared" ref="J56" si="252" xml:space="preserve"> IF(AND(LEN(ChartLines.ID)&gt;0,"Unused"&lt;&gt;ChartLines.ID), COUNTIFS(ChartLines.ID,ChartLines.ID), "·")</f>
        <v>2</v>
      </c>
      <c r="K56" s="1">
        <f t="shared" ref="K56" si="253" xml:space="preserve"> IF(AND(LEN(ChartLines.ID)&gt;0,"Unused"&lt;&gt;ChartLines.ID), COUNTIFS(ChartLines.ID,ChartLines.ID,   ChartLines.RowNum,"&lt;="&amp;ChartLines.RowNum), "·")</f>
        <v>2</v>
      </c>
      <c r="L56" s="1" t="str" cm="1">
        <f t="array" ref="L56" xml:space="preserve"> _xlfn.IFS(OR(LEN(_xlfn.SINGLE(ChartLines.ID))=0,"Unused"=_xlfn.SINGLE(ChartLines.ID)), "·",   1=_xlfn.SINGLE(ChartLines.NumInstances), IF("USD"=_xlfn.SINGLE(ChartLines.ID), "SoleBig", "SoleOrdinary"),   1=_xlfn.SINGLE(ChartLines.InstanceNum), "Outer",   TRUE, "Inner")</f>
        <v>Inner</v>
      </c>
      <c r="M56" s="1">
        <f t="shared" ref="M56" si="254" xml:space="preserve"> IF(LEN(ChartLines.Hex6)=6, HEX2DEC(LEFT(ChartLines.Hex6, 2)), "·")</f>
        <v>255</v>
      </c>
      <c r="N56" s="1">
        <f t="shared" ref="N56" si="255" xml:space="preserve"> IF(LEN(ChartLines.Hex6)=6, HEX2DEC(MID(ChartLines.Hex6, 3, 2)), "·")</f>
        <v>230</v>
      </c>
      <c r="O56" s="1">
        <f t="shared" ref="O56" si="256" xml:space="preserve"> IF(LEN(ChartLines.Hex6)=6, HEX2DEC(RIGHT(ChartLines.Hex6, 2)), "·")</f>
        <v>0</v>
      </c>
      <c r="P56" s="1" cm="1">
        <f t="array" ref="P56" xml:space="preserve"> 1 + ROW() - _xlfn.SINGLE(ROW(ChartLines.RowNum))</f>
        <v>51</v>
      </c>
      <c r="Z56" s="1" cm="1">
        <f t="array" ref="Z56" xml:space="preserve"> 1 + ROW() - _xlfn.SINGLE(ROW(AxisScaling.RowNum))</f>
        <v>51</v>
      </c>
      <c r="AA56" s="1">
        <v>50000000000</v>
      </c>
      <c r="AB56" s="1">
        <v>10000000000</v>
      </c>
    </row>
    <row r="57" spans="2:28" x14ac:dyDescent="0.2">
      <c r="B57" s="1" t="s">
        <v>108</v>
      </c>
      <c r="C57" s="1" t="str">
        <f t="shared" si="161"/>
        <v>PHP</v>
      </c>
      <c r="G57" s="1" t="s">
        <v>82</v>
      </c>
      <c r="H57" s="1" t="s">
        <v>421</v>
      </c>
      <c r="J57" s="1">
        <f t="shared" ref="J57" si="257" xml:space="preserve"> IF(AND(LEN(ChartLines.ID)&gt;0,"Unused"&lt;&gt;ChartLines.ID), COUNTIFS(ChartLines.ID,ChartLines.ID), "·")</f>
        <v>2</v>
      </c>
      <c r="K57" s="1">
        <f t="shared" ref="K57" si="258" xml:space="preserve"> IF(AND(LEN(ChartLines.ID)&gt;0,"Unused"&lt;&gt;ChartLines.ID), COUNTIFS(ChartLines.ID,ChartLines.ID,   ChartLines.RowNum,"&lt;="&amp;ChartLines.RowNum), "·")</f>
        <v>1</v>
      </c>
      <c r="L57" s="1" t="str" cm="1">
        <f t="array" ref="L57" xml:space="preserve"> _xlfn.IFS(OR(LEN(_xlfn.SINGLE(ChartLines.ID))=0,"Unused"=_xlfn.SINGLE(ChartLines.ID)), "·",   1=_xlfn.SINGLE(ChartLines.NumInstances), IF("USD"=_xlfn.SINGLE(ChartLines.ID), "SoleBig", "SoleOrdinary"),   1=_xlfn.SINGLE(ChartLines.InstanceNum), "Outer",   TRUE, "Inner")</f>
        <v>Outer</v>
      </c>
      <c r="M57" s="1">
        <f t="shared" ref="M57" si="259" xml:space="preserve"> IF(LEN(ChartLines.Hex6)=6, HEX2DEC(LEFT(ChartLines.Hex6, 2)), "·")</f>
        <v>239</v>
      </c>
      <c r="N57" s="1">
        <f t="shared" ref="N57" si="260" xml:space="preserve"> IF(LEN(ChartLines.Hex6)=6, HEX2DEC(MID(ChartLines.Hex6, 3, 2)), "·")</f>
        <v>51</v>
      </c>
      <c r="O57" s="1">
        <f t="shared" ref="O57" si="261" xml:space="preserve"> IF(LEN(ChartLines.Hex6)=6, HEX2DEC(RIGHT(ChartLines.Hex6, 2)), "·")</f>
        <v>64</v>
      </c>
      <c r="P57" s="1" cm="1">
        <f t="array" ref="P57" xml:space="preserve"> 1 + ROW() - _xlfn.SINGLE(ROW(ChartLines.RowNum))</f>
        <v>52</v>
      </c>
      <c r="Z57" s="1" cm="1">
        <f t="array" ref="Z57" xml:space="preserve"> 1 + ROW() - _xlfn.SINGLE(ROW(AxisScaling.RowNum))</f>
        <v>52</v>
      </c>
      <c r="AA57" s="1">
        <v>100000000000</v>
      </c>
      <c r="AB57" s="1">
        <v>25000000000</v>
      </c>
    </row>
    <row r="58" spans="2:28" x14ac:dyDescent="0.2">
      <c r="B58" s="1" t="s">
        <v>109</v>
      </c>
      <c r="C58" s="1" t="str">
        <f t="shared" si="161"/>
        <v>VND</v>
      </c>
      <c r="G58" s="1" t="s">
        <v>82</v>
      </c>
      <c r="H58" s="1" t="s">
        <v>446</v>
      </c>
      <c r="J58" s="1">
        <f t="shared" ref="J58" si="262" xml:space="preserve"> IF(AND(LEN(ChartLines.ID)&gt;0,"Unused"&lt;&gt;ChartLines.ID), COUNTIFS(ChartLines.ID,ChartLines.ID), "·")</f>
        <v>2</v>
      </c>
      <c r="K58" s="1">
        <f t="shared" ref="K58" si="263" xml:space="preserve"> IF(AND(LEN(ChartLines.ID)&gt;0,"Unused"&lt;&gt;ChartLines.ID), COUNTIFS(ChartLines.ID,ChartLines.ID,   ChartLines.RowNum,"&lt;="&amp;ChartLines.RowNum), "·")</f>
        <v>2</v>
      </c>
      <c r="L58" s="1" t="str" cm="1">
        <f t="array" ref="L58" xml:space="preserve"> _xlfn.IFS(OR(LEN(_xlfn.SINGLE(ChartLines.ID))=0,"Unused"=_xlfn.SINGLE(ChartLines.ID)), "·",   1=_xlfn.SINGLE(ChartLines.NumInstances), IF("USD"=_xlfn.SINGLE(ChartLines.ID), "SoleBig", "SoleOrdinary"),   1=_xlfn.SINGLE(ChartLines.InstanceNum), "Outer",   TRUE, "Inner")</f>
        <v>Inner</v>
      </c>
      <c r="M58" s="1">
        <f t="shared" ref="M58" si="264" xml:space="preserve"> IF(LEN(ChartLines.Hex6)=6, HEX2DEC(LEFT(ChartLines.Hex6, 2)), "·")</f>
        <v>0</v>
      </c>
      <c r="N58" s="1">
        <f t="shared" ref="N58" si="265" xml:space="preserve"> IF(LEN(ChartLines.Hex6)=6, HEX2DEC(MID(ChartLines.Hex6, 3, 2)), "·")</f>
        <v>163</v>
      </c>
      <c r="O58" s="1">
        <f t="shared" ref="O58" si="266" xml:space="preserve"> IF(LEN(ChartLines.Hex6)=6, HEX2DEC(RIGHT(ChartLines.Hex6, 2)), "·")</f>
        <v>224</v>
      </c>
      <c r="P58" s="1" cm="1">
        <f t="array" ref="P58" xml:space="preserve"> 1 + ROW() - _xlfn.SINGLE(ROW(ChartLines.RowNum))</f>
        <v>53</v>
      </c>
      <c r="Z58" s="1" cm="1">
        <f t="array" ref="Z58" xml:space="preserve"> 1 + ROW() - _xlfn.SINGLE(ROW(AxisScaling.RowNum))</f>
        <v>53</v>
      </c>
      <c r="AA58" s="1">
        <v>250000000000</v>
      </c>
      <c r="AB58" s="1">
        <v>50000000000</v>
      </c>
    </row>
    <row r="59" spans="2:28" x14ac:dyDescent="0.2">
      <c r="B59" s="1" t="s">
        <v>110</v>
      </c>
      <c r="C59" s="1" t="str">
        <f t="shared" si="161"/>
        <v>INR</v>
      </c>
      <c r="G59" s="1" t="s">
        <v>83</v>
      </c>
      <c r="H59" s="1" t="s">
        <v>422</v>
      </c>
      <c r="J59" s="1">
        <f t="shared" ref="J59" si="267" xml:space="preserve"> IF(AND(LEN(ChartLines.ID)&gt;0,"Unused"&lt;&gt;ChartLines.ID), COUNTIFS(ChartLines.ID,ChartLines.ID), "·")</f>
        <v>2</v>
      </c>
      <c r="K59" s="1">
        <f t="shared" ref="K59" si="268" xml:space="preserve"> IF(AND(LEN(ChartLines.ID)&gt;0,"Unused"&lt;&gt;ChartLines.ID), COUNTIFS(ChartLines.ID,ChartLines.ID,   ChartLines.RowNum,"&lt;="&amp;ChartLines.RowNum), "·")</f>
        <v>1</v>
      </c>
      <c r="L59" s="1" t="str" cm="1">
        <f t="array" ref="L59" xml:space="preserve"> _xlfn.IFS(OR(LEN(_xlfn.SINGLE(ChartLines.ID))=0,"Unused"=_xlfn.SINGLE(ChartLines.ID)), "·",   1=_xlfn.SINGLE(ChartLines.NumInstances), IF("USD"=_xlfn.SINGLE(ChartLines.ID), "SoleBig", "SoleOrdinary"),   1=_xlfn.SINGLE(ChartLines.InstanceNum), "Outer",   TRUE, "Inner")</f>
        <v>Outer</v>
      </c>
      <c r="M59" s="1">
        <f t="shared" ref="M59" si="269" xml:space="preserve"> IF(LEN(ChartLines.Hex6)=6, HEX2DEC(LEFT(ChartLines.Hex6, 2)), "·")</f>
        <v>255</v>
      </c>
      <c r="N59" s="1">
        <f t="shared" ref="N59" si="270" xml:space="preserve"> IF(LEN(ChartLines.Hex6)=6, HEX2DEC(MID(ChartLines.Hex6, 3, 2)), "·")</f>
        <v>0</v>
      </c>
      <c r="O59" s="1">
        <f t="shared" ref="O59" si="271" xml:space="preserve"> IF(LEN(ChartLines.Hex6)=6, HEX2DEC(RIGHT(ChartLines.Hex6, 2)), "·")</f>
        <v>0</v>
      </c>
      <c r="P59" s="1" cm="1">
        <f t="array" ref="P59" xml:space="preserve"> 1 + ROW() - _xlfn.SINGLE(ROW(ChartLines.RowNum))</f>
        <v>54</v>
      </c>
      <c r="Z59" s="1" cm="1">
        <f t="array" ref="Z59" xml:space="preserve"> 1 + ROW() - _xlfn.SINGLE(ROW(AxisScaling.RowNum))</f>
        <v>54</v>
      </c>
      <c r="AA59" s="1">
        <v>500000000000</v>
      </c>
      <c r="AB59" s="1">
        <v>100000000000</v>
      </c>
    </row>
    <row r="60" spans="2:28" x14ac:dyDescent="0.2">
      <c r="B60" s="1" t="s">
        <v>111</v>
      </c>
      <c r="C60" s="1" t="str">
        <f t="shared" si="161"/>
        <v>PKR</v>
      </c>
      <c r="G60" s="1" t="s">
        <v>83</v>
      </c>
      <c r="H60" s="1" t="str">
        <f xml:space="preserve"> "000000"</f>
        <v>000000</v>
      </c>
      <c r="J60" s="1">
        <f t="shared" ref="J60" si="272" xml:space="preserve"> IF(AND(LEN(ChartLines.ID)&gt;0,"Unused"&lt;&gt;ChartLines.ID), COUNTIFS(ChartLines.ID,ChartLines.ID), "·")</f>
        <v>2</v>
      </c>
      <c r="K60" s="1">
        <f t="shared" ref="K60" si="273" xml:space="preserve"> IF(AND(LEN(ChartLines.ID)&gt;0,"Unused"&lt;&gt;ChartLines.ID), COUNTIFS(ChartLines.ID,ChartLines.ID,   ChartLines.RowNum,"&lt;="&amp;ChartLines.RowNum), "·")</f>
        <v>2</v>
      </c>
      <c r="L60" s="1" t="str" cm="1">
        <f t="array" ref="L60" xml:space="preserve"> _xlfn.IFS(OR(LEN(_xlfn.SINGLE(ChartLines.ID))=0,"Unused"=_xlfn.SINGLE(ChartLines.ID)), "·",   1=_xlfn.SINGLE(ChartLines.NumInstances), IF("USD"=_xlfn.SINGLE(ChartLines.ID), "SoleBig", "SoleOrdinary"),   1=_xlfn.SINGLE(ChartLines.InstanceNum), "Outer",   TRUE, "Inner")</f>
        <v>Inner</v>
      </c>
      <c r="M60" s="1">
        <f t="shared" ref="M60" si="274" xml:space="preserve"> IF(LEN(ChartLines.Hex6)=6, HEX2DEC(LEFT(ChartLines.Hex6, 2)), "·")</f>
        <v>0</v>
      </c>
      <c r="N60" s="1">
        <f t="shared" ref="N60" si="275" xml:space="preserve"> IF(LEN(ChartLines.Hex6)=6, HEX2DEC(MID(ChartLines.Hex6, 3, 2)), "·")</f>
        <v>0</v>
      </c>
      <c r="O60" s="1">
        <f t="shared" ref="O60" si="276" xml:space="preserve"> IF(LEN(ChartLines.Hex6)=6, HEX2DEC(RIGHT(ChartLines.Hex6, 2)), "·")</f>
        <v>0</v>
      </c>
      <c r="P60" s="1" cm="1">
        <f t="array" ref="P60" xml:space="preserve"> 1 + ROW() - _xlfn.SINGLE(ROW(ChartLines.RowNum))</f>
        <v>55</v>
      </c>
      <c r="Z60" s="1" cm="1">
        <f t="array" ref="Z60" xml:space="preserve"> 1 + ROW() - _xlfn.SINGLE(ROW(AxisScaling.RowNum))</f>
        <v>55</v>
      </c>
      <c r="AA60" s="1">
        <v>1000000000000</v>
      </c>
      <c r="AB60" s="1">
        <v>250000000000</v>
      </c>
    </row>
    <row r="61" spans="2:28" x14ac:dyDescent="0.2">
      <c r="B61" s="1" t="s">
        <v>112</v>
      </c>
      <c r="C61" s="1" t="str">
        <f t="shared" si="161"/>
        <v>BDT</v>
      </c>
      <c r="G61" s="1" t="s">
        <v>84</v>
      </c>
      <c r="H61" s="1" t="s">
        <v>447</v>
      </c>
      <c r="J61" s="1">
        <f t="shared" ref="J61" si="277" xml:space="preserve"> IF(AND(LEN(ChartLines.ID)&gt;0,"Unused"&lt;&gt;ChartLines.ID), COUNTIFS(ChartLines.ID,ChartLines.ID), "·")</f>
        <v>2</v>
      </c>
      <c r="K61" s="1">
        <f t="shared" ref="K61" si="278" xml:space="preserve"> IF(AND(LEN(ChartLines.ID)&gt;0,"Unused"&lt;&gt;ChartLines.ID), COUNTIFS(ChartLines.ID,ChartLines.ID,   ChartLines.RowNum,"&lt;="&amp;ChartLines.RowNum), "·")</f>
        <v>1</v>
      </c>
      <c r="L61" s="1" t="str" cm="1">
        <f t="array" ref="L61" xml:space="preserve"> _xlfn.IFS(OR(LEN(_xlfn.SINGLE(ChartLines.ID))=0,"Unused"=_xlfn.SINGLE(ChartLines.ID)), "·",   1=_xlfn.SINGLE(ChartLines.NumInstances), IF("USD"=_xlfn.SINGLE(ChartLines.ID), "SoleBig", "SoleOrdinary"),   1=_xlfn.SINGLE(ChartLines.InstanceNum), "Outer",   TRUE, "Inner")</f>
        <v>Outer</v>
      </c>
      <c r="M61" s="1">
        <f t="shared" ref="M61" si="279" xml:space="preserve"> IF(LEN(ChartLines.Hex6)=6, HEX2DEC(LEFT(ChartLines.Hex6, 2)), "·")</f>
        <v>0</v>
      </c>
      <c r="N61" s="1">
        <f t="shared" ref="N61" si="280" xml:space="preserve"> IF(LEN(ChartLines.Hex6)=6, HEX2DEC(MID(ChartLines.Hex6, 3, 2)), "·")</f>
        <v>106</v>
      </c>
      <c r="O61" s="1">
        <f t="shared" ref="O61" si="281" xml:space="preserve"> IF(LEN(ChartLines.Hex6)=6, HEX2DEC(RIGHT(ChartLines.Hex6, 2)), "·")</f>
        <v>68</v>
      </c>
      <c r="P61" s="1" cm="1">
        <f t="array" ref="P61" xml:space="preserve"> 1 + ROW() - _xlfn.SINGLE(ROW(ChartLines.RowNum))</f>
        <v>56</v>
      </c>
      <c r="Z61" s="1" cm="1">
        <f t="array" ref="Z61" xml:space="preserve"> 1 + ROW() - _xlfn.SINGLE(ROW(AxisScaling.RowNum))</f>
        <v>56</v>
      </c>
      <c r="AA61" s="1">
        <v>2500000000000</v>
      </c>
      <c r="AB61" s="1">
        <v>500000000000</v>
      </c>
    </row>
    <row r="62" spans="2:28" x14ac:dyDescent="0.2">
      <c r="B62" s="1" t="s">
        <v>113</v>
      </c>
      <c r="C62" s="1" t="str">
        <f t="shared" si="161"/>
        <v>LKR</v>
      </c>
      <c r="G62" s="1" t="s">
        <v>84</v>
      </c>
      <c r="H62" s="1" t="s">
        <v>448</v>
      </c>
      <c r="J62" s="1">
        <f t="shared" ref="J62" si="282" xml:space="preserve"> IF(AND(LEN(ChartLines.ID)&gt;0,"Unused"&lt;&gt;ChartLines.ID), COUNTIFS(ChartLines.ID,ChartLines.ID), "·")</f>
        <v>2</v>
      </c>
      <c r="K62" s="1">
        <f t="shared" ref="K62" si="283" xml:space="preserve"> IF(AND(LEN(ChartLines.ID)&gt;0,"Unused"&lt;&gt;ChartLines.ID), COUNTIFS(ChartLines.ID,ChartLines.ID,   ChartLines.RowNum,"&lt;="&amp;ChartLines.RowNum), "·")</f>
        <v>2</v>
      </c>
      <c r="L62" s="1" t="str" cm="1">
        <f t="array" ref="L62" xml:space="preserve"> _xlfn.IFS(OR(LEN(_xlfn.SINGLE(ChartLines.ID))=0,"Unused"=_xlfn.SINGLE(ChartLines.ID)), "·",   1=_xlfn.SINGLE(ChartLines.NumInstances), IF("USD"=_xlfn.SINGLE(ChartLines.ID), "SoleBig", "SoleOrdinary"),   1=_xlfn.SINGLE(ChartLines.InstanceNum), "Outer",   TRUE, "Inner")</f>
        <v>Inner</v>
      </c>
      <c r="M62" s="1">
        <f t="shared" ref="M62" si="284" xml:space="preserve"> IF(LEN(ChartLines.Hex6)=6, HEX2DEC(LEFT(ChartLines.Hex6, 2)), "·")</f>
        <v>253</v>
      </c>
      <c r="N62" s="1">
        <f t="shared" ref="N62" si="285" xml:space="preserve"> IF(LEN(ChartLines.Hex6)=6, HEX2DEC(MID(ChartLines.Hex6, 3, 2)), "·")</f>
        <v>185</v>
      </c>
      <c r="O62" s="1">
        <f t="shared" ref="O62" si="286" xml:space="preserve"> IF(LEN(ChartLines.Hex6)=6, HEX2DEC(RIGHT(ChartLines.Hex6, 2)), "·")</f>
        <v>19</v>
      </c>
      <c r="P62" s="1" cm="1">
        <f t="array" ref="P62" xml:space="preserve"> 1 + ROW() - _xlfn.SINGLE(ROW(ChartLines.RowNum))</f>
        <v>57</v>
      </c>
      <c r="Z62" s="1" cm="1">
        <f t="array" ref="Z62" xml:space="preserve"> 1 + ROW() - _xlfn.SINGLE(ROW(AxisScaling.RowNum))</f>
        <v>57</v>
      </c>
      <c r="AA62" s="1">
        <v>5000000000000</v>
      </c>
      <c r="AB62" s="1">
        <v>1000000000000</v>
      </c>
    </row>
    <row r="63" spans="2:28" x14ac:dyDescent="0.2">
      <c r="B63" s="1" t="s">
        <v>114</v>
      </c>
      <c r="C63" s="1" t="str">
        <f t="shared" si="161"/>
        <v>KZT</v>
      </c>
      <c r="G63" s="1" t="s">
        <v>85</v>
      </c>
      <c r="H63" s="1" t="s">
        <v>449</v>
      </c>
      <c r="J63" s="1">
        <f t="shared" ref="J63" si="287" xml:space="preserve"> IF(AND(LEN(ChartLines.ID)&gt;0,"Unused"&lt;&gt;ChartLines.ID), COUNTIFS(ChartLines.ID,ChartLines.ID), "·")</f>
        <v>2</v>
      </c>
      <c r="K63" s="1">
        <f t="shared" ref="K63" si="288" xml:space="preserve"> IF(AND(LEN(ChartLines.ID)&gt;0,"Unused"&lt;&gt;ChartLines.ID), COUNTIFS(ChartLines.ID,ChartLines.ID,   ChartLines.RowNum,"&lt;="&amp;ChartLines.RowNum), "·")</f>
        <v>1</v>
      </c>
      <c r="L63" s="1" t="str" cm="1">
        <f t="array" ref="L63" xml:space="preserve"> _xlfn.IFS(OR(LEN(_xlfn.SINGLE(ChartLines.ID))=0,"Unused"=_xlfn.SINGLE(ChartLines.ID)), "·",   1=_xlfn.SINGLE(ChartLines.NumInstances), IF("USD"=_xlfn.SINGLE(ChartLines.ID), "SoleBig", "SoleOrdinary"),   1=_xlfn.SINGLE(ChartLines.InstanceNum), "Outer",   TRUE, "Inner")</f>
        <v>Outer</v>
      </c>
      <c r="M63" s="1">
        <f t="shared" ref="M63" si="289" xml:space="preserve"> IF(LEN(ChartLines.Hex6)=6, HEX2DEC(LEFT(ChartLines.Hex6, 2)), "·")</f>
        <v>157</v>
      </c>
      <c r="N63" s="1">
        <f t="shared" ref="N63" si="290" xml:space="preserve"> IF(LEN(ChartLines.Hex6)=6, HEX2DEC(MID(ChartLines.Hex6, 3, 2)), "·")</f>
        <v>34</v>
      </c>
      <c r="O63" s="1">
        <f t="shared" ref="O63" si="291" xml:space="preserve"> IF(LEN(ChartLines.Hex6)=6, HEX2DEC(RIGHT(ChartLines.Hex6, 2)), "·")</f>
        <v>53</v>
      </c>
      <c r="P63" s="1" cm="1">
        <f t="array" ref="P63" xml:space="preserve"> 1 + ROW() - _xlfn.SINGLE(ROW(ChartLines.RowNum))</f>
        <v>58</v>
      </c>
      <c r="Z63" s="1" cm="1">
        <f t="array" ref="Z63" xml:space="preserve"> 1 + ROW() - _xlfn.SINGLE(ROW(AxisScaling.RowNum))</f>
        <v>58</v>
      </c>
      <c r="AA63" s="1">
        <v>10000000000000</v>
      </c>
      <c r="AB63" s="1">
        <v>2500000000000</v>
      </c>
    </row>
    <row r="64" spans="2:28" x14ac:dyDescent="0.2">
      <c r="B64" s="1" t="s">
        <v>115</v>
      </c>
      <c r="C64" s="1" t="str">
        <f t="shared" si="161"/>
        <v>MNT</v>
      </c>
      <c r="G64" s="1" t="s">
        <v>85</v>
      </c>
      <c r="H64" s="1" t="s">
        <v>423</v>
      </c>
      <c r="J64" s="1">
        <f t="shared" ref="J64" si="292" xml:space="preserve"> IF(AND(LEN(ChartLines.ID)&gt;0,"Unused"&lt;&gt;ChartLines.ID), COUNTIFS(ChartLines.ID,ChartLines.ID), "·")</f>
        <v>2</v>
      </c>
      <c r="K64" s="1">
        <f t="shared" ref="K64" si="293" xml:space="preserve"> IF(AND(LEN(ChartLines.ID)&gt;0,"Unused"&lt;&gt;ChartLines.ID), COUNTIFS(ChartLines.ID,ChartLines.ID,   ChartLines.RowNum,"&lt;="&amp;ChartLines.RowNum), "·")</f>
        <v>2</v>
      </c>
      <c r="L64" s="1" t="str" cm="1">
        <f t="array" ref="L64" xml:space="preserve"> _xlfn.IFS(OR(LEN(_xlfn.SINGLE(ChartLines.ID))=0,"Unused"=_xlfn.SINGLE(ChartLines.ID)), "·",   1=_xlfn.SINGLE(ChartLines.NumInstances), IF("USD"=_xlfn.SINGLE(ChartLines.ID), "SoleBig", "SoleOrdinary"),   1=_xlfn.SINGLE(ChartLines.InstanceNum), "Outer",   TRUE, "Inner")</f>
        <v>Inner</v>
      </c>
      <c r="M64" s="1">
        <f t="shared" ref="M64" si="294" xml:space="preserve"> IF(LEN(ChartLines.Hex6)=6, HEX2DEC(LEFT(ChartLines.Hex6, 2)), "·")</f>
        <v>255</v>
      </c>
      <c r="N64" s="1">
        <f t="shared" ref="N64" si="295" xml:space="preserve"> IF(LEN(ChartLines.Hex6)=6, HEX2DEC(MID(ChartLines.Hex6, 3, 2)), "·")</f>
        <v>255</v>
      </c>
      <c r="O64" s="1">
        <f t="shared" ref="O64" si="296" xml:space="preserve"> IF(LEN(ChartLines.Hex6)=6, HEX2DEC(RIGHT(ChartLines.Hex6, 2)), "·")</f>
        <v>255</v>
      </c>
      <c r="P64" s="1" cm="1">
        <f t="array" ref="P64" xml:space="preserve"> 1 + ROW() - _xlfn.SINGLE(ROW(ChartLines.RowNum))</f>
        <v>59</v>
      </c>
      <c r="Z64" s="1" cm="1">
        <f t="array" ref="Z64" xml:space="preserve"> 1 + ROW() - _xlfn.SINGLE(ROW(AxisScaling.RowNum))</f>
        <v>59</v>
      </c>
      <c r="AA64" s="1">
        <v>25000000000000</v>
      </c>
      <c r="AB64" s="1">
        <v>5000000000000</v>
      </c>
    </row>
    <row r="65" spans="2:28" x14ac:dyDescent="0.2">
      <c r="B65" s="1" t="s">
        <v>116</v>
      </c>
      <c r="C65" s="1" t="str">
        <f t="shared" si="161"/>
        <v>RSD</v>
      </c>
      <c r="G65" s="1" t="s">
        <v>86</v>
      </c>
      <c r="H65" s="1" t="s">
        <v>450</v>
      </c>
      <c r="J65" s="1">
        <f t="shared" ref="J65" si="297" xml:space="preserve"> IF(AND(LEN(ChartLines.ID)&gt;0,"Unused"&lt;&gt;ChartLines.ID), COUNTIFS(ChartLines.ID,ChartLines.ID), "·")</f>
        <v>2</v>
      </c>
      <c r="K65" s="1">
        <f t="shared" ref="K65" si="298" xml:space="preserve"> IF(AND(LEN(ChartLines.ID)&gt;0,"Unused"&lt;&gt;ChartLines.ID), COUNTIFS(ChartLines.ID,ChartLines.ID,   ChartLines.RowNum,"&lt;="&amp;ChartLines.RowNum), "·")</f>
        <v>1</v>
      </c>
      <c r="L65" s="1" t="str" cm="1">
        <f t="array" ref="L65" xml:space="preserve"> _xlfn.IFS(OR(LEN(_xlfn.SINGLE(ChartLines.ID))=0,"Unused"=_xlfn.SINGLE(ChartLines.ID)), "·",   1=_xlfn.SINGLE(ChartLines.NumInstances), IF("USD"=_xlfn.SINGLE(ChartLines.ID), "SoleBig", "SoleOrdinary"),   1=_xlfn.SINGLE(ChartLines.InstanceNum), "Outer",   TRUE, "Inner")</f>
        <v>Outer</v>
      </c>
      <c r="M65" s="1">
        <f t="shared" ref="M65" si="299" xml:space="preserve"> IF(LEN(ChartLines.Hex6)=6, HEX2DEC(LEFT(ChartLines.Hex6, 2)), "·")</f>
        <v>0</v>
      </c>
      <c r="N65" s="1">
        <f t="shared" ref="N65" si="300" xml:space="preserve"> IF(LEN(ChartLines.Hex6)=6, HEX2DEC(MID(ChartLines.Hex6, 3, 2)), "·")</f>
        <v>114</v>
      </c>
      <c r="O65" s="1">
        <f t="shared" ref="O65" si="301" xml:space="preserve"> IF(LEN(ChartLines.Hex6)=6, HEX2DEC(RIGHT(ChartLines.Hex6, 2)), "·")</f>
        <v>206</v>
      </c>
      <c r="P65" s="1" cm="1">
        <f t="array" ref="P65" xml:space="preserve"> 1 + ROW() - _xlfn.SINGLE(ROW(ChartLines.RowNum))</f>
        <v>60</v>
      </c>
      <c r="Z65" s="1" cm="1">
        <f t="array" ref="Z65" xml:space="preserve"> 1 + ROW() - _xlfn.SINGLE(ROW(AxisScaling.RowNum))</f>
        <v>60</v>
      </c>
      <c r="AA65" s="1">
        <v>50000000000000</v>
      </c>
      <c r="AB65" s="1">
        <v>10000000000000</v>
      </c>
    </row>
    <row r="66" spans="2:28" x14ac:dyDescent="0.2">
      <c r="B66" s="1" t="s">
        <v>117</v>
      </c>
      <c r="C66" s="1" t="str">
        <f t="shared" si="161"/>
        <v>ALL</v>
      </c>
      <c r="G66" s="1" t="s">
        <v>86</v>
      </c>
      <c r="H66" s="1" t="str">
        <f xml:space="preserve"> "000000"</f>
        <v>000000</v>
      </c>
      <c r="J66" s="1">
        <f t="shared" ref="J66" si="302" xml:space="preserve"> IF(AND(LEN(ChartLines.ID)&gt;0,"Unused"&lt;&gt;ChartLines.ID), COUNTIFS(ChartLines.ID,ChartLines.ID), "·")</f>
        <v>2</v>
      </c>
      <c r="K66" s="1">
        <f t="shared" ref="K66" si="303" xml:space="preserve"> IF(AND(LEN(ChartLines.ID)&gt;0,"Unused"&lt;&gt;ChartLines.ID), COUNTIFS(ChartLines.ID,ChartLines.ID,   ChartLines.RowNum,"&lt;="&amp;ChartLines.RowNum), "·")</f>
        <v>2</v>
      </c>
      <c r="L66" s="1" t="str" cm="1">
        <f t="array" ref="L66" xml:space="preserve"> _xlfn.IFS(OR(LEN(_xlfn.SINGLE(ChartLines.ID))=0,"Unused"=_xlfn.SINGLE(ChartLines.ID)), "·",   1=_xlfn.SINGLE(ChartLines.NumInstances), IF("USD"=_xlfn.SINGLE(ChartLines.ID), "SoleBig", "SoleOrdinary"),   1=_xlfn.SINGLE(ChartLines.InstanceNum), "Outer",   TRUE, "Inner")</f>
        <v>Inner</v>
      </c>
      <c r="M66" s="1">
        <f t="shared" ref="M66" si="304" xml:space="preserve"> IF(LEN(ChartLines.Hex6)=6, HEX2DEC(LEFT(ChartLines.Hex6, 2)), "·")</f>
        <v>0</v>
      </c>
      <c r="N66" s="1">
        <f t="shared" ref="N66" si="305" xml:space="preserve"> IF(LEN(ChartLines.Hex6)=6, HEX2DEC(MID(ChartLines.Hex6, 3, 2)), "·")</f>
        <v>0</v>
      </c>
      <c r="O66" s="1">
        <f t="shared" ref="O66" si="306" xml:space="preserve"> IF(LEN(ChartLines.Hex6)=6, HEX2DEC(RIGHT(ChartLines.Hex6, 2)), "·")</f>
        <v>0</v>
      </c>
      <c r="P66" s="1" cm="1">
        <f t="array" ref="P66" xml:space="preserve"> 1 + ROW() - _xlfn.SINGLE(ROW(ChartLines.RowNum))</f>
        <v>61</v>
      </c>
      <c r="Z66" s="1" cm="1">
        <f t="array" ref="Z66" xml:space="preserve"> 1 + ROW() - _xlfn.SINGLE(ROW(AxisScaling.RowNum))</f>
        <v>61</v>
      </c>
      <c r="AA66" s="1">
        <v>100000000000000</v>
      </c>
      <c r="AB66" s="1">
        <v>25000000000000</v>
      </c>
    </row>
    <row r="67" spans="2:28" x14ac:dyDescent="0.2">
      <c r="B67" s="1" t="s">
        <v>118</v>
      </c>
      <c r="C67" s="1" t="str">
        <f t="shared" si="161"/>
        <v>MKD</v>
      </c>
      <c r="G67" s="1" t="s">
        <v>87</v>
      </c>
      <c r="H67" s="1" t="s">
        <v>451</v>
      </c>
      <c r="J67" s="1">
        <f t="shared" ref="J67" si="307" xml:space="preserve"> IF(AND(LEN(ChartLines.ID)&gt;0,"Unused"&lt;&gt;ChartLines.ID), COUNTIFS(ChartLines.ID,ChartLines.ID), "·")</f>
        <v>2</v>
      </c>
      <c r="K67" s="1">
        <f t="shared" ref="K67" si="308" xml:space="preserve"> IF(AND(LEN(ChartLines.ID)&gt;0,"Unused"&lt;&gt;ChartLines.ID), COUNTIFS(ChartLines.ID,ChartLines.ID,   ChartLines.RowNum,"&lt;="&amp;ChartLines.RowNum), "·")</f>
        <v>1</v>
      </c>
      <c r="L67" s="1" t="str" cm="1">
        <f t="array" ref="L67" xml:space="preserve"> _xlfn.IFS(OR(LEN(_xlfn.SINGLE(ChartLines.ID))=0,"Unused"=_xlfn.SINGLE(ChartLines.ID)), "·",   1=_xlfn.SINGLE(ChartLines.NumInstances), IF("USD"=_xlfn.SINGLE(ChartLines.ID), "SoleBig", "SoleOrdinary"),   1=_xlfn.SINGLE(ChartLines.InstanceNum), "Outer",   TRUE, "Inner")</f>
        <v>Outer</v>
      </c>
      <c r="M67" s="1">
        <f t="shared" ref="M67" si="309" xml:space="preserve"> IF(LEN(ChartLines.Hex6)=6, HEX2DEC(LEFT(ChartLines.Hex6, 2)), "·")</f>
        <v>213</v>
      </c>
      <c r="N67" s="1">
        <f t="shared" ref="N67" si="310" xml:space="preserve"> IF(LEN(ChartLines.Hex6)=6, HEX2DEC(MID(ChartLines.Hex6, 3, 2)), "·")</f>
        <v>120</v>
      </c>
      <c r="O67" s="1">
        <f t="shared" ref="O67" si="311" xml:space="preserve"> IF(LEN(ChartLines.Hex6)=6, HEX2DEC(RIGHT(ChartLines.Hex6, 2)), "·")</f>
        <v>0</v>
      </c>
      <c r="P67" s="1" cm="1">
        <f t="array" ref="P67" xml:space="preserve"> 1 + ROW() - _xlfn.SINGLE(ROW(ChartLines.RowNum))</f>
        <v>62</v>
      </c>
      <c r="Z67" s="1" cm="1">
        <f t="array" ref="Z67" xml:space="preserve"> 1 + ROW() - _xlfn.SINGLE(ROW(AxisScaling.RowNum))</f>
        <v>62</v>
      </c>
      <c r="AA67" s="1">
        <v>250000000000000</v>
      </c>
      <c r="AB67" s="1">
        <v>50000000000000</v>
      </c>
    </row>
    <row r="68" spans="2:28" x14ac:dyDescent="0.2">
      <c r="B68" s="1" t="s">
        <v>119</v>
      </c>
      <c r="C68" s="1" t="str">
        <f t="shared" si="161"/>
        <v>MDL</v>
      </c>
      <c r="G68" s="1" t="s">
        <v>87</v>
      </c>
      <c r="H68" s="1" t="s">
        <v>452</v>
      </c>
      <c r="J68" s="1">
        <f t="shared" ref="J68" si="312" xml:space="preserve"> IF(AND(LEN(ChartLines.ID)&gt;0,"Unused"&lt;&gt;ChartLines.ID), COUNTIFS(ChartLines.ID,ChartLines.ID), "·")</f>
        <v>2</v>
      </c>
      <c r="K68" s="1">
        <f t="shared" ref="K68" si="313" xml:space="preserve"> IF(AND(LEN(ChartLines.ID)&gt;0,"Unused"&lt;&gt;ChartLines.ID), COUNTIFS(ChartLines.ID,ChartLines.ID,   ChartLines.RowNum,"&lt;="&amp;ChartLines.RowNum), "·")</f>
        <v>2</v>
      </c>
      <c r="L68" s="1" t="str" cm="1">
        <f t="array" ref="L68" xml:space="preserve"> _xlfn.IFS(OR(LEN(_xlfn.SINGLE(ChartLines.ID))=0,"Unused"=_xlfn.SINGLE(ChartLines.ID)), "·",   1=_xlfn.SINGLE(ChartLines.NumInstances), IF("USD"=_xlfn.SINGLE(ChartLines.ID), "SoleBig", "SoleOrdinary"),   1=_xlfn.SINGLE(ChartLines.InstanceNum), "Outer",   TRUE, "Inner")</f>
        <v>Inner</v>
      </c>
      <c r="M68" s="1">
        <f t="shared" ref="M68" si="314" xml:space="preserve"> IF(LEN(ChartLines.Hex6)=6, HEX2DEC(LEFT(ChartLines.Hex6, 2)), "·")</f>
        <v>78</v>
      </c>
      <c r="N68" s="1">
        <f t="shared" ref="N68" si="315" xml:space="preserve"> IF(LEN(ChartLines.Hex6)=6, HEX2DEC(MID(ChartLines.Hex6, 3, 2)), "·")</f>
        <v>91</v>
      </c>
      <c r="O68" s="1">
        <f t="shared" ref="O68" si="316" xml:space="preserve"> IF(LEN(ChartLines.Hex6)=6, HEX2DEC(RIGHT(ChartLines.Hex6, 2)), "·")</f>
        <v>49</v>
      </c>
      <c r="P68" s="1" cm="1">
        <f t="array" ref="P68" xml:space="preserve"> 1 + ROW() - _xlfn.SINGLE(ROW(ChartLines.RowNum))</f>
        <v>63</v>
      </c>
      <c r="Z68" s="1" cm="1">
        <f t="array" ref="Z68" xml:space="preserve"> 1 + ROW() - _xlfn.SINGLE(ROW(AxisScaling.RowNum))</f>
        <v>63</v>
      </c>
      <c r="AA68" s="1">
        <v>500000000000000</v>
      </c>
      <c r="AB68" s="1">
        <v>100000000000000</v>
      </c>
    </row>
    <row r="69" spans="2:28" x14ac:dyDescent="0.2">
      <c r="B69" s="1" t="s">
        <v>120</v>
      </c>
      <c r="C69" s="1" t="str">
        <f t="shared" si="161"/>
        <v>RUB</v>
      </c>
      <c r="G69" s="1" t="s">
        <v>88</v>
      </c>
      <c r="H69" s="1" t="s">
        <v>453</v>
      </c>
      <c r="J69" s="1">
        <f t="shared" ref="J69" si="317" xml:space="preserve"> IF(AND(LEN(ChartLines.ID)&gt;0,"Unused"&lt;&gt;ChartLines.ID), COUNTIFS(ChartLines.ID,ChartLines.ID), "·")</f>
        <v>2</v>
      </c>
      <c r="K69" s="1">
        <f t="shared" ref="K69" si="318" xml:space="preserve"> IF(AND(LEN(ChartLines.ID)&gt;0,"Unused"&lt;&gt;ChartLines.ID), COUNTIFS(ChartLines.ID,ChartLines.ID,   ChartLines.RowNum,"&lt;="&amp;ChartLines.RowNum), "·")</f>
        <v>1</v>
      </c>
      <c r="L69" s="1" t="str" cm="1">
        <f t="array" ref="L69" xml:space="preserve"> _xlfn.IFS(OR(LEN(_xlfn.SINGLE(ChartLines.ID))=0,"Unused"=_xlfn.SINGLE(ChartLines.ID)), "·",   1=_xlfn.SINGLE(ChartLines.NumInstances), IF("USD"=_xlfn.SINGLE(ChartLines.ID), "SoleBig", "SoleOrdinary"),   1=_xlfn.SINGLE(ChartLines.InstanceNum), "Outer",   TRUE, "Inner")</f>
        <v>Outer</v>
      </c>
      <c r="M69" s="1">
        <f t="shared" ref="M69" si="319" xml:space="preserve"> IF(LEN(ChartLines.Hex6)=6, HEX2DEC(LEFT(ChartLines.Hex6, 2)), "·")</f>
        <v>207</v>
      </c>
      <c r="N69" s="1">
        <f t="shared" ref="N69" si="320" xml:space="preserve"> IF(LEN(ChartLines.Hex6)=6, HEX2DEC(MID(ChartLines.Hex6, 3, 2)), "·")</f>
        <v>20</v>
      </c>
      <c r="O69" s="1">
        <f t="shared" ref="O69" si="321" xml:space="preserve"> IF(LEN(ChartLines.Hex6)=6, HEX2DEC(RIGHT(ChartLines.Hex6, 2)), "·")</f>
        <v>43</v>
      </c>
      <c r="P69" s="1" cm="1">
        <f t="array" ref="P69" xml:space="preserve"> 1 + ROW() - _xlfn.SINGLE(ROW(ChartLines.RowNum))</f>
        <v>64</v>
      </c>
      <c r="Z69" s="1" cm="1">
        <f t="array" ref="Z69" xml:space="preserve"> 1 + ROW() - _xlfn.SINGLE(ROW(AxisScaling.RowNum))</f>
        <v>64</v>
      </c>
      <c r="AA69" s="1">
        <v>1000000000000000</v>
      </c>
      <c r="AB69" s="1">
        <v>250000000000000</v>
      </c>
    </row>
    <row r="70" spans="2:28" x14ac:dyDescent="0.2">
      <c r="B70" s="1" t="s">
        <v>561</v>
      </c>
      <c r="C70" s="1" t="str">
        <f t="shared" ref="C70:C79" si="322" xml:space="preserve"> _xlfn.SINGLE(SeriesFormatAlias.SeriesName)</f>
        <v>BYN</v>
      </c>
      <c r="G70" s="1" t="s">
        <v>88</v>
      </c>
      <c r="H70" s="1" t="s">
        <v>571</v>
      </c>
      <c r="J70" s="1">
        <f t="shared" ref="J70" si="323" xml:space="preserve"> IF(AND(LEN(ChartLines.ID)&gt;0,"Unused"&lt;&gt;ChartLines.ID), COUNTIFS(ChartLines.ID,ChartLines.ID), "·")</f>
        <v>2</v>
      </c>
      <c r="K70" s="1">
        <f t="shared" ref="K70" si="324" xml:space="preserve"> IF(AND(LEN(ChartLines.ID)&gt;0,"Unused"&lt;&gt;ChartLines.ID), COUNTIFS(ChartLines.ID,ChartLines.ID,   ChartLines.RowNum,"&lt;="&amp;ChartLines.RowNum), "·")</f>
        <v>2</v>
      </c>
      <c r="L70" s="1" t="str" cm="1">
        <f t="array" ref="L70" xml:space="preserve"> _xlfn.IFS(OR(LEN(_xlfn.SINGLE(ChartLines.ID))=0,"Unused"=_xlfn.SINGLE(ChartLines.ID)), "·",   1=_xlfn.SINGLE(ChartLines.NumInstances), IF("USD"=_xlfn.SINGLE(ChartLines.ID), "SoleBig", "SoleOrdinary"),   1=_xlfn.SINGLE(ChartLines.InstanceNum), "Outer",   TRUE, "Inner")</f>
        <v>Inner</v>
      </c>
      <c r="M70" s="1">
        <f t="shared" ref="M70" si="325" xml:space="preserve"> IF(LEN(ChartLines.Hex6)=6, HEX2DEC(LEFT(ChartLines.Hex6, 2)), "·")</f>
        <v>192</v>
      </c>
      <c r="N70" s="1">
        <f t="shared" ref="N70" si="326" xml:space="preserve"> IF(LEN(ChartLines.Hex6)=6, HEX2DEC(MID(ChartLines.Hex6, 3, 2)), "·")</f>
        <v>192</v>
      </c>
      <c r="O70" s="1">
        <f t="shared" ref="O70" si="327" xml:space="preserve"> IF(LEN(ChartLines.Hex6)=6, HEX2DEC(RIGHT(ChartLines.Hex6, 2)), "·")</f>
        <v>192</v>
      </c>
      <c r="P70" s="1" cm="1">
        <f t="array" ref="P70" xml:space="preserve"> 1 + ROW() - _xlfn.SINGLE(ROW(ChartLines.RowNum))</f>
        <v>65</v>
      </c>
    </row>
    <row r="71" spans="2:28" x14ac:dyDescent="0.2">
      <c r="B71" s="1" t="s">
        <v>121</v>
      </c>
      <c r="C71" s="1" t="str">
        <f t="shared" si="322"/>
        <v>UAH</v>
      </c>
      <c r="G71" s="1" t="s">
        <v>89</v>
      </c>
      <c r="H71" s="1" t="s">
        <v>454</v>
      </c>
      <c r="J71" s="1">
        <f t="shared" ref="J71" si="328" xml:space="preserve"> IF(AND(LEN(ChartLines.ID)&gt;0,"Unused"&lt;&gt;ChartLines.ID), COUNTIFS(ChartLines.ID,ChartLines.ID), "·")</f>
        <v>2</v>
      </c>
      <c r="K71" s="1">
        <f t="shared" ref="K71" si="329" xml:space="preserve"> IF(AND(LEN(ChartLines.ID)&gt;0,"Unused"&lt;&gt;ChartLines.ID), COUNTIFS(ChartLines.ID,ChartLines.ID,   ChartLines.RowNum,"&lt;="&amp;ChartLines.RowNum), "·")</f>
        <v>1</v>
      </c>
      <c r="L71" s="1" t="str" cm="1">
        <f t="array" ref="L71" xml:space="preserve"> _xlfn.IFS(OR(LEN(_xlfn.SINGLE(ChartLines.ID))=0,"Unused"=_xlfn.SINGLE(ChartLines.ID)), "·",   1=_xlfn.SINGLE(ChartLines.NumInstances), IF("USD"=_xlfn.SINGLE(ChartLines.ID), "SoleBig", "SoleOrdinary"),   1=_xlfn.SINGLE(ChartLines.InstanceNum), "Outer",   TRUE, "Inner")</f>
        <v>Outer</v>
      </c>
      <c r="M71" s="1">
        <f t="shared" ref="M71" si="330" xml:space="preserve"> IF(LEN(ChartLines.Hex6)=6, HEX2DEC(LEFT(ChartLines.Hex6, 2)), "·")</f>
        <v>33</v>
      </c>
      <c r="N71" s="1">
        <f t="shared" ref="N71" si="331" xml:space="preserve"> IF(LEN(ChartLines.Hex6)=6, HEX2DEC(MID(ChartLines.Hex6, 3, 2)), "·")</f>
        <v>95</v>
      </c>
      <c r="O71" s="1">
        <f t="shared" ref="O71" si="332" xml:space="preserve"> IF(LEN(ChartLines.Hex6)=6, HEX2DEC(RIGHT(ChartLines.Hex6, 2)), "·")</f>
        <v>143</v>
      </c>
      <c r="P71" s="1" cm="1">
        <f t="array" ref="P71" xml:space="preserve"> 1 + ROW() - _xlfn.SINGLE(ROW(ChartLines.RowNum))</f>
        <v>66</v>
      </c>
    </row>
    <row r="72" spans="2:28" x14ac:dyDescent="0.2">
      <c r="B72" s="1" t="s">
        <v>122</v>
      </c>
      <c r="C72" s="1" t="str">
        <f t="shared" si="322"/>
        <v>GEL</v>
      </c>
      <c r="G72" s="1" t="s">
        <v>89</v>
      </c>
      <c r="H72" s="1" t="s">
        <v>455</v>
      </c>
      <c r="J72" s="1">
        <f t="shared" ref="J72" si="333" xml:space="preserve"> IF(AND(LEN(ChartLines.ID)&gt;0,"Unused"&lt;&gt;ChartLines.ID), COUNTIFS(ChartLines.ID,ChartLines.ID), "·")</f>
        <v>2</v>
      </c>
      <c r="K72" s="1">
        <f t="shared" ref="K72" si="334" xml:space="preserve"> IF(AND(LEN(ChartLines.ID)&gt;0,"Unused"&lt;&gt;ChartLines.ID), COUNTIFS(ChartLines.ID,ChartLines.ID,   ChartLines.RowNum,"&lt;="&amp;ChartLines.RowNum), "·")</f>
        <v>2</v>
      </c>
      <c r="L72" s="1" t="str" cm="1">
        <f t="array" ref="L72" xml:space="preserve"> _xlfn.IFS(OR(LEN(_xlfn.SINGLE(ChartLines.ID))=0,"Unused"=_xlfn.SINGLE(ChartLines.ID)), "·",   1=_xlfn.SINGLE(ChartLines.NumInstances), IF("USD"=_xlfn.SINGLE(ChartLines.ID), "SoleBig", "SoleOrdinary"),   1=_xlfn.SINGLE(ChartLines.InstanceNum), "Outer",   TRUE, "Inner")</f>
        <v>Inner</v>
      </c>
      <c r="M72" s="1">
        <f t="shared" ref="M72" si="335" xml:space="preserve"> IF(LEN(ChartLines.Hex6)=6, HEX2DEC(LEFT(ChartLines.Hex6, 2)), "·")</f>
        <v>211</v>
      </c>
      <c r="N72" s="1">
        <f t="shared" ref="N72" si="336" xml:space="preserve"> IF(LEN(ChartLines.Hex6)=6, HEX2DEC(MID(ChartLines.Hex6, 3, 2)), "·")</f>
        <v>174</v>
      </c>
      <c r="O72" s="1">
        <f t="shared" ref="O72" si="337" xml:space="preserve"> IF(LEN(ChartLines.Hex6)=6, HEX2DEC(RIGHT(ChartLines.Hex6, 2)), "·")</f>
        <v>69</v>
      </c>
      <c r="P72" s="1" cm="1">
        <f t="array" ref="P72" xml:space="preserve"> 1 + ROW() - _xlfn.SINGLE(ROW(ChartLines.RowNum))</f>
        <v>67</v>
      </c>
    </row>
    <row r="73" spans="2:28" x14ac:dyDescent="0.2">
      <c r="B73" s="1" t="s">
        <v>123</v>
      </c>
      <c r="C73" s="1" t="str">
        <f t="shared" si="322"/>
        <v>TRY</v>
      </c>
      <c r="G73" s="1" t="s">
        <v>90</v>
      </c>
      <c r="H73" s="1" t="str">
        <f xml:space="preserve"> "000000"</f>
        <v>000000</v>
      </c>
      <c r="J73" s="1">
        <f t="shared" ref="J73" si="338" xml:space="preserve"> IF(AND(LEN(ChartLines.ID)&gt;0,"Unused"&lt;&gt;ChartLines.ID), COUNTIFS(ChartLines.ID,ChartLines.ID), "·")</f>
        <v>2</v>
      </c>
      <c r="K73" s="1">
        <f t="shared" ref="K73" si="339" xml:space="preserve"> IF(AND(LEN(ChartLines.ID)&gt;0,"Unused"&lt;&gt;ChartLines.ID), COUNTIFS(ChartLines.ID,ChartLines.ID,   ChartLines.RowNum,"&lt;="&amp;ChartLines.RowNum), "·")</f>
        <v>1</v>
      </c>
      <c r="L73" s="1" t="str" cm="1">
        <f t="array" ref="L73" xml:space="preserve"> _xlfn.IFS(OR(LEN(_xlfn.SINGLE(ChartLines.ID))=0,"Unused"=_xlfn.SINGLE(ChartLines.ID)), "·",   1=_xlfn.SINGLE(ChartLines.NumInstances), IF("USD"=_xlfn.SINGLE(ChartLines.ID), "SoleBig", "SoleOrdinary"),   1=_xlfn.SINGLE(ChartLines.InstanceNum), "Outer",   TRUE, "Inner")</f>
        <v>Outer</v>
      </c>
      <c r="M73" s="1">
        <f t="shared" ref="M73" si="340" xml:space="preserve"> IF(LEN(ChartLines.Hex6)=6, HEX2DEC(LEFT(ChartLines.Hex6, 2)), "·")</f>
        <v>0</v>
      </c>
      <c r="N73" s="1">
        <f t="shared" ref="N73" si="341" xml:space="preserve"> IF(LEN(ChartLines.Hex6)=6, HEX2DEC(MID(ChartLines.Hex6, 3, 2)), "·")</f>
        <v>0</v>
      </c>
      <c r="O73" s="1">
        <f t="shared" ref="O73" si="342" xml:space="preserve"> IF(LEN(ChartLines.Hex6)=6, HEX2DEC(RIGHT(ChartLines.Hex6, 2)), "·")</f>
        <v>0</v>
      </c>
      <c r="P73" s="1" cm="1">
        <f t="array" ref="P73" xml:space="preserve"> 1 + ROW() - _xlfn.SINGLE(ROW(ChartLines.RowNum))</f>
        <v>68</v>
      </c>
    </row>
    <row r="74" spans="2:28" x14ac:dyDescent="0.2">
      <c r="B74" s="1" t="s">
        <v>124</v>
      </c>
      <c r="C74" s="1" t="str">
        <f t="shared" si="322"/>
        <v>SAR</v>
      </c>
      <c r="G74" s="1" t="s">
        <v>90</v>
      </c>
      <c r="H74" s="1" t="s">
        <v>456</v>
      </c>
      <c r="J74" s="1">
        <f t="shared" ref="J74" si="343" xml:space="preserve"> IF(AND(LEN(ChartLines.ID)&gt;0,"Unused"&lt;&gt;ChartLines.ID), COUNTIFS(ChartLines.ID,ChartLines.ID), "·")</f>
        <v>2</v>
      </c>
      <c r="K74" s="1">
        <f t="shared" ref="K74" si="344" xml:space="preserve"> IF(AND(LEN(ChartLines.ID)&gt;0,"Unused"&lt;&gt;ChartLines.ID), COUNTIFS(ChartLines.ID,ChartLines.ID,   ChartLines.RowNum,"&lt;="&amp;ChartLines.RowNum), "·")</f>
        <v>2</v>
      </c>
      <c r="L74" s="1" t="str" cm="1">
        <f t="array" ref="L74" xml:space="preserve"> _xlfn.IFS(OR(LEN(_xlfn.SINGLE(ChartLines.ID))=0,"Unused"=_xlfn.SINGLE(ChartLines.ID)), "·",   1=_xlfn.SINGLE(ChartLines.NumInstances), IF("USD"=_xlfn.SINGLE(ChartLines.ID), "SoleBig", "SoleOrdinary"),   1=_xlfn.SINGLE(ChartLines.InstanceNum), "Outer",   TRUE, "Inner")</f>
        <v>Inner</v>
      </c>
      <c r="M74" s="1">
        <f t="shared" ref="M74" si="345" xml:space="preserve"> IF(LEN(ChartLines.Hex6)=6, HEX2DEC(LEFT(ChartLines.Hex6, 2)), "·")</f>
        <v>208</v>
      </c>
      <c r="N74" s="1">
        <f t="shared" ref="N74" si="346" xml:space="preserve"> IF(LEN(ChartLines.Hex6)=6, HEX2DEC(MID(ChartLines.Hex6, 3, 2)), "·")</f>
        <v>166</v>
      </c>
      <c r="O74" s="1">
        <f t="shared" ref="O74" si="347" xml:space="preserve"> IF(LEN(ChartLines.Hex6)=6, HEX2DEC(RIGHT(ChartLines.Hex6, 2)), "·")</f>
        <v>80</v>
      </c>
      <c r="P74" s="1" cm="1">
        <f t="array" ref="P74" xml:space="preserve"> 1 + ROW() - _xlfn.SINGLE(ROW(ChartLines.RowNum))</f>
        <v>69</v>
      </c>
    </row>
    <row r="75" spans="2:28" x14ac:dyDescent="0.2">
      <c r="B75" s="1" t="s">
        <v>125</v>
      </c>
      <c r="C75" s="1" t="str">
        <f t="shared" si="322"/>
        <v>AED</v>
      </c>
      <c r="G75" s="1" t="s">
        <v>91</v>
      </c>
      <c r="H75" s="1" t="s">
        <v>457</v>
      </c>
      <c r="J75" s="1">
        <f t="shared" ref="J75" si="348" xml:space="preserve"> IF(AND(LEN(ChartLines.ID)&gt;0,"Unused"&lt;&gt;ChartLines.ID), COUNTIFS(ChartLines.ID,ChartLines.ID), "·")</f>
        <v>2</v>
      </c>
      <c r="K75" s="1">
        <f t="shared" ref="K75" si="349" xml:space="preserve"> IF(AND(LEN(ChartLines.ID)&gt;0,"Unused"&lt;&gt;ChartLines.ID), COUNTIFS(ChartLines.ID,ChartLines.ID,   ChartLines.RowNum,"&lt;="&amp;ChartLines.RowNum), "·")</f>
        <v>1</v>
      </c>
      <c r="L75" s="1" t="str" cm="1">
        <f t="array" ref="L75" xml:space="preserve"> _xlfn.IFS(OR(LEN(_xlfn.SINGLE(ChartLines.ID))=0,"Unused"=_xlfn.SINGLE(ChartLines.ID)), "·",   1=_xlfn.SINGLE(ChartLines.NumInstances), IF("USD"=_xlfn.SINGLE(ChartLines.ID), "SoleBig", "SoleOrdinary"),   1=_xlfn.SINGLE(ChartLines.InstanceNum), "Outer",   TRUE, "Inner")</f>
        <v>Outer</v>
      </c>
      <c r="M75" s="1">
        <f t="shared" ref="M75" si="350" xml:space="preserve"> IF(LEN(ChartLines.Hex6)=6, HEX2DEC(LEFT(ChartLines.Hex6, 2)), "·")</f>
        <v>255</v>
      </c>
      <c r="N75" s="1">
        <f t="shared" ref="N75" si="351" xml:space="preserve"> IF(LEN(ChartLines.Hex6)=6, HEX2DEC(MID(ChartLines.Hex6, 3, 2)), "·")</f>
        <v>213</v>
      </c>
      <c r="O75" s="1">
        <f t="shared" ref="O75" si="352" xml:space="preserve"> IF(LEN(ChartLines.Hex6)=6, HEX2DEC(RIGHT(ChartLines.Hex6, 2)), "·")</f>
        <v>0</v>
      </c>
      <c r="P75" s="1" cm="1">
        <f t="array" ref="P75" xml:space="preserve"> 1 + ROW() - _xlfn.SINGLE(ROW(ChartLines.RowNum))</f>
        <v>70</v>
      </c>
    </row>
    <row r="76" spans="2:28" x14ac:dyDescent="0.2">
      <c r="B76" s="1" t="s">
        <v>126</v>
      </c>
      <c r="C76" s="1" t="str">
        <f t="shared" si="322"/>
        <v>QAR</v>
      </c>
      <c r="G76" s="1" t="s">
        <v>91</v>
      </c>
      <c r="H76" s="1" t="str">
        <f xml:space="preserve"> "004494"</f>
        <v>004494</v>
      </c>
      <c r="J76" s="1">
        <f t="shared" ref="J76" si="353" xml:space="preserve"> IF(AND(LEN(ChartLines.ID)&gt;0,"Unused"&lt;&gt;ChartLines.ID), COUNTIFS(ChartLines.ID,ChartLines.ID), "·")</f>
        <v>2</v>
      </c>
      <c r="K76" s="1">
        <f t="shared" ref="K76" si="354" xml:space="preserve"> IF(AND(LEN(ChartLines.ID)&gt;0,"Unused"&lt;&gt;ChartLines.ID), COUNTIFS(ChartLines.ID,ChartLines.ID,   ChartLines.RowNum,"&lt;="&amp;ChartLines.RowNum), "·")</f>
        <v>2</v>
      </c>
      <c r="L76" s="1" t="str" cm="1">
        <f t="array" ref="L76" xml:space="preserve"> _xlfn.IFS(OR(LEN(_xlfn.SINGLE(ChartLines.ID))=0,"Unused"=_xlfn.SINGLE(ChartLines.ID)), "·",   1=_xlfn.SINGLE(ChartLines.NumInstances), IF("USD"=_xlfn.SINGLE(ChartLines.ID), "SoleBig", "SoleOrdinary"),   1=_xlfn.SINGLE(ChartLines.InstanceNum), "Outer",   TRUE, "Inner")</f>
        <v>Inner</v>
      </c>
      <c r="M76" s="1">
        <f t="shared" ref="M76" si="355" xml:space="preserve"> IF(LEN(ChartLines.Hex6)=6, HEX2DEC(LEFT(ChartLines.Hex6, 2)), "·")</f>
        <v>0</v>
      </c>
      <c r="N76" s="1">
        <f t="shared" ref="N76" si="356" xml:space="preserve"> IF(LEN(ChartLines.Hex6)=6, HEX2DEC(MID(ChartLines.Hex6, 3, 2)), "·")</f>
        <v>68</v>
      </c>
      <c r="O76" s="1">
        <f t="shared" ref="O76" si="357" xml:space="preserve"> IF(LEN(ChartLines.Hex6)=6, HEX2DEC(RIGHT(ChartLines.Hex6, 2)), "·")</f>
        <v>148</v>
      </c>
      <c r="P76" s="1" cm="1">
        <f t="array" ref="P76" xml:space="preserve"> 1 + ROW() - _xlfn.SINGLE(ROW(ChartLines.RowNum))</f>
        <v>71</v>
      </c>
    </row>
    <row r="77" spans="2:28" x14ac:dyDescent="0.2">
      <c r="B77" s="1" t="s">
        <v>127</v>
      </c>
      <c r="C77" s="1" t="str">
        <f t="shared" si="322"/>
        <v>OMR</v>
      </c>
      <c r="G77" s="1" t="s">
        <v>92</v>
      </c>
      <c r="H77" s="1" t="s">
        <v>446</v>
      </c>
      <c r="J77" s="1">
        <f t="shared" ref="J77" si="358" xml:space="preserve"> IF(AND(LEN(ChartLines.ID)&gt;0,"Unused"&lt;&gt;ChartLines.ID), COUNTIFS(ChartLines.ID,ChartLines.ID), "·")</f>
        <v>2</v>
      </c>
      <c r="K77" s="1">
        <f t="shared" ref="K77" si="359" xml:space="preserve"> IF(AND(LEN(ChartLines.ID)&gt;0,"Unused"&lt;&gt;ChartLines.ID), COUNTIFS(ChartLines.ID,ChartLines.ID,   ChartLines.RowNum,"&lt;="&amp;ChartLines.RowNum), "·")</f>
        <v>1</v>
      </c>
      <c r="L77" s="1" t="str" cm="1">
        <f t="array" ref="L77" xml:space="preserve"> _xlfn.IFS(OR(LEN(_xlfn.SINGLE(ChartLines.ID))=0,"Unused"=_xlfn.SINGLE(ChartLines.ID)), "·",   1=_xlfn.SINGLE(ChartLines.NumInstances), IF("USD"=_xlfn.SINGLE(ChartLines.ID), "SoleBig", "SoleOrdinary"),   1=_xlfn.SINGLE(ChartLines.InstanceNum), "Outer",   TRUE, "Inner")</f>
        <v>Outer</v>
      </c>
      <c r="M77" s="1">
        <f t="shared" ref="M77" si="360" xml:space="preserve"> IF(LEN(ChartLines.Hex6)=6, HEX2DEC(LEFT(ChartLines.Hex6, 2)), "·")</f>
        <v>0</v>
      </c>
      <c r="N77" s="1">
        <f t="shared" ref="N77" si="361" xml:space="preserve"> IF(LEN(ChartLines.Hex6)=6, HEX2DEC(MID(ChartLines.Hex6, 3, 2)), "·")</f>
        <v>163</v>
      </c>
      <c r="O77" s="1">
        <f t="shared" ref="O77" si="362" xml:space="preserve"> IF(LEN(ChartLines.Hex6)=6, HEX2DEC(RIGHT(ChartLines.Hex6, 2)), "·")</f>
        <v>224</v>
      </c>
      <c r="P77" s="1" cm="1">
        <f t="array" ref="P77" xml:space="preserve"> 1 + ROW() - _xlfn.SINGLE(ROW(ChartLines.RowNum))</f>
        <v>72</v>
      </c>
    </row>
    <row r="78" spans="2:28" x14ac:dyDescent="0.2">
      <c r="B78" s="1" t="s">
        <v>128</v>
      </c>
      <c r="C78" s="1" t="str">
        <f t="shared" si="322"/>
        <v>KWD</v>
      </c>
      <c r="G78" s="1" t="s">
        <v>92</v>
      </c>
      <c r="H78" s="1" t="s">
        <v>421</v>
      </c>
      <c r="J78" s="1">
        <f t="shared" ref="J78" si="363" xml:space="preserve"> IF(AND(LEN(ChartLines.ID)&gt;0,"Unused"&lt;&gt;ChartLines.ID), COUNTIFS(ChartLines.ID,ChartLines.ID), "·")</f>
        <v>2</v>
      </c>
      <c r="K78" s="1">
        <f t="shared" ref="K78" si="364" xml:space="preserve"> IF(AND(LEN(ChartLines.ID)&gt;0,"Unused"&lt;&gt;ChartLines.ID), COUNTIFS(ChartLines.ID,ChartLines.ID,   ChartLines.RowNum,"&lt;="&amp;ChartLines.RowNum), "·")</f>
        <v>2</v>
      </c>
      <c r="L78" s="1" t="str" cm="1">
        <f t="array" ref="L78" xml:space="preserve"> _xlfn.IFS(OR(LEN(_xlfn.SINGLE(ChartLines.ID))=0,"Unused"=_xlfn.SINGLE(ChartLines.ID)), "·",   1=_xlfn.SINGLE(ChartLines.NumInstances), IF("USD"=_xlfn.SINGLE(ChartLines.ID), "SoleBig", "SoleOrdinary"),   1=_xlfn.SINGLE(ChartLines.InstanceNum), "Outer",   TRUE, "Inner")</f>
        <v>Inner</v>
      </c>
      <c r="M78" s="1">
        <f t="shared" ref="M78" si="365" xml:space="preserve"> IF(LEN(ChartLines.Hex6)=6, HEX2DEC(LEFT(ChartLines.Hex6, 2)), "·")</f>
        <v>239</v>
      </c>
      <c r="N78" s="1">
        <f t="shared" ref="N78" si="366" xml:space="preserve"> IF(LEN(ChartLines.Hex6)=6, HEX2DEC(MID(ChartLines.Hex6, 3, 2)), "·")</f>
        <v>51</v>
      </c>
      <c r="O78" s="1">
        <f t="shared" ref="O78" si="367" xml:space="preserve"> IF(LEN(ChartLines.Hex6)=6, HEX2DEC(RIGHT(ChartLines.Hex6, 2)), "·")</f>
        <v>64</v>
      </c>
      <c r="P78" s="1" cm="1">
        <f t="array" ref="P78" xml:space="preserve"> 1 + ROW() - _xlfn.SINGLE(ROW(ChartLines.RowNum))</f>
        <v>73</v>
      </c>
    </row>
    <row r="79" spans="2:28" x14ac:dyDescent="0.2">
      <c r="B79" s="1" t="s">
        <v>501</v>
      </c>
      <c r="C79" s="1" t="str">
        <f t="shared" si="322"/>
        <v>YER</v>
      </c>
      <c r="J79" s="1" t="str">
        <f t="shared" ref="J79" si="368" xml:space="preserve"> IF(AND(LEN(ChartLines.ID)&gt;0,"Unused"&lt;&gt;ChartLines.ID), COUNTIFS(ChartLines.ID,ChartLines.ID), "·")</f>
        <v>·</v>
      </c>
      <c r="K79" s="1" t="str">
        <f t="shared" ref="K79" si="369" xml:space="preserve"> IF(AND(LEN(ChartLines.ID)&gt;0,"Unused"&lt;&gt;ChartLines.ID), COUNTIFS(ChartLines.ID,ChartLines.ID,   ChartLines.RowNum,"&lt;="&amp;ChartLines.RowNum), "·")</f>
        <v>·</v>
      </c>
      <c r="L79" s="1" t="str" cm="1">
        <f t="array" ref="L79" xml:space="preserve"> _xlfn.IFS(OR(LEN(_xlfn.SINGLE(ChartLines.ID))=0,"Unused"=_xlfn.SINGLE(ChartLines.ID)), "·",   1=_xlfn.SINGLE(ChartLines.NumInstances), IF("USD"=_xlfn.SINGLE(ChartLines.ID), "SoleBig", "SoleOrdinary"),   1=_xlfn.SINGLE(ChartLines.InstanceNum), "Outer",   TRUE, "Inner")</f>
        <v>·</v>
      </c>
      <c r="M79" s="1" t="str">
        <f t="shared" ref="M79" si="370" xml:space="preserve"> IF(LEN(ChartLines.Hex6)=6, HEX2DEC(LEFT(ChartLines.Hex6, 2)), "·")</f>
        <v>·</v>
      </c>
      <c r="N79" s="1" t="str">
        <f t="shared" ref="N79" si="371" xml:space="preserve"> IF(LEN(ChartLines.Hex6)=6, HEX2DEC(MID(ChartLines.Hex6, 3, 2)), "·")</f>
        <v>·</v>
      </c>
      <c r="O79" s="1" t="str">
        <f t="shared" ref="O79" si="372" xml:space="preserve"> IF(LEN(ChartLines.Hex6)=6, HEX2DEC(RIGHT(ChartLines.Hex6, 2)), "·")</f>
        <v>·</v>
      </c>
      <c r="P79" s="1" cm="1">
        <f t="array" ref="P79" xml:space="preserve"> 1 + ROW() - _xlfn.SINGLE(ROW(ChartLines.RowNum))</f>
        <v>74</v>
      </c>
    </row>
    <row r="80" spans="2:28" x14ac:dyDescent="0.2">
      <c r="B80" s="1" t="s">
        <v>129</v>
      </c>
      <c r="C80" s="1" t="str">
        <f t="shared" ref="C80:C102" si="373" xml:space="preserve"> _xlfn.SINGLE(SeriesFormatAlias.SeriesName)</f>
        <v>JOD</v>
      </c>
      <c r="G80" s="1" t="s">
        <v>93</v>
      </c>
      <c r="H80" s="1" t="s">
        <v>439</v>
      </c>
      <c r="J80" s="1">
        <f t="shared" ref="J80" si="374" xml:space="preserve"> IF(AND(LEN(ChartLines.ID)&gt;0,"Unused"&lt;&gt;ChartLines.ID), COUNTIFS(ChartLines.ID,ChartLines.ID), "·")</f>
        <v>2</v>
      </c>
      <c r="K80" s="1">
        <f t="shared" ref="K80" si="375" xml:space="preserve"> IF(AND(LEN(ChartLines.ID)&gt;0,"Unused"&lt;&gt;ChartLines.ID), COUNTIFS(ChartLines.ID,ChartLines.ID,   ChartLines.RowNum,"&lt;="&amp;ChartLines.RowNum), "·")</f>
        <v>1</v>
      </c>
      <c r="L80" s="1" t="str" cm="1">
        <f t="array" ref="L80" xml:space="preserve"> _xlfn.IFS(OR(LEN(_xlfn.SINGLE(ChartLines.ID))=0,"Unused"=_xlfn.SINGLE(ChartLines.ID)), "·",   1=_xlfn.SINGLE(ChartLines.NumInstances), IF("USD"=_xlfn.SINGLE(ChartLines.ID), "SoleBig", "SoleOrdinary"),   1=_xlfn.SINGLE(ChartLines.InstanceNum), "Outer",   TRUE, "Inner")</f>
        <v>Outer</v>
      </c>
      <c r="M80" s="1">
        <f t="shared" ref="M80" si="376" xml:space="preserve"> IF(LEN(ChartLines.Hex6)=6, HEX2DEC(LEFT(ChartLines.Hex6, 2)), "·")</f>
        <v>218</v>
      </c>
      <c r="N80" s="1">
        <f t="shared" ref="N80" si="377" xml:space="preserve"> IF(LEN(ChartLines.Hex6)=6, HEX2DEC(MID(ChartLines.Hex6, 3, 2)), "·")</f>
        <v>41</v>
      </c>
      <c r="O80" s="1">
        <f t="shared" ref="O80" si="378" xml:space="preserve"> IF(LEN(ChartLines.Hex6)=6, HEX2DEC(RIGHT(ChartLines.Hex6, 2)), "·")</f>
        <v>28</v>
      </c>
      <c r="P80" s="1" cm="1">
        <f t="array" ref="P80" xml:space="preserve"> 1 + ROW() - _xlfn.SINGLE(ROW(ChartLines.RowNum))</f>
        <v>75</v>
      </c>
    </row>
    <row r="81" spans="2:16" x14ac:dyDescent="0.2">
      <c r="B81" s="1" t="s">
        <v>130</v>
      </c>
      <c r="C81" s="1" t="str">
        <f t="shared" si="373"/>
        <v>LBP</v>
      </c>
      <c r="G81" s="1" t="s">
        <v>93</v>
      </c>
      <c r="H81" s="1" t="s">
        <v>423</v>
      </c>
      <c r="J81" s="1">
        <f t="shared" ref="J81" si="379" xml:space="preserve"> IF(AND(LEN(ChartLines.ID)&gt;0,"Unused"&lt;&gt;ChartLines.ID), COUNTIFS(ChartLines.ID,ChartLines.ID), "·")</f>
        <v>2</v>
      </c>
      <c r="K81" s="1">
        <f t="shared" ref="K81" si="380" xml:space="preserve"> IF(AND(LEN(ChartLines.ID)&gt;0,"Unused"&lt;&gt;ChartLines.ID), COUNTIFS(ChartLines.ID,ChartLines.ID,   ChartLines.RowNum,"&lt;="&amp;ChartLines.RowNum), "·")</f>
        <v>2</v>
      </c>
      <c r="L81" s="1" t="str" cm="1">
        <f t="array" ref="L81" xml:space="preserve"> _xlfn.IFS(OR(LEN(_xlfn.SINGLE(ChartLines.ID))=0,"Unused"=_xlfn.SINGLE(ChartLines.ID)), "·",   1=_xlfn.SINGLE(ChartLines.NumInstances), IF("USD"=_xlfn.SINGLE(ChartLines.ID), "SoleBig", "SoleOrdinary"),   1=_xlfn.SINGLE(ChartLines.InstanceNum), "Outer",   TRUE, "Inner")</f>
        <v>Inner</v>
      </c>
      <c r="M81" s="1">
        <f t="shared" ref="M81" si="381" xml:space="preserve"> IF(LEN(ChartLines.Hex6)=6, HEX2DEC(LEFT(ChartLines.Hex6, 2)), "·")</f>
        <v>255</v>
      </c>
      <c r="N81" s="1">
        <f t="shared" ref="N81" si="382" xml:space="preserve"> IF(LEN(ChartLines.Hex6)=6, HEX2DEC(MID(ChartLines.Hex6, 3, 2)), "·")</f>
        <v>255</v>
      </c>
      <c r="O81" s="1">
        <f t="shared" ref="O81" si="383" xml:space="preserve"> IF(LEN(ChartLines.Hex6)=6, HEX2DEC(RIGHT(ChartLines.Hex6, 2)), "·")</f>
        <v>255</v>
      </c>
      <c r="P81" s="1" cm="1">
        <f t="array" ref="P81" xml:space="preserve"> 1 + ROW() - _xlfn.SINGLE(ROW(ChartLines.RowNum))</f>
        <v>76</v>
      </c>
    </row>
    <row r="82" spans="2:16" x14ac:dyDescent="0.2">
      <c r="B82" s="1" t="s">
        <v>131</v>
      </c>
      <c r="C82" s="1" t="str">
        <f t="shared" si="373"/>
        <v>EGP</v>
      </c>
      <c r="G82" s="1" t="s">
        <v>94</v>
      </c>
      <c r="H82" s="1" t="s">
        <v>458</v>
      </c>
      <c r="J82" s="1">
        <f t="shared" ref="J82" si="384" xml:space="preserve"> IF(AND(LEN(ChartLines.ID)&gt;0,"Unused"&lt;&gt;ChartLines.ID), COUNTIFS(ChartLines.ID,ChartLines.ID), "·")</f>
        <v>2</v>
      </c>
      <c r="K82" s="1">
        <f t="shared" ref="K82" si="385" xml:space="preserve"> IF(AND(LEN(ChartLines.ID)&gt;0,"Unused"&lt;&gt;ChartLines.ID), COUNTIFS(ChartLines.ID,ChartLines.ID,   ChartLines.RowNum,"&lt;="&amp;ChartLines.RowNum), "·")</f>
        <v>1</v>
      </c>
      <c r="L82" s="1" t="str" cm="1">
        <f t="array" ref="L82" xml:space="preserve"> _xlfn.IFS(OR(LEN(_xlfn.SINGLE(ChartLines.ID))=0,"Unused"=_xlfn.SINGLE(ChartLines.ID)), "·",   1=_xlfn.SINGLE(ChartLines.NumInstances), IF("USD"=_xlfn.SINGLE(ChartLines.ID), "SoleBig", "SoleOrdinary"),   1=_xlfn.SINGLE(ChartLines.InstanceNum), "Outer",   TRUE, "Inner")</f>
        <v>Outer</v>
      </c>
      <c r="M82" s="1">
        <f t="shared" ref="M82" si="386" xml:space="preserve"> IF(LEN(ChartLines.Hex6)=6, HEX2DEC(LEFT(ChartLines.Hex6, 2)), "·")</f>
        <v>2</v>
      </c>
      <c r="N82" s="1">
        <f t="shared" ref="N82" si="387" xml:space="preserve"> IF(LEN(ChartLines.Hex6)=6, HEX2DEC(MID(ChartLines.Hex6, 3, 2)), "·")</f>
        <v>82</v>
      </c>
      <c r="O82" s="1">
        <f t="shared" ref="O82" si="388" xml:space="preserve"> IF(LEN(ChartLines.Hex6)=6, HEX2DEC(RIGHT(ChartLines.Hex6, 2)), "·")</f>
        <v>156</v>
      </c>
      <c r="P82" s="1" cm="1">
        <f t="array" ref="P82" xml:space="preserve"> 1 + ROW() - _xlfn.SINGLE(ROW(ChartLines.RowNum))</f>
        <v>77</v>
      </c>
    </row>
    <row r="83" spans="2:16" x14ac:dyDescent="0.2">
      <c r="B83" s="1" t="s">
        <v>132</v>
      </c>
      <c r="C83" s="1" t="str">
        <f t="shared" si="373"/>
        <v>TND</v>
      </c>
      <c r="G83" s="1" t="s">
        <v>94</v>
      </c>
      <c r="H83" s="1" t="s">
        <v>459</v>
      </c>
      <c r="J83" s="1">
        <f t="shared" ref="J83" si="389" xml:space="preserve"> IF(AND(LEN(ChartLines.ID)&gt;0,"Unused"&lt;&gt;ChartLines.ID), COUNTIFS(ChartLines.ID,ChartLines.ID), "·")</f>
        <v>2</v>
      </c>
      <c r="K83" s="1">
        <f t="shared" ref="K83" si="390" xml:space="preserve"> IF(AND(LEN(ChartLines.ID)&gt;0,"Unused"&lt;&gt;ChartLines.ID), COUNTIFS(ChartLines.ID,ChartLines.ID,   ChartLines.RowNum,"&lt;="&amp;ChartLines.RowNum), "·")</f>
        <v>2</v>
      </c>
      <c r="L83" s="1" t="str" cm="1">
        <f t="array" ref="L83" xml:space="preserve"> _xlfn.IFS(OR(LEN(_xlfn.SINGLE(ChartLines.ID))=0,"Unused"=_xlfn.SINGLE(ChartLines.ID)), "·",   1=_xlfn.SINGLE(ChartLines.NumInstances), IF("USD"=_xlfn.SINGLE(ChartLines.ID), "SoleBig", "SoleOrdinary"),   1=_xlfn.SINGLE(ChartLines.InstanceNum), "Outer",   TRUE, "Inner")</f>
        <v>Inner</v>
      </c>
      <c r="M83" s="1">
        <f t="shared" ref="M83" si="391" xml:space="preserve"> IF(LEN(ChartLines.Hex6)=6, HEX2DEC(LEFT(ChartLines.Hex6, 2)), "·")</f>
        <v>220</v>
      </c>
      <c r="N83" s="1">
        <f t="shared" ref="N83" si="392" xml:space="preserve"> IF(LEN(ChartLines.Hex6)=6, HEX2DEC(MID(ChartLines.Hex6, 3, 2)), "·")</f>
        <v>30</v>
      </c>
      <c r="O83" s="1">
        <f t="shared" ref="O83" si="393" xml:space="preserve"> IF(LEN(ChartLines.Hex6)=6, HEX2DEC(RIGHT(ChartLines.Hex6, 2)), "·")</f>
        <v>53</v>
      </c>
      <c r="P83" s="1" cm="1">
        <f t="array" ref="P83" xml:space="preserve"> 1 + ROW() - _xlfn.SINGLE(ROW(ChartLines.RowNum))</f>
        <v>78</v>
      </c>
    </row>
    <row r="84" spans="2:16" x14ac:dyDescent="0.2">
      <c r="B84" s="1" t="s">
        <v>133</v>
      </c>
      <c r="C84" s="1" t="str">
        <f t="shared" si="373"/>
        <v>MAD</v>
      </c>
      <c r="G84" s="1" t="s">
        <v>95</v>
      </c>
      <c r="H84" s="1" t="s">
        <v>460</v>
      </c>
      <c r="J84" s="1">
        <f t="shared" ref="J84" si="394" xml:space="preserve"> IF(AND(LEN(ChartLines.ID)&gt;0,"Unused"&lt;&gt;ChartLines.ID), COUNTIFS(ChartLines.ID,ChartLines.ID), "·")</f>
        <v>1</v>
      </c>
      <c r="K84" s="1">
        <f t="shared" ref="K84" si="395" xml:space="preserve"> IF(AND(LEN(ChartLines.ID)&gt;0,"Unused"&lt;&gt;ChartLines.ID), COUNTIFS(ChartLines.ID,ChartLines.ID,   ChartLines.RowNum,"&lt;="&amp;ChartLines.RowNum), "·")</f>
        <v>1</v>
      </c>
      <c r="L84" s="1" t="str" cm="1">
        <f t="array" ref="L84" xml:space="preserve"> _xlfn.IFS(OR(LEN(_xlfn.SINGLE(ChartLines.ID))=0,"Unused"=_xlfn.SINGLE(ChartLines.ID)), "·",   1=_xlfn.SINGLE(ChartLines.NumInstances), IF("USD"=_xlfn.SINGLE(ChartLines.ID), "SoleBig", "SoleOrdinary"),   1=_xlfn.SINGLE(ChartLines.InstanceNum), "Outer",   TRUE, "Inner")</f>
        <v>SoleOrdinary</v>
      </c>
      <c r="M84" s="1">
        <f t="shared" ref="M84" si="396" xml:space="preserve"> IF(LEN(ChartLines.Hex6)=6, HEX2DEC(LEFT(ChartLines.Hex6, 2)), "·")</f>
        <v>210</v>
      </c>
      <c r="N84" s="1">
        <f t="shared" ref="N84" si="397" xml:space="preserve"> IF(LEN(ChartLines.Hex6)=6, HEX2DEC(MID(ChartLines.Hex6, 3, 2)), "·")</f>
        <v>38</v>
      </c>
      <c r="O84" s="1">
        <f t="shared" ref="O84" si="398" xml:space="preserve"> IF(LEN(ChartLines.Hex6)=6, HEX2DEC(RIGHT(ChartLines.Hex6, 2)), "·")</f>
        <v>48</v>
      </c>
      <c r="P84" s="1" cm="1">
        <f t="array" ref="P84" xml:space="preserve"> 1 + ROW() - _xlfn.SINGLE(ROW(ChartLines.RowNum))</f>
        <v>79</v>
      </c>
    </row>
    <row r="85" spans="2:16" x14ac:dyDescent="0.2">
      <c r="B85" s="1" t="s">
        <v>134</v>
      </c>
      <c r="C85" s="1" t="str">
        <f t="shared" si="373"/>
        <v>DZD</v>
      </c>
      <c r="G85" s="1" t="s">
        <v>419</v>
      </c>
      <c r="J85" s="1" t="str">
        <f t="shared" ref="J85" si="399" xml:space="preserve"> IF(AND(LEN(ChartLines.ID)&gt;0,"Unused"&lt;&gt;ChartLines.ID), COUNTIFS(ChartLines.ID,ChartLines.ID), "·")</f>
        <v>·</v>
      </c>
      <c r="K85" s="1" t="str">
        <f t="shared" ref="K85" si="400" xml:space="preserve"> IF(AND(LEN(ChartLines.ID)&gt;0,"Unused"&lt;&gt;ChartLines.ID), COUNTIFS(ChartLines.ID,ChartLines.ID,   ChartLines.RowNum,"&lt;="&amp;ChartLines.RowNum), "·")</f>
        <v>·</v>
      </c>
      <c r="L85" s="1" t="str" cm="1">
        <f t="array" ref="L85" xml:space="preserve"> _xlfn.IFS(OR(LEN(_xlfn.SINGLE(ChartLines.ID))=0,"Unused"=_xlfn.SINGLE(ChartLines.ID)), "·",   1=_xlfn.SINGLE(ChartLines.NumInstances), IF("USD"=_xlfn.SINGLE(ChartLines.ID), "SoleBig", "SoleOrdinary"),   1=_xlfn.SINGLE(ChartLines.InstanceNum), "Outer",   TRUE, "Inner")</f>
        <v>·</v>
      </c>
      <c r="M85" s="1" t="str">
        <f t="shared" ref="M85" si="401" xml:space="preserve"> IF(LEN(ChartLines.Hex6)=6, HEX2DEC(LEFT(ChartLines.Hex6, 2)), "·")</f>
        <v>·</v>
      </c>
      <c r="N85" s="1" t="str">
        <f t="shared" ref="N85" si="402" xml:space="preserve"> IF(LEN(ChartLines.Hex6)=6, HEX2DEC(MID(ChartLines.Hex6, 3, 2)), "·")</f>
        <v>·</v>
      </c>
      <c r="O85" s="1" t="str">
        <f t="shared" ref="O85" si="403" xml:space="preserve"> IF(LEN(ChartLines.Hex6)=6, HEX2DEC(RIGHT(ChartLines.Hex6, 2)), "·")</f>
        <v>·</v>
      </c>
      <c r="P85" s="1" cm="1">
        <f t="array" ref="P85" xml:space="preserve"> 1 + ROW() - _xlfn.SINGLE(ROW(ChartLines.RowNum))</f>
        <v>80</v>
      </c>
    </row>
    <row r="86" spans="2:16" x14ac:dyDescent="0.2">
      <c r="B86" s="1" t="s">
        <v>135</v>
      </c>
      <c r="C86" s="1" t="str">
        <f t="shared" si="373"/>
        <v>IRR</v>
      </c>
      <c r="G86" s="1" t="s">
        <v>96</v>
      </c>
      <c r="H86" s="1" t="s">
        <v>461</v>
      </c>
      <c r="J86" s="1">
        <f t="shared" ref="J86" si="404" xml:space="preserve"> IF(AND(LEN(ChartLines.ID)&gt;0,"Unused"&lt;&gt;ChartLines.ID), COUNTIFS(ChartLines.ID,ChartLines.ID), "·")</f>
        <v>2</v>
      </c>
      <c r="K86" s="1">
        <f t="shared" ref="K86" si="405" xml:space="preserve"> IF(AND(LEN(ChartLines.ID)&gt;0,"Unused"&lt;&gt;ChartLines.ID), COUNTIFS(ChartLines.ID,ChartLines.ID,   ChartLines.RowNum,"&lt;="&amp;ChartLines.RowNum), "·")</f>
        <v>1</v>
      </c>
      <c r="L86" s="1" t="str" cm="1">
        <f t="array" ref="L86" xml:space="preserve"> _xlfn.IFS(OR(LEN(_xlfn.SINGLE(ChartLines.ID))=0,"Unused"=_xlfn.SINGLE(ChartLines.ID)), "·",   1=_xlfn.SINGLE(ChartLines.NumInstances), IF("USD"=_xlfn.SINGLE(ChartLines.ID), "SoleBig", "SoleOrdinary"),   1=_xlfn.SINGLE(ChartLines.InstanceNum), "Outer",   TRUE, "Inner")</f>
        <v>Outer</v>
      </c>
      <c r="M86" s="1">
        <f t="shared" ref="M86" si="406" xml:space="preserve"> IF(LEN(ChartLines.Hex6)=6, HEX2DEC(LEFT(ChartLines.Hex6, 2)), "·")</f>
        <v>17</v>
      </c>
      <c r="N86" s="1">
        <f t="shared" ref="N86" si="407" xml:space="preserve"> IF(LEN(ChartLines.Hex6)=6, HEX2DEC(MID(ChartLines.Hex6, 3, 2)), "·")</f>
        <v>69</v>
      </c>
      <c r="O86" s="1">
        <f t="shared" ref="O86" si="408" xml:space="preserve"> IF(LEN(ChartLines.Hex6)=6, HEX2DEC(RIGHT(ChartLines.Hex6, 2)), "·")</f>
        <v>126</v>
      </c>
      <c r="P86" s="1" cm="1">
        <f t="array" ref="P86" xml:space="preserve"> 1 + ROW() - _xlfn.SINGLE(ROW(ChartLines.RowNum))</f>
        <v>81</v>
      </c>
    </row>
    <row r="87" spans="2:16" x14ac:dyDescent="0.2">
      <c r="B87" s="1" t="s">
        <v>136</v>
      </c>
      <c r="C87" s="1" t="str">
        <f t="shared" si="373"/>
        <v>IQD</v>
      </c>
      <c r="G87" s="1" t="s">
        <v>96</v>
      </c>
      <c r="H87" s="1" t="s">
        <v>462</v>
      </c>
      <c r="J87" s="1">
        <f t="shared" ref="J87" si="409" xml:space="preserve"> IF(AND(LEN(ChartLines.ID)&gt;0,"Unused"&lt;&gt;ChartLines.ID), COUNTIFS(ChartLines.ID,ChartLines.ID), "·")</f>
        <v>2</v>
      </c>
      <c r="K87" s="1">
        <f t="shared" ref="K87" si="410" xml:space="preserve"> IF(AND(LEN(ChartLines.ID)&gt;0,"Unused"&lt;&gt;ChartLines.ID), COUNTIFS(ChartLines.ID,ChartLines.ID,   ChartLines.RowNum,"&lt;="&amp;ChartLines.RowNum), "·")</f>
        <v>2</v>
      </c>
      <c r="L87" s="1" t="str" cm="1">
        <f t="array" ref="L87" xml:space="preserve"> _xlfn.IFS(OR(LEN(_xlfn.SINGLE(ChartLines.ID))=0,"Unused"=_xlfn.SINGLE(ChartLines.ID)), "·",   1=_xlfn.SINGLE(ChartLines.NumInstances), IF("USD"=_xlfn.SINGLE(ChartLines.ID), "SoleBig", "SoleOrdinary"),   1=_xlfn.SINGLE(ChartLines.InstanceNum), "Outer",   TRUE, "Inner")</f>
        <v>Inner</v>
      </c>
      <c r="M87" s="1">
        <f t="shared" ref="M87" si="411" xml:space="preserve"> IF(LEN(ChartLines.Hex6)=6, HEX2DEC(LEFT(ChartLines.Hex6, 2)), "·")</f>
        <v>215</v>
      </c>
      <c r="N87" s="1">
        <f t="shared" ref="N87" si="412" xml:space="preserve"> IF(LEN(ChartLines.Hex6)=6, HEX2DEC(MID(ChartLines.Hex6, 3, 2)), "·")</f>
        <v>20</v>
      </c>
      <c r="O87" s="1">
        <f t="shared" ref="O87" si="413" xml:space="preserve"> IF(LEN(ChartLines.Hex6)=6, HEX2DEC(RIGHT(ChartLines.Hex6, 2)), "·")</f>
        <v>26</v>
      </c>
      <c r="P87" s="1" cm="1">
        <f t="array" ref="P87" xml:space="preserve"> 1 + ROW() - _xlfn.SINGLE(ROW(ChartLines.RowNum))</f>
        <v>82</v>
      </c>
    </row>
    <row r="88" spans="2:16" x14ac:dyDescent="0.2">
      <c r="B88" s="1" t="s">
        <v>137</v>
      </c>
      <c r="C88" s="1" t="str">
        <f t="shared" si="373"/>
        <v>ILS</v>
      </c>
      <c r="G88" s="1" t="s">
        <v>97</v>
      </c>
      <c r="H88" s="1" t="s">
        <v>424</v>
      </c>
      <c r="J88" s="1">
        <f t="shared" ref="J88" si="414" xml:space="preserve"> IF(AND(LEN(ChartLines.ID)&gt;0,"Unused"&lt;&gt;ChartLines.ID), COUNTIFS(ChartLines.ID,ChartLines.ID), "·")</f>
        <v>2</v>
      </c>
      <c r="K88" s="1">
        <f t="shared" ref="K88" si="415" xml:space="preserve"> IF(AND(LEN(ChartLines.ID)&gt;0,"Unused"&lt;&gt;ChartLines.ID), COUNTIFS(ChartLines.ID,ChartLines.ID,   ChartLines.RowNum,"&lt;="&amp;ChartLines.RowNum), "·")</f>
        <v>1</v>
      </c>
      <c r="L88" s="1" t="str" cm="1">
        <f t="array" ref="L88" xml:space="preserve"> _xlfn.IFS(OR(LEN(_xlfn.SINGLE(ChartLines.ID))=0,"Unused"=_xlfn.SINGLE(ChartLines.ID)), "·",   1=_xlfn.SINGLE(ChartLines.NumInstances), IF("USD"=_xlfn.SINGLE(ChartLines.ID), "SoleBig", "SoleOrdinary"),   1=_xlfn.SINGLE(ChartLines.InstanceNum), "Outer",   TRUE, "Inner")</f>
        <v>Outer</v>
      </c>
      <c r="M88" s="1">
        <f t="shared" ref="M88" si="416" xml:space="preserve"> IF(LEN(ChartLines.Hex6)=6, HEX2DEC(LEFT(ChartLines.Hex6, 2)), "·")</f>
        <v>0</v>
      </c>
      <c r="N88" s="1">
        <f t="shared" ref="N88" si="417" xml:space="preserve"> IF(LEN(ChartLines.Hex6)=6, HEX2DEC(MID(ChartLines.Hex6, 3, 2)), "·")</f>
        <v>132</v>
      </c>
      <c r="O88" s="1">
        <f t="shared" ref="O88" si="418" xml:space="preserve"> IF(LEN(ChartLines.Hex6)=6, HEX2DEC(RIGHT(ChartLines.Hex6, 2)), "·")</f>
        <v>61</v>
      </c>
      <c r="P88" s="1" cm="1">
        <f t="array" ref="P88" xml:space="preserve"> 1 + ROW() - _xlfn.SINGLE(ROW(ChartLines.RowNum))</f>
        <v>83</v>
      </c>
    </row>
    <row r="89" spans="2:16" x14ac:dyDescent="0.2">
      <c r="B89" s="1" t="s">
        <v>138</v>
      </c>
      <c r="C89" s="1" t="str">
        <f t="shared" si="373"/>
        <v>ZAR</v>
      </c>
      <c r="G89" s="1" t="s">
        <v>97</v>
      </c>
      <c r="H89" s="1" t="s">
        <v>463</v>
      </c>
      <c r="J89" s="1">
        <f t="shared" ref="J89" si="419" xml:space="preserve"> IF(AND(LEN(ChartLines.ID)&gt;0,"Unused"&lt;&gt;ChartLines.ID), COUNTIFS(ChartLines.ID,ChartLines.ID), "·")</f>
        <v>2</v>
      </c>
      <c r="K89" s="1">
        <f t="shared" ref="K89" si="420" xml:space="preserve"> IF(AND(LEN(ChartLines.ID)&gt;0,"Unused"&lt;&gt;ChartLines.ID), COUNTIFS(ChartLines.ID,ChartLines.ID,   ChartLines.RowNum,"&lt;="&amp;ChartLines.RowNum), "·")</f>
        <v>2</v>
      </c>
      <c r="L89" s="1" t="str" cm="1">
        <f t="array" ref="L89" xml:space="preserve"> _xlfn.IFS(OR(LEN(_xlfn.SINGLE(ChartLines.ID))=0,"Unused"=_xlfn.SINGLE(ChartLines.ID)), "·",   1=_xlfn.SINGLE(ChartLines.NumInstances), IF("USD"=_xlfn.SINGLE(ChartLines.ID), "SoleBig", "SoleOrdinary"),   1=_xlfn.SINGLE(ChartLines.InstanceNum), "Outer",   TRUE, "Inner")</f>
        <v>Inner</v>
      </c>
      <c r="M89" s="1">
        <f t="shared" ref="M89" si="421" xml:space="preserve"> IF(LEN(ChartLines.Hex6)=6, HEX2DEC(LEFT(ChartLines.Hex6, 2)), "·")</f>
        <v>206</v>
      </c>
      <c r="N89" s="1">
        <f t="shared" ref="N89" si="422" xml:space="preserve"> IF(LEN(ChartLines.Hex6)=6, HEX2DEC(MID(ChartLines.Hex6, 3, 2)), "·")</f>
        <v>41</v>
      </c>
      <c r="O89" s="1">
        <f t="shared" ref="O89" si="423" xml:space="preserve"> IF(LEN(ChartLines.Hex6)=6, HEX2DEC(RIGHT(ChartLines.Hex6, 2)), "·")</f>
        <v>57</v>
      </c>
      <c r="P89" s="1" cm="1">
        <f t="array" ref="P89" xml:space="preserve"> 1 + ROW() - _xlfn.SINGLE(ROW(ChartLines.RowNum))</f>
        <v>84</v>
      </c>
    </row>
    <row r="90" spans="2:16" x14ac:dyDescent="0.2">
      <c r="B90" s="1" t="s">
        <v>139</v>
      </c>
      <c r="C90" s="1" t="str">
        <f t="shared" si="373"/>
        <v>NGN</v>
      </c>
      <c r="G90" s="1" t="s">
        <v>98</v>
      </c>
      <c r="H90" s="1" t="s">
        <v>464</v>
      </c>
      <c r="J90" s="1">
        <f t="shared" ref="J90" si="424" xml:space="preserve"> IF(AND(LEN(ChartLines.ID)&gt;0,"Unused"&lt;&gt;ChartLines.ID), COUNTIFS(ChartLines.ID,ChartLines.ID), "·")</f>
        <v>2</v>
      </c>
      <c r="K90" s="1">
        <f t="shared" ref="K90" si="425" xml:space="preserve"> IF(AND(LEN(ChartLines.ID)&gt;0,"Unused"&lt;&gt;ChartLines.ID), COUNTIFS(ChartLines.ID,ChartLines.ID,   ChartLines.RowNum,"&lt;="&amp;ChartLines.RowNum), "·")</f>
        <v>1</v>
      </c>
      <c r="L90" s="1" t="str" cm="1">
        <f t="array" ref="L90" xml:space="preserve"> _xlfn.IFS(OR(LEN(_xlfn.SINGLE(ChartLines.ID))=0,"Unused"=_xlfn.SINGLE(ChartLines.ID)), "·",   1=_xlfn.SINGLE(ChartLines.NumInstances), IF("USD"=_xlfn.SINGLE(ChartLines.ID), "SoleBig", "SoleOrdinary"),   1=_xlfn.SINGLE(ChartLines.InstanceNum), "Outer",   TRUE, "Inner")</f>
        <v>Outer</v>
      </c>
      <c r="M90" s="1">
        <f t="shared" ref="M90" si="426" xml:space="preserve"> IF(LEN(ChartLines.Hex6)=6, HEX2DEC(LEFT(ChartLines.Hex6, 2)), "·")</f>
        <v>0</v>
      </c>
      <c r="N90" s="1">
        <f t="shared" ref="N90" si="427" xml:space="preserve"> IF(LEN(ChartLines.Hex6)=6, HEX2DEC(MID(ChartLines.Hex6, 3, 2)), "·")</f>
        <v>43</v>
      </c>
      <c r="O90" s="1">
        <f t="shared" ref="O90" si="428" xml:space="preserve"> IF(LEN(ChartLines.Hex6)=6, HEX2DEC(RIGHT(ChartLines.Hex6, 2)), "·")</f>
        <v>127</v>
      </c>
      <c r="P90" s="1" cm="1">
        <f t="array" ref="P90" xml:space="preserve"> 1 + ROW() - _xlfn.SINGLE(ROW(ChartLines.RowNum))</f>
        <v>85</v>
      </c>
    </row>
    <row r="91" spans="2:16" x14ac:dyDescent="0.2">
      <c r="B91" s="1" t="s">
        <v>140</v>
      </c>
      <c r="C91" s="1" t="str">
        <f t="shared" si="373"/>
        <v>ETB</v>
      </c>
      <c r="G91" s="1" t="s">
        <v>98</v>
      </c>
      <c r="H91" s="1" t="s">
        <v>465</v>
      </c>
      <c r="J91" s="1">
        <f t="shared" ref="J91" si="429" xml:space="preserve"> IF(AND(LEN(ChartLines.ID)&gt;0,"Unused"&lt;&gt;ChartLines.ID), COUNTIFS(ChartLines.ID,ChartLines.ID), "·")</f>
        <v>2</v>
      </c>
      <c r="K91" s="1">
        <f t="shared" ref="K91" si="430" xml:space="preserve"> IF(AND(LEN(ChartLines.ID)&gt;0,"Unused"&lt;&gt;ChartLines.ID), COUNTIFS(ChartLines.ID,ChartLines.ID,   ChartLines.RowNum,"&lt;="&amp;ChartLines.RowNum), "·")</f>
        <v>2</v>
      </c>
      <c r="L91" s="1" t="str" cm="1">
        <f t="array" ref="L91" xml:space="preserve"> _xlfn.IFS(OR(LEN(_xlfn.SINGLE(ChartLines.ID))=0,"Unused"=_xlfn.SINGLE(ChartLines.ID)), "·",   1=_xlfn.SINGLE(ChartLines.NumInstances), IF("USD"=_xlfn.SINGLE(ChartLines.ID), "SoleBig", "SoleOrdinary"),   1=_xlfn.SINGLE(ChartLines.InstanceNum), "Outer",   TRUE, "Inner")</f>
        <v>Inner</v>
      </c>
      <c r="M91" s="1">
        <f t="shared" ref="M91" si="431" xml:space="preserve"> IF(LEN(ChartLines.Hex6)=6, HEX2DEC(LEFT(ChartLines.Hex6, 2)), "·")</f>
        <v>252</v>
      </c>
      <c r="N91" s="1">
        <f t="shared" ref="N91" si="432" xml:space="preserve"> IF(LEN(ChartLines.Hex6)=6, HEX2DEC(MID(ChartLines.Hex6, 3, 2)), "·")</f>
        <v>209</v>
      </c>
      <c r="O91" s="1">
        <f t="shared" ref="O91" si="433" xml:space="preserve"> IF(LEN(ChartLines.Hex6)=6, HEX2DEC(RIGHT(ChartLines.Hex6, 2)), "·")</f>
        <v>22</v>
      </c>
      <c r="P91" s="1" cm="1">
        <f t="array" ref="P91" xml:space="preserve"> 1 + ROW() - _xlfn.SINGLE(ROW(ChartLines.RowNum))</f>
        <v>86</v>
      </c>
    </row>
    <row r="92" spans="2:16" x14ac:dyDescent="0.2">
      <c r="B92" s="1" t="s">
        <v>141</v>
      </c>
      <c r="C92" s="1" t="str">
        <f t="shared" si="373"/>
        <v>SDG</v>
      </c>
      <c r="G92" s="1" t="s">
        <v>99</v>
      </c>
      <c r="H92" s="1" t="s">
        <v>466</v>
      </c>
      <c r="J92" s="1">
        <f t="shared" ref="J92" si="434" xml:space="preserve"> IF(AND(LEN(ChartLines.ID)&gt;0,"Unused"&lt;&gt;ChartLines.ID), COUNTIFS(ChartLines.ID,ChartLines.ID), "·")</f>
        <v>2</v>
      </c>
      <c r="K92" s="1">
        <f t="shared" ref="K92" si="435" xml:space="preserve"> IF(AND(LEN(ChartLines.ID)&gt;0,"Unused"&lt;&gt;ChartLines.ID), COUNTIFS(ChartLines.ID,ChartLines.ID,   ChartLines.RowNum,"&lt;="&amp;ChartLines.RowNum), "·")</f>
        <v>1</v>
      </c>
      <c r="L92" s="1" t="str" cm="1">
        <f t="array" ref="L92" xml:space="preserve"> _xlfn.IFS(OR(LEN(_xlfn.SINGLE(ChartLines.ID))=0,"Unused"=_xlfn.SINGLE(ChartLines.ID)), "·",   1=_xlfn.SINGLE(ChartLines.NumInstances), IF("USD"=_xlfn.SINGLE(ChartLines.ID), "SoleBig", "SoleOrdinary"),   1=_xlfn.SINGLE(ChartLines.InstanceNum), "Outer",   TRUE, "Inner")</f>
        <v>Outer</v>
      </c>
      <c r="M92" s="1">
        <f t="shared" ref="M92" si="436" xml:space="preserve"> IF(LEN(ChartLines.Hex6)=6, HEX2DEC(LEFT(ChartLines.Hex6, 2)), "·")</f>
        <v>0</v>
      </c>
      <c r="N92" s="1">
        <f t="shared" ref="N92" si="437" xml:space="preserve"> IF(LEN(ChartLines.Hex6)=6, HEX2DEC(MID(ChartLines.Hex6, 3, 2)), "·")</f>
        <v>175</v>
      </c>
      <c r="O92" s="1">
        <f t="shared" ref="O92" si="438" xml:space="preserve"> IF(LEN(ChartLines.Hex6)=6, HEX2DEC(RIGHT(ChartLines.Hex6, 2)), "·")</f>
        <v>102</v>
      </c>
      <c r="P92" s="1" cm="1">
        <f t="array" ref="P92" xml:space="preserve"> 1 + ROW() - _xlfn.SINGLE(ROW(ChartLines.RowNum))</f>
        <v>87</v>
      </c>
    </row>
    <row r="93" spans="2:16" x14ac:dyDescent="0.2">
      <c r="B93" s="1" t="s">
        <v>142</v>
      </c>
      <c r="C93" s="1" t="str">
        <f t="shared" si="373"/>
        <v>KYS</v>
      </c>
      <c r="G93" s="1" t="s">
        <v>99</v>
      </c>
      <c r="H93" s="1" t="s">
        <v>423</v>
      </c>
      <c r="J93" s="1">
        <f t="shared" ref="J93" si="439" xml:space="preserve"> IF(AND(LEN(ChartLines.ID)&gt;0,"Unused"&lt;&gt;ChartLines.ID), COUNTIFS(ChartLines.ID,ChartLines.ID), "·")</f>
        <v>2</v>
      </c>
      <c r="K93" s="1">
        <f t="shared" ref="K93" si="440" xml:space="preserve"> IF(AND(LEN(ChartLines.ID)&gt;0,"Unused"&lt;&gt;ChartLines.ID), COUNTIFS(ChartLines.ID,ChartLines.ID,   ChartLines.RowNum,"&lt;="&amp;ChartLines.RowNum), "·")</f>
        <v>2</v>
      </c>
      <c r="L93" s="1" t="str" cm="1">
        <f t="array" ref="L93" xml:space="preserve"> _xlfn.IFS(OR(LEN(_xlfn.SINGLE(ChartLines.ID))=0,"Unused"=_xlfn.SINGLE(ChartLines.ID)), "·",   1=_xlfn.SINGLE(ChartLines.NumInstances), IF("USD"=_xlfn.SINGLE(ChartLines.ID), "SoleBig", "SoleOrdinary"),   1=_xlfn.SINGLE(ChartLines.InstanceNum), "Outer",   TRUE, "Inner")</f>
        <v>Inner</v>
      </c>
      <c r="M93" s="1">
        <f t="shared" ref="M93" si="441" xml:space="preserve"> IF(LEN(ChartLines.Hex6)=6, HEX2DEC(LEFT(ChartLines.Hex6, 2)), "·")</f>
        <v>255</v>
      </c>
      <c r="N93" s="1">
        <f t="shared" ref="N93" si="442" xml:space="preserve"> IF(LEN(ChartLines.Hex6)=6, HEX2DEC(MID(ChartLines.Hex6, 3, 2)), "·")</f>
        <v>255</v>
      </c>
      <c r="O93" s="1">
        <f t="shared" ref="O93" si="443" xml:space="preserve"> IF(LEN(ChartLines.Hex6)=6, HEX2DEC(RIGHT(ChartLines.Hex6, 2)), "·")</f>
        <v>255</v>
      </c>
      <c r="P93" s="1" cm="1">
        <f t="array" ref="P93" xml:space="preserve"> 1 + ROW() - _xlfn.SINGLE(ROW(ChartLines.RowNum))</f>
        <v>88</v>
      </c>
    </row>
    <row r="94" spans="2:16" x14ac:dyDescent="0.2">
      <c r="B94" s="1" t="s">
        <v>143</v>
      </c>
      <c r="C94" s="1" t="str">
        <f t="shared" si="373"/>
        <v>TZS</v>
      </c>
      <c r="J94" s="1" t="str">
        <f t="shared" ref="J94" si="444" xml:space="preserve"> IF(AND(LEN(ChartLines.ID)&gt;0,"Unused"&lt;&gt;ChartLines.ID), COUNTIFS(ChartLines.ID,ChartLines.ID), "·")</f>
        <v>·</v>
      </c>
      <c r="K94" s="1" t="str">
        <f t="shared" ref="K94" si="445" xml:space="preserve"> IF(AND(LEN(ChartLines.ID)&gt;0,"Unused"&lt;&gt;ChartLines.ID), COUNTIFS(ChartLines.ID,ChartLines.ID,   ChartLines.RowNum,"&lt;="&amp;ChartLines.RowNum), "·")</f>
        <v>·</v>
      </c>
      <c r="L94" s="1" t="str" cm="1">
        <f t="array" ref="L94" xml:space="preserve"> _xlfn.IFS(OR(LEN(_xlfn.SINGLE(ChartLines.ID))=0,"Unused"=_xlfn.SINGLE(ChartLines.ID)), "·",   1=_xlfn.SINGLE(ChartLines.NumInstances), IF("USD"=_xlfn.SINGLE(ChartLines.ID), "SoleBig", "SoleOrdinary"),   1=_xlfn.SINGLE(ChartLines.InstanceNum), "Outer",   TRUE, "Inner")</f>
        <v>·</v>
      </c>
      <c r="M94" s="1" t="str">
        <f t="shared" ref="M94" si="446" xml:space="preserve"> IF(LEN(ChartLines.Hex6)=6, HEX2DEC(LEFT(ChartLines.Hex6, 2)), "·")</f>
        <v>·</v>
      </c>
      <c r="N94" s="1" t="str">
        <f t="shared" ref="N94" si="447" xml:space="preserve"> IF(LEN(ChartLines.Hex6)=6, HEX2DEC(MID(ChartLines.Hex6, 3, 2)), "·")</f>
        <v>·</v>
      </c>
      <c r="O94" s="1" t="str">
        <f t="shared" ref="O94" si="448" xml:space="preserve"> IF(LEN(ChartLines.Hex6)=6, HEX2DEC(RIGHT(ChartLines.Hex6, 2)), "·")</f>
        <v>·</v>
      </c>
      <c r="P94" s="1" cm="1">
        <f t="array" ref="P94" xml:space="preserve"> 1 + ROW() - _xlfn.SINGLE(ROW(ChartLines.RowNum))</f>
        <v>89</v>
      </c>
    </row>
    <row r="95" spans="2:16" x14ac:dyDescent="0.2">
      <c r="B95" s="1" t="s">
        <v>144</v>
      </c>
      <c r="C95" s="1" t="str">
        <f t="shared" si="373"/>
        <v>UGX</v>
      </c>
      <c r="G95" s="1" t="s">
        <v>100</v>
      </c>
      <c r="H95" s="1" t="s">
        <v>467</v>
      </c>
      <c r="J95" s="1">
        <f t="shared" ref="J95" si="449" xml:space="preserve"> IF(AND(LEN(ChartLines.ID)&gt;0,"Unused"&lt;&gt;ChartLines.ID), COUNTIFS(ChartLines.ID,ChartLines.ID), "·")</f>
        <v>2</v>
      </c>
      <c r="K95" s="1">
        <f t="shared" ref="K95" si="450" xml:space="preserve"> IF(AND(LEN(ChartLines.ID)&gt;0,"Unused"&lt;&gt;ChartLines.ID), COUNTIFS(ChartLines.ID,ChartLines.ID,   ChartLines.RowNum,"&lt;="&amp;ChartLines.RowNum), "·")</f>
        <v>1</v>
      </c>
      <c r="L95" s="1" t="str" cm="1">
        <f t="array" ref="L95" xml:space="preserve"> _xlfn.IFS(OR(LEN(_xlfn.SINGLE(ChartLines.ID))=0,"Unused"=_xlfn.SINGLE(ChartLines.ID)), "·",   1=_xlfn.SINGLE(ChartLines.NumInstances), IF("USD"=_xlfn.SINGLE(ChartLines.ID), "SoleBig", "SoleOrdinary"),   1=_xlfn.SINGLE(ChartLines.InstanceNum), "Outer",   TRUE, "Inner")</f>
        <v>Outer</v>
      </c>
      <c r="M95" s="1">
        <f t="shared" ref="M95" si="451" xml:space="preserve"> IF(LEN(ChartLines.Hex6)=6, HEX2DEC(LEFT(ChartLines.Hex6, 2)), "·")</f>
        <v>222</v>
      </c>
      <c r="N95" s="1">
        <f t="shared" ref="N95" si="452" xml:space="preserve"> IF(LEN(ChartLines.Hex6)=6, HEX2DEC(MID(ChartLines.Hex6, 3, 2)), "·")</f>
        <v>41</v>
      </c>
      <c r="O95" s="1">
        <f t="shared" ref="O95" si="453" xml:space="preserve"> IF(LEN(ChartLines.Hex6)=6, HEX2DEC(RIGHT(ChartLines.Hex6, 2)), "·")</f>
        <v>16</v>
      </c>
      <c r="P95" s="1" cm="1">
        <f t="array" ref="P95" xml:space="preserve"> 1 + ROW() - _xlfn.SINGLE(ROW(ChartLines.RowNum))</f>
        <v>90</v>
      </c>
    </row>
    <row r="96" spans="2:16" x14ac:dyDescent="0.2">
      <c r="B96" s="1" t="s">
        <v>145</v>
      </c>
      <c r="C96" s="1" t="str">
        <f t="shared" si="373"/>
        <v>CDF</v>
      </c>
      <c r="G96" s="1" t="s">
        <v>100</v>
      </c>
      <c r="H96" s="1" t="s">
        <v>468</v>
      </c>
      <c r="J96" s="1">
        <f t="shared" ref="J96" si="454" xml:space="preserve"> IF(AND(LEN(ChartLines.ID)&gt;0,"Unused"&lt;&gt;ChartLines.ID), COUNTIFS(ChartLines.ID,ChartLines.ID), "·")</f>
        <v>2</v>
      </c>
      <c r="K96" s="1">
        <f t="shared" ref="K96" si="455" xml:space="preserve"> IF(AND(LEN(ChartLines.ID)&gt;0,"Unused"&lt;&gt;ChartLines.ID), COUNTIFS(ChartLines.ID,ChartLines.ID,   ChartLines.RowNum,"&lt;="&amp;ChartLines.RowNum), "·")</f>
        <v>2</v>
      </c>
      <c r="L96" s="1" t="str" cm="1">
        <f t="array" ref="L96" xml:space="preserve"> _xlfn.IFS(OR(LEN(_xlfn.SINGLE(ChartLines.ID))=0,"Unused"=_xlfn.SINGLE(ChartLines.ID)), "·",   1=_xlfn.SINGLE(ChartLines.NumInstances), IF("USD"=_xlfn.SINGLE(ChartLines.ID), "SoleBig", "SoleOrdinary"),   1=_xlfn.SINGLE(ChartLines.InstanceNum), "Outer",   TRUE, "Inner")</f>
        <v>Inner</v>
      </c>
      <c r="M96" s="1">
        <f t="shared" ref="M96" si="456" xml:space="preserve"> IF(LEN(ChartLines.Hex6)=6, HEX2DEC(LEFT(ChartLines.Hex6, 2)), "·")</f>
        <v>255</v>
      </c>
      <c r="N96" s="1">
        <f t="shared" ref="N96" si="457" xml:space="preserve"> IF(LEN(ChartLines.Hex6)=6, HEX2DEC(MID(ChartLines.Hex6, 3, 2)), "·")</f>
        <v>222</v>
      </c>
      <c r="O96" s="1">
        <f t="shared" ref="O96" si="458" xml:space="preserve"> IF(LEN(ChartLines.Hex6)=6, HEX2DEC(RIGHT(ChartLines.Hex6, 2)), "·")</f>
        <v>0</v>
      </c>
      <c r="P96" s="1" cm="1">
        <f t="array" ref="P96" xml:space="preserve"> 1 + ROW() - _xlfn.SINGLE(ROW(ChartLines.RowNum))</f>
        <v>91</v>
      </c>
    </row>
    <row r="97" spans="2:16" x14ac:dyDescent="0.2">
      <c r="B97" s="1" t="s">
        <v>146</v>
      </c>
      <c r="C97" s="1" t="str">
        <f t="shared" si="373"/>
        <v>GHS</v>
      </c>
      <c r="G97" s="1" t="s">
        <v>101</v>
      </c>
      <c r="H97" s="1" t="s">
        <v>422</v>
      </c>
      <c r="J97" s="1">
        <f t="shared" ref="J97" si="459" xml:space="preserve"> IF(AND(LEN(ChartLines.ID)&gt;0,"Unused"&lt;&gt;ChartLines.ID), COUNTIFS(ChartLines.ID,ChartLines.ID), "·")</f>
        <v>1</v>
      </c>
      <c r="K97" s="1">
        <f t="shared" ref="K97" si="460" xml:space="preserve"> IF(AND(LEN(ChartLines.ID)&gt;0,"Unused"&lt;&gt;ChartLines.ID), COUNTIFS(ChartLines.ID,ChartLines.ID,   ChartLines.RowNum,"&lt;="&amp;ChartLines.RowNum), "·")</f>
        <v>1</v>
      </c>
      <c r="L97" s="1" t="str" cm="1">
        <f t="array" ref="L97" xml:space="preserve"> _xlfn.IFS(OR(LEN(_xlfn.SINGLE(ChartLines.ID))=0,"Unused"=_xlfn.SINGLE(ChartLines.ID)), "·",   1=_xlfn.SINGLE(ChartLines.NumInstances), IF("USD"=_xlfn.SINGLE(ChartLines.ID), "SoleBig", "SoleOrdinary"),   1=_xlfn.SINGLE(ChartLines.InstanceNum), "Outer",   TRUE, "Inner")</f>
        <v>SoleOrdinary</v>
      </c>
      <c r="M97" s="1">
        <f t="shared" ref="M97" si="461" xml:space="preserve"> IF(LEN(ChartLines.Hex6)=6, HEX2DEC(LEFT(ChartLines.Hex6, 2)), "·")</f>
        <v>255</v>
      </c>
      <c r="N97" s="1">
        <f t="shared" ref="N97" si="462" xml:space="preserve"> IF(LEN(ChartLines.Hex6)=6, HEX2DEC(MID(ChartLines.Hex6, 3, 2)), "·")</f>
        <v>0</v>
      </c>
      <c r="O97" s="1">
        <f t="shared" ref="O97" si="463" xml:space="preserve"> IF(LEN(ChartLines.Hex6)=6, HEX2DEC(RIGHT(ChartLines.Hex6, 2)), "·")</f>
        <v>0</v>
      </c>
      <c r="P97" s="1" cm="1">
        <f t="array" ref="P97" xml:space="preserve"> 1 + ROW() - _xlfn.SINGLE(ROW(ChartLines.RowNum))</f>
        <v>92</v>
      </c>
    </row>
    <row r="98" spans="2:16" x14ac:dyDescent="0.2">
      <c r="B98" s="1" t="s">
        <v>147</v>
      </c>
      <c r="C98" s="1" t="str">
        <f t="shared" si="373"/>
        <v>SN</v>
      </c>
      <c r="G98" s="1" t="s">
        <v>419</v>
      </c>
      <c r="J98" s="1" t="str">
        <f t="shared" ref="J98" si="464" xml:space="preserve"> IF(AND(LEN(ChartLines.ID)&gt;0,"Unused"&lt;&gt;ChartLines.ID), COUNTIFS(ChartLines.ID,ChartLines.ID), "·")</f>
        <v>·</v>
      </c>
      <c r="K98" s="1" t="str">
        <f t="shared" ref="K98" si="465" xml:space="preserve"> IF(AND(LEN(ChartLines.ID)&gt;0,"Unused"&lt;&gt;ChartLines.ID), COUNTIFS(ChartLines.ID,ChartLines.ID,   ChartLines.RowNum,"&lt;="&amp;ChartLines.RowNum), "·")</f>
        <v>·</v>
      </c>
      <c r="L98" s="1" t="str" cm="1">
        <f t="array" ref="L98" xml:space="preserve"> _xlfn.IFS(OR(LEN(_xlfn.SINGLE(ChartLines.ID))=0,"Unused"=_xlfn.SINGLE(ChartLines.ID)), "·",   1=_xlfn.SINGLE(ChartLines.NumInstances), IF("USD"=_xlfn.SINGLE(ChartLines.ID), "SoleBig", "SoleOrdinary"),   1=_xlfn.SINGLE(ChartLines.InstanceNum), "Outer",   TRUE, "Inner")</f>
        <v>·</v>
      </c>
      <c r="M98" s="1" t="str">
        <f t="shared" ref="M98" si="466" xml:space="preserve"> IF(LEN(ChartLines.Hex6)=6, HEX2DEC(LEFT(ChartLines.Hex6, 2)), "·")</f>
        <v>·</v>
      </c>
      <c r="N98" s="1" t="str">
        <f t="shared" ref="N98" si="467" xml:space="preserve"> IF(LEN(ChartLines.Hex6)=6, HEX2DEC(MID(ChartLines.Hex6, 3, 2)), "·")</f>
        <v>·</v>
      </c>
      <c r="O98" s="1" t="str">
        <f t="shared" ref="O98" si="468" xml:space="preserve"> IF(LEN(ChartLines.Hex6)=6, HEX2DEC(RIGHT(ChartLines.Hex6, 2)), "·")</f>
        <v>·</v>
      </c>
      <c r="P98" s="1" cm="1">
        <f t="array" ref="P98" xml:space="preserve"> 1 + ROW() - _xlfn.SINGLE(ROW(ChartLines.RowNum))</f>
        <v>93</v>
      </c>
    </row>
    <row r="99" spans="2:16" x14ac:dyDescent="0.2">
      <c r="B99" s="1" t="s">
        <v>148</v>
      </c>
      <c r="C99" s="1" t="str">
        <f t="shared" si="373"/>
        <v>GA</v>
      </c>
      <c r="G99" s="1" t="s">
        <v>102</v>
      </c>
      <c r="H99" s="1" t="s">
        <v>469</v>
      </c>
      <c r="J99" s="1">
        <f t="shared" ref="J99" si="469" xml:space="preserve"> IF(AND(LEN(ChartLines.ID)&gt;0,"Unused"&lt;&gt;ChartLines.ID), COUNTIFS(ChartLines.ID,ChartLines.ID), "·")</f>
        <v>2</v>
      </c>
      <c r="K99" s="1">
        <f t="shared" ref="K99" si="470" xml:space="preserve"> IF(AND(LEN(ChartLines.ID)&gt;0,"Unused"&lt;&gt;ChartLines.ID), COUNTIFS(ChartLines.ID,ChartLines.ID,   ChartLines.RowNum,"&lt;="&amp;ChartLines.RowNum), "·")</f>
        <v>1</v>
      </c>
      <c r="L99" s="1" t="str" cm="1">
        <f t="array" ref="L99" xml:space="preserve"> _xlfn.IFS(OR(LEN(_xlfn.SINGLE(ChartLines.ID))=0,"Unused"=_xlfn.SINGLE(ChartLines.ID)), "·",   1=_xlfn.SINGLE(ChartLines.NumInstances), IF("USD"=_xlfn.SINGLE(ChartLines.ID), "SoleBig", "SoleOrdinary"),   1=_xlfn.SINGLE(ChartLines.InstanceNum), "Outer",   TRUE, "Inner")</f>
        <v>Outer</v>
      </c>
      <c r="M99" s="1">
        <f t="shared" ref="M99" si="471" xml:space="preserve"> IF(LEN(ChartLines.Hex6)=6, HEX2DEC(LEFT(ChartLines.Hex6, 2)), "·")</f>
        <v>0</v>
      </c>
      <c r="N99" s="1">
        <f t="shared" ref="N99" si="472" xml:space="preserve"> IF(LEN(ChartLines.Hex6)=6, HEX2DEC(MID(ChartLines.Hex6, 3, 2)), "·")</f>
        <v>41</v>
      </c>
      <c r="O99" s="1">
        <f t="shared" ref="O99" si="473" xml:space="preserve"> IF(LEN(ChartLines.Hex6)=6, HEX2DEC(RIGHT(ChartLines.Hex6, 2)), "·")</f>
        <v>204</v>
      </c>
      <c r="P99" s="1" cm="1">
        <f t="array" ref="P99" xml:space="preserve"> 1 + ROW() - _xlfn.SINGLE(ROW(ChartLines.RowNum))</f>
        <v>94</v>
      </c>
    </row>
    <row r="100" spans="2:16" x14ac:dyDescent="0.2">
      <c r="B100" s="1" t="s">
        <v>149</v>
      </c>
      <c r="C100" s="1" t="str">
        <f t="shared" si="373"/>
        <v>CI</v>
      </c>
      <c r="G100" s="1" t="s">
        <v>102</v>
      </c>
      <c r="H100" s="1" t="s">
        <v>423</v>
      </c>
      <c r="J100" s="1">
        <f t="shared" ref="J100" si="474" xml:space="preserve"> IF(AND(LEN(ChartLines.ID)&gt;0,"Unused"&lt;&gt;ChartLines.ID), COUNTIFS(ChartLines.ID,ChartLines.ID), "·")</f>
        <v>2</v>
      </c>
      <c r="K100" s="1">
        <f t="shared" ref="K100" si="475" xml:space="preserve"> IF(AND(LEN(ChartLines.ID)&gt;0,"Unused"&lt;&gt;ChartLines.ID), COUNTIFS(ChartLines.ID,ChartLines.ID,   ChartLines.RowNum,"&lt;="&amp;ChartLines.RowNum), "·")</f>
        <v>2</v>
      </c>
      <c r="L100" s="1" t="str" cm="1">
        <f t="array" ref="L100" xml:space="preserve"> _xlfn.IFS(OR(LEN(_xlfn.SINGLE(ChartLines.ID))=0,"Unused"=_xlfn.SINGLE(ChartLines.ID)), "·",   1=_xlfn.SINGLE(ChartLines.NumInstances), IF("USD"=_xlfn.SINGLE(ChartLines.ID), "SoleBig", "SoleOrdinary"),   1=_xlfn.SINGLE(ChartLines.InstanceNum), "Outer",   TRUE, "Inner")</f>
        <v>Inner</v>
      </c>
      <c r="M100" s="1">
        <f t="shared" ref="M100" si="476" xml:space="preserve"> IF(LEN(ChartLines.Hex6)=6, HEX2DEC(LEFT(ChartLines.Hex6, 2)), "·")</f>
        <v>255</v>
      </c>
      <c r="N100" s="1">
        <f t="shared" ref="N100" si="477" xml:space="preserve"> IF(LEN(ChartLines.Hex6)=6, HEX2DEC(MID(ChartLines.Hex6, 3, 2)), "·")</f>
        <v>255</v>
      </c>
      <c r="O100" s="1">
        <f t="shared" ref="O100" si="478" xml:space="preserve"> IF(LEN(ChartLines.Hex6)=6, HEX2DEC(RIGHT(ChartLines.Hex6, 2)), "·")</f>
        <v>255</v>
      </c>
      <c r="P100" s="1" cm="1">
        <f t="array" ref="P100" xml:space="preserve"> 1 + ROW() - _xlfn.SINGLE(ROW(ChartLines.RowNum))</f>
        <v>95</v>
      </c>
    </row>
    <row r="101" spans="2:16" x14ac:dyDescent="0.2">
      <c r="B101" s="1" t="s">
        <v>555</v>
      </c>
      <c r="C101" s="1" t="str">
        <f t="shared" si="373"/>
        <v>AOA</v>
      </c>
      <c r="G101" s="1" t="s">
        <v>103</v>
      </c>
      <c r="H101" s="1" t="s">
        <v>470</v>
      </c>
      <c r="J101" s="1">
        <f t="shared" ref="J101" si="479" xml:space="preserve"> IF(AND(LEN(ChartLines.ID)&gt;0,"Unused"&lt;&gt;ChartLines.ID), COUNTIFS(ChartLines.ID,ChartLines.ID), "·")</f>
        <v>2</v>
      </c>
      <c r="K101" s="1">
        <f t="shared" ref="K101" si="480" xml:space="preserve"> IF(AND(LEN(ChartLines.ID)&gt;0,"Unused"&lt;&gt;ChartLines.ID), COUNTIFS(ChartLines.ID,ChartLines.ID,   ChartLines.RowNum,"&lt;="&amp;ChartLines.RowNum), "·")</f>
        <v>1</v>
      </c>
      <c r="L101" s="1" t="str" cm="1">
        <f t="array" ref="L101" xml:space="preserve"> _xlfn.IFS(OR(LEN(_xlfn.SINGLE(ChartLines.ID))=0,"Unused"=_xlfn.SINGLE(ChartLines.ID)), "·",   1=_xlfn.SINGLE(ChartLines.NumInstances), IF("USD"=_xlfn.SINGLE(ChartLines.ID), "SoleBig", "SoleOrdinary"),   1=_xlfn.SINGLE(ChartLines.InstanceNum), "Outer",   TRUE, "Inner")</f>
        <v>Outer</v>
      </c>
      <c r="M101" s="1">
        <f t="shared" ref="M101" si="481" xml:space="preserve"> IF(LEN(ChartLines.Hex6)=6, HEX2DEC(LEFT(ChartLines.Hex6, 2)), "·")</f>
        <v>205</v>
      </c>
      <c r="N101" s="1">
        <f t="shared" ref="N101" si="482" xml:space="preserve"> IF(LEN(ChartLines.Hex6)=6, HEX2DEC(MID(ChartLines.Hex6, 3, 2)), "·")</f>
        <v>46</v>
      </c>
      <c r="O101" s="1">
        <f t="shared" ref="O101" si="483" xml:space="preserve"> IF(LEN(ChartLines.Hex6)=6, HEX2DEC(RIGHT(ChartLines.Hex6, 2)), "·")</f>
        <v>58</v>
      </c>
      <c r="P101" s="1" cm="1">
        <f t="array" ref="P101" xml:space="preserve"> 1 + ROW() - _xlfn.SINGLE(ROW(ChartLines.RowNum))</f>
        <v>96</v>
      </c>
    </row>
    <row r="102" spans="2:16" x14ac:dyDescent="0.2">
      <c r="B102" s="1" t="s">
        <v>150</v>
      </c>
      <c r="C102" s="1" t="str">
        <f t="shared" si="373"/>
        <v>MXN</v>
      </c>
      <c r="G102" s="1" t="s">
        <v>103</v>
      </c>
      <c r="H102" s="1" t="s">
        <v>471</v>
      </c>
      <c r="J102" s="1">
        <f t="shared" ref="J102" si="484" xml:space="preserve"> IF(AND(LEN(ChartLines.ID)&gt;0,"Unused"&lt;&gt;ChartLines.ID), COUNTIFS(ChartLines.ID,ChartLines.ID), "·")</f>
        <v>2</v>
      </c>
      <c r="K102" s="1">
        <f t="shared" ref="K102" si="485" xml:space="preserve"> IF(AND(LEN(ChartLines.ID)&gt;0,"Unused"&lt;&gt;ChartLines.ID), COUNTIFS(ChartLines.ID,ChartLines.ID,   ChartLines.RowNum,"&lt;="&amp;ChartLines.RowNum), "·")</f>
        <v>2</v>
      </c>
      <c r="L102" s="1" t="str" cm="1">
        <f t="array" ref="L102" xml:space="preserve"> _xlfn.IFS(OR(LEN(_xlfn.SINGLE(ChartLines.ID))=0,"Unused"=_xlfn.SINGLE(ChartLines.ID)), "·",   1=_xlfn.SINGLE(ChartLines.NumInstances), IF("USD"=_xlfn.SINGLE(ChartLines.ID), "SoleBig", "SoleOrdinary"),   1=_xlfn.SINGLE(ChartLines.InstanceNum), "Outer",   TRUE, "Inner")</f>
        <v>Inner</v>
      </c>
      <c r="M102" s="1">
        <f t="shared" ref="M102" si="486" xml:space="preserve"> IF(LEN(ChartLines.Hex6)=6, HEX2DEC(LEFT(ChartLines.Hex6, 2)), "·")</f>
        <v>0</v>
      </c>
      <c r="N102" s="1">
        <f t="shared" ref="N102" si="487" xml:space="preserve"> IF(LEN(ChartLines.Hex6)=6, HEX2DEC(MID(ChartLines.Hex6, 3, 2)), "·")</f>
        <v>71</v>
      </c>
      <c r="O102" s="1">
        <f t="shared" ref="O102" si="488" xml:space="preserve"> IF(LEN(ChartLines.Hex6)=6, HEX2DEC(RIGHT(ChartLines.Hex6, 2)), "·")</f>
        <v>160</v>
      </c>
      <c r="P102" s="1" cm="1">
        <f t="array" ref="P102" xml:space="preserve"> 1 + ROW() - _xlfn.SINGLE(ROW(ChartLines.RowNum))</f>
        <v>97</v>
      </c>
    </row>
    <row r="103" spans="2:16" x14ac:dyDescent="0.2">
      <c r="B103" s="1" t="s">
        <v>151</v>
      </c>
      <c r="C103" s="1" t="str">
        <f xml:space="preserve"> _xlfn.SINGLE(SeriesFormatAlias.SeriesName)</f>
        <v>BRL</v>
      </c>
      <c r="G103" s="1" t="s">
        <v>104</v>
      </c>
      <c r="H103" s="1" t="s">
        <v>472</v>
      </c>
      <c r="J103" s="1">
        <f t="shared" ref="J103" si="489" xml:space="preserve"> IF(AND(LEN(ChartLines.ID)&gt;0,"Unused"&lt;&gt;ChartLines.ID), COUNTIFS(ChartLines.ID,ChartLines.ID), "·")</f>
        <v>1</v>
      </c>
      <c r="K103" s="1">
        <f t="shared" ref="K103" si="490" xml:space="preserve"> IF(AND(LEN(ChartLines.ID)&gt;0,"Unused"&lt;&gt;ChartLines.ID), COUNTIFS(ChartLines.ID,ChartLines.ID,   ChartLines.RowNum,"&lt;="&amp;ChartLines.RowNum), "·")</f>
        <v>1</v>
      </c>
      <c r="L103" s="1" t="str" cm="1">
        <f t="array" ref="L103" xml:space="preserve"> _xlfn.IFS(OR(LEN(_xlfn.SINGLE(ChartLines.ID))=0,"Unused"=_xlfn.SINGLE(ChartLines.ID)), "·",   1=_xlfn.SINGLE(ChartLines.NumInstances), IF("USD"=_xlfn.SINGLE(ChartLines.ID), "SoleBig", "SoleOrdinary"),   1=_xlfn.SINGLE(ChartLines.InstanceNum), "Outer",   TRUE, "Inner")</f>
        <v>SoleOrdinary</v>
      </c>
      <c r="M103" s="1">
        <f t="shared" ref="M103" si="491" xml:space="preserve"> IF(LEN(ChartLines.Hex6)=6, HEX2DEC(LEFT(ChartLines.Hex6, 2)), "·")</f>
        <v>167</v>
      </c>
      <c r="N103" s="1">
        <f t="shared" ref="N103" si="492" xml:space="preserve"> IF(LEN(ChartLines.Hex6)=6, HEX2DEC(MID(ChartLines.Hex6, 3, 2)), "·")</f>
        <v>131</v>
      </c>
      <c r="O103" s="1">
        <f t="shared" ref="O103" si="493" xml:space="preserve"> IF(LEN(ChartLines.Hex6)=6, HEX2DEC(RIGHT(ChartLines.Hex6, 2)), "·")</f>
        <v>55</v>
      </c>
      <c r="P103" s="1" cm="1">
        <f t="array" ref="P103" xml:space="preserve"> 1 + ROW() - _xlfn.SINGLE(ROW(ChartLines.RowNum))</f>
        <v>98</v>
      </c>
    </row>
    <row r="104" spans="2:16" x14ac:dyDescent="0.2">
      <c r="B104" s="1" t="s">
        <v>152</v>
      </c>
      <c r="C104" s="1" t="str">
        <f t="shared" ref="C104:C136" si="494" xml:space="preserve"> _xlfn.SINGLE(SeriesFormatAlias.SeriesName)</f>
        <v>CLP</v>
      </c>
      <c r="G104" s="1" t="s">
        <v>419</v>
      </c>
      <c r="J104" s="1" t="str">
        <f t="shared" ref="J104" si="495" xml:space="preserve"> IF(AND(LEN(ChartLines.ID)&gt;0,"Unused"&lt;&gt;ChartLines.ID), COUNTIFS(ChartLines.ID,ChartLines.ID), "·")</f>
        <v>·</v>
      </c>
      <c r="K104" s="1" t="str">
        <f t="shared" ref="K104" si="496" xml:space="preserve"> IF(AND(LEN(ChartLines.ID)&gt;0,"Unused"&lt;&gt;ChartLines.ID), COUNTIFS(ChartLines.ID,ChartLines.ID,   ChartLines.RowNum,"&lt;="&amp;ChartLines.RowNum), "·")</f>
        <v>·</v>
      </c>
      <c r="L104" s="1" t="str" cm="1">
        <f t="array" ref="L104" xml:space="preserve"> _xlfn.IFS(OR(LEN(_xlfn.SINGLE(ChartLines.ID))=0,"Unused"=_xlfn.SINGLE(ChartLines.ID)), "·",   1=_xlfn.SINGLE(ChartLines.NumInstances), IF("USD"=_xlfn.SINGLE(ChartLines.ID), "SoleBig", "SoleOrdinary"),   1=_xlfn.SINGLE(ChartLines.InstanceNum), "Outer",   TRUE, "Inner")</f>
        <v>·</v>
      </c>
      <c r="M104" s="1" t="str">
        <f t="shared" ref="M104" si="497" xml:space="preserve"> IF(LEN(ChartLines.Hex6)=6, HEX2DEC(LEFT(ChartLines.Hex6, 2)), "·")</f>
        <v>·</v>
      </c>
      <c r="N104" s="1" t="str">
        <f t="shared" ref="N104" si="498" xml:space="preserve"> IF(LEN(ChartLines.Hex6)=6, HEX2DEC(MID(ChartLines.Hex6, 3, 2)), "·")</f>
        <v>·</v>
      </c>
      <c r="O104" s="1" t="str">
        <f t="shared" ref="O104" si="499" xml:space="preserve"> IF(LEN(ChartLines.Hex6)=6, HEX2DEC(RIGHT(ChartLines.Hex6, 2)), "·")</f>
        <v>·</v>
      </c>
      <c r="P104" s="1" cm="1">
        <f t="array" ref="P104" xml:space="preserve"> 1 + ROW() - _xlfn.SINGLE(ROW(ChartLines.RowNum))</f>
        <v>99</v>
      </c>
    </row>
    <row r="105" spans="2:16" x14ac:dyDescent="0.2">
      <c r="B105" s="1" t="s">
        <v>153</v>
      </c>
      <c r="C105" s="1" t="str">
        <f t="shared" si="494"/>
        <v>COP</v>
      </c>
      <c r="G105" s="1" t="s">
        <v>105</v>
      </c>
      <c r="H105" s="1" t="s">
        <v>473</v>
      </c>
      <c r="J105" s="1">
        <f t="shared" ref="J105" si="500" xml:space="preserve"> IF(AND(LEN(ChartLines.ID)&gt;0,"Unused"&lt;&gt;ChartLines.ID), COUNTIFS(ChartLines.ID,ChartLines.ID), "·")</f>
        <v>2</v>
      </c>
      <c r="K105" s="1">
        <f t="shared" ref="K105" si="501" xml:space="preserve"> IF(AND(LEN(ChartLines.ID)&gt;0,"Unused"&lt;&gt;ChartLines.ID), COUNTIFS(ChartLines.ID,ChartLines.ID,   ChartLines.RowNum,"&lt;="&amp;ChartLines.RowNum), "·")</f>
        <v>1</v>
      </c>
      <c r="L105" s="1" t="str" cm="1">
        <f t="array" ref="L105" xml:space="preserve"> _xlfn.IFS(OR(LEN(_xlfn.SINGLE(ChartLines.ID))=0,"Unused"=_xlfn.SINGLE(ChartLines.ID)), "·",   1=_xlfn.SINGLE(ChartLines.NumInstances), IF("USD"=_xlfn.SINGLE(ChartLines.ID), "SoleBig", "SoleOrdinary"),   1=_xlfn.SINGLE(ChartLines.InstanceNum), "Outer",   TRUE, "Inner")</f>
        <v>Outer</v>
      </c>
      <c r="M105" s="1">
        <f t="shared" ref="M105" si="502" xml:space="preserve"> IF(LEN(ChartLines.Hex6)=6, HEX2DEC(LEFT(ChartLines.Hex6, 2)), "·")</f>
        <v>0</v>
      </c>
      <c r="N105" s="1">
        <f t="shared" ref="N105" si="503" xml:space="preserve"> IF(LEN(ChartLines.Hex6)=6, HEX2DEC(MID(ChartLines.Hex6, 3, 2)), "·")</f>
        <v>50</v>
      </c>
      <c r="O105" s="1">
        <f t="shared" ref="O105" si="504" xml:space="preserve"> IF(LEN(ChartLines.Hex6)=6, HEX2DEC(RIGHT(ChartLines.Hex6, 2)), "·")</f>
        <v>106</v>
      </c>
      <c r="P105" s="1" cm="1">
        <f t="array" ref="P105" xml:space="preserve"> 1 + ROW() - _xlfn.SINGLE(ROW(ChartLines.RowNum))</f>
        <v>100</v>
      </c>
    </row>
    <row r="106" spans="2:16" x14ac:dyDescent="0.2">
      <c r="B106" s="1" t="s">
        <v>154</v>
      </c>
      <c r="C106" s="1" t="str">
        <f t="shared" si="494"/>
        <v>PEN</v>
      </c>
      <c r="G106" s="1" t="s">
        <v>105</v>
      </c>
      <c r="H106" s="1" t="str">
        <f xml:space="preserve"> "DECE05"</f>
        <v>DECE05</v>
      </c>
      <c r="J106" s="1">
        <f t="shared" ref="J106" si="505" xml:space="preserve"> IF(AND(LEN(ChartLines.ID)&gt;0,"Unused"&lt;&gt;ChartLines.ID), COUNTIFS(ChartLines.ID,ChartLines.ID), "·")</f>
        <v>2</v>
      </c>
      <c r="K106" s="1">
        <f t="shared" ref="K106" si="506" xml:space="preserve"> IF(AND(LEN(ChartLines.ID)&gt;0,"Unused"&lt;&gt;ChartLines.ID), COUNTIFS(ChartLines.ID,ChartLines.ID,   ChartLines.RowNum,"&lt;="&amp;ChartLines.RowNum), "·")</f>
        <v>2</v>
      </c>
      <c r="L106" s="1" t="str" cm="1">
        <f t="array" ref="L106" xml:space="preserve"> _xlfn.IFS(OR(LEN(_xlfn.SINGLE(ChartLines.ID))=0,"Unused"=_xlfn.SINGLE(ChartLines.ID)), "·",   1=_xlfn.SINGLE(ChartLines.NumInstances), IF("USD"=_xlfn.SINGLE(ChartLines.ID), "SoleBig", "SoleOrdinary"),   1=_xlfn.SINGLE(ChartLines.InstanceNum), "Outer",   TRUE, "Inner")</f>
        <v>Inner</v>
      </c>
      <c r="M106" s="1">
        <f t="shared" ref="M106" si="507" xml:space="preserve"> IF(LEN(ChartLines.Hex6)=6, HEX2DEC(LEFT(ChartLines.Hex6, 2)), "·")</f>
        <v>222</v>
      </c>
      <c r="N106" s="1">
        <f t="shared" ref="N106" si="508" xml:space="preserve"> IF(LEN(ChartLines.Hex6)=6, HEX2DEC(MID(ChartLines.Hex6, 3, 2)), "·")</f>
        <v>206</v>
      </c>
      <c r="O106" s="1">
        <f t="shared" ref="O106" si="509" xml:space="preserve"> IF(LEN(ChartLines.Hex6)=6, HEX2DEC(RIGHT(ChartLines.Hex6, 2)), "·")</f>
        <v>5</v>
      </c>
      <c r="P106" s="1" cm="1">
        <f t="array" ref="P106" xml:space="preserve"> 1 + ROW() - _xlfn.SINGLE(ROW(ChartLines.RowNum))</f>
        <v>101</v>
      </c>
    </row>
    <row r="107" spans="2:16" x14ac:dyDescent="0.2">
      <c r="B107" s="1" t="s">
        <v>155</v>
      </c>
      <c r="C107" s="1" t="str">
        <f t="shared" si="494"/>
        <v>UYU</v>
      </c>
      <c r="G107" s="1" t="s">
        <v>106</v>
      </c>
      <c r="H107" s="1" t="s">
        <v>422</v>
      </c>
      <c r="J107" s="1">
        <f t="shared" ref="J107" si="510" xml:space="preserve"> IF(AND(LEN(ChartLines.ID)&gt;0,"Unused"&lt;&gt;ChartLines.ID), COUNTIFS(ChartLines.ID,ChartLines.ID), "·")</f>
        <v>2</v>
      </c>
      <c r="K107" s="1">
        <f t="shared" ref="K107" si="511" xml:space="preserve"> IF(AND(LEN(ChartLines.ID)&gt;0,"Unused"&lt;&gt;ChartLines.ID), COUNTIFS(ChartLines.ID,ChartLines.ID,   ChartLines.RowNum,"&lt;="&amp;ChartLines.RowNum), "·")</f>
        <v>1</v>
      </c>
      <c r="L107" s="1" t="str" cm="1">
        <f t="array" ref="L107" xml:space="preserve"> _xlfn.IFS(OR(LEN(_xlfn.SINGLE(ChartLines.ID))=0,"Unused"=_xlfn.SINGLE(ChartLines.ID)), "·",   1=_xlfn.SINGLE(ChartLines.NumInstances), IF("USD"=_xlfn.SINGLE(ChartLines.ID), "SoleBig", "SoleOrdinary"),   1=_xlfn.SINGLE(ChartLines.InstanceNum), "Outer",   TRUE, "Inner")</f>
        <v>Outer</v>
      </c>
      <c r="M107" s="1">
        <f t="shared" ref="M107" si="512" xml:space="preserve"> IF(LEN(ChartLines.Hex6)=6, HEX2DEC(LEFT(ChartLines.Hex6, 2)), "·")</f>
        <v>255</v>
      </c>
      <c r="N107" s="1">
        <f t="shared" ref="N107" si="513" xml:space="preserve"> IF(LEN(ChartLines.Hex6)=6, HEX2DEC(MID(ChartLines.Hex6, 3, 2)), "·")</f>
        <v>0</v>
      </c>
      <c r="O107" s="1">
        <f t="shared" ref="O107" si="514" xml:space="preserve"> IF(LEN(ChartLines.Hex6)=6, HEX2DEC(RIGHT(ChartLines.Hex6, 2)), "·")</f>
        <v>0</v>
      </c>
      <c r="P107" s="1" cm="1">
        <f t="array" ref="P107" xml:space="preserve"> 1 + ROW() - _xlfn.SINGLE(ROW(ChartLines.RowNum))</f>
        <v>102</v>
      </c>
    </row>
    <row r="108" spans="2:16" x14ac:dyDescent="0.2">
      <c r="B108" s="1" t="s">
        <v>156</v>
      </c>
      <c r="C108" s="1" t="str">
        <f t="shared" si="494"/>
        <v>ARS</v>
      </c>
      <c r="G108" s="1" t="s">
        <v>106</v>
      </c>
      <c r="H108" s="1" t="s">
        <v>423</v>
      </c>
      <c r="J108" s="1">
        <f t="shared" ref="J108" si="515" xml:space="preserve"> IF(AND(LEN(ChartLines.ID)&gt;0,"Unused"&lt;&gt;ChartLines.ID), COUNTIFS(ChartLines.ID,ChartLines.ID), "·")</f>
        <v>2</v>
      </c>
      <c r="K108" s="1">
        <f t="shared" ref="K108" si="516" xml:space="preserve"> IF(AND(LEN(ChartLines.ID)&gt;0,"Unused"&lt;&gt;ChartLines.ID), COUNTIFS(ChartLines.ID,ChartLines.ID,   ChartLines.RowNum,"&lt;="&amp;ChartLines.RowNum), "·")</f>
        <v>2</v>
      </c>
      <c r="L108" s="1" t="str" cm="1">
        <f t="array" ref="L108" xml:space="preserve"> _xlfn.IFS(OR(LEN(_xlfn.SINGLE(ChartLines.ID))=0,"Unused"=_xlfn.SINGLE(ChartLines.ID)), "·",   1=_xlfn.SINGLE(ChartLines.NumInstances), IF("USD"=_xlfn.SINGLE(ChartLines.ID), "SoleBig", "SoleOrdinary"),   1=_xlfn.SINGLE(ChartLines.InstanceNum), "Outer",   TRUE, "Inner")</f>
        <v>Inner</v>
      </c>
      <c r="M108" s="1">
        <f t="shared" ref="M108" si="517" xml:space="preserve"> IF(LEN(ChartLines.Hex6)=6, HEX2DEC(LEFT(ChartLines.Hex6, 2)), "·")</f>
        <v>255</v>
      </c>
      <c r="N108" s="1">
        <f t="shared" ref="N108" si="518" xml:space="preserve"> IF(LEN(ChartLines.Hex6)=6, HEX2DEC(MID(ChartLines.Hex6, 3, 2)), "·")</f>
        <v>255</v>
      </c>
      <c r="O108" s="1">
        <f t="shared" ref="O108" si="519" xml:space="preserve"> IF(LEN(ChartLines.Hex6)=6, HEX2DEC(RIGHT(ChartLines.Hex6, 2)), "·")</f>
        <v>255</v>
      </c>
      <c r="P108" s="1" cm="1">
        <f t="array" ref="P108" xml:space="preserve"> 1 + ROW() - _xlfn.SINGLE(ROW(ChartLines.RowNum))</f>
        <v>103</v>
      </c>
    </row>
    <row r="109" spans="2:16" x14ac:dyDescent="0.2">
      <c r="B109" s="1" t="s">
        <v>157</v>
      </c>
      <c r="C109" s="1" t="str">
        <f t="shared" si="494"/>
        <v>BOB</v>
      </c>
      <c r="G109" s="1" t="s">
        <v>107</v>
      </c>
      <c r="H109" s="1" t="s">
        <v>474</v>
      </c>
      <c r="J109" s="1">
        <f t="shared" ref="J109" si="520" xml:space="preserve"> IF(AND(LEN(ChartLines.ID)&gt;0,"Unused"&lt;&gt;ChartLines.ID), COUNTIFS(ChartLines.ID,ChartLines.ID), "·")</f>
        <v>2</v>
      </c>
      <c r="K109" s="1">
        <f t="shared" ref="K109" si="521" xml:space="preserve"> IF(AND(LEN(ChartLines.ID)&gt;0,"Unused"&lt;&gt;ChartLines.ID), COUNTIFS(ChartLines.ID,ChartLines.ID,   ChartLines.RowNum,"&lt;="&amp;ChartLines.RowNum), "·")</f>
        <v>1</v>
      </c>
      <c r="L109" s="1" t="str" cm="1">
        <f t="array" ref="L109" xml:space="preserve"> _xlfn.IFS(OR(LEN(_xlfn.SINGLE(ChartLines.ID))=0,"Unused"=_xlfn.SINGLE(ChartLines.ID)), "·",   1=_xlfn.SINGLE(ChartLines.NumInstances), IF("USD"=_xlfn.SINGLE(ChartLines.ID), "SoleBig", "SoleOrdinary"),   1=_xlfn.SINGLE(ChartLines.InstanceNum), "Outer",   TRUE, "Inner")</f>
        <v>Outer</v>
      </c>
      <c r="M109" s="1">
        <f t="shared" ref="M109" si="522" xml:space="preserve"> IF(LEN(ChartLines.Hex6)=6, HEX2DEC(LEFT(ChartLines.Hex6, 2)), "·")</f>
        <v>254</v>
      </c>
      <c r="N109" s="1">
        <f t="shared" ref="N109" si="523" xml:space="preserve"> IF(LEN(ChartLines.Hex6)=6, HEX2DEC(MID(ChartLines.Hex6, 3, 2)), "·")</f>
        <v>0</v>
      </c>
      <c r="O109" s="1">
        <f t="shared" ref="O109" si="524" xml:space="preserve"> IF(LEN(ChartLines.Hex6)=6, HEX2DEC(RIGHT(ChartLines.Hex6, 2)), "·")</f>
        <v>0</v>
      </c>
      <c r="P109" s="1" cm="1">
        <f t="array" ref="P109" xml:space="preserve"> 1 + ROW() - _xlfn.SINGLE(ROW(ChartLines.RowNum))</f>
        <v>104</v>
      </c>
    </row>
    <row r="110" spans="2:16" x14ac:dyDescent="0.2">
      <c r="B110" s="1" t="s">
        <v>158</v>
      </c>
      <c r="C110" s="1" t="str">
        <f t="shared" si="494"/>
        <v>BZD</v>
      </c>
      <c r="G110" s="1" t="s">
        <v>107</v>
      </c>
      <c r="H110" s="1" t="str">
        <f xml:space="preserve"> "010080"</f>
        <v>010080</v>
      </c>
      <c r="J110" s="1">
        <f t="shared" ref="J110" si="525" xml:space="preserve"> IF(AND(LEN(ChartLines.ID)&gt;0,"Unused"&lt;&gt;ChartLines.ID), COUNTIFS(ChartLines.ID,ChartLines.ID), "·")</f>
        <v>2</v>
      </c>
      <c r="K110" s="1">
        <f t="shared" ref="K110" si="526" xml:space="preserve"> IF(AND(LEN(ChartLines.ID)&gt;0,"Unused"&lt;&gt;ChartLines.ID), COUNTIFS(ChartLines.ID,ChartLines.ID,   ChartLines.RowNum,"&lt;="&amp;ChartLines.RowNum), "·")</f>
        <v>2</v>
      </c>
      <c r="L110" s="1" t="str" cm="1">
        <f t="array" ref="L110" xml:space="preserve"> _xlfn.IFS(OR(LEN(_xlfn.SINGLE(ChartLines.ID))=0,"Unused"=_xlfn.SINGLE(ChartLines.ID)), "·",   1=_xlfn.SINGLE(ChartLines.NumInstances), IF("USD"=_xlfn.SINGLE(ChartLines.ID), "SoleBig", "SoleOrdinary"),   1=_xlfn.SINGLE(ChartLines.InstanceNum), "Outer",   TRUE, "Inner")</f>
        <v>Inner</v>
      </c>
      <c r="M110" s="1">
        <f t="shared" ref="M110" si="527" xml:space="preserve"> IF(LEN(ChartLines.Hex6)=6, HEX2DEC(LEFT(ChartLines.Hex6, 2)), "·")</f>
        <v>1</v>
      </c>
      <c r="N110" s="1">
        <f t="shared" ref="N110" si="528" xml:space="preserve"> IF(LEN(ChartLines.Hex6)=6, HEX2DEC(MID(ChartLines.Hex6, 3, 2)), "·")</f>
        <v>0</v>
      </c>
      <c r="O110" s="1">
        <f t="shared" ref="O110" si="529" xml:space="preserve"> IF(LEN(ChartLines.Hex6)=6, HEX2DEC(RIGHT(ChartLines.Hex6, 2)), "·")</f>
        <v>128</v>
      </c>
      <c r="P110" s="1" cm="1">
        <f t="array" ref="P110" xml:space="preserve"> 1 + ROW() - _xlfn.SINGLE(ROW(ChartLines.RowNum))</f>
        <v>105</v>
      </c>
    </row>
    <row r="111" spans="2:16" x14ac:dyDescent="0.2">
      <c r="B111" s="1" t="s">
        <v>159</v>
      </c>
      <c r="C111" s="1" t="str">
        <f t="shared" si="494"/>
        <v>EC</v>
      </c>
      <c r="G111" s="1" t="s">
        <v>108</v>
      </c>
      <c r="H111" s="1" t="s">
        <v>475</v>
      </c>
      <c r="J111" s="1">
        <f t="shared" ref="J111" si="530" xml:space="preserve"> IF(AND(LEN(ChartLines.ID)&gt;0,"Unused"&lt;&gt;ChartLines.ID), COUNTIFS(ChartLines.ID,ChartLines.ID), "·")</f>
        <v>2</v>
      </c>
      <c r="K111" s="1">
        <f t="shared" ref="K111" si="531" xml:space="preserve"> IF(AND(LEN(ChartLines.ID)&gt;0,"Unused"&lt;&gt;ChartLines.ID), COUNTIFS(ChartLines.ID,ChartLines.ID,   ChartLines.RowNum,"&lt;="&amp;ChartLines.RowNum), "·")</f>
        <v>1</v>
      </c>
      <c r="L111" s="1" t="str" cm="1">
        <f t="array" ref="L111" xml:space="preserve"> _xlfn.IFS(OR(LEN(_xlfn.SINGLE(ChartLines.ID))=0,"Unused"=_xlfn.SINGLE(ChartLines.ID)), "·",   1=_xlfn.SINGLE(ChartLines.NumInstances), IF("USD"=_xlfn.SINGLE(ChartLines.ID), "SoleBig", "SoleOrdinary"),   1=_xlfn.SINGLE(ChartLines.InstanceNum), "Outer",   TRUE, "Inner")</f>
        <v>Outer</v>
      </c>
      <c r="M111" s="1">
        <f t="shared" ref="M111" si="532" xml:space="preserve"> IF(LEN(ChartLines.Hex6)=6, HEX2DEC(LEFT(ChartLines.Hex6, 2)), "·")</f>
        <v>0</v>
      </c>
      <c r="N111" s="1">
        <f t="shared" ref="N111" si="533" xml:space="preserve"> IF(LEN(ChartLines.Hex6)=6, HEX2DEC(MID(ChartLines.Hex6, 3, 2)), "·")</f>
        <v>56</v>
      </c>
      <c r="O111" s="1">
        <f t="shared" ref="O111" si="534" xml:space="preserve"> IF(LEN(ChartLines.Hex6)=6, HEX2DEC(RIGHT(ChartLines.Hex6, 2)), "·")</f>
        <v>168</v>
      </c>
      <c r="P111" s="1" cm="1">
        <f t="array" ref="P111" xml:space="preserve"> 1 + ROW() - _xlfn.SINGLE(ROW(ChartLines.RowNum))</f>
        <v>106</v>
      </c>
    </row>
    <row r="112" spans="2:16" x14ac:dyDescent="0.2">
      <c r="B112" s="1" t="s">
        <v>160</v>
      </c>
      <c r="C112" s="1" t="str">
        <f t="shared" si="494"/>
        <v>VE</v>
      </c>
      <c r="G112" s="1" t="s">
        <v>108</v>
      </c>
      <c r="H112" s="1" t="s">
        <v>465</v>
      </c>
      <c r="J112" s="1">
        <f t="shared" ref="J112" si="535" xml:space="preserve"> IF(AND(LEN(ChartLines.ID)&gt;0,"Unused"&lt;&gt;ChartLines.ID), COUNTIFS(ChartLines.ID,ChartLines.ID), "·")</f>
        <v>2</v>
      </c>
      <c r="K112" s="1">
        <f t="shared" ref="K112" si="536" xml:space="preserve"> IF(AND(LEN(ChartLines.ID)&gt;0,"Unused"&lt;&gt;ChartLines.ID), COUNTIFS(ChartLines.ID,ChartLines.ID,   ChartLines.RowNum,"&lt;="&amp;ChartLines.RowNum), "·")</f>
        <v>2</v>
      </c>
      <c r="L112" s="1" t="str" cm="1">
        <f t="array" ref="L112" xml:space="preserve"> _xlfn.IFS(OR(LEN(_xlfn.SINGLE(ChartLines.ID))=0,"Unused"=_xlfn.SINGLE(ChartLines.ID)), "·",   1=_xlfn.SINGLE(ChartLines.NumInstances), IF("USD"=_xlfn.SINGLE(ChartLines.ID), "SoleBig", "SoleOrdinary"),   1=_xlfn.SINGLE(ChartLines.InstanceNum), "Outer",   TRUE, "Inner")</f>
        <v>Inner</v>
      </c>
      <c r="M112" s="1">
        <f t="shared" ref="M112" si="537" xml:space="preserve"> IF(LEN(ChartLines.Hex6)=6, HEX2DEC(LEFT(ChartLines.Hex6, 2)), "·")</f>
        <v>252</v>
      </c>
      <c r="N112" s="1">
        <f t="shared" ref="N112" si="538" xml:space="preserve"> IF(LEN(ChartLines.Hex6)=6, HEX2DEC(MID(ChartLines.Hex6, 3, 2)), "·")</f>
        <v>209</v>
      </c>
      <c r="O112" s="1">
        <f t="shared" ref="O112" si="539" xml:space="preserve"> IF(LEN(ChartLines.Hex6)=6, HEX2DEC(RIGHT(ChartLines.Hex6, 2)), "·")</f>
        <v>22</v>
      </c>
      <c r="P112" s="1" cm="1">
        <f t="array" ref="P112" xml:space="preserve"> 1 + ROW() - _xlfn.SINGLE(ROW(ChartLines.RowNum))</f>
        <v>107</v>
      </c>
    </row>
    <row r="113" spans="2:16" x14ac:dyDescent="0.2">
      <c r="B113" s="1" t="s">
        <v>161</v>
      </c>
      <c r="C113" s="1" t="str">
        <f t="shared" si="494"/>
        <v>SV</v>
      </c>
      <c r="G113" s="1" t="s">
        <v>109</v>
      </c>
      <c r="H113" s="1" t="s">
        <v>476</v>
      </c>
      <c r="J113" s="1">
        <f t="shared" ref="J113" si="540" xml:space="preserve"> IF(AND(LEN(ChartLines.ID)&gt;0,"Unused"&lt;&gt;ChartLines.ID), COUNTIFS(ChartLines.ID,ChartLines.ID), "·")</f>
        <v>2</v>
      </c>
      <c r="K113" s="1">
        <f t="shared" ref="K113" si="541" xml:space="preserve"> IF(AND(LEN(ChartLines.ID)&gt;0,"Unused"&lt;&gt;ChartLines.ID), COUNTIFS(ChartLines.ID,ChartLines.ID,   ChartLines.RowNum,"&lt;="&amp;ChartLines.RowNum), "·")</f>
        <v>1</v>
      </c>
      <c r="L113" s="1" t="str" cm="1">
        <f t="array" ref="L113" xml:space="preserve"> _xlfn.IFS(OR(LEN(_xlfn.SINGLE(ChartLines.ID))=0,"Unused"=_xlfn.SINGLE(ChartLines.ID)), "·",   1=_xlfn.SINGLE(ChartLines.NumInstances), IF("USD"=_xlfn.SINGLE(ChartLines.ID), "SoleBig", "SoleOrdinary"),   1=_xlfn.SINGLE(ChartLines.InstanceNum), "Outer",   TRUE, "Inner")</f>
        <v>Outer</v>
      </c>
      <c r="M113" s="1">
        <f t="shared" ref="M113" si="542" xml:space="preserve"> IF(LEN(ChartLines.Hex6)=6, HEX2DEC(LEFT(ChartLines.Hex6, 2)), "·")</f>
        <v>255</v>
      </c>
      <c r="N113" s="1">
        <f t="shared" ref="N113" si="543" xml:space="preserve"> IF(LEN(ChartLines.Hex6)=6, HEX2DEC(MID(ChartLines.Hex6, 3, 2)), "·")</f>
        <v>255</v>
      </c>
      <c r="O113" s="1">
        <f t="shared" ref="O113" si="544" xml:space="preserve"> IF(LEN(ChartLines.Hex6)=6, HEX2DEC(RIGHT(ChartLines.Hex6, 2)), "·")</f>
        <v>0</v>
      </c>
      <c r="P113" s="1" cm="1">
        <f t="array" ref="P113" xml:space="preserve"> 1 + ROW() - _xlfn.SINGLE(ROW(ChartLines.RowNum))</f>
        <v>108</v>
      </c>
    </row>
    <row r="114" spans="2:16" x14ac:dyDescent="0.2">
      <c r="B114" s="1" t="s">
        <v>162</v>
      </c>
      <c r="C114" s="1" t="str">
        <f t="shared" si="494"/>
        <v>PAB</v>
      </c>
      <c r="G114" s="1" t="s">
        <v>109</v>
      </c>
      <c r="H114" s="1" t="s">
        <v>477</v>
      </c>
      <c r="J114" s="1">
        <f t="shared" ref="J114" si="545" xml:space="preserve"> IF(AND(LEN(ChartLines.ID)&gt;0,"Unused"&lt;&gt;ChartLines.ID), COUNTIFS(ChartLines.ID,ChartLines.ID), "·")</f>
        <v>2</v>
      </c>
      <c r="K114" s="1">
        <f t="shared" ref="K114" si="546" xml:space="preserve"> IF(AND(LEN(ChartLines.ID)&gt;0,"Unused"&lt;&gt;ChartLines.ID), COUNTIFS(ChartLines.ID,ChartLines.ID,   ChartLines.RowNum,"&lt;="&amp;ChartLines.RowNum), "·")</f>
        <v>2</v>
      </c>
      <c r="L114" s="1" t="str" cm="1">
        <f t="array" ref="L114" xml:space="preserve"> _xlfn.IFS(OR(LEN(_xlfn.SINGLE(ChartLines.ID))=0,"Unused"=_xlfn.SINGLE(ChartLines.ID)), "·",   1=_xlfn.SINGLE(ChartLines.NumInstances), IF("USD"=_xlfn.SINGLE(ChartLines.ID), "SoleBig", "SoleOrdinary"),   1=_xlfn.SINGLE(ChartLines.InstanceNum), "Outer",   TRUE, "Inner")</f>
        <v>Inner</v>
      </c>
      <c r="M114" s="1">
        <f t="shared" ref="M114" si="547" xml:space="preserve"> IF(LEN(ChartLines.Hex6)=6, HEX2DEC(LEFT(ChartLines.Hex6, 2)), "·")</f>
        <v>218</v>
      </c>
      <c r="N114" s="1">
        <f t="shared" ref="N114" si="548" xml:space="preserve"> IF(LEN(ChartLines.Hex6)=6, HEX2DEC(MID(ChartLines.Hex6, 3, 2)), "·")</f>
        <v>37</v>
      </c>
      <c r="O114" s="1">
        <f t="shared" ref="O114" si="549" xml:space="preserve"> IF(LEN(ChartLines.Hex6)=6, HEX2DEC(RIGHT(ChartLines.Hex6, 2)), "·")</f>
        <v>29</v>
      </c>
      <c r="P114" s="1" cm="1">
        <f t="array" ref="P114" xml:space="preserve"> 1 + ROW() - _xlfn.SINGLE(ROW(ChartLines.RowNum))</f>
        <v>109</v>
      </c>
    </row>
    <row r="115" spans="2:16" x14ac:dyDescent="0.2">
      <c r="B115" s="1" t="s">
        <v>163</v>
      </c>
      <c r="C115" s="1" t="str">
        <f t="shared" si="494"/>
        <v>DOP</v>
      </c>
      <c r="G115" s="1" t="s">
        <v>110</v>
      </c>
      <c r="H115" s="1" t="str">
        <f xml:space="preserve"> "250E62"</f>
        <v>250E62</v>
      </c>
      <c r="J115" s="1">
        <f t="shared" ref="J115" si="550" xml:space="preserve"> IF(AND(LEN(ChartLines.ID)&gt;0,"Unused"&lt;&gt;ChartLines.ID), COUNTIFS(ChartLines.ID,ChartLines.ID), "·")</f>
        <v>2</v>
      </c>
      <c r="K115" s="1">
        <f t="shared" ref="K115" si="551" xml:space="preserve"> IF(AND(LEN(ChartLines.ID)&gt;0,"Unused"&lt;&gt;ChartLines.ID), COUNTIFS(ChartLines.ID,ChartLines.ID,   ChartLines.RowNum,"&lt;="&amp;ChartLines.RowNum), "·")</f>
        <v>1</v>
      </c>
      <c r="L115" s="1" t="str" cm="1">
        <f t="array" ref="L115" xml:space="preserve"> _xlfn.IFS(OR(LEN(_xlfn.SINGLE(ChartLines.ID))=0,"Unused"=_xlfn.SINGLE(ChartLines.ID)), "·",   1=_xlfn.SINGLE(ChartLines.NumInstances), IF("USD"=_xlfn.SINGLE(ChartLines.ID), "SoleBig", "SoleOrdinary"),   1=_xlfn.SINGLE(ChartLines.InstanceNum), "Outer",   TRUE, "Inner")</f>
        <v>Outer</v>
      </c>
      <c r="M115" s="1">
        <f t="shared" ref="M115" si="552" xml:space="preserve"> IF(LEN(ChartLines.Hex6)=6, HEX2DEC(LEFT(ChartLines.Hex6, 2)), "·")</f>
        <v>37</v>
      </c>
      <c r="N115" s="1">
        <f t="shared" ref="N115" si="553" xml:space="preserve"> IF(LEN(ChartLines.Hex6)=6, HEX2DEC(MID(ChartLines.Hex6, 3, 2)), "·")</f>
        <v>14</v>
      </c>
      <c r="O115" s="1">
        <f t="shared" ref="O115" si="554" xml:space="preserve"> IF(LEN(ChartLines.Hex6)=6, HEX2DEC(RIGHT(ChartLines.Hex6, 2)), "·")</f>
        <v>98</v>
      </c>
      <c r="P115" s="1" cm="1">
        <f t="array" ref="P115" xml:space="preserve"> 1 + ROW() - _xlfn.SINGLE(ROW(ChartLines.RowNum))</f>
        <v>110</v>
      </c>
    </row>
    <row r="116" spans="2:16" x14ac:dyDescent="0.2">
      <c r="B116" s="1" t="s">
        <v>164</v>
      </c>
      <c r="C116" s="1" t="str">
        <f t="shared" si="494"/>
        <v>TTD</v>
      </c>
      <c r="G116" s="1" t="s">
        <v>110</v>
      </c>
      <c r="H116" s="1" t="s">
        <v>423</v>
      </c>
      <c r="J116" s="1">
        <f t="shared" ref="J116" si="555" xml:space="preserve"> IF(AND(LEN(ChartLines.ID)&gt;0,"Unused"&lt;&gt;ChartLines.ID), COUNTIFS(ChartLines.ID,ChartLines.ID), "·")</f>
        <v>2</v>
      </c>
      <c r="K116" s="1">
        <f t="shared" ref="K116" si="556" xml:space="preserve"> IF(AND(LEN(ChartLines.ID)&gt;0,"Unused"&lt;&gt;ChartLines.ID), COUNTIFS(ChartLines.ID,ChartLines.ID,   ChartLines.RowNum,"&lt;="&amp;ChartLines.RowNum), "·")</f>
        <v>2</v>
      </c>
      <c r="L116" s="1" t="str" cm="1">
        <f t="array" ref="L116" xml:space="preserve"> _xlfn.IFS(OR(LEN(_xlfn.SINGLE(ChartLines.ID))=0,"Unused"=_xlfn.SINGLE(ChartLines.ID)), "·",   1=_xlfn.SINGLE(ChartLines.NumInstances), IF("USD"=_xlfn.SINGLE(ChartLines.ID), "SoleBig", "SoleOrdinary"),   1=_xlfn.SINGLE(ChartLines.InstanceNum), "Outer",   TRUE, "Inner")</f>
        <v>Inner</v>
      </c>
      <c r="M116" s="1">
        <f t="shared" ref="M116" si="557" xml:space="preserve"> IF(LEN(ChartLines.Hex6)=6, HEX2DEC(LEFT(ChartLines.Hex6, 2)), "·")</f>
        <v>255</v>
      </c>
      <c r="N116" s="1">
        <f t="shared" ref="N116" si="558" xml:space="preserve"> IF(LEN(ChartLines.Hex6)=6, HEX2DEC(MID(ChartLines.Hex6, 3, 2)), "·")</f>
        <v>255</v>
      </c>
      <c r="O116" s="1">
        <f t="shared" ref="O116" si="559" xml:space="preserve"> IF(LEN(ChartLines.Hex6)=6, HEX2DEC(RIGHT(ChartLines.Hex6, 2)), "·")</f>
        <v>255</v>
      </c>
      <c r="P116" s="1" cm="1">
        <f t="array" ref="P116" xml:space="preserve"> 1 + ROW() - _xlfn.SINGLE(ROW(ChartLines.RowNum))</f>
        <v>111</v>
      </c>
    </row>
    <row r="117" spans="2:16" x14ac:dyDescent="0.2">
      <c r="B117" s="1" t="s">
        <v>165</v>
      </c>
      <c r="C117" s="1" t="str">
        <f t="shared" si="494"/>
        <v>JMD</v>
      </c>
      <c r="G117" s="1" t="s">
        <v>111</v>
      </c>
      <c r="H117" s="1" t="s">
        <v>478</v>
      </c>
      <c r="J117" s="1">
        <f t="shared" ref="J117" si="560" xml:space="preserve"> IF(AND(LEN(ChartLines.ID)&gt;0,"Unused"&lt;&gt;ChartLines.ID), COUNTIFS(ChartLines.ID,ChartLines.ID), "·")</f>
        <v>2</v>
      </c>
      <c r="K117" s="1">
        <f t="shared" ref="K117" si="561" xml:space="preserve"> IF(AND(LEN(ChartLines.ID)&gt;0,"Unused"&lt;&gt;ChartLines.ID), COUNTIFS(ChartLines.ID,ChartLines.ID,   ChartLines.RowNum,"&lt;="&amp;ChartLines.RowNum), "·")</f>
        <v>1</v>
      </c>
      <c r="L117" s="1" t="str" cm="1">
        <f t="array" ref="L117" xml:space="preserve"> _xlfn.IFS(OR(LEN(_xlfn.SINGLE(ChartLines.ID))=0,"Unused"=_xlfn.SINGLE(ChartLines.ID)), "·",   1=_xlfn.SINGLE(ChartLines.NumInstances), IF("USD"=_xlfn.SINGLE(ChartLines.ID), "SoleBig", "SoleOrdinary"),   1=_xlfn.SINGLE(ChartLines.InstanceNum), "Outer",   TRUE, "Inner")</f>
        <v>Outer</v>
      </c>
      <c r="M117" s="1">
        <f t="shared" ref="M117" si="562" xml:space="preserve"> IF(LEN(ChartLines.Hex6)=6, HEX2DEC(LEFT(ChartLines.Hex6, 2)), "·")</f>
        <v>1</v>
      </c>
      <c r="N117" s="1">
        <f t="shared" ref="N117" si="563" xml:space="preserve"> IF(LEN(ChartLines.Hex6)=6, HEX2DEC(MID(ChartLines.Hex6, 3, 2)), "·")</f>
        <v>65</v>
      </c>
      <c r="O117" s="1">
        <f t="shared" ref="O117" si="564" xml:space="preserve"> IF(LEN(ChartLines.Hex6)=6, HEX2DEC(RIGHT(ChartLines.Hex6, 2)), "·")</f>
        <v>28</v>
      </c>
      <c r="P117" s="1" cm="1">
        <f t="array" ref="P117" xml:space="preserve"> 1 + ROW() - _xlfn.SINGLE(ROW(ChartLines.RowNum))</f>
        <v>112</v>
      </c>
    </row>
    <row r="118" spans="2:16" x14ac:dyDescent="0.2">
      <c r="B118" s="1" t="s">
        <v>166</v>
      </c>
      <c r="C118" s="1" t="str">
        <f t="shared" si="494"/>
        <v>BSD</v>
      </c>
      <c r="G118" s="1" t="s">
        <v>111</v>
      </c>
      <c r="H118" s="1" t="s">
        <v>423</v>
      </c>
      <c r="J118" s="1">
        <f t="shared" ref="J118" si="565" xml:space="preserve"> IF(AND(LEN(ChartLines.ID)&gt;0,"Unused"&lt;&gt;ChartLines.ID), COUNTIFS(ChartLines.ID,ChartLines.ID), "·")</f>
        <v>2</v>
      </c>
      <c r="K118" s="1">
        <f t="shared" ref="K118" si="566" xml:space="preserve"> IF(AND(LEN(ChartLines.ID)&gt;0,"Unused"&lt;&gt;ChartLines.ID), COUNTIFS(ChartLines.ID,ChartLines.ID,   ChartLines.RowNum,"&lt;="&amp;ChartLines.RowNum), "·")</f>
        <v>2</v>
      </c>
      <c r="L118" s="1" t="str" cm="1">
        <f t="array" ref="L118" xml:space="preserve"> _xlfn.IFS(OR(LEN(_xlfn.SINGLE(ChartLines.ID))=0,"Unused"=_xlfn.SINGLE(ChartLines.ID)), "·",   1=_xlfn.SINGLE(ChartLines.NumInstances), IF("USD"=_xlfn.SINGLE(ChartLines.ID), "SoleBig", "SoleOrdinary"),   1=_xlfn.SINGLE(ChartLines.InstanceNum), "Outer",   TRUE, "Inner")</f>
        <v>Inner</v>
      </c>
      <c r="M118" s="1">
        <f t="shared" ref="M118" si="567" xml:space="preserve"> IF(LEN(ChartLines.Hex6)=6, HEX2DEC(LEFT(ChartLines.Hex6, 2)), "·")</f>
        <v>255</v>
      </c>
      <c r="N118" s="1">
        <f t="shared" ref="N118" si="568" xml:space="preserve"> IF(LEN(ChartLines.Hex6)=6, HEX2DEC(MID(ChartLines.Hex6, 3, 2)), "·")</f>
        <v>255</v>
      </c>
      <c r="O118" s="1">
        <f t="shared" ref="O118" si="569" xml:space="preserve"> IF(LEN(ChartLines.Hex6)=6, HEX2DEC(RIGHT(ChartLines.Hex6, 2)), "·")</f>
        <v>255</v>
      </c>
      <c r="P118" s="1" cm="1">
        <f t="array" ref="P118" xml:space="preserve"> 1 + ROW() - _xlfn.SINGLE(ROW(ChartLines.RowNum))</f>
        <v>113</v>
      </c>
    </row>
    <row r="119" spans="2:16" x14ac:dyDescent="0.2">
      <c r="B119" s="1" t="s">
        <v>167</v>
      </c>
      <c r="C119" s="1" t="str">
        <f t="shared" si="494"/>
        <v>_EIB</v>
      </c>
      <c r="G119" s="1" t="s">
        <v>112</v>
      </c>
      <c r="H119" s="1" t="s">
        <v>479</v>
      </c>
      <c r="J119" s="1">
        <f t="shared" ref="J119" si="570" xml:space="preserve"> IF(AND(LEN(ChartLines.ID)&gt;0,"Unused"&lt;&gt;ChartLines.ID), COUNTIFS(ChartLines.ID,ChartLines.ID), "·")</f>
        <v>2</v>
      </c>
      <c r="K119" s="1">
        <f t="shared" ref="K119" si="571" xml:space="preserve"> IF(AND(LEN(ChartLines.ID)&gt;0,"Unused"&lt;&gt;ChartLines.ID), COUNTIFS(ChartLines.ID,ChartLines.ID,   ChartLines.RowNum,"&lt;="&amp;ChartLines.RowNum), "·")</f>
        <v>1</v>
      </c>
      <c r="L119" s="1" t="str" cm="1">
        <f t="array" ref="L119" xml:space="preserve"> _xlfn.IFS(OR(LEN(_xlfn.SINGLE(ChartLines.ID))=0,"Unused"=_xlfn.SINGLE(ChartLines.ID)), "·",   1=_xlfn.SINGLE(ChartLines.NumInstances), IF("USD"=_xlfn.SINGLE(ChartLines.ID), "SoleBig", "SoleOrdinary"),   1=_xlfn.SINGLE(ChartLines.InstanceNum), "Outer",   TRUE, "Inner")</f>
        <v>Outer</v>
      </c>
      <c r="M119" s="1">
        <f t="shared" ref="M119" si="572" xml:space="preserve"> IF(LEN(ChartLines.Hex6)=6, HEX2DEC(LEFT(ChartLines.Hex6, 2)), "·")</f>
        <v>0</v>
      </c>
      <c r="N119" s="1">
        <f t="shared" ref="N119" si="573" xml:space="preserve"> IF(LEN(ChartLines.Hex6)=6, HEX2DEC(MID(ChartLines.Hex6, 3, 2)), "·")</f>
        <v>106</v>
      </c>
      <c r="O119" s="1">
        <f t="shared" ref="O119" si="574" xml:space="preserve"> IF(LEN(ChartLines.Hex6)=6, HEX2DEC(RIGHT(ChartLines.Hex6, 2)), "·")</f>
        <v>78</v>
      </c>
      <c r="P119" s="1" cm="1">
        <f t="array" ref="P119" xml:space="preserve"> 1 + ROW() - _xlfn.SINGLE(ROW(ChartLines.RowNum))</f>
        <v>114</v>
      </c>
    </row>
    <row r="120" spans="2:16" x14ac:dyDescent="0.2">
      <c r="B120" s="1" t="s">
        <v>168</v>
      </c>
      <c r="C120" s="1" t="str">
        <f t="shared" si="494"/>
        <v>_EBRD</v>
      </c>
      <c r="G120" s="1" t="s">
        <v>112</v>
      </c>
      <c r="H120" s="1" t="s">
        <v>480</v>
      </c>
      <c r="J120" s="1">
        <f t="shared" ref="J120" si="575" xml:space="preserve"> IF(AND(LEN(ChartLines.ID)&gt;0,"Unused"&lt;&gt;ChartLines.ID), COUNTIFS(ChartLines.ID,ChartLines.ID), "·")</f>
        <v>2</v>
      </c>
      <c r="K120" s="1">
        <f t="shared" ref="K120" si="576" xml:space="preserve"> IF(AND(LEN(ChartLines.ID)&gt;0,"Unused"&lt;&gt;ChartLines.ID), COUNTIFS(ChartLines.ID,ChartLines.ID,   ChartLines.RowNum,"&lt;="&amp;ChartLines.RowNum), "·")</f>
        <v>2</v>
      </c>
      <c r="L120" s="1" t="str" cm="1">
        <f t="array" ref="L120" xml:space="preserve"> _xlfn.IFS(OR(LEN(_xlfn.SINGLE(ChartLines.ID))=0,"Unused"=_xlfn.SINGLE(ChartLines.ID)), "·",   1=_xlfn.SINGLE(ChartLines.NumInstances), IF("USD"=_xlfn.SINGLE(ChartLines.ID), "SoleBig", "SoleOrdinary"),   1=_xlfn.SINGLE(ChartLines.InstanceNum), "Outer",   TRUE, "Inner")</f>
        <v>Inner</v>
      </c>
      <c r="M120" s="1">
        <f t="shared" ref="M120" si="577" xml:space="preserve"> IF(LEN(ChartLines.Hex6)=6, HEX2DEC(LEFT(ChartLines.Hex6, 2)), "·")</f>
        <v>244</v>
      </c>
      <c r="N120" s="1">
        <f t="shared" ref="N120" si="578" xml:space="preserve"> IF(LEN(ChartLines.Hex6)=6, HEX2DEC(MID(ChartLines.Hex6, 3, 2)), "·")</f>
        <v>42</v>
      </c>
      <c r="O120" s="1">
        <f t="shared" ref="O120" si="579" xml:space="preserve"> IF(LEN(ChartLines.Hex6)=6, HEX2DEC(RIGHT(ChartLines.Hex6, 2)), "·")</f>
        <v>65</v>
      </c>
      <c r="P120" s="1" cm="1">
        <f t="array" ref="P120" xml:space="preserve"> 1 + ROW() - _xlfn.SINGLE(ROW(ChartLines.RowNum))</f>
        <v>115</v>
      </c>
    </row>
    <row r="121" spans="2:16" x14ac:dyDescent="0.2">
      <c r="B121" s="1" t="s">
        <v>169</v>
      </c>
      <c r="C121" s="1" t="str">
        <f t="shared" si="494"/>
        <v>_NIB</v>
      </c>
      <c r="G121" s="1" t="s">
        <v>113</v>
      </c>
      <c r="H121" s="1" t="s">
        <v>481</v>
      </c>
      <c r="J121" s="1">
        <f t="shared" ref="J121" si="580" xml:space="preserve"> IF(AND(LEN(ChartLines.ID)&gt;0,"Unused"&lt;&gt;ChartLines.ID), COUNTIFS(ChartLines.ID,ChartLines.ID), "·")</f>
        <v>2</v>
      </c>
      <c r="K121" s="1">
        <f t="shared" ref="K121" si="581" xml:space="preserve"> IF(AND(LEN(ChartLines.ID)&gt;0,"Unused"&lt;&gt;ChartLines.ID), COUNTIFS(ChartLines.ID,ChartLines.ID,   ChartLines.RowNum,"&lt;="&amp;ChartLines.RowNum), "·")</f>
        <v>1</v>
      </c>
      <c r="L121" s="1" t="str" cm="1">
        <f t="array" ref="L121" xml:space="preserve"> _xlfn.IFS(OR(LEN(_xlfn.SINGLE(ChartLines.ID))=0,"Unused"=_xlfn.SINGLE(ChartLines.ID)), "·",   1=_xlfn.SINGLE(ChartLines.NumInstances), IF("USD"=_xlfn.SINGLE(ChartLines.ID), "SoleBig", "SoleOrdinary"),   1=_xlfn.SINGLE(ChartLines.InstanceNum), "Outer",   TRUE, "Inner")</f>
        <v>Outer</v>
      </c>
      <c r="M121" s="1">
        <f t="shared" ref="M121" si="582" xml:space="preserve"> IF(LEN(ChartLines.Hex6)=6, HEX2DEC(LEFT(ChartLines.Hex6, 2)), "·")</f>
        <v>121</v>
      </c>
      <c r="N121" s="1">
        <f t="shared" ref="N121" si="583" xml:space="preserve"> IF(LEN(ChartLines.Hex6)=6, HEX2DEC(MID(ChartLines.Hex6, 3, 2)), "·")</f>
        <v>5</v>
      </c>
      <c r="O121" s="1">
        <f t="shared" ref="O121" si="584" xml:space="preserve"> IF(LEN(ChartLines.Hex6)=6, HEX2DEC(RIGHT(ChartLines.Hex6, 2)), "·")</f>
        <v>44</v>
      </c>
      <c r="P121" s="1" cm="1">
        <f t="array" ref="P121" xml:space="preserve"> 1 + ROW() - _xlfn.SINGLE(ROW(ChartLines.RowNum))</f>
        <v>116</v>
      </c>
    </row>
    <row r="122" spans="2:16" x14ac:dyDescent="0.2">
      <c r="B122" s="1" t="s">
        <v>170</v>
      </c>
      <c r="C122" s="1" t="str">
        <f t="shared" si="494"/>
        <v>_KfW</v>
      </c>
      <c r="G122" s="1" t="s">
        <v>113</v>
      </c>
      <c r="H122" s="1" t="s">
        <v>482</v>
      </c>
      <c r="J122" s="1">
        <f t="shared" ref="J122" si="585" xml:space="preserve"> IF(AND(LEN(ChartLines.ID)&gt;0,"Unused"&lt;&gt;ChartLines.ID), COUNTIFS(ChartLines.ID,ChartLines.ID), "·")</f>
        <v>2</v>
      </c>
      <c r="K122" s="1">
        <f t="shared" ref="K122" si="586" xml:space="preserve"> IF(AND(LEN(ChartLines.ID)&gt;0,"Unused"&lt;&gt;ChartLines.ID), COUNTIFS(ChartLines.ID,ChartLines.ID,   ChartLines.RowNum,"&lt;="&amp;ChartLines.RowNum), "·")</f>
        <v>2</v>
      </c>
      <c r="L122" s="1" t="str" cm="1">
        <f t="array" ref="L122" xml:space="preserve"> _xlfn.IFS(OR(LEN(_xlfn.SINGLE(ChartLines.ID))=0,"Unused"=_xlfn.SINGLE(ChartLines.ID)), "·",   1=_xlfn.SINGLE(ChartLines.NumInstances), IF("USD"=_xlfn.SINGLE(ChartLines.ID), "SoleBig", "SoleOrdinary"),   1=_xlfn.SINGLE(ChartLines.InstanceNum), "Outer",   TRUE, "Inner")</f>
        <v>Inner</v>
      </c>
      <c r="M122" s="1">
        <f t="shared" ref="M122" si="587" xml:space="preserve"> IF(LEN(ChartLines.Hex6)=6, HEX2DEC(LEFT(ChartLines.Hex6, 2)), "·")</f>
        <v>253</v>
      </c>
      <c r="N122" s="1">
        <f t="shared" ref="N122" si="588" xml:space="preserve"> IF(LEN(ChartLines.Hex6)=6, HEX2DEC(MID(ChartLines.Hex6, 3, 2)), "·")</f>
        <v>178</v>
      </c>
      <c r="O122" s="1">
        <f t="shared" ref="O122" si="589" xml:space="preserve"> IF(LEN(ChartLines.Hex6)=6, HEX2DEC(RIGHT(ChartLines.Hex6, 2)), "·")</f>
        <v>33</v>
      </c>
      <c r="P122" s="1" cm="1">
        <f t="array" ref="P122" xml:space="preserve"> 1 + ROW() - _xlfn.SINGLE(ROW(ChartLines.RowNum))</f>
        <v>117</v>
      </c>
    </row>
    <row r="123" spans="2:16" x14ac:dyDescent="0.2">
      <c r="B123" s="1" t="s">
        <v>171</v>
      </c>
      <c r="C123" s="1" t="str">
        <f t="shared" si="494"/>
        <v>_ADB</v>
      </c>
      <c r="G123" s="1" t="s">
        <v>114</v>
      </c>
      <c r="H123" s="1" t="s">
        <v>483</v>
      </c>
      <c r="J123" s="1">
        <f t="shared" ref="J123" si="590" xml:space="preserve"> IF(AND(LEN(ChartLines.ID)&gt;0,"Unused"&lt;&gt;ChartLines.ID), COUNTIFS(ChartLines.ID,ChartLines.ID), "·")</f>
        <v>2</v>
      </c>
      <c r="K123" s="1">
        <f t="shared" ref="K123" si="591" xml:space="preserve"> IF(AND(LEN(ChartLines.ID)&gt;0,"Unused"&lt;&gt;ChartLines.ID), COUNTIFS(ChartLines.ID,ChartLines.ID,   ChartLines.RowNum,"&lt;="&amp;ChartLines.RowNum), "·")</f>
        <v>1</v>
      </c>
      <c r="L123" s="1" t="str" cm="1">
        <f t="array" ref="L123" xml:space="preserve"> _xlfn.IFS(OR(LEN(_xlfn.SINGLE(ChartLines.ID))=0,"Unused"=_xlfn.SINGLE(ChartLines.ID)), "·",   1=_xlfn.SINGLE(ChartLines.NumInstances), IF("USD"=_xlfn.SINGLE(ChartLines.ID), "SoleBig", "SoleOrdinary"),   1=_xlfn.SINGLE(ChartLines.InstanceNum), "Outer",   TRUE, "Inner")</f>
        <v>Outer</v>
      </c>
      <c r="M123" s="1">
        <f t="shared" ref="M123" si="592" xml:space="preserve"> IF(LEN(ChartLines.Hex6)=6, HEX2DEC(LEFT(ChartLines.Hex6, 2)), "·")</f>
        <v>0</v>
      </c>
      <c r="N123" s="1">
        <f t="shared" ref="N123" si="593" xml:space="preserve"> IF(LEN(ChartLines.Hex6)=6, HEX2DEC(MID(ChartLines.Hex6, 3, 2)), "·")</f>
        <v>174</v>
      </c>
      <c r="O123" s="1">
        <f t="shared" ref="O123" si="594" xml:space="preserve"> IF(LEN(ChartLines.Hex6)=6, HEX2DEC(RIGHT(ChartLines.Hex6, 2)), "·")</f>
        <v>199</v>
      </c>
      <c r="P123" s="1" cm="1">
        <f t="array" ref="P123" xml:space="preserve"> 1 + ROW() - _xlfn.SINGLE(ROW(ChartLines.RowNum))</f>
        <v>118</v>
      </c>
    </row>
    <row r="124" spans="2:16" x14ac:dyDescent="0.2">
      <c r="B124" s="1" t="s">
        <v>172</v>
      </c>
      <c r="C124" s="1" t="str">
        <f t="shared" si="494"/>
        <v>_AIIB</v>
      </c>
      <c r="G124" s="1" t="s">
        <v>114</v>
      </c>
      <c r="H124" s="1" t="s">
        <v>484</v>
      </c>
      <c r="J124" s="1">
        <f t="shared" ref="J124" si="595" xml:space="preserve"> IF(AND(LEN(ChartLines.ID)&gt;0,"Unused"&lt;&gt;ChartLines.ID), COUNTIFS(ChartLines.ID,ChartLines.ID), "·")</f>
        <v>2</v>
      </c>
      <c r="K124" s="1">
        <f t="shared" ref="K124" si="596" xml:space="preserve"> IF(AND(LEN(ChartLines.ID)&gt;0,"Unused"&lt;&gt;ChartLines.ID), COUNTIFS(ChartLines.ID,ChartLines.ID,   ChartLines.RowNum,"&lt;="&amp;ChartLines.RowNum), "·")</f>
        <v>2</v>
      </c>
      <c r="L124" s="1" t="str" cm="1">
        <f t="array" ref="L124" xml:space="preserve"> _xlfn.IFS(OR(LEN(_xlfn.SINGLE(ChartLines.ID))=0,"Unused"=_xlfn.SINGLE(ChartLines.ID)), "·",   1=_xlfn.SINGLE(ChartLines.NumInstances), IF("USD"=_xlfn.SINGLE(ChartLines.ID), "SoleBig", "SoleOrdinary"),   1=_xlfn.SINGLE(ChartLines.InstanceNum), "Outer",   TRUE, "Inner")</f>
        <v>Inner</v>
      </c>
      <c r="M124" s="1">
        <f t="shared" ref="M124" si="597" xml:space="preserve"> IF(LEN(ChartLines.Hex6)=6, HEX2DEC(LEFT(ChartLines.Hex6, 2)), "·")</f>
        <v>246</v>
      </c>
      <c r="N124" s="1">
        <f t="shared" ref="N124" si="598" xml:space="preserve"> IF(LEN(ChartLines.Hex6)=6, HEX2DEC(MID(ChartLines.Hex6, 3, 2)), "·")</f>
        <v>229</v>
      </c>
      <c r="O124" s="1">
        <f t="shared" ref="O124" si="599" xml:space="preserve"> IF(LEN(ChartLines.Hex6)=6, HEX2DEC(RIGHT(ChartLines.Hex6, 2)), "·")</f>
        <v>0</v>
      </c>
      <c r="P124" s="1" cm="1">
        <f t="array" ref="P124" xml:space="preserve"> 1 + ROW() - _xlfn.SINGLE(ROW(ChartLines.RowNum))</f>
        <v>119</v>
      </c>
    </row>
    <row r="125" spans="2:16" x14ac:dyDescent="0.2">
      <c r="B125" s="1" t="s">
        <v>173</v>
      </c>
      <c r="C125" s="1" t="str">
        <f t="shared" si="494"/>
        <v>_IsDB</v>
      </c>
      <c r="G125" s="1" t="s">
        <v>115</v>
      </c>
      <c r="H125" s="1" t="s">
        <v>485</v>
      </c>
      <c r="J125" s="1">
        <f t="shared" ref="J125" si="600" xml:space="preserve"> IF(AND(LEN(ChartLines.ID)&gt;0,"Unused"&lt;&gt;ChartLines.ID), COUNTIFS(ChartLines.ID,ChartLines.ID), "·")</f>
        <v>2</v>
      </c>
      <c r="K125" s="1">
        <f t="shared" ref="K125" si="601" xml:space="preserve"> IF(AND(LEN(ChartLines.ID)&gt;0,"Unused"&lt;&gt;ChartLines.ID), COUNTIFS(ChartLines.ID,ChartLines.ID,   ChartLines.RowNum,"&lt;="&amp;ChartLines.RowNum), "·")</f>
        <v>1</v>
      </c>
      <c r="L125" s="1" t="str" cm="1">
        <f t="array" ref="L125" xml:space="preserve"> _xlfn.IFS(OR(LEN(_xlfn.SINGLE(ChartLines.ID))=0,"Unused"=_xlfn.SINGLE(ChartLines.ID)), "·",   1=_xlfn.SINGLE(ChartLines.NumInstances), IF("USD"=_xlfn.SINGLE(ChartLines.ID), "SoleBig", "SoleOrdinary"),   1=_xlfn.SINGLE(ChartLines.InstanceNum), "Outer",   TRUE, "Inner")</f>
        <v>Outer</v>
      </c>
      <c r="M125" s="1">
        <f t="shared" ref="M125" si="602" xml:space="preserve"> IF(LEN(ChartLines.Hex6)=6, HEX2DEC(LEFT(ChartLines.Hex6, 2)), "·")</f>
        <v>0</v>
      </c>
      <c r="N125" s="1">
        <f t="shared" ref="N125" si="603" xml:space="preserve"> IF(LEN(ChartLines.Hex6)=6, HEX2DEC(MID(ChartLines.Hex6, 3, 2)), "·")</f>
        <v>102</v>
      </c>
      <c r="O125" s="1">
        <f t="shared" ref="O125" si="604" xml:space="preserve"> IF(LEN(ChartLines.Hex6)=6, HEX2DEC(RIGHT(ChartLines.Hex6, 2)), "·")</f>
        <v>179</v>
      </c>
      <c r="P125" s="1" cm="1">
        <f t="array" ref="P125" xml:space="preserve"> 1 + ROW() - _xlfn.SINGLE(ROW(ChartLines.RowNum))</f>
        <v>120</v>
      </c>
    </row>
    <row r="126" spans="2:16" x14ac:dyDescent="0.2">
      <c r="B126" s="1" t="s">
        <v>174</v>
      </c>
      <c r="C126" s="1" t="str">
        <f t="shared" si="494"/>
        <v>_AfDB</v>
      </c>
      <c r="G126" s="1" t="s">
        <v>115</v>
      </c>
      <c r="H126" s="1" t="s">
        <v>486</v>
      </c>
      <c r="J126" s="1">
        <f t="shared" ref="J126" si="605" xml:space="preserve"> IF(AND(LEN(ChartLines.ID)&gt;0,"Unused"&lt;&gt;ChartLines.ID), COUNTIFS(ChartLines.ID,ChartLines.ID), "·")</f>
        <v>2</v>
      </c>
      <c r="K126" s="1">
        <f t="shared" ref="K126" si="606" xml:space="preserve"> IF(AND(LEN(ChartLines.ID)&gt;0,"Unused"&lt;&gt;ChartLines.ID), COUNTIFS(ChartLines.ID,ChartLines.ID,   ChartLines.RowNum,"&lt;="&amp;ChartLines.RowNum), "·")</f>
        <v>2</v>
      </c>
      <c r="L126" s="1" t="str" cm="1">
        <f t="array" ref="L126" xml:space="preserve"> _xlfn.IFS(OR(LEN(_xlfn.SINGLE(ChartLines.ID))=0,"Unused"=_xlfn.SINGLE(ChartLines.ID)), "·",   1=_xlfn.SINGLE(ChartLines.NumInstances), IF("USD"=_xlfn.SINGLE(ChartLines.ID), "SoleBig", "SoleOrdinary"),   1=_xlfn.SINGLE(ChartLines.InstanceNum), "Outer",   TRUE, "Inner")</f>
        <v>Inner</v>
      </c>
      <c r="M126" s="1">
        <f t="shared" ref="M126" si="607" xml:space="preserve"> IF(LEN(ChartLines.Hex6)=6, HEX2DEC(LEFT(ChartLines.Hex6, 2)), "·")</f>
        <v>218</v>
      </c>
      <c r="N126" s="1">
        <f t="shared" ref="N126" si="608" xml:space="preserve"> IF(LEN(ChartLines.Hex6)=6, HEX2DEC(MID(ChartLines.Hex6, 3, 2)), "·")</f>
        <v>32</v>
      </c>
      <c r="O126" s="1">
        <f t="shared" ref="O126" si="609" xml:space="preserve"> IF(LEN(ChartLines.Hex6)=6, HEX2DEC(RIGHT(ChartLines.Hex6, 2)), "·")</f>
        <v>50</v>
      </c>
      <c r="P126" s="1" cm="1">
        <f t="array" ref="P126" xml:space="preserve"> 1 + ROW() - _xlfn.SINGLE(ROW(ChartLines.RowNum))</f>
        <v>121</v>
      </c>
    </row>
    <row r="127" spans="2:16" x14ac:dyDescent="0.2">
      <c r="B127" s="1" t="s">
        <v>175</v>
      </c>
      <c r="C127" s="1" t="str">
        <f t="shared" si="494"/>
        <v>_AfExIm</v>
      </c>
      <c r="J127" s="1" t="str">
        <f t="shared" ref="J127" si="610" xml:space="preserve"> IF(AND(LEN(ChartLines.ID)&gt;0,"Unused"&lt;&gt;ChartLines.ID), COUNTIFS(ChartLines.ID,ChartLines.ID), "·")</f>
        <v>·</v>
      </c>
      <c r="K127" s="1" t="str">
        <f t="shared" ref="K127" si="611" xml:space="preserve"> IF(AND(LEN(ChartLines.ID)&gt;0,"Unused"&lt;&gt;ChartLines.ID), COUNTIFS(ChartLines.ID,ChartLines.ID,   ChartLines.RowNum,"&lt;="&amp;ChartLines.RowNum), "·")</f>
        <v>·</v>
      </c>
      <c r="L127" s="1" t="str" cm="1">
        <f t="array" ref="L127" xml:space="preserve"> _xlfn.IFS(OR(LEN(_xlfn.SINGLE(ChartLines.ID))=0,"Unused"=_xlfn.SINGLE(ChartLines.ID)), "·",   1=_xlfn.SINGLE(ChartLines.NumInstances), IF("USD"=_xlfn.SINGLE(ChartLines.ID), "SoleBig", "SoleOrdinary"),   1=_xlfn.SINGLE(ChartLines.InstanceNum), "Outer",   TRUE, "Inner")</f>
        <v>·</v>
      </c>
      <c r="M127" s="1" t="str">
        <f t="shared" ref="M127" si="612" xml:space="preserve"> IF(LEN(ChartLines.Hex6)=6, HEX2DEC(LEFT(ChartLines.Hex6, 2)), "·")</f>
        <v>·</v>
      </c>
      <c r="N127" s="1" t="str">
        <f t="shared" ref="N127" si="613" xml:space="preserve"> IF(LEN(ChartLines.Hex6)=6, HEX2DEC(MID(ChartLines.Hex6, 3, 2)), "·")</f>
        <v>·</v>
      </c>
      <c r="O127" s="1" t="str">
        <f t="shared" ref="O127" si="614" xml:space="preserve"> IF(LEN(ChartLines.Hex6)=6, HEX2DEC(RIGHT(ChartLines.Hex6, 2)), "·")</f>
        <v>·</v>
      </c>
      <c r="P127" s="1" cm="1">
        <f t="array" ref="P127" xml:space="preserve"> 1 + ROW() - _xlfn.SINGLE(ROW(ChartLines.RowNum))</f>
        <v>122</v>
      </c>
    </row>
    <row r="128" spans="2:16" x14ac:dyDescent="0.2">
      <c r="B128" s="1" t="s">
        <v>176</v>
      </c>
      <c r="C128" s="1" t="str">
        <f t="shared" si="494"/>
        <v>_IADB</v>
      </c>
      <c r="G128" s="1" t="s">
        <v>116</v>
      </c>
      <c r="H128" s="1" t="s">
        <v>487</v>
      </c>
      <c r="J128" s="1">
        <f t="shared" ref="J128" si="615" xml:space="preserve"> IF(AND(LEN(ChartLines.ID)&gt;0,"Unused"&lt;&gt;ChartLines.ID), COUNTIFS(ChartLines.ID,ChartLines.ID), "·")</f>
        <v>2</v>
      </c>
      <c r="K128" s="1">
        <f t="shared" ref="K128" si="616" xml:space="preserve"> IF(AND(LEN(ChartLines.ID)&gt;0,"Unused"&lt;&gt;ChartLines.ID), COUNTIFS(ChartLines.ID,ChartLines.ID,   ChartLines.RowNum,"&lt;="&amp;ChartLines.RowNum), "·")</f>
        <v>1</v>
      </c>
      <c r="L128" s="1" t="str" cm="1">
        <f t="array" ref="L128" xml:space="preserve"> _xlfn.IFS(OR(LEN(_xlfn.SINGLE(ChartLines.ID))=0,"Unused"=_xlfn.SINGLE(ChartLines.ID)), "·",   1=_xlfn.SINGLE(ChartLines.NumInstances), IF("USD"=_xlfn.SINGLE(ChartLines.ID), "SoleBig", "SoleOrdinary"),   1=_xlfn.SINGLE(ChartLines.InstanceNum), "Outer",   TRUE, "Inner")</f>
        <v>Outer</v>
      </c>
      <c r="M128" s="1">
        <f t="shared" ref="M128" si="617" xml:space="preserve"> IF(LEN(ChartLines.Hex6)=6, HEX2DEC(LEFT(ChartLines.Hex6, 2)), "·")</f>
        <v>199</v>
      </c>
      <c r="N128" s="1">
        <f t="shared" ref="N128" si="618" xml:space="preserve"> IF(LEN(ChartLines.Hex6)=6, HEX2DEC(MID(ChartLines.Hex6, 3, 2)), "·")</f>
        <v>54</v>
      </c>
      <c r="O128" s="1">
        <f t="shared" ref="O128" si="619" xml:space="preserve"> IF(LEN(ChartLines.Hex6)=6, HEX2DEC(RIGHT(ChartLines.Hex6, 2)), "·")</f>
        <v>61</v>
      </c>
      <c r="P128" s="1" cm="1">
        <f t="array" ref="P128" xml:space="preserve"> 1 + ROW() - _xlfn.SINGLE(ROW(ChartLines.RowNum))</f>
        <v>123</v>
      </c>
    </row>
    <row r="129" spans="2:16" x14ac:dyDescent="0.2">
      <c r="B129" s="1" t="s">
        <v>177</v>
      </c>
      <c r="C129" s="1" t="str">
        <f t="shared" si="494"/>
        <v>_BCIE</v>
      </c>
      <c r="G129" s="1" t="s">
        <v>116</v>
      </c>
      <c r="H129" s="1" t="s">
        <v>488</v>
      </c>
      <c r="J129" s="1">
        <f t="shared" ref="J129" si="620" xml:space="preserve"> IF(AND(LEN(ChartLines.ID)&gt;0,"Unused"&lt;&gt;ChartLines.ID), COUNTIFS(ChartLines.ID,ChartLines.ID), "·")</f>
        <v>2</v>
      </c>
      <c r="K129" s="1">
        <f t="shared" ref="K129" si="621" xml:space="preserve"> IF(AND(LEN(ChartLines.ID)&gt;0,"Unused"&lt;&gt;ChartLines.ID), COUNTIFS(ChartLines.ID,ChartLines.ID,   ChartLines.RowNum,"&lt;="&amp;ChartLines.RowNum), "·")</f>
        <v>2</v>
      </c>
      <c r="L129" s="1" t="str" cm="1">
        <f t="array" ref="L129" xml:space="preserve"> _xlfn.IFS(OR(LEN(_xlfn.SINGLE(ChartLines.ID))=0,"Unused"=_xlfn.SINGLE(ChartLines.ID)), "·",   1=_xlfn.SINGLE(ChartLines.NumInstances), IF("USD"=_xlfn.SINGLE(ChartLines.ID), "SoleBig", "SoleOrdinary"),   1=_xlfn.SINGLE(ChartLines.InstanceNum), "Outer",   TRUE, "Inner")</f>
        <v>Inner</v>
      </c>
      <c r="M129" s="1">
        <f t="shared" ref="M129" si="622" xml:space="preserve"> IF(LEN(ChartLines.Hex6)=6, HEX2DEC(LEFT(ChartLines.Hex6, 2)), "·")</f>
        <v>12</v>
      </c>
      <c r="N129" s="1">
        <f t="shared" ref="N129" si="623" xml:space="preserve"> IF(LEN(ChartLines.Hex6)=6, HEX2DEC(MID(ChartLines.Hex6, 3, 2)), "·")</f>
        <v>64</v>
      </c>
      <c r="O129" s="1">
        <f t="shared" ref="O129" si="624" xml:space="preserve"> IF(LEN(ChartLines.Hex6)=6, HEX2DEC(RIGHT(ChartLines.Hex6, 2)), "·")</f>
        <v>119</v>
      </c>
      <c r="P129" s="1" cm="1">
        <f t="array" ref="P129" xml:space="preserve"> 1 + ROW() - _xlfn.SINGLE(ROW(ChartLines.RowNum))</f>
        <v>124</v>
      </c>
    </row>
    <row r="130" spans="2:16" x14ac:dyDescent="0.2">
      <c r="B130" s="1" t="s">
        <v>178</v>
      </c>
      <c r="C130" s="1" t="str">
        <f t="shared" si="494"/>
        <v>_CDB</v>
      </c>
      <c r="G130" s="1" t="s">
        <v>117</v>
      </c>
      <c r="H130" s="1" t="str">
        <f xml:space="preserve"> "000000"</f>
        <v>000000</v>
      </c>
      <c r="J130" s="1">
        <f t="shared" ref="J130" si="625" xml:space="preserve"> IF(AND(LEN(ChartLines.ID)&gt;0,"Unused"&lt;&gt;ChartLines.ID), COUNTIFS(ChartLines.ID,ChartLines.ID), "·")</f>
        <v>2</v>
      </c>
      <c r="K130" s="1">
        <f t="shared" ref="K130" si="626" xml:space="preserve"> IF(AND(LEN(ChartLines.ID)&gt;0,"Unused"&lt;&gt;ChartLines.ID), COUNTIFS(ChartLines.ID,ChartLines.ID,   ChartLines.RowNum,"&lt;="&amp;ChartLines.RowNum), "·")</f>
        <v>1</v>
      </c>
      <c r="L130" s="1" t="str" cm="1">
        <f t="array" ref="L130" xml:space="preserve"> _xlfn.IFS(OR(LEN(_xlfn.SINGLE(ChartLines.ID))=0,"Unused"=_xlfn.SINGLE(ChartLines.ID)), "·",   1=_xlfn.SINGLE(ChartLines.NumInstances), IF("USD"=_xlfn.SINGLE(ChartLines.ID), "SoleBig", "SoleOrdinary"),   1=_xlfn.SINGLE(ChartLines.InstanceNum), "Outer",   TRUE, "Inner")</f>
        <v>Outer</v>
      </c>
      <c r="M130" s="1">
        <f t="shared" ref="M130" si="627" xml:space="preserve"> IF(LEN(ChartLines.Hex6)=6, HEX2DEC(LEFT(ChartLines.Hex6, 2)), "·")</f>
        <v>0</v>
      </c>
      <c r="N130" s="1">
        <f t="shared" ref="N130" si="628" xml:space="preserve"> IF(LEN(ChartLines.Hex6)=6, HEX2DEC(MID(ChartLines.Hex6, 3, 2)), "·")</f>
        <v>0</v>
      </c>
      <c r="O130" s="1">
        <f t="shared" ref="O130" si="629" xml:space="preserve"> IF(LEN(ChartLines.Hex6)=6, HEX2DEC(RIGHT(ChartLines.Hex6, 2)), "·")</f>
        <v>0</v>
      </c>
      <c r="P130" s="1" cm="1">
        <f t="array" ref="P130" xml:space="preserve"> 1 + ROW() - _xlfn.SINGLE(ROW(ChartLines.RowNum))</f>
        <v>125</v>
      </c>
    </row>
    <row r="131" spans="2:16" x14ac:dyDescent="0.2">
      <c r="B131" s="1" t="s">
        <v>179</v>
      </c>
      <c r="C131" s="1" t="str">
        <f t="shared" si="494"/>
        <v>_NDB</v>
      </c>
      <c r="G131" s="1" t="s">
        <v>117</v>
      </c>
      <c r="H131" s="1" t="s">
        <v>439</v>
      </c>
      <c r="J131" s="1">
        <f t="shared" ref="J131" si="630" xml:space="preserve"> IF(AND(LEN(ChartLines.ID)&gt;0,"Unused"&lt;&gt;ChartLines.ID), COUNTIFS(ChartLines.ID,ChartLines.ID), "·")</f>
        <v>2</v>
      </c>
      <c r="K131" s="1">
        <f t="shared" ref="K131" si="631" xml:space="preserve"> IF(AND(LEN(ChartLines.ID)&gt;0,"Unused"&lt;&gt;ChartLines.ID), COUNTIFS(ChartLines.ID,ChartLines.ID,   ChartLines.RowNum,"&lt;="&amp;ChartLines.RowNum), "·")</f>
        <v>2</v>
      </c>
      <c r="L131" s="1" t="str" cm="1">
        <f t="array" ref="L131" xml:space="preserve"> _xlfn.IFS(OR(LEN(_xlfn.SINGLE(ChartLines.ID))=0,"Unused"=_xlfn.SINGLE(ChartLines.ID)), "·",   1=_xlfn.SINGLE(ChartLines.NumInstances), IF("USD"=_xlfn.SINGLE(ChartLines.ID), "SoleBig", "SoleOrdinary"),   1=_xlfn.SINGLE(ChartLines.InstanceNum), "Outer",   TRUE, "Inner")</f>
        <v>Inner</v>
      </c>
      <c r="M131" s="1">
        <f t="shared" ref="M131" si="632" xml:space="preserve"> IF(LEN(ChartLines.Hex6)=6, HEX2DEC(LEFT(ChartLines.Hex6, 2)), "·")</f>
        <v>218</v>
      </c>
      <c r="N131" s="1">
        <f t="shared" ref="N131" si="633" xml:space="preserve"> IF(LEN(ChartLines.Hex6)=6, HEX2DEC(MID(ChartLines.Hex6, 3, 2)), "·")</f>
        <v>41</v>
      </c>
      <c r="O131" s="1">
        <f t="shared" ref="O131" si="634" xml:space="preserve"> IF(LEN(ChartLines.Hex6)=6, HEX2DEC(RIGHT(ChartLines.Hex6, 2)), "·")</f>
        <v>28</v>
      </c>
      <c r="P131" s="1" cm="1">
        <f t="array" ref="P131" xml:space="preserve"> 1 + ROW() - _xlfn.SINGLE(ROW(ChartLines.RowNum))</f>
        <v>126</v>
      </c>
    </row>
    <row r="132" spans="2:16" x14ac:dyDescent="0.2">
      <c r="B132" s="1" t="s">
        <v>180</v>
      </c>
      <c r="C132" s="1" t="str">
        <f t="shared" si="494"/>
        <v>_IBRD</v>
      </c>
      <c r="G132" s="1" t="s">
        <v>118</v>
      </c>
      <c r="H132" s="1" t="s">
        <v>489</v>
      </c>
      <c r="J132" s="1">
        <f t="shared" ref="J132" si="635" xml:space="preserve"> IF(AND(LEN(ChartLines.ID)&gt;0,"Unused"&lt;&gt;ChartLines.ID), COUNTIFS(ChartLines.ID,ChartLines.ID), "·")</f>
        <v>2</v>
      </c>
      <c r="K132" s="1">
        <f t="shared" ref="K132" si="636" xml:space="preserve"> IF(AND(LEN(ChartLines.ID)&gt;0,"Unused"&lt;&gt;ChartLines.ID), COUNTIFS(ChartLines.ID,ChartLines.ID,   ChartLines.RowNum,"&lt;="&amp;ChartLines.RowNum), "·")</f>
        <v>1</v>
      </c>
      <c r="L132" s="1" t="str" cm="1">
        <f t="array" ref="L132" xml:space="preserve"> _xlfn.IFS(OR(LEN(_xlfn.SINGLE(ChartLines.ID))=0,"Unused"=_xlfn.SINGLE(ChartLines.ID)), "·",   1=_xlfn.SINGLE(ChartLines.NumInstances), IF("USD"=_xlfn.SINGLE(ChartLines.ID), "SoleBig", "SoleOrdinary"),   1=_xlfn.SINGLE(ChartLines.InstanceNum), "Outer",   TRUE, "Inner")</f>
        <v>Outer</v>
      </c>
      <c r="M132" s="1">
        <f t="shared" ref="M132" si="637" xml:space="preserve"> IF(LEN(ChartLines.Hex6)=6, HEX2DEC(LEFT(ChartLines.Hex6, 2)), "·")</f>
        <v>206</v>
      </c>
      <c r="N132" s="1">
        <f t="shared" ref="N132" si="638" xml:space="preserve"> IF(LEN(ChartLines.Hex6)=6, HEX2DEC(MID(ChartLines.Hex6, 3, 2)), "·")</f>
        <v>32</v>
      </c>
      <c r="O132" s="1">
        <f t="shared" ref="O132" si="639" xml:space="preserve"> IF(LEN(ChartLines.Hex6)=6, HEX2DEC(RIGHT(ChartLines.Hex6, 2)), "·")</f>
        <v>40</v>
      </c>
      <c r="P132" s="1" cm="1">
        <f t="array" ref="P132" xml:space="preserve"> 1 + ROW() - _xlfn.SINGLE(ROW(ChartLines.RowNum))</f>
        <v>127</v>
      </c>
    </row>
    <row r="133" spans="2:16" x14ac:dyDescent="0.2">
      <c r="B133" s="1" t="s">
        <v>181</v>
      </c>
      <c r="C133" s="1" t="str">
        <f t="shared" si="494"/>
        <v>XDR</v>
      </c>
      <c r="G133" s="1" t="s">
        <v>118</v>
      </c>
      <c r="H133" s="1" t="s">
        <v>490</v>
      </c>
      <c r="J133" s="1">
        <f t="shared" ref="J133" si="640" xml:space="preserve"> IF(AND(LEN(ChartLines.ID)&gt;0,"Unused"&lt;&gt;ChartLines.ID), COUNTIFS(ChartLines.ID,ChartLines.ID), "·")</f>
        <v>2</v>
      </c>
      <c r="K133" s="1">
        <f t="shared" ref="K133" si="641" xml:space="preserve"> IF(AND(LEN(ChartLines.ID)&gt;0,"Unused"&lt;&gt;ChartLines.ID), COUNTIFS(ChartLines.ID,ChartLines.ID,   ChartLines.RowNum,"&lt;="&amp;ChartLines.RowNum), "·")</f>
        <v>2</v>
      </c>
      <c r="L133" s="1" t="str" cm="1">
        <f t="array" ref="L133" xml:space="preserve"> _xlfn.IFS(OR(LEN(_xlfn.SINGLE(ChartLines.ID))=0,"Unused"=_xlfn.SINGLE(ChartLines.ID)), "·",   1=_xlfn.SINGLE(ChartLines.NumInstances), IF("USD"=_xlfn.SINGLE(ChartLines.ID), "SoleBig", "SoleOrdinary"),   1=_xlfn.SINGLE(ChartLines.InstanceNum), "Outer",   TRUE, "Inner")</f>
        <v>Inner</v>
      </c>
      <c r="M133" s="1">
        <f t="shared" ref="M133" si="642" xml:space="preserve"> IF(LEN(ChartLines.Hex6)=6, HEX2DEC(LEFT(ChartLines.Hex6, 2)), "·")</f>
        <v>249</v>
      </c>
      <c r="N133" s="1">
        <f t="shared" ref="N133" si="643" xml:space="preserve"> IF(LEN(ChartLines.Hex6)=6, HEX2DEC(MID(ChartLines.Hex6, 3, 2)), "·")</f>
        <v>214</v>
      </c>
      <c r="O133" s="1">
        <f t="shared" ref="O133" si="644" xml:space="preserve"> IF(LEN(ChartLines.Hex6)=6, HEX2DEC(RIGHT(ChartLines.Hex6, 2)), "·")</f>
        <v>22</v>
      </c>
      <c r="P133" s="1" cm="1">
        <f t="array" ref="P133" xml:space="preserve"> 1 + ROW() - _xlfn.SINGLE(ROW(ChartLines.RowNum))</f>
        <v>128</v>
      </c>
    </row>
    <row r="134" spans="2:16" x14ac:dyDescent="0.2">
      <c r="B134" s="1" t="s">
        <v>182</v>
      </c>
      <c r="C134" s="1" t="str">
        <f t="shared" si="494"/>
        <v>XAU</v>
      </c>
      <c r="G134" s="1" t="s">
        <v>119</v>
      </c>
      <c r="H134" s="1" t="s">
        <v>491</v>
      </c>
      <c r="J134" s="1">
        <f t="shared" ref="J134" si="645" xml:space="preserve"> IF(AND(LEN(ChartLines.ID)&gt;0,"Unused"&lt;&gt;ChartLines.ID), COUNTIFS(ChartLines.ID,ChartLines.ID), "·")</f>
        <v>2</v>
      </c>
      <c r="K134" s="1">
        <f t="shared" ref="K134" si="646" xml:space="preserve"> IF(AND(LEN(ChartLines.ID)&gt;0,"Unused"&lt;&gt;ChartLines.ID), COUNTIFS(ChartLines.ID,ChartLines.ID,   ChartLines.RowNum,"&lt;="&amp;ChartLines.RowNum), "·")</f>
        <v>1</v>
      </c>
      <c r="L134" s="1" t="str" cm="1">
        <f t="array" ref="L134" xml:space="preserve"> _xlfn.IFS(OR(LEN(_xlfn.SINGLE(ChartLines.ID))=0,"Unused"=_xlfn.SINGLE(ChartLines.ID)), "·",   1=_xlfn.SINGLE(ChartLines.NumInstances), IF("USD"=_xlfn.SINGLE(ChartLines.ID), "SoleBig", "SoleOrdinary"),   1=_xlfn.SINGLE(ChartLines.InstanceNum), "Outer",   TRUE, "Inner")</f>
        <v>Outer</v>
      </c>
      <c r="M134" s="1">
        <f t="shared" ref="M134" si="647" xml:space="preserve"> IF(LEN(ChartLines.Hex6)=6, HEX2DEC(LEFT(ChartLines.Hex6, 2)), "·")</f>
        <v>255</v>
      </c>
      <c r="N134" s="1">
        <f t="shared" ref="N134" si="648" xml:space="preserve"> IF(LEN(ChartLines.Hex6)=6, HEX2DEC(MID(ChartLines.Hex6, 3, 2)), "·")</f>
        <v>210</v>
      </c>
      <c r="O134" s="1">
        <f t="shared" ref="O134" si="649" xml:space="preserve"> IF(LEN(ChartLines.Hex6)=6, HEX2DEC(RIGHT(ChartLines.Hex6, 2)), "·")</f>
        <v>0</v>
      </c>
      <c r="P134" s="1" cm="1">
        <f t="array" ref="P134" xml:space="preserve"> 1 + ROW() - _xlfn.SINGLE(ROW(ChartLines.RowNum))</f>
        <v>129</v>
      </c>
    </row>
    <row r="135" spans="2:16" x14ac:dyDescent="0.2">
      <c r="B135" s="1" t="s">
        <v>183</v>
      </c>
      <c r="C135" s="1" t="str">
        <f t="shared" si="494"/>
        <v>XAG</v>
      </c>
      <c r="G135" s="1" t="s">
        <v>119</v>
      </c>
      <c r="H135" s="1" t="s">
        <v>492</v>
      </c>
      <c r="J135" s="1">
        <f t="shared" ref="J135" si="650" xml:space="preserve"> IF(AND(LEN(ChartLines.ID)&gt;0,"Unused"&lt;&gt;ChartLines.ID), COUNTIFS(ChartLines.ID,ChartLines.ID), "·")</f>
        <v>2</v>
      </c>
      <c r="K135" s="1">
        <f t="shared" ref="K135" si="651" xml:space="preserve"> IF(AND(LEN(ChartLines.ID)&gt;0,"Unused"&lt;&gt;ChartLines.ID), COUNTIFS(ChartLines.ID,ChartLines.ID,   ChartLines.RowNum,"&lt;="&amp;ChartLines.RowNum), "·")</f>
        <v>2</v>
      </c>
      <c r="L135" s="1" t="str" cm="1">
        <f t="array" ref="L135" xml:space="preserve"> _xlfn.IFS(OR(LEN(_xlfn.SINGLE(ChartLines.ID))=0,"Unused"=_xlfn.SINGLE(ChartLines.ID)), "·",   1=_xlfn.SINGLE(ChartLines.NumInstances), IF("USD"=_xlfn.SINGLE(ChartLines.ID), "SoleBig", "SoleOrdinary"),   1=_xlfn.SINGLE(ChartLines.InstanceNum), "Outer",   TRUE, "Inner")</f>
        <v>Inner</v>
      </c>
      <c r="M135" s="1">
        <f t="shared" ref="M135" si="652" xml:space="preserve"> IF(LEN(ChartLines.Hex6)=6, HEX2DEC(LEFT(ChartLines.Hex6, 2)), "·")</f>
        <v>204</v>
      </c>
      <c r="N135" s="1">
        <f t="shared" ref="N135" si="653" xml:space="preserve"> IF(LEN(ChartLines.Hex6)=6, HEX2DEC(MID(ChartLines.Hex6, 3, 2)), "·")</f>
        <v>9</v>
      </c>
      <c r="O135" s="1">
        <f t="shared" ref="O135" si="654" xml:space="preserve"> IF(LEN(ChartLines.Hex6)=6, HEX2DEC(RIGHT(ChartLines.Hex6, 2)), "·")</f>
        <v>47</v>
      </c>
      <c r="P135" s="1" cm="1">
        <f t="array" ref="P135" xml:space="preserve"> 1 + ROW() - _xlfn.SINGLE(ROW(ChartLines.RowNum))</f>
        <v>130</v>
      </c>
    </row>
    <row r="136" spans="2:16" x14ac:dyDescent="0.2">
      <c r="B136" s="1" t="s">
        <v>184</v>
      </c>
      <c r="C136" s="1" t="str">
        <f t="shared" si="494"/>
        <v>XPT</v>
      </c>
      <c r="G136" s="1" t="s">
        <v>121</v>
      </c>
      <c r="H136" s="1" t="s">
        <v>493</v>
      </c>
      <c r="J136" s="1">
        <f t="shared" ref="J136" si="655" xml:space="preserve"> IF(AND(LEN(ChartLines.ID)&gt;0,"Unused"&lt;&gt;ChartLines.ID), COUNTIFS(ChartLines.ID,ChartLines.ID), "·")</f>
        <v>2</v>
      </c>
      <c r="K136" s="1">
        <f t="shared" ref="K136" si="656" xml:space="preserve"> IF(AND(LEN(ChartLines.ID)&gt;0,"Unused"&lt;&gt;ChartLines.ID), COUNTIFS(ChartLines.ID,ChartLines.ID,   ChartLines.RowNum,"&lt;="&amp;ChartLines.RowNum), "·")</f>
        <v>1</v>
      </c>
      <c r="L136" s="1" t="str" cm="1">
        <f t="array" ref="L136" xml:space="preserve"> _xlfn.IFS(OR(LEN(_xlfn.SINGLE(ChartLines.ID))=0,"Unused"=_xlfn.SINGLE(ChartLines.ID)), "·",   1=_xlfn.SINGLE(ChartLines.NumInstances), IF("USD"=_xlfn.SINGLE(ChartLines.ID), "SoleBig", "SoleOrdinary"),   1=_xlfn.SINGLE(ChartLines.InstanceNum), "Outer",   TRUE, "Inner")</f>
        <v>Outer</v>
      </c>
      <c r="M136" s="1">
        <f t="shared" ref="M136" si="657" xml:space="preserve"> IF(LEN(ChartLines.Hex6)=6, HEX2DEC(LEFT(ChartLines.Hex6, 2)), "·")</f>
        <v>0</v>
      </c>
      <c r="N136" s="1">
        <f t="shared" ref="N136" si="658" xml:space="preserve"> IF(LEN(ChartLines.Hex6)=6, HEX2DEC(MID(ChartLines.Hex6, 3, 2)), "·")</f>
        <v>87</v>
      </c>
      <c r="O136" s="1">
        <f t="shared" ref="O136" si="659" xml:space="preserve"> IF(LEN(ChartLines.Hex6)=6, HEX2DEC(RIGHT(ChartLines.Hex6, 2)), "·")</f>
        <v>183</v>
      </c>
      <c r="P136" s="1" cm="1">
        <f t="array" ref="P136" xml:space="preserve"> 1 + ROW() - _xlfn.SINGLE(ROW(ChartLines.RowNum))</f>
        <v>131</v>
      </c>
    </row>
    <row r="137" spans="2:16" x14ac:dyDescent="0.2">
      <c r="B137" s="1" t="s">
        <v>185</v>
      </c>
      <c r="C137" s="4" t="s">
        <v>61</v>
      </c>
      <c r="G137" s="1" t="s">
        <v>121</v>
      </c>
      <c r="H137" s="1" t="s">
        <v>494</v>
      </c>
      <c r="J137" s="1">
        <f t="shared" ref="J137" si="660" xml:space="preserve"> IF(AND(LEN(ChartLines.ID)&gt;0,"Unused"&lt;&gt;ChartLines.ID), COUNTIFS(ChartLines.ID,ChartLines.ID), "·")</f>
        <v>2</v>
      </c>
      <c r="K137" s="1">
        <f t="shared" ref="K137" si="661" xml:space="preserve"> IF(AND(LEN(ChartLines.ID)&gt;0,"Unused"&lt;&gt;ChartLines.ID), COUNTIFS(ChartLines.ID,ChartLines.ID,   ChartLines.RowNum,"&lt;="&amp;ChartLines.RowNum), "·")</f>
        <v>2</v>
      </c>
      <c r="L137" s="1" t="str" cm="1">
        <f t="array" ref="L137" xml:space="preserve"> _xlfn.IFS(OR(LEN(_xlfn.SINGLE(ChartLines.ID))=0,"Unused"=_xlfn.SINGLE(ChartLines.ID)), "·",   1=_xlfn.SINGLE(ChartLines.NumInstances), IF("USD"=_xlfn.SINGLE(ChartLines.ID), "SoleBig", "SoleOrdinary"),   1=_xlfn.SINGLE(ChartLines.InstanceNum), "Outer",   TRUE, "Inner")</f>
        <v>Inner</v>
      </c>
      <c r="M137" s="1">
        <f t="shared" ref="M137" si="662" xml:space="preserve"> IF(LEN(ChartLines.Hex6)=6, HEX2DEC(LEFT(ChartLines.Hex6, 2)), "·")</f>
        <v>255</v>
      </c>
      <c r="N137" s="1">
        <f t="shared" ref="N137" si="663" xml:space="preserve"> IF(LEN(ChartLines.Hex6)=6, HEX2DEC(MID(ChartLines.Hex6, 3, 2)), "·")</f>
        <v>215</v>
      </c>
      <c r="O137" s="1">
        <f t="shared" ref="O137" si="664" xml:space="preserve"> IF(LEN(ChartLines.Hex6)=6, HEX2DEC(RIGHT(ChartLines.Hex6, 2)), "·")</f>
        <v>0</v>
      </c>
      <c r="P137" s="1" cm="1">
        <f t="array" ref="P137" xml:space="preserve"> 1 + ROW() - _xlfn.SINGLE(ROW(ChartLines.RowNum))</f>
        <v>132</v>
      </c>
    </row>
    <row r="138" spans="2:16" x14ac:dyDescent="0.2">
      <c r="B138" s="1" t="s">
        <v>186</v>
      </c>
      <c r="C138" s="4" t="s">
        <v>63</v>
      </c>
      <c r="G138" s="1" t="s">
        <v>122</v>
      </c>
      <c r="H138" s="1" t="s">
        <v>422</v>
      </c>
      <c r="J138" s="1">
        <f t="shared" ref="J138" si="665" xml:space="preserve"> IF(AND(LEN(ChartLines.ID)&gt;0,"Unused"&lt;&gt;ChartLines.ID), COUNTIFS(ChartLines.ID,ChartLines.ID), "·")</f>
        <v>2</v>
      </c>
      <c r="K138" s="1">
        <f t="shared" ref="K138" si="666" xml:space="preserve"> IF(AND(LEN(ChartLines.ID)&gt;0,"Unused"&lt;&gt;ChartLines.ID), COUNTIFS(ChartLines.ID,ChartLines.ID,   ChartLines.RowNum,"&lt;="&amp;ChartLines.RowNum), "·")</f>
        <v>1</v>
      </c>
      <c r="L138" s="1" t="str" cm="1">
        <f t="array" ref="L138" xml:space="preserve"> _xlfn.IFS(OR(LEN(_xlfn.SINGLE(ChartLines.ID))=0,"Unused"=_xlfn.SINGLE(ChartLines.ID)), "·",   1=_xlfn.SINGLE(ChartLines.NumInstances), IF("USD"=_xlfn.SINGLE(ChartLines.ID), "SoleBig", "SoleOrdinary"),   1=_xlfn.SINGLE(ChartLines.InstanceNum), "Outer",   TRUE, "Inner")</f>
        <v>Outer</v>
      </c>
      <c r="M138" s="1">
        <f t="shared" ref="M138" si="667" xml:space="preserve"> IF(LEN(ChartLines.Hex6)=6, HEX2DEC(LEFT(ChartLines.Hex6, 2)), "·")</f>
        <v>255</v>
      </c>
      <c r="N138" s="1">
        <f t="shared" ref="N138" si="668" xml:space="preserve"> IF(LEN(ChartLines.Hex6)=6, HEX2DEC(MID(ChartLines.Hex6, 3, 2)), "·")</f>
        <v>0</v>
      </c>
      <c r="O138" s="1">
        <f t="shared" ref="O138" si="669" xml:space="preserve"> IF(LEN(ChartLines.Hex6)=6, HEX2DEC(RIGHT(ChartLines.Hex6, 2)), "·")</f>
        <v>0</v>
      </c>
      <c r="P138" s="1" cm="1">
        <f t="array" ref="P138" xml:space="preserve"> 1 + ROW() - _xlfn.SINGLE(ROW(ChartLines.RowNum))</f>
        <v>133</v>
      </c>
    </row>
    <row r="139" spans="2:16" x14ac:dyDescent="0.2">
      <c r="B139" s="1" t="s">
        <v>187</v>
      </c>
      <c r="C139" s="4" t="s">
        <v>63</v>
      </c>
      <c r="G139" s="1" t="s">
        <v>122</v>
      </c>
      <c r="H139" s="1" t="s">
        <v>423</v>
      </c>
      <c r="J139" s="1">
        <f t="shared" ref="J139" si="670" xml:space="preserve"> IF(AND(LEN(ChartLines.ID)&gt;0,"Unused"&lt;&gt;ChartLines.ID), COUNTIFS(ChartLines.ID,ChartLines.ID), "·")</f>
        <v>2</v>
      </c>
      <c r="K139" s="1">
        <f t="shared" ref="K139" si="671" xml:space="preserve"> IF(AND(LEN(ChartLines.ID)&gt;0,"Unused"&lt;&gt;ChartLines.ID), COUNTIFS(ChartLines.ID,ChartLines.ID,   ChartLines.RowNum,"&lt;="&amp;ChartLines.RowNum), "·")</f>
        <v>2</v>
      </c>
      <c r="L139" s="1" t="str" cm="1">
        <f t="array" ref="L139" xml:space="preserve"> _xlfn.IFS(OR(LEN(_xlfn.SINGLE(ChartLines.ID))=0,"Unused"=_xlfn.SINGLE(ChartLines.ID)), "·",   1=_xlfn.SINGLE(ChartLines.NumInstances), IF("USD"=_xlfn.SINGLE(ChartLines.ID), "SoleBig", "SoleOrdinary"),   1=_xlfn.SINGLE(ChartLines.InstanceNum), "Outer",   TRUE, "Inner")</f>
        <v>Inner</v>
      </c>
      <c r="M139" s="1">
        <f t="shared" ref="M139" si="672" xml:space="preserve"> IF(LEN(ChartLines.Hex6)=6, HEX2DEC(LEFT(ChartLines.Hex6, 2)), "·")</f>
        <v>255</v>
      </c>
      <c r="N139" s="1">
        <f t="shared" ref="N139" si="673" xml:space="preserve"> IF(LEN(ChartLines.Hex6)=6, HEX2DEC(MID(ChartLines.Hex6, 3, 2)), "·")</f>
        <v>255</v>
      </c>
      <c r="O139" s="1">
        <f t="shared" ref="O139" si="674" xml:space="preserve"> IF(LEN(ChartLines.Hex6)=6, HEX2DEC(RIGHT(ChartLines.Hex6, 2)), "·")</f>
        <v>255</v>
      </c>
      <c r="P139" s="1" cm="1">
        <f t="array" ref="P139" xml:space="preserve"> 1 + ROW() - _xlfn.SINGLE(ROW(ChartLines.RowNum))</f>
        <v>134</v>
      </c>
    </row>
    <row r="140" spans="2:16" x14ac:dyDescent="0.2">
      <c r="B140" s="1" t="s">
        <v>188</v>
      </c>
      <c r="C140" s="4" t="s">
        <v>64</v>
      </c>
      <c r="G140" s="1" t="s">
        <v>561</v>
      </c>
      <c r="H140" s="1" t="s">
        <v>495</v>
      </c>
      <c r="J140" s="1">
        <f t="shared" ref="J140" si="675" xml:space="preserve"> IF(AND(LEN(ChartLines.ID)&gt;0,"Unused"&lt;&gt;ChartLines.ID), COUNTIFS(ChartLines.ID,ChartLines.ID), "·")</f>
        <v>2</v>
      </c>
      <c r="K140" s="1">
        <f t="shared" ref="K140" si="676" xml:space="preserve"> IF(AND(LEN(ChartLines.ID)&gt;0,"Unused"&lt;&gt;ChartLines.ID), COUNTIFS(ChartLines.ID,ChartLines.ID,   ChartLines.RowNum,"&lt;="&amp;ChartLines.RowNum), "·")</f>
        <v>1</v>
      </c>
      <c r="L140" s="1" t="str" cm="1">
        <f t="array" ref="L140" xml:space="preserve"> _xlfn.IFS(OR(LEN(_xlfn.SINGLE(ChartLines.ID))=0,"Unused"=_xlfn.SINGLE(ChartLines.ID)), "·",   1=_xlfn.SINGLE(ChartLines.NumInstances), IF("USD"=_xlfn.SINGLE(ChartLines.ID), "SoleBig", "SoleOrdinary"),   1=_xlfn.SINGLE(ChartLines.InstanceNum), "Outer",   TRUE, "Inner")</f>
        <v>Outer</v>
      </c>
      <c r="M140" s="1">
        <f t="shared" ref="M140" si="677" xml:space="preserve"> IF(LEN(ChartLines.Hex6)=6, HEX2DEC(LEFT(ChartLines.Hex6, 2)), "·")</f>
        <v>207</v>
      </c>
      <c r="N140" s="1">
        <f t="shared" ref="N140" si="678" xml:space="preserve"> IF(LEN(ChartLines.Hex6)=6, HEX2DEC(MID(ChartLines.Hex6, 3, 2)), "·")</f>
        <v>16</v>
      </c>
      <c r="O140" s="1">
        <f t="shared" ref="O140" si="679" xml:space="preserve"> IF(LEN(ChartLines.Hex6)=6, HEX2DEC(RIGHT(ChartLines.Hex6, 2)), "·")</f>
        <v>26</v>
      </c>
      <c r="P140" s="1" cm="1">
        <f t="array" ref="P140" xml:space="preserve"> 1 + ROW() - _xlfn.SINGLE(ROW(ChartLines.RowNum))</f>
        <v>135</v>
      </c>
    </row>
    <row r="141" spans="2:16" x14ac:dyDescent="0.2">
      <c r="B141" s="1" t="s">
        <v>189</v>
      </c>
      <c r="C141" s="4" t="s">
        <v>65</v>
      </c>
      <c r="G141" s="1" t="s">
        <v>561</v>
      </c>
      <c r="H141" s="1" t="s">
        <v>423</v>
      </c>
      <c r="J141" s="1">
        <f t="shared" ref="J141" si="680" xml:space="preserve"> IF(AND(LEN(ChartLines.ID)&gt;0,"Unused"&lt;&gt;ChartLines.ID), COUNTIFS(ChartLines.ID,ChartLines.ID), "·")</f>
        <v>2</v>
      </c>
      <c r="K141" s="1">
        <f t="shared" ref="K141" si="681" xml:space="preserve"> IF(AND(LEN(ChartLines.ID)&gt;0,"Unused"&lt;&gt;ChartLines.ID), COUNTIFS(ChartLines.ID,ChartLines.ID,   ChartLines.RowNum,"&lt;="&amp;ChartLines.RowNum), "·")</f>
        <v>2</v>
      </c>
      <c r="L141" s="1" t="str" cm="1">
        <f t="array" ref="L141" xml:space="preserve"> _xlfn.IFS(OR(LEN(_xlfn.SINGLE(ChartLines.ID))=0,"Unused"=_xlfn.SINGLE(ChartLines.ID)), "·",   1=_xlfn.SINGLE(ChartLines.NumInstances), IF("USD"=_xlfn.SINGLE(ChartLines.ID), "SoleBig", "SoleOrdinary"),   1=_xlfn.SINGLE(ChartLines.InstanceNum), "Outer",   TRUE, "Inner")</f>
        <v>Inner</v>
      </c>
      <c r="M141" s="1">
        <f t="shared" ref="M141" si="682" xml:space="preserve"> IF(LEN(ChartLines.Hex6)=6, HEX2DEC(LEFT(ChartLines.Hex6, 2)), "·")</f>
        <v>255</v>
      </c>
      <c r="N141" s="1">
        <f t="shared" ref="N141" si="683" xml:space="preserve"> IF(LEN(ChartLines.Hex6)=6, HEX2DEC(MID(ChartLines.Hex6, 3, 2)), "·")</f>
        <v>255</v>
      </c>
      <c r="O141" s="1">
        <f t="shared" ref="O141" si="684" xml:space="preserve"> IF(LEN(ChartLines.Hex6)=6, HEX2DEC(RIGHT(ChartLines.Hex6, 2)), "·")</f>
        <v>255</v>
      </c>
      <c r="P141" s="1" cm="1">
        <f t="array" ref="P141" xml:space="preserve"> 1 + ROW() - _xlfn.SINGLE(ROW(ChartLines.RowNum))</f>
        <v>136</v>
      </c>
    </row>
    <row r="142" spans="2:16" x14ac:dyDescent="0.2">
      <c r="B142" s="1" t="s">
        <v>190</v>
      </c>
      <c r="C142" s="4" t="s">
        <v>66</v>
      </c>
      <c r="G142" s="1" t="s">
        <v>120</v>
      </c>
      <c r="H142" s="1" t="s">
        <v>496</v>
      </c>
      <c r="J142" s="1">
        <f t="shared" ref="J142" si="685" xml:space="preserve"> IF(AND(LEN(ChartLines.ID)&gt;0,"Unused"&lt;&gt;ChartLines.ID), COUNTIFS(ChartLines.ID,ChartLines.ID), "·")</f>
        <v>2</v>
      </c>
      <c r="K142" s="1">
        <f t="shared" ref="K142" si="686" xml:space="preserve"> IF(AND(LEN(ChartLines.ID)&gt;0,"Unused"&lt;&gt;ChartLines.ID), COUNTIFS(ChartLines.ID,ChartLines.ID,   ChartLines.RowNum,"&lt;="&amp;ChartLines.RowNum), "·")</f>
        <v>1</v>
      </c>
      <c r="L142" s="1" t="str" cm="1">
        <f t="array" ref="L142" xml:space="preserve"> _xlfn.IFS(OR(LEN(_xlfn.SINGLE(ChartLines.ID))=0,"Unused"=_xlfn.SINGLE(ChartLines.ID)), "·",   1=_xlfn.SINGLE(ChartLines.NumInstances), IF("USD"=_xlfn.SINGLE(ChartLines.ID), "SoleBig", "SoleOrdinary"),   1=_xlfn.SINGLE(ChartLines.InstanceNum), "Outer",   TRUE, "Inner")</f>
        <v>Outer</v>
      </c>
      <c r="M142" s="1">
        <f t="shared" ref="M142" si="687" xml:space="preserve"> IF(LEN(ChartLines.Hex6)=6, HEX2DEC(LEFT(ChartLines.Hex6, 2)), "·")</f>
        <v>106</v>
      </c>
      <c r="N142" s="1">
        <f t="shared" ref="N142" si="688" xml:space="preserve"> IF(LEN(ChartLines.Hex6)=6, HEX2DEC(MID(ChartLines.Hex6, 3, 2)), "·")</f>
        <v>87</v>
      </c>
      <c r="O142" s="1">
        <f t="shared" ref="O142" si="689" xml:space="preserve"> IF(LEN(ChartLines.Hex6)=6, HEX2DEC(RIGHT(ChartLines.Hex6, 2)), "·")</f>
        <v>27</v>
      </c>
      <c r="P142" s="1" cm="1">
        <f t="array" ref="P142" xml:space="preserve"> 1 + ROW() - _xlfn.SINGLE(ROW(ChartLines.RowNum))</f>
        <v>137</v>
      </c>
    </row>
    <row r="143" spans="2:16" x14ac:dyDescent="0.2">
      <c r="B143" s="1" t="s">
        <v>191</v>
      </c>
      <c r="C143" s="4" t="s">
        <v>67</v>
      </c>
      <c r="G143" s="1" t="s">
        <v>120</v>
      </c>
      <c r="H143" s="1" t="s">
        <v>497</v>
      </c>
      <c r="J143" s="1">
        <f t="shared" ref="J143" si="690" xml:space="preserve"> IF(AND(LEN(ChartLines.ID)&gt;0,"Unused"&lt;&gt;ChartLines.ID), COUNTIFS(ChartLines.ID,ChartLines.ID), "·")</f>
        <v>2</v>
      </c>
      <c r="K143" s="1">
        <f t="shared" ref="K143" si="691" xml:space="preserve"> IF(AND(LEN(ChartLines.ID)&gt;0,"Unused"&lt;&gt;ChartLines.ID), COUNTIFS(ChartLines.ID,ChartLines.ID,   ChartLines.RowNum,"&lt;="&amp;ChartLines.RowNum), "·")</f>
        <v>2</v>
      </c>
      <c r="L143" s="1" t="str" cm="1">
        <f t="array" ref="L143" xml:space="preserve"> _xlfn.IFS(OR(LEN(_xlfn.SINGLE(ChartLines.ID))=0,"Unused"=_xlfn.SINGLE(ChartLines.ID)), "·",   1=_xlfn.SINGLE(ChartLines.NumInstances), IF("USD"=_xlfn.SINGLE(ChartLines.ID), "SoleBig", "SoleOrdinary"),   1=_xlfn.SINGLE(ChartLines.InstanceNum), "Outer",   TRUE, "Inner")</f>
        <v>Inner</v>
      </c>
      <c r="M143" s="1">
        <f t="shared" ref="M143" si="692" xml:space="preserve"> IF(LEN(ChartLines.Hex6)=6, HEX2DEC(LEFT(ChartLines.Hex6, 2)), "·")</f>
        <v>212</v>
      </c>
      <c r="N143" s="1">
        <f t="shared" ref="N143" si="693" xml:space="preserve"> IF(LEN(ChartLines.Hex6)=6, HEX2DEC(MID(ChartLines.Hex6, 3, 2)), "·")</f>
        <v>175</v>
      </c>
      <c r="O143" s="1">
        <f t="shared" ref="O143" si="694" xml:space="preserve"> IF(LEN(ChartLines.Hex6)=6, HEX2DEC(RIGHT(ChartLines.Hex6, 2)), "·")</f>
        <v>55</v>
      </c>
      <c r="P143" s="1" cm="1">
        <f t="array" ref="P143" xml:space="preserve"> 1 + ROW() - _xlfn.SINGLE(ROW(ChartLines.RowNum))</f>
        <v>138</v>
      </c>
    </row>
    <row r="144" spans="2:16" x14ac:dyDescent="0.2">
      <c r="B144" s="1" t="s">
        <v>192</v>
      </c>
      <c r="C144" s="4" t="s">
        <v>68</v>
      </c>
      <c r="J144" s="1" t="str">
        <f t="shared" ref="J144" si="695" xml:space="preserve"> IF(AND(LEN(ChartLines.ID)&gt;0,"Unused"&lt;&gt;ChartLines.ID), COUNTIFS(ChartLines.ID,ChartLines.ID), "·")</f>
        <v>·</v>
      </c>
      <c r="K144" s="1" t="str">
        <f t="shared" ref="K144" si="696" xml:space="preserve"> IF(AND(LEN(ChartLines.ID)&gt;0,"Unused"&lt;&gt;ChartLines.ID), COUNTIFS(ChartLines.ID,ChartLines.ID,   ChartLines.RowNum,"&lt;="&amp;ChartLines.RowNum), "·")</f>
        <v>·</v>
      </c>
      <c r="L144" s="1" t="str" cm="1">
        <f t="array" ref="L144" xml:space="preserve"> _xlfn.IFS(OR(LEN(_xlfn.SINGLE(ChartLines.ID))=0,"Unused"=_xlfn.SINGLE(ChartLines.ID)), "·",   1=_xlfn.SINGLE(ChartLines.NumInstances), IF("USD"=_xlfn.SINGLE(ChartLines.ID), "SoleBig", "SoleOrdinary"),   1=_xlfn.SINGLE(ChartLines.InstanceNum), "Outer",   TRUE, "Inner")</f>
        <v>·</v>
      </c>
      <c r="M144" s="1" t="str">
        <f t="shared" ref="M144" si="697" xml:space="preserve"> IF(LEN(ChartLines.Hex6)=6, HEX2DEC(LEFT(ChartLines.Hex6, 2)), "·")</f>
        <v>·</v>
      </c>
      <c r="N144" s="1" t="str">
        <f t="shared" ref="N144" si="698" xml:space="preserve"> IF(LEN(ChartLines.Hex6)=6, HEX2DEC(MID(ChartLines.Hex6, 3, 2)), "·")</f>
        <v>·</v>
      </c>
      <c r="O144" s="1" t="str">
        <f t="shared" ref="O144" si="699" xml:space="preserve"> IF(LEN(ChartLines.Hex6)=6, HEX2DEC(RIGHT(ChartLines.Hex6, 2)), "·")</f>
        <v>·</v>
      </c>
      <c r="P144" s="1" cm="1">
        <f t="array" ref="P144" xml:space="preserve"> 1 + ROW() - _xlfn.SINGLE(ROW(ChartLines.RowNum))</f>
        <v>139</v>
      </c>
    </row>
    <row r="145" spans="2:16" x14ac:dyDescent="0.2">
      <c r="B145" s="1" t="s">
        <v>193</v>
      </c>
      <c r="C145" s="4" t="s">
        <v>69</v>
      </c>
      <c r="G145" s="1" t="s">
        <v>123</v>
      </c>
      <c r="H145" s="1" t="s">
        <v>498</v>
      </c>
      <c r="J145" s="1">
        <f t="shared" ref="J145" si="700" xml:space="preserve"> IF(AND(LEN(ChartLines.ID)&gt;0,"Unused"&lt;&gt;ChartLines.ID), COUNTIFS(ChartLines.ID,ChartLines.ID), "·")</f>
        <v>1</v>
      </c>
      <c r="K145" s="1">
        <f t="shared" ref="K145" si="701" xml:space="preserve"> IF(AND(LEN(ChartLines.ID)&gt;0,"Unused"&lt;&gt;ChartLines.ID), COUNTIFS(ChartLines.ID,ChartLines.ID,   ChartLines.RowNum,"&lt;="&amp;ChartLines.RowNum), "·")</f>
        <v>1</v>
      </c>
      <c r="L145" s="1" t="str" cm="1">
        <f t="array" ref="L145" xml:space="preserve"> _xlfn.IFS(OR(LEN(_xlfn.SINGLE(ChartLines.ID))=0,"Unused"=_xlfn.SINGLE(ChartLines.ID)), "·",   1=_xlfn.SINGLE(ChartLines.NumInstances), IF("USD"=_xlfn.SINGLE(ChartLines.ID), "SoleBig", "SoleOrdinary"),   1=_xlfn.SINGLE(ChartLines.InstanceNum), "Outer",   TRUE, "Inner")</f>
        <v>SoleOrdinary</v>
      </c>
      <c r="M145" s="1">
        <f t="shared" ref="M145" si="702" xml:space="preserve"> IF(LEN(ChartLines.Hex6)=6, HEX2DEC(LEFT(ChartLines.Hex6, 2)), "·")</f>
        <v>227</v>
      </c>
      <c r="N145" s="1">
        <f t="shared" ref="N145" si="703" xml:space="preserve"> IF(LEN(ChartLines.Hex6)=6, HEX2DEC(MID(ChartLines.Hex6, 3, 2)), "·")</f>
        <v>10</v>
      </c>
      <c r="O145" s="1">
        <f t="shared" ref="O145" si="704" xml:space="preserve"> IF(LEN(ChartLines.Hex6)=6, HEX2DEC(RIGHT(ChartLines.Hex6, 2)), "·")</f>
        <v>23</v>
      </c>
      <c r="P145" s="1" cm="1">
        <f t="array" ref="P145" xml:space="preserve"> 1 + ROW() - _xlfn.SINGLE(ROW(ChartLines.RowNum))</f>
        <v>140</v>
      </c>
    </row>
    <row r="146" spans="2:16" x14ac:dyDescent="0.2">
      <c r="B146" s="1" t="s">
        <v>194</v>
      </c>
      <c r="C146" s="4" t="s">
        <v>70</v>
      </c>
      <c r="G146" s="1" t="s">
        <v>419</v>
      </c>
      <c r="J146" s="1" t="str">
        <f t="shared" ref="J146" si="705" xml:space="preserve"> IF(AND(LEN(ChartLines.ID)&gt;0,"Unused"&lt;&gt;ChartLines.ID), COUNTIFS(ChartLines.ID,ChartLines.ID), "·")</f>
        <v>·</v>
      </c>
      <c r="K146" s="1" t="str">
        <f t="shared" ref="K146" si="706" xml:space="preserve"> IF(AND(LEN(ChartLines.ID)&gt;0,"Unused"&lt;&gt;ChartLines.ID), COUNTIFS(ChartLines.ID,ChartLines.ID,   ChartLines.RowNum,"&lt;="&amp;ChartLines.RowNum), "·")</f>
        <v>·</v>
      </c>
      <c r="L146" s="1" t="str" cm="1">
        <f t="array" ref="L146" xml:space="preserve"> _xlfn.IFS(OR(LEN(_xlfn.SINGLE(ChartLines.ID))=0,"Unused"=_xlfn.SINGLE(ChartLines.ID)), "·",   1=_xlfn.SINGLE(ChartLines.NumInstances), IF("USD"=_xlfn.SINGLE(ChartLines.ID), "SoleBig", "SoleOrdinary"),   1=_xlfn.SINGLE(ChartLines.InstanceNum), "Outer",   TRUE, "Inner")</f>
        <v>·</v>
      </c>
      <c r="M146" s="1" t="str">
        <f t="shared" ref="M146" si="707" xml:space="preserve"> IF(LEN(ChartLines.Hex6)=6, HEX2DEC(LEFT(ChartLines.Hex6, 2)), "·")</f>
        <v>·</v>
      </c>
      <c r="N146" s="1" t="str">
        <f t="shared" ref="N146" si="708" xml:space="preserve"> IF(LEN(ChartLines.Hex6)=6, HEX2DEC(MID(ChartLines.Hex6, 3, 2)), "·")</f>
        <v>·</v>
      </c>
      <c r="O146" s="1" t="str">
        <f t="shared" ref="O146" si="709" xml:space="preserve"> IF(LEN(ChartLines.Hex6)=6, HEX2DEC(RIGHT(ChartLines.Hex6, 2)), "·")</f>
        <v>·</v>
      </c>
      <c r="P146" s="1" cm="1">
        <f t="array" ref="P146" xml:space="preserve"> 1 + ROW() - _xlfn.SINGLE(ROW(ChartLines.RowNum))</f>
        <v>141</v>
      </c>
    </row>
    <row r="147" spans="2:16" x14ac:dyDescent="0.2">
      <c r="B147" s="1" t="s">
        <v>195</v>
      </c>
      <c r="C147" s="4" t="s">
        <v>93</v>
      </c>
      <c r="G147" s="1" t="s">
        <v>124</v>
      </c>
      <c r="H147" s="1" t="str">
        <f xml:space="preserve"> "009639"</f>
        <v>009639</v>
      </c>
      <c r="J147" s="1">
        <f t="shared" ref="J147" si="710" xml:space="preserve"> IF(AND(LEN(ChartLines.ID)&gt;0,"Unused"&lt;&gt;ChartLines.ID), COUNTIFS(ChartLines.ID,ChartLines.ID), "·")</f>
        <v>2</v>
      </c>
      <c r="K147" s="1">
        <f t="shared" ref="K147" si="711" xml:space="preserve"> IF(AND(LEN(ChartLines.ID)&gt;0,"Unused"&lt;&gt;ChartLines.ID), COUNTIFS(ChartLines.ID,ChartLines.ID,   ChartLines.RowNum,"&lt;="&amp;ChartLines.RowNum), "·")</f>
        <v>1</v>
      </c>
      <c r="L147" s="1" t="str" cm="1">
        <f t="array" ref="L147" xml:space="preserve"> _xlfn.IFS(OR(LEN(_xlfn.SINGLE(ChartLines.ID))=0,"Unused"=_xlfn.SINGLE(ChartLines.ID)), "·",   1=_xlfn.SINGLE(ChartLines.NumInstances), IF("USD"=_xlfn.SINGLE(ChartLines.ID), "SoleBig", "SoleOrdinary"),   1=_xlfn.SINGLE(ChartLines.InstanceNum), "Outer",   TRUE, "Inner")</f>
        <v>Outer</v>
      </c>
      <c r="M147" s="1">
        <f t="shared" ref="M147" si="712" xml:space="preserve"> IF(LEN(ChartLines.Hex6)=6, HEX2DEC(LEFT(ChartLines.Hex6, 2)), "·")</f>
        <v>0</v>
      </c>
      <c r="N147" s="1">
        <f t="shared" ref="N147" si="713" xml:space="preserve"> IF(LEN(ChartLines.Hex6)=6, HEX2DEC(MID(ChartLines.Hex6, 3, 2)), "·")</f>
        <v>150</v>
      </c>
      <c r="O147" s="1">
        <f t="shared" ref="O147" si="714" xml:space="preserve"> IF(LEN(ChartLines.Hex6)=6, HEX2DEC(RIGHT(ChartLines.Hex6, 2)), "·")</f>
        <v>57</v>
      </c>
      <c r="P147" s="1" cm="1">
        <f t="array" ref="P147" xml:space="preserve"> 1 + ROW() - _xlfn.SINGLE(ROW(ChartLines.RowNum))</f>
        <v>142</v>
      </c>
    </row>
    <row r="148" spans="2:16" x14ac:dyDescent="0.2">
      <c r="B148" s="1" t="s">
        <v>196</v>
      </c>
      <c r="C148" s="4" t="s">
        <v>94</v>
      </c>
      <c r="G148" s="1" t="s">
        <v>124</v>
      </c>
      <c r="H148" s="1" t="s">
        <v>423</v>
      </c>
      <c r="J148" s="1">
        <f t="shared" ref="J148" si="715" xml:space="preserve"> IF(AND(LEN(ChartLines.ID)&gt;0,"Unused"&lt;&gt;ChartLines.ID), COUNTIFS(ChartLines.ID,ChartLines.ID), "·")</f>
        <v>2</v>
      </c>
      <c r="K148" s="1">
        <f t="shared" ref="K148" si="716" xml:space="preserve"> IF(AND(LEN(ChartLines.ID)&gt;0,"Unused"&lt;&gt;ChartLines.ID), COUNTIFS(ChartLines.ID,ChartLines.ID,   ChartLines.RowNum,"&lt;="&amp;ChartLines.RowNum), "·")</f>
        <v>2</v>
      </c>
      <c r="L148" s="1" t="str" cm="1">
        <f t="array" ref="L148" xml:space="preserve"> _xlfn.IFS(OR(LEN(_xlfn.SINGLE(ChartLines.ID))=0,"Unused"=_xlfn.SINGLE(ChartLines.ID)), "·",   1=_xlfn.SINGLE(ChartLines.NumInstances), IF("USD"=_xlfn.SINGLE(ChartLines.ID), "SoleBig", "SoleOrdinary"),   1=_xlfn.SINGLE(ChartLines.InstanceNum), "Outer",   TRUE, "Inner")</f>
        <v>Inner</v>
      </c>
      <c r="M148" s="1">
        <f t="shared" ref="M148" si="717" xml:space="preserve"> IF(LEN(ChartLines.Hex6)=6, HEX2DEC(LEFT(ChartLines.Hex6, 2)), "·")</f>
        <v>255</v>
      </c>
      <c r="N148" s="1">
        <f t="shared" ref="N148" si="718" xml:space="preserve"> IF(LEN(ChartLines.Hex6)=6, HEX2DEC(MID(ChartLines.Hex6, 3, 2)), "·")</f>
        <v>255</v>
      </c>
      <c r="O148" s="1">
        <f t="shared" ref="O148" si="719" xml:space="preserve"> IF(LEN(ChartLines.Hex6)=6, HEX2DEC(RIGHT(ChartLines.Hex6, 2)), "·")</f>
        <v>255</v>
      </c>
      <c r="P148" s="1" cm="1">
        <f t="array" ref="P148" xml:space="preserve"> 1 + ROW() - _xlfn.SINGLE(ROW(ChartLines.RowNum))</f>
        <v>143</v>
      </c>
    </row>
    <row r="149" spans="2:16" x14ac:dyDescent="0.2">
      <c r="B149" s="1" t="s">
        <v>197</v>
      </c>
      <c r="C149" s="4" t="s">
        <v>95</v>
      </c>
      <c r="G149" s="1" t="s">
        <v>125</v>
      </c>
      <c r="H149" s="1" t="str">
        <f xml:space="preserve"> "009639"</f>
        <v>009639</v>
      </c>
      <c r="J149" s="1">
        <f t="shared" ref="J149" si="720" xml:space="preserve"> IF(AND(LEN(ChartLines.ID)&gt;0,"Unused"&lt;&gt;ChartLines.ID), COUNTIFS(ChartLines.ID,ChartLines.ID), "·")</f>
        <v>2</v>
      </c>
      <c r="K149" s="1">
        <f t="shared" ref="K149" si="721" xml:space="preserve"> IF(AND(LEN(ChartLines.ID)&gt;0,"Unused"&lt;&gt;ChartLines.ID), COUNTIFS(ChartLines.ID,ChartLines.ID,   ChartLines.RowNum,"&lt;="&amp;ChartLines.RowNum), "·")</f>
        <v>1</v>
      </c>
      <c r="L149" s="1" t="str" cm="1">
        <f t="array" ref="L149" xml:space="preserve"> _xlfn.IFS(OR(LEN(_xlfn.SINGLE(ChartLines.ID))=0,"Unused"=_xlfn.SINGLE(ChartLines.ID)), "·",   1=_xlfn.SINGLE(ChartLines.NumInstances), IF("USD"=_xlfn.SINGLE(ChartLines.ID), "SoleBig", "SoleOrdinary"),   1=_xlfn.SINGLE(ChartLines.InstanceNum), "Outer",   TRUE, "Inner")</f>
        <v>Outer</v>
      </c>
      <c r="M149" s="1">
        <f t="shared" ref="M149" si="722" xml:space="preserve"> IF(LEN(ChartLines.Hex6)=6, HEX2DEC(LEFT(ChartLines.Hex6, 2)), "·")</f>
        <v>0</v>
      </c>
      <c r="N149" s="1">
        <f t="shared" ref="N149" si="723" xml:space="preserve"> IF(LEN(ChartLines.Hex6)=6, HEX2DEC(MID(ChartLines.Hex6, 3, 2)), "·")</f>
        <v>150</v>
      </c>
      <c r="O149" s="1">
        <f t="shared" ref="O149" si="724" xml:space="preserve"> IF(LEN(ChartLines.Hex6)=6, HEX2DEC(RIGHT(ChartLines.Hex6, 2)), "·")</f>
        <v>57</v>
      </c>
      <c r="P149" s="1" cm="1">
        <f t="array" ref="P149" xml:space="preserve"> 1 + ROW() - _xlfn.SINGLE(ROW(ChartLines.RowNum))</f>
        <v>144</v>
      </c>
    </row>
    <row r="150" spans="2:16" x14ac:dyDescent="0.2">
      <c r="B150" s="1" t="s">
        <v>198</v>
      </c>
      <c r="C150" s="4" t="s">
        <v>96</v>
      </c>
      <c r="G150" s="1" t="s">
        <v>125</v>
      </c>
      <c r="H150" s="1" t="s">
        <v>421</v>
      </c>
      <c r="J150" s="1">
        <f t="shared" ref="J150" si="725" xml:space="preserve"> IF(AND(LEN(ChartLines.ID)&gt;0,"Unused"&lt;&gt;ChartLines.ID), COUNTIFS(ChartLines.ID,ChartLines.ID), "·")</f>
        <v>2</v>
      </c>
      <c r="K150" s="1">
        <f t="shared" ref="K150" si="726" xml:space="preserve"> IF(AND(LEN(ChartLines.ID)&gt;0,"Unused"&lt;&gt;ChartLines.ID), COUNTIFS(ChartLines.ID,ChartLines.ID,   ChartLines.RowNum,"&lt;="&amp;ChartLines.RowNum), "·")</f>
        <v>2</v>
      </c>
      <c r="L150" s="1" t="str" cm="1">
        <f t="array" ref="L150" xml:space="preserve"> _xlfn.IFS(OR(LEN(_xlfn.SINGLE(ChartLines.ID))=0,"Unused"=_xlfn.SINGLE(ChartLines.ID)), "·",   1=_xlfn.SINGLE(ChartLines.NumInstances), IF("USD"=_xlfn.SINGLE(ChartLines.ID), "SoleBig", "SoleOrdinary"),   1=_xlfn.SINGLE(ChartLines.InstanceNum), "Outer",   TRUE, "Inner")</f>
        <v>Inner</v>
      </c>
      <c r="M150" s="1">
        <f t="shared" ref="M150" si="727" xml:space="preserve"> IF(LEN(ChartLines.Hex6)=6, HEX2DEC(LEFT(ChartLines.Hex6, 2)), "·")</f>
        <v>239</v>
      </c>
      <c r="N150" s="1">
        <f t="shared" ref="N150" si="728" xml:space="preserve"> IF(LEN(ChartLines.Hex6)=6, HEX2DEC(MID(ChartLines.Hex6, 3, 2)), "·")</f>
        <v>51</v>
      </c>
      <c r="O150" s="1">
        <f t="shared" ref="O150" si="729" xml:space="preserve"> IF(LEN(ChartLines.Hex6)=6, HEX2DEC(RIGHT(ChartLines.Hex6, 2)), "·")</f>
        <v>64</v>
      </c>
      <c r="P150" s="1" cm="1">
        <f t="array" ref="P150" xml:space="preserve"> 1 + ROW() - _xlfn.SINGLE(ROW(ChartLines.RowNum))</f>
        <v>145</v>
      </c>
    </row>
    <row r="151" spans="2:16" x14ac:dyDescent="0.2">
      <c r="B151" s="1" t="s">
        <v>199</v>
      </c>
      <c r="C151" s="4" t="s">
        <v>97</v>
      </c>
      <c r="G151" s="1" t="s">
        <v>127</v>
      </c>
      <c r="H151" s="1" t="s">
        <v>426</v>
      </c>
      <c r="J151" s="1">
        <f t="shared" ref="J151" si="730" xml:space="preserve"> IF(AND(LEN(ChartLines.ID)&gt;0,"Unused"&lt;&gt;ChartLines.ID), COUNTIFS(ChartLines.ID,ChartLines.ID), "·")</f>
        <v>2</v>
      </c>
      <c r="K151" s="1">
        <f t="shared" ref="K151" si="731" xml:space="preserve"> IF(AND(LEN(ChartLines.ID)&gt;0,"Unused"&lt;&gt;ChartLines.ID), COUNTIFS(ChartLines.ID,ChartLines.ID,   ChartLines.RowNum,"&lt;="&amp;ChartLines.RowNum), "·")</f>
        <v>1</v>
      </c>
      <c r="L151" s="1" t="str" cm="1">
        <f t="array" ref="L151" xml:space="preserve"> _xlfn.IFS(OR(LEN(_xlfn.SINGLE(ChartLines.ID))=0,"Unused"=_xlfn.SINGLE(ChartLines.ID)), "·",   1=_xlfn.SINGLE(ChartLines.NumInstances), IF("USD"=_xlfn.SINGLE(ChartLines.ID), "SoleBig", "SoleOrdinary"),   1=_xlfn.SINGLE(ChartLines.InstanceNum), "Outer",   TRUE, "Inner")</f>
        <v>Outer</v>
      </c>
      <c r="M151" s="1">
        <f t="shared" ref="M151" si="732" xml:space="preserve"> IF(LEN(ChartLines.Hex6)=6, HEX2DEC(LEFT(ChartLines.Hex6, 2)), "·")</f>
        <v>200</v>
      </c>
      <c r="N151" s="1">
        <f t="shared" ref="N151" si="733" xml:space="preserve"> IF(LEN(ChartLines.Hex6)=6, HEX2DEC(MID(ChartLines.Hex6, 3, 2)), "·")</f>
        <v>16</v>
      </c>
      <c r="O151" s="1">
        <f t="shared" ref="O151" si="734" xml:space="preserve"> IF(LEN(ChartLines.Hex6)=6, HEX2DEC(RIGHT(ChartLines.Hex6, 2)), "·")</f>
        <v>46</v>
      </c>
      <c r="P151" s="1" cm="1">
        <f t="array" ref="P151" xml:space="preserve"> 1 + ROW() - _xlfn.SINGLE(ROW(ChartLines.RowNum))</f>
        <v>146</v>
      </c>
    </row>
    <row r="152" spans="2:16" x14ac:dyDescent="0.2">
      <c r="B152" s="1" t="s">
        <v>200</v>
      </c>
      <c r="C152" s="4" t="s">
        <v>98</v>
      </c>
      <c r="G152" s="1" t="s">
        <v>127</v>
      </c>
      <c r="H152" s="1" t="s">
        <v>494</v>
      </c>
      <c r="J152" s="1">
        <f t="shared" ref="J152" si="735" xml:space="preserve"> IF(AND(LEN(ChartLines.ID)&gt;0,"Unused"&lt;&gt;ChartLines.ID), COUNTIFS(ChartLines.ID,ChartLines.ID), "·")</f>
        <v>2</v>
      </c>
      <c r="K152" s="1">
        <f t="shared" ref="K152" si="736" xml:space="preserve"> IF(AND(LEN(ChartLines.ID)&gt;0,"Unused"&lt;&gt;ChartLines.ID), COUNTIFS(ChartLines.ID,ChartLines.ID,   ChartLines.RowNum,"&lt;="&amp;ChartLines.RowNum), "·")</f>
        <v>2</v>
      </c>
      <c r="L152" s="1" t="str" cm="1">
        <f t="array" ref="L152" xml:space="preserve"> _xlfn.IFS(OR(LEN(_xlfn.SINGLE(ChartLines.ID))=0,"Unused"=_xlfn.SINGLE(ChartLines.ID)), "·",   1=_xlfn.SINGLE(ChartLines.NumInstances), IF("USD"=_xlfn.SINGLE(ChartLines.ID), "SoleBig", "SoleOrdinary"),   1=_xlfn.SINGLE(ChartLines.InstanceNum), "Outer",   TRUE, "Inner")</f>
        <v>Inner</v>
      </c>
      <c r="M152" s="1">
        <f t="shared" ref="M152" si="737" xml:space="preserve"> IF(LEN(ChartLines.Hex6)=6, HEX2DEC(LEFT(ChartLines.Hex6, 2)), "·")</f>
        <v>255</v>
      </c>
      <c r="N152" s="1">
        <f t="shared" ref="N152" si="738" xml:space="preserve"> IF(LEN(ChartLines.Hex6)=6, HEX2DEC(MID(ChartLines.Hex6, 3, 2)), "·")</f>
        <v>215</v>
      </c>
      <c r="O152" s="1">
        <f t="shared" ref="O152" si="739" xml:space="preserve"> IF(LEN(ChartLines.Hex6)=6, HEX2DEC(RIGHT(ChartLines.Hex6, 2)), "·")</f>
        <v>0</v>
      </c>
      <c r="P152" s="1" cm="1">
        <f t="array" ref="P152" xml:space="preserve"> 1 + ROW() - _xlfn.SINGLE(ROW(ChartLines.RowNum))</f>
        <v>147</v>
      </c>
    </row>
    <row r="153" spans="2:16" x14ac:dyDescent="0.2">
      <c r="B153" s="1" t="s">
        <v>201</v>
      </c>
      <c r="C153" s="4" t="s">
        <v>99</v>
      </c>
      <c r="G153" s="1" t="s">
        <v>126</v>
      </c>
      <c r="H153" s="1" t="s">
        <v>499</v>
      </c>
      <c r="J153" s="1">
        <f t="shared" ref="J153" si="740" xml:space="preserve"> IF(AND(LEN(ChartLines.ID)&gt;0,"Unused"&lt;&gt;ChartLines.ID), COUNTIFS(ChartLines.ID,ChartLines.ID), "·")</f>
        <v>2</v>
      </c>
      <c r="K153" s="1">
        <f t="shared" ref="K153" si="741" xml:space="preserve"> IF(AND(LEN(ChartLines.ID)&gt;0,"Unused"&lt;&gt;ChartLines.ID), COUNTIFS(ChartLines.ID,ChartLines.ID,   ChartLines.RowNum,"&lt;="&amp;ChartLines.RowNum), "·")</f>
        <v>1</v>
      </c>
      <c r="L153" s="1" t="str" cm="1">
        <f t="array" ref="L153" xml:space="preserve"> _xlfn.IFS(OR(LEN(_xlfn.SINGLE(ChartLines.ID))=0,"Unused"=_xlfn.SINGLE(ChartLines.ID)), "·",   1=_xlfn.SINGLE(ChartLines.NumInstances), IF("USD"=_xlfn.SINGLE(ChartLines.ID), "SoleBig", "SoleOrdinary"),   1=_xlfn.SINGLE(ChartLines.InstanceNum), "Outer",   TRUE, "Inner")</f>
        <v>Outer</v>
      </c>
      <c r="M153" s="1">
        <f t="shared" ref="M153" si="742" xml:space="preserve"> IF(LEN(ChartLines.Hex6)=6, HEX2DEC(LEFT(ChartLines.Hex6, 2)), "·")</f>
        <v>108</v>
      </c>
      <c r="N153" s="1">
        <f t="shared" ref="N153" si="743" xml:space="preserve"> IF(LEN(ChartLines.Hex6)=6, HEX2DEC(MID(ChartLines.Hex6, 3, 2)), "·")</f>
        <v>29</v>
      </c>
      <c r="O153" s="1">
        <f t="shared" ref="O153" si="744" xml:space="preserve"> IF(LEN(ChartLines.Hex6)=6, HEX2DEC(RIGHT(ChartLines.Hex6, 2)), "·")</f>
        <v>69</v>
      </c>
      <c r="P153" s="1" cm="1">
        <f t="array" ref="P153" xml:space="preserve"> 1 + ROW() - _xlfn.SINGLE(ROW(ChartLines.RowNum))</f>
        <v>148</v>
      </c>
    </row>
    <row r="154" spans="2:16" x14ac:dyDescent="0.2">
      <c r="B154" s="1" t="s">
        <v>202</v>
      </c>
      <c r="C154" s="4" t="s">
        <v>100</v>
      </c>
      <c r="G154" s="1" t="s">
        <v>126</v>
      </c>
      <c r="H154" s="1" t="s">
        <v>423</v>
      </c>
      <c r="J154" s="1">
        <f t="shared" ref="J154" si="745" xml:space="preserve"> IF(AND(LEN(ChartLines.ID)&gt;0,"Unused"&lt;&gt;ChartLines.ID), COUNTIFS(ChartLines.ID,ChartLines.ID), "·")</f>
        <v>2</v>
      </c>
      <c r="K154" s="1">
        <f t="shared" ref="K154" si="746" xml:space="preserve"> IF(AND(LEN(ChartLines.ID)&gt;0,"Unused"&lt;&gt;ChartLines.ID), COUNTIFS(ChartLines.ID,ChartLines.ID,   ChartLines.RowNum,"&lt;="&amp;ChartLines.RowNum), "·")</f>
        <v>2</v>
      </c>
      <c r="L154" s="1" t="str" cm="1">
        <f t="array" ref="L154" xml:space="preserve"> _xlfn.IFS(OR(LEN(_xlfn.SINGLE(ChartLines.ID))=0,"Unused"=_xlfn.SINGLE(ChartLines.ID)), "·",   1=_xlfn.SINGLE(ChartLines.NumInstances), IF("USD"=_xlfn.SINGLE(ChartLines.ID), "SoleBig", "SoleOrdinary"),   1=_xlfn.SINGLE(ChartLines.InstanceNum), "Outer",   TRUE, "Inner")</f>
        <v>Inner</v>
      </c>
      <c r="M154" s="1">
        <f t="shared" ref="M154" si="747" xml:space="preserve"> IF(LEN(ChartLines.Hex6)=6, HEX2DEC(LEFT(ChartLines.Hex6, 2)), "·")</f>
        <v>255</v>
      </c>
      <c r="N154" s="1">
        <f t="shared" ref="N154" si="748" xml:space="preserve"> IF(LEN(ChartLines.Hex6)=6, HEX2DEC(MID(ChartLines.Hex6, 3, 2)), "·")</f>
        <v>255</v>
      </c>
      <c r="O154" s="1">
        <f t="shared" ref="O154" si="749" xml:space="preserve"> IF(LEN(ChartLines.Hex6)=6, HEX2DEC(RIGHT(ChartLines.Hex6, 2)), "·")</f>
        <v>255</v>
      </c>
      <c r="P154" s="1" cm="1">
        <f t="array" ref="P154" xml:space="preserve"> 1 + ROW() - _xlfn.SINGLE(ROW(ChartLines.RowNum))</f>
        <v>149</v>
      </c>
    </row>
    <row r="155" spans="2:16" x14ac:dyDescent="0.2">
      <c r="B155" s="1" t="s">
        <v>203</v>
      </c>
      <c r="C155" s="4" t="s">
        <v>101</v>
      </c>
      <c r="G155" s="1" t="s">
        <v>128</v>
      </c>
      <c r="H155" s="1" t="str">
        <f xml:space="preserve"> "000000"</f>
        <v>000000</v>
      </c>
      <c r="J155" s="1">
        <f t="shared" ref="J155" si="750" xml:space="preserve"> IF(AND(LEN(ChartLines.ID)&gt;0,"Unused"&lt;&gt;ChartLines.ID), COUNTIFS(ChartLines.ID,ChartLines.ID), "·")</f>
        <v>2</v>
      </c>
      <c r="K155" s="1">
        <f t="shared" ref="K155" si="751" xml:space="preserve"> IF(AND(LEN(ChartLines.ID)&gt;0,"Unused"&lt;&gt;ChartLines.ID), COUNTIFS(ChartLines.ID,ChartLines.ID,   ChartLines.RowNum,"&lt;="&amp;ChartLines.RowNum), "·")</f>
        <v>1</v>
      </c>
      <c r="L155" s="1" t="str" cm="1">
        <f t="array" ref="L155" xml:space="preserve"> _xlfn.IFS(OR(LEN(_xlfn.SINGLE(ChartLines.ID))=0,"Unused"=_xlfn.SINGLE(ChartLines.ID)), "·",   1=_xlfn.SINGLE(ChartLines.NumInstances), IF("USD"=_xlfn.SINGLE(ChartLines.ID), "SoleBig", "SoleOrdinary"),   1=_xlfn.SINGLE(ChartLines.InstanceNum), "Outer",   TRUE, "Inner")</f>
        <v>Outer</v>
      </c>
      <c r="M155" s="1">
        <f t="shared" ref="M155" si="752" xml:space="preserve"> IF(LEN(ChartLines.Hex6)=6, HEX2DEC(LEFT(ChartLines.Hex6, 2)), "·")</f>
        <v>0</v>
      </c>
      <c r="N155" s="1">
        <f t="shared" ref="N155" si="753" xml:space="preserve"> IF(LEN(ChartLines.Hex6)=6, HEX2DEC(MID(ChartLines.Hex6, 3, 2)), "·")</f>
        <v>0</v>
      </c>
      <c r="O155" s="1">
        <f t="shared" ref="O155" si="754" xml:space="preserve"> IF(LEN(ChartLines.Hex6)=6, HEX2DEC(RIGHT(ChartLines.Hex6, 2)), "·")</f>
        <v>0</v>
      </c>
      <c r="P155" s="1" cm="1">
        <f t="array" ref="P155" xml:space="preserve"> 1 + ROW() - _xlfn.SINGLE(ROW(ChartLines.RowNum))</f>
        <v>150</v>
      </c>
    </row>
    <row r="156" spans="2:16" x14ac:dyDescent="0.2">
      <c r="B156" s="1" t="s">
        <v>204</v>
      </c>
      <c r="C156" s="4" t="s">
        <v>102</v>
      </c>
      <c r="G156" s="1" t="s">
        <v>128</v>
      </c>
      <c r="H156" s="1" t="s">
        <v>500</v>
      </c>
      <c r="J156" s="1">
        <f t="shared" ref="J156" si="755" xml:space="preserve"> IF(AND(LEN(ChartLines.ID)&gt;0,"Unused"&lt;&gt;ChartLines.ID), COUNTIFS(ChartLines.ID,ChartLines.ID), "·")</f>
        <v>2</v>
      </c>
      <c r="K156" s="1">
        <f t="shared" ref="K156" si="756" xml:space="preserve"> IF(AND(LEN(ChartLines.ID)&gt;0,"Unused"&lt;&gt;ChartLines.ID), COUNTIFS(ChartLines.ID,ChartLines.ID,   ChartLines.RowNum,"&lt;="&amp;ChartLines.RowNum), "·")</f>
        <v>2</v>
      </c>
      <c r="L156" s="1" t="str" cm="1">
        <f t="array" ref="L156" xml:space="preserve"> _xlfn.IFS(OR(LEN(_xlfn.SINGLE(ChartLines.ID))=0,"Unused"=_xlfn.SINGLE(ChartLines.ID)), "·",   1=_xlfn.SINGLE(ChartLines.NumInstances), IF("USD"=_xlfn.SINGLE(ChartLines.ID), "SoleBig", "SoleOrdinary"),   1=_xlfn.SINGLE(ChartLines.InstanceNum), "Outer",   TRUE, "Inner")</f>
        <v>Inner</v>
      </c>
      <c r="M156" s="1">
        <f t="shared" ref="M156" si="757" xml:space="preserve"> IF(LEN(ChartLines.Hex6)=6, HEX2DEC(LEFT(ChartLines.Hex6, 2)), "·")</f>
        <v>206</v>
      </c>
      <c r="N156" s="1">
        <f t="shared" ref="N156" si="758" xml:space="preserve"> IF(LEN(ChartLines.Hex6)=6, HEX2DEC(MID(ChartLines.Hex6, 3, 2)), "·")</f>
        <v>17</v>
      </c>
      <c r="O156" s="1">
        <f t="shared" ref="O156" si="759" xml:space="preserve"> IF(LEN(ChartLines.Hex6)=6, HEX2DEC(RIGHT(ChartLines.Hex6, 2)), "·")</f>
        <v>38</v>
      </c>
      <c r="P156" s="1" cm="1">
        <f t="array" ref="P156" xml:space="preserve"> 1 + ROW() - _xlfn.SINGLE(ROW(ChartLines.RowNum))</f>
        <v>151</v>
      </c>
    </row>
    <row r="157" spans="2:16" x14ac:dyDescent="0.2">
      <c r="B157" s="1" t="s">
        <v>205</v>
      </c>
      <c r="C157" s="4" t="s">
        <v>103</v>
      </c>
      <c r="G157" s="1" t="s">
        <v>501</v>
      </c>
      <c r="H157" s="1" t="s">
        <v>502</v>
      </c>
      <c r="J157" s="1">
        <f t="shared" ref="J157" si="760" xml:space="preserve"> IF(AND(LEN(ChartLines.ID)&gt;0,"Unused"&lt;&gt;ChartLines.ID), COUNTIFS(ChartLines.ID,ChartLines.ID), "·")</f>
        <v>2</v>
      </c>
      <c r="K157" s="1">
        <f t="shared" ref="K157" si="761" xml:space="preserve"> IF(AND(LEN(ChartLines.ID)&gt;0,"Unused"&lt;&gt;ChartLines.ID), COUNTIFS(ChartLines.ID,ChartLines.ID,   ChartLines.RowNum,"&lt;="&amp;ChartLines.RowNum), "·")</f>
        <v>1</v>
      </c>
      <c r="L157" s="1" t="str" cm="1">
        <f t="array" ref="L157" xml:space="preserve"> _xlfn.IFS(OR(LEN(_xlfn.SINGLE(ChartLines.ID))=0,"Unused"=_xlfn.SINGLE(ChartLines.ID)), "·",   1=_xlfn.SINGLE(ChartLines.NumInstances), IF("USD"=_xlfn.SINGLE(ChartLines.ID), "SoleBig", "SoleOrdinary"),   1=_xlfn.SINGLE(ChartLines.InstanceNum), "Outer",   TRUE, "Inner")</f>
        <v>Outer</v>
      </c>
      <c r="M157" s="1">
        <f t="shared" ref="M157" si="762" xml:space="preserve"> IF(LEN(ChartLines.Hex6)=6, HEX2DEC(LEFT(ChartLines.Hex6, 2)), "·")</f>
        <v>196</v>
      </c>
      <c r="N157" s="1">
        <f t="shared" ref="N157" si="763" xml:space="preserve"> IF(LEN(ChartLines.Hex6)=6, HEX2DEC(MID(ChartLines.Hex6, 3, 2)), "·")</f>
        <v>156</v>
      </c>
      <c r="O157" s="1">
        <f t="shared" ref="O157" si="764" xml:space="preserve"> IF(LEN(ChartLines.Hex6)=6, HEX2DEC(RIGHT(ChartLines.Hex6, 2)), "·")</f>
        <v>91</v>
      </c>
      <c r="P157" s="1" cm="1">
        <f t="array" ref="P157" xml:space="preserve"> 1 + ROW() - _xlfn.SINGLE(ROW(ChartLines.RowNum))</f>
        <v>152</v>
      </c>
    </row>
    <row r="158" spans="2:16" x14ac:dyDescent="0.2">
      <c r="B158" s="1" t="s">
        <v>206</v>
      </c>
      <c r="C158" s="4" t="s">
        <v>104</v>
      </c>
      <c r="G158" s="1" t="s">
        <v>501</v>
      </c>
      <c r="H158" s="1" t="str">
        <f xml:space="preserve"> "000000"</f>
        <v>000000</v>
      </c>
      <c r="J158" s="1">
        <f t="shared" ref="J158" si="765" xml:space="preserve"> IF(AND(LEN(ChartLines.ID)&gt;0,"Unused"&lt;&gt;ChartLines.ID), COUNTIFS(ChartLines.ID,ChartLines.ID), "·")</f>
        <v>2</v>
      </c>
      <c r="K158" s="1">
        <f t="shared" ref="K158" si="766" xml:space="preserve"> IF(AND(LEN(ChartLines.ID)&gt;0,"Unused"&lt;&gt;ChartLines.ID), COUNTIFS(ChartLines.ID,ChartLines.ID,   ChartLines.RowNum,"&lt;="&amp;ChartLines.RowNum), "·")</f>
        <v>2</v>
      </c>
      <c r="L158" s="1" t="str" cm="1">
        <f t="array" ref="L158" xml:space="preserve"> _xlfn.IFS(OR(LEN(_xlfn.SINGLE(ChartLines.ID))=0,"Unused"=_xlfn.SINGLE(ChartLines.ID)), "·",   1=_xlfn.SINGLE(ChartLines.NumInstances), IF("USD"=_xlfn.SINGLE(ChartLines.ID), "SoleBig", "SoleOrdinary"),   1=_xlfn.SINGLE(ChartLines.InstanceNum), "Outer",   TRUE, "Inner")</f>
        <v>Inner</v>
      </c>
      <c r="M158" s="1">
        <f t="shared" ref="M158" si="767" xml:space="preserve"> IF(LEN(ChartLines.Hex6)=6, HEX2DEC(LEFT(ChartLines.Hex6, 2)), "·")</f>
        <v>0</v>
      </c>
      <c r="N158" s="1">
        <f t="shared" ref="N158" si="768" xml:space="preserve"> IF(LEN(ChartLines.Hex6)=6, HEX2DEC(MID(ChartLines.Hex6, 3, 2)), "·")</f>
        <v>0</v>
      </c>
      <c r="O158" s="1">
        <f t="shared" ref="O158" si="769" xml:space="preserve"> IF(LEN(ChartLines.Hex6)=6, HEX2DEC(RIGHT(ChartLines.Hex6, 2)), "·")</f>
        <v>0</v>
      </c>
      <c r="P158" s="1" cm="1">
        <f t="array" ref="P158" xml:space="preserve"> 1 + ROW() - _xlfn.SINGLE(ROW(ChartLines.RowNum))</f>
        <v>153</v>
      </c>
    </row>
    <row r="159" spans="2:16" x14ac:dyDescent="0.2">
      <c r="B159" s="1" t="s">
        <v>207</v>
      </c>
      <c r="C159" s="4" t="s">
        <v>105</v>
      </c>
      <c r="G159" s="1" t="s">
        <v>129</v>
      </c>
      <c r="H159" s="1" t="s">
        <v>500</v>
      </c>
      <c r="J159" s="1">
        <f t="shared" ref="J159" si="770" xml:space="preserve"> IF(AND(LEN(ChartLines.ID)&gt;0,"Unused"&lt;&gt;ChartLines.ID), COUNTIFS(ChartLines.ID,ChartLines.ID), "·")</f>
        <v>2</v>
      </c>
      <c r="K159" s="1">
        <f t="shared" ref="K159" si="771" xml:space="preserve"> IF(AND(LEN(ChartLines.ID)&gt;0,"Unused"&lt;&gt;ChartLines.ID), COUNTIFS(ChartLines.ID,ChartLines.ID,   ChartLines.RowNum,"&lt;="&amp;ChartLines.RowNum), "·")</f>
        <v>1</v>
      </c>
      <c r="L159" s="1" t="str" cm="1">
        <f t="array" ref="L159" xml:space="preserve"> _xlfn.IFS(OR(LEN(_xlfn.SINGLE(ChartLines.ID))=0,"Unused"=_xlfn.SINGLE(ChartLines.ID)), "·",   1=_xlfn.SINGLE(ChartLines.NumInstances), IF("USD"=_xlfn.SINGLE(ChartLines.ID), "SoleBig", "SoleOrdinary"),   1=_xlfn.SINGLE(ChartLines.InstanceNum), "Outer",   TRUE, "Inner")</f>
        <v>Outer</v>
      </c>
      <c r="M159" s="1">
        <f t="shared" ref="M159" si="772" xml:space="preserve"> IF(LEN(ChartLines.Hex6)=6, HEX2DEC(LEFT(ChartLines.Hex6, 2)), "·")</f>
        <v>206</v>
      </c>
      <c r="N159" s="1">
        <f t="shared" ref="N159" si="773" xml:space="preserve"> IF(LEN(ChartLines.Hex6)=6, HEX2DEC(MID(ChartLines.Hex6, 3, 2)), "·")</f>
        <v>17</v>
      </c>
      <c r="O159" s="1">
        <f t="shared" ref="O159" si="774" xml:space="preserve"> IF(LEN(ChartLines.Hex6)=6, HEX2DEC(RIGHT(ChartLines.Hex6, 2)), "·")</f>
        <v>38</v>
      </c>
      <c r="P159" s="1" cm="1">
        <f t="array" ref="P159" xml:space="preserve"> 1 + ROW() - _xlfn.SINGLE(ROW(ChartLines.RowNum))</f>
        <v>154</v>
      </c>
    </row>
    <row r="160" spans="2:16" x14ac:dyDescent="0.2">
      <c r="B160" s="1" t="s">
        <v>208</v>
      </c>
      <c r="C160" s="4" t="s">
        <v>106</v>
      </c>
      <c r="G160" s="1" t="s">
        <v>129</v>
      </c>
      <c r="H160" s="1" t="str">
        <f xml:space="preserve"> "000000"</f>
        <v>000000</v>
      </c>
      <c r="J160" s="1">
        <f t="shared" ref="J160" si="775" xml:space="preserve"> IF(AND(LEN(ChartLines.ID)&gt;0,"Unused"&lt;&gt;ChartLines.ID), COUNTIFS(ChartLines.ID,ChartLines.ID), "·")</f>
        <v>2</v>
      </c>
      <c r="K160" s="1">
        <f t="shared" ref="K160" si="776" xml:space="preserve"> IF(AND(LEN(ChartLines.ID)&gt;0,"Unused"&lt;&gt;ChartLines.ID), COUNTIFS(ChartLines.ID,ChartLines.ID,   ChartLines.RowNum,"&lt;="&amp;ChartLines.RowNum), "·")</f>
        <v>2</v>
      </c>
      <c r="L160" s="1" t="str" cm="1">
        <f t="array" ref="L160" xml:space="preserve"> _xlfn.IFS(OR(LEN(_xlfn.SINGLE(ChartLines.ID))=0,"Unused"=_xlfn.SINGLE(ChartLines.ID)), "·",   1=_xlfn.SINGLE(ChartLines.NumInstances), IF("USD"=_xlfn.SINGLE(ChartLines.ID), "SoleBig", "SoleOrdinary"),   1=_xlfn.SINGLE(ChartLines.InstanceNum), "Outer",   TRUE, "Inner")</f>
        <v>Inner</v>
      </c>
      <c r="M160" s="1">
        <f t="shared" ref="M160" si="777" xml:space="preserve"> IF(LEN(ChartLines.Hex6)=6, HEX2DEC(LEFT(ChartLines.Hex6, 2)), "·")</f>
        <v>0</v>
      </c>
      <c r="N160" s="1">
        <f t="shared" ref="N160" si="778" xml:space="preserve"> IF(LEN(ChartLines.Hex6)=6, HEX2DEC(MID(ChartLines.Hex6, 3, 2)), "·")</f>
        <v>0</v>
      </c>
      <c r="O160" s="1">
        <f t="shared" ref="O160" si="779" xml:space="preserve"> IF(LEN(ChartLines.Hex6)=6, HEX2DEC(RIGHT(ChartLines.Hex6, 2)), "·")</f>
        <v>0</v>
      </c>
      <c r="P160" s="1" cm="1">
        <f t="array" ref="P160" xml:space="preserve"> 1 + ROW() - _xlfn.SINGLE(ROW(ChartLines.RowNum))</f>
        <v>155</v>
      </c>
    </row>
    <row r="161" spans="2:16" x14ac:dyDescent="0.2">
      <c r="B161" s="1" t="s">
        <v>209</v>
      </c>
      <c r="C161" s="4" t="s">
        <v>107</v>
      </c>
      <c r="G161" s="1" t="s">
        <v>130</v>
      </c>
      <c r="H161" s="1" t="s">
        <v>421</v>
      </c>
      <c r="J161" s="1">
        <f t="shared" ref="J161" si="780" xml:space="preserve"> IF(AND(LEN(ChartLines.ID)&gt;0,"Unused"&lt;&gt;ChartLines.ID), COUNTIFS(ChartLines.ID,ChartLines.ID), "·")</f>
        <v>2</v>
      </c>
      <c r="K161" s="1">
        <f t="shared" ref="K161" si="781" xml:space="preserve"> IF(AND(LEN(ChartLines.ID)&gt;0,"Unused"&lt;&gt;ChartLines.ID), COUNTIFS(ChartLines.ID,ChartLines.ID,   ChartLines.RowNum,"&lt;="&amp;ChartLines.RowNum), "·")</f>
        <v>1</v>
      </c>
      <c r="L161" s="1" t="str" cm="1">
        <f t="array" ref="L161" xml:space="preserve"> _xlfn.IFS(OR(LEN(_xlfn.SINGLE(ChartLines.ID))=0,"Unused"=_xlfn.SINGLE(ChartLines.ID)), "·",   1=_xlfn.SINGLE(ChartLines.NumInstances), IF("USD"=_xlfn.SINGLE(ChartLines.ID), "SoleBig", "SoleOrdinary"),   1=_xlfn.SINGLE(ChartLines.InstanceNum), "Outer",   TRUE, "Inner")</f>
        <v>Outer</v>
      </c>
      <c r="M161" s="1">
        <f t="shared" ref="M161" si="782" xml:space="preserve"> IF(LEN(ChartLines.Hex6)=6, HEX2DEC(LEFT(ChartLines.Hex6, 2)), "·")</f>
        <v>239</v>
      </c>
      <c r="N161" s="1">
        <f t="shared" ref="N161" si="783" xml:space="preserve"> IF(LEN(ChartLines.Hex6)=6, HEX2DEC(MID(ChartLines.Hex6, 3, 2)), "·")</f>
        <v>51</v>
      </c>
      <c r="O161" s="1">
        <f t="shared" ref="O161" si="784" xml:space="preserve"> IF(LEN(ChartLines.Hex6)=6, HEX2DEC(RIGHT(ChartLines.Hex6, 2)), "·")</f>
        <v>64</v>
      </c>
      <c r="P161" s="1" cm="1">
        <f t="array" ref="P161" xml:space="preserve"> 1 + ROW() - _xlfn.SINGLE(ROW(ChartLines.RowNum))</f>
        <v>156</v>
      </c>
    </row>
    <row r="162" spans="2:16" x14ac:dyDescent="0.2">
      <c r="B162" s="1" t="s">
        <v>210</v>
      </c>
      <c r="C162" s="4" t="s">
        <v>108</v>
      </c>
      <c r="G162" s="1" t="s">
        <v>130</v>
      </c>
      <c r="H162" s="1" t="str">
        <f xml:space="preserve"> "009639"</f>
        <v>009639</v>
      </c>
      <c r="J162" s="1">
        <f t="shared" ref="J162" si="785" xml:space="preserve"> IF(AND(LEN(ChartLines.ID)&gt;0,"Unused"&lt;&gt;ChartLines.ID), COUNTIFS(ChartLines.ID,ChartLines.ID), "·")</f>
        <v>2</v>
      </c>
      <c r="K162" s="1">
        <f t="shared" ref="K162" si="786" xml:space="preserve"> IF(AND(LEN(ChartLines.ID)&gt;0,"Unused"&lt;&gt;ChartLines.ID), COUNTIFS(ChartLines.ID,ChartLines.ID,   ChartLines.RowNum,"&lt;="&amp;ChartLines.RowNum), "·")</f>
        <v>2</v>
      </c>
      <c r="L162" s="1" t="str" cm="1">
        <f t="array" ref="L162" xml:space="preserve"> _xlfn.IFS(OR(LEN(_xlfn.SINGLE(ChartLines.ID))=0,"Unused"=_xlfn.SINGLE(ChartLines.ID)), "·",   1=_xlfn.SINGLE(ChartLines.NumInstances), IF("USD"=_xlfn.SINGLE(ChartLines.ID), "SoleBig", "SoleOrdinary"),   1=_xlfn.SINGLE(ChartLines.InstanceNum), "Outer",   TRUE, "Inner")</f>
        <v>Inner</v>
      </c>
      <c r="M162" s="1">
        <f t="shared" ref="M162" si="787" xml:space="preserve"> IF(LEN(ChartLines.Hex6)=6, HEX2DEC(LEFT(ChartLines.Hex6, 2)), "·")</f>
        <v>0</v>
      </c>
      <c r="N162" s="1">
        <f t="shared" ref="N162" si="788" xml:space="preserve"> IF(LEN(ChartLines.Hex6)=6, HEX2DEC(MID(ChartLines.Hex6, 3, 2)), "·")</f>
        <v>150</v>
      </c>
      <c r="O162" s="1">
        <f t="shared" ref="O162" si="789" xml:space="preserve"> IF(LEN(ChartLines.Hex6)=6, HEX2DEC(RIGHT(ChartLines.Hex6, 2)), "·")</f>
        <v>57</v>
      </c>
      <c r="P162" s="1" cm="1">
        <f t="array" ref="P162" xml:space="preserve"> 1 + ROW() - _xlfn.SINGLE(ROW(ChartLines.RowNum))</f>
        <v>157</v>
      </c>
    </row>
    <row r="163" spans="2:16" x14ac:dyDescent="0.2">
      <c r="B163" s="1" t="s">
        <v>211</v>
      </c>
      <c r="C163" s="4" t="s">
        <v>109</v>
      </c>
      <c r="G163" s="1" t="s">
        <v>131</v>
      </c>
      <c r="H163" s="1" t="str">
        <f xml:space="preserve"> "000000"</f>
        <v>000000</v>
      </c>
      <c r="J163" s="1">
        <f t="shared" ref="J163" si="790" xml:space="preserve"> IF(AND(LEN(ChartLines.ID)&gt;0,"Unused"&lt;&gt;ChartLines.ID), COUNTIFS(ChartLines.ID,ChartLines.ID), "·")</f>
        <v>2</v>
      </c>
      <c r="K163" s="1">
        <f t="shared" ref="K163" si="791" xml:space="preserve"> IF(AND(LEN(ChartLines.ID)&gt;0,"Unused"&lt;&gt;ChartLines.ID), COUNTIFS(ChartLines.ID,ChartLines.ID,   ChartLines.RowNum,"&lt;="&amp;ChartLines.RowNum), "·")</f>
        <v>1</v>
      </c>
      <c r="L163" s="1" t="str" cm="1">
        <f t="array" ref="L163" xml:space="preserve"> _xlfn.IFS(OR(LEN(_xlfn.SINGLE(ChartLines.ID))=0,"Unused"=_xlfn.SINGLE(ChartLines.ID)), "·",   1=_xlfn.SINGLE(ChartLines.NumInstances), IF("USD"=_xlfn.SINGLE(ChartLines.ID), "SoleBig", "SoleOrdinary"),   1=_xlfn.SINGLE(ChartLines.InstanceNum), "Outer",   TRUE, "Inner")</f>
        <v>Outer</v>
      </c>
      <c r="M163" s="1">
        <f t="shared" ref="M163" si="792" xml:space="preserve"> IF(LEN(ChartLines.Hex6)=6, HEX2DEC(LEFT(ChartLines.Hex6, 2)), "·")</f>
        <v>0</v>
      </c>
      <c r="N163" s="1">
        <f t="shared" ref="N163" si="793" xml:space="preserve"> IF(LEN(ChartLines.Hex6)=6, HEX2DEC(MID(ChartLines.Hex6, 3, 2)), "·")</f>
        <v>0</v>
      </c>
      <c r="O163" s="1">
        <f t="shared" ref="O163" si="794" xml:space="preserve"> IF(LEN(ChartLines.Hex6)=6, HEX2DEC(RIGHT(ChartLines.Hex6, 2)), "·")</f>
        <v>0</v>
      </c>
      <c r="P163" s="1" cm="1">
        <f t="array" ref="P163" xml:space="preserve"> 1 + ROW() - _xlfn.SINGLE(ROW(ChartLines.RowNum))</f>
        <v>158</v>
      </c>
    </row>
    <row r="164" spans="2:16" x14ac:dyDescent="0.2">
      <c r="B164" s="1" t="s">
        <v>212</v>
      </c>
      <c r="C164" s="4" t="s">
        <v>110</v>
      </c>
      <c r="G164" s="1" t="s">
        <v>131</v>
      </c>
      <c r="H164" s="1" t="s">
        <v>423</v>
      </c>
      <c r="J164" s="1">
        <f t="shared" ref="J164" si="795" xml:space="preserve"> IF(AND(LEN(ChartLines.ID)&gt;0,"Unused"&lt;&gt;ChartLines.ID), COUNTIFS(ChartLines.ID,ChartLines.ID), "·")</f>
        <v>2</v>
      </c>
      <c r="K164" s="1">
        <f t="shared" ref="K164" si="796" xml:space="preserve"> IF(AND(LEN(ChartLines.ID)&gt;0,"Unused"&lt;&gt;ChartLines.ID), COUNTIFS(ChartLines.ID,ChartLines.ID,   ChartLines.RowNum,"&lt;="&amp;ChartLines.RowNum), "·")</f>
        <v>2</v>
      </c>
      <c r="L164" s="1" t="str" cm="1">
        <f t="array" ref="L164" xml:space="preserve"> _xlfn.IFS(OR(LEN(_xlfn.SINGLE(ChartLines.ID))=0,"Unused"=_xlfn.SINGLE(ChartLines.ID)), "·",   1=_xlfn.SINGLE(ChartLines.NumInstances), IF("USD"=_xlfn.SINGLE(ChartLines.ID), "SoleBig", "SoleOrdinary"),   1=_xlfn.SINGLE(ChartLines.InstanceNum), "Outer",   TRUE, "Inner")</f>
        <v>Inner</v>
      </c>
      <c r="M164" s="1">
        <f t="shared" ref="M164" si="797" xml:space="preserve"> IF(LEN(ChartLines.Hex6)=6, HEX2DEC(LEFT(ChartLines.Hex6, 2)), "·")</f>
        <v>255</v>
      </c>
      <c r="N164" s="1">
        <f t="shared" ref="N164" si="798" xml:space="preserve"> IF(LEN(ChartLines.Hex6)=6, HEX2DEC(MID(ChartLines.Hex6, 3, 2)), "·")</f>
        <v>255</v>
      </c>
      <c r="O164" s="1">
        <f t="shared" ref="O164" si="799" xml:space="preserve"> IF(LEN(ChartLines.Hex6)=6, HEX2DEC(RIGHT(ChartLines.Hex6, 2)), "·")</f>
        <v>255</v>
      </c>
      <c r="P164" s="1" cm="1">
        <f t="array" ref="P164" xml:space="preserve"> 1 + ROW() - _xlfn.SINGLE(ROW(ChartLines.RowNum))</f>
        <v>159</v>
      </c>
    </row>
    <row r="165" spans="2:16" x14ac:dyDescent="0.2">
      <c r="B165" s="1" t="s">
        <v>213</v>
      </c>
      <c r="C165" s="4" t="s">
        <v>111</v>
      </c>
      <c r="G165" s="1" t="s">
        <v>132</v>
      </c>
      <c r="H165" s="1" t="s">
        <v>503</v>
      </c>
      <c r="J165" s="1">
        <f t="shared" ref="J165" si="800" xml:space="preserve"> IF(AND(LEN(ChartLines.ID)&gt;0,"Unused"&lt;&gt;ChartLines.ID), COUNTIFS(ChartLines.ID,ChartLines.ID), "·")</f>
        <v>2</v>
      </c>
      <c r="K165" s="1">
        <f t="shared" ref="K165" si="801" xml:space="preserve"> IF(AND(LEN(ChartLines.ID)&gt;0,"Unused"&lt;&gt;ChartLines.ID), COUNTIFS(ChartLines.ID,ChartLines.ID,   ChartLines.RowNum,"&lt;="&amp;ChartLines.RowNum), "·")</f>
        <v>1</v>
      </c>
      <c r="L165" s="1" t="str" cm="1">
        <f t="array" ref="L165" xml:space="preserve"> _xlfn.IFS(OR(LEN(_xlfn.SINGLE(ChartLines.ID))=0,"Unused"=_xlfn.SINGLE(ChartLines.ID)), "·",   1=_xlfn.SINGLE(ChartLines.NumInstances), IF("USD"=_xlfn.SINGLE(ChartLines.ID), "SoleBig", "SoleOrdinary"),   1=_xlfn.SINGLE(ChartLines.InstanceNum), "Outer",   TRUE, "Inner")</f>
        <v>Outer</v>
      </c>
      <c r="M165" s="1">
        <f t="shared" ref="M165" si="802" xml:space="preserve"> IF(LEN(ChartLines.Hex6)=6, HEX2DEC(LEFT(ChartLines.Hex6, 2)), "·")</f>
        <v>231</v>
      </c>
      <c r="N165" s="1">
        <f t="shared" ref="N165" si="803" xml:space="preserve"> IF(LEN(ChartLines.Hex6)=6, HEX2DEC(MID(ChartLines.Hex6, 3, 2)), "·")</f>
        <v>0</v>
      </c>
      <c r="O165" s="1">
        <f t="shared" ref="O165" si="804" xml:space="preserve"> IF(LEN(ChartLines.Hex6)=6, HEX2DEC(RIGHT(ChartLines.Hex6, 2)), "·")</f>
        <v>19</v>
      </c>
      <c r="P165" s="1" cm="1">
        <f t="array" ref="P165" xml:space="preserve"> 1 + ROW() - _xlfn.SINGLE(ROW(ChartLines.RowNum))</f>
        <v>160</v>
      </c>
    </row>
    <row r="166" spans="2:16" x14ac:dyDescent="0.2">
      <c r="B166" s="1" t="s">
        <v>214</v>
      </c>
      <c r="C166" s="4" t="s">
        <v>112</v>
      </c>
      <c r="G166" s="1" t="s">
        <v>132</v>
      </c>
      <c r="H166" s="1" t="s">
        <v>423</v>
      </c>
      <c r="J166" s="1">
        <f t="shared" ref="J166" si="805" xml:space="preserve"> IF(AND(LEN(ChartLines.ID)&gt;0,"Unused"&lt;&gt;ChartLines.ID), COUNTIFS(ChartLines.ID,ChartLines.ID), "·")</f>
        <v>2</v>
      </c>
      <c r="K166" s="1">
        <f t="shared" ref="K166" si="806" xml:space="preserve"> IF(AND(LEN(ChartLines.ID)&gt;0,"Unused"&lt;&gt;ChartLines.ID), COUNTIFS(ChartLines.ID,ChartLines.ID,   ChartLines.RowNum,"&lt;="&amp;ChartLines.RowNum), "·")</f>
        <v>2</v>
      </c>
      <c r="L166" s="1" t="str" cm="1">
        <f t="array" ref="L166" xml:space="preserve"> _xlfn.IFS(OR(LEN(_xlfn.SINGLE(ChartLines.ID))=0,"Unused"=_xlfn.SINGLE(ChartLines.ID)), "·",   1=_xlfn.SINGLE(ChartLines.NumInstances), IF("USD"=_xlfn.SINGLE(ChartLines.ID), "SoleBig", "SoleOrdinary"),   1=_xlfn.SINGLE(ChartLines.InstanceNum), "Outer",   TRUE, "Inner")</f>
        <v>Inner</v>
      </c>
      <c r="M166" s="1">
        <f t="shared" ref="M166" si="807" xml:space="preserve"> IF(LEN(ChartLines.Hex6)=6, HEX2DEC(LEFT(ChartLines.Hex6, 2)), "·")</f>
        <v>255</v>
      </c>
      <c r="N166" s="1">
        <f t="shared" ref="N166" si="808" xml:space="preserve"> IF(LEN(ChartLines.Hex6)=6, HEX2DEC(MID(ChartLines.Hex6, 3, 2)), "·")</f>
        <v>255</v>
      </c>
      <c r="O166" s="1">
        <f t="shared" ref="O166" si="809" xml:space="preserve"> IF(LEN(ChartLines.Hex6)=6, HEX2DEC(RIGHT(ChartLines.Hex6, 2)), "·")</f>
        <v>255</v>
      </c>
      <c r="P166" s="1" cm="1">
        <f t="array" ref="P166" xml:space="preserve"> 1 + ROW() - _xlfn.SINGLE(ROW(ChartLines.RowNum))</f>
        <v>161</v>
      </c>
    </row>
    <row r="167" spans="2:16" x14ac:dyDescent="0.2">
      <c r="B167" s="1" t="s">
        <v>215</v>
      </c>
      <c r="C167" s="4" t="s">
        <v>113</v>
      </c>
      <c r="G167" s="1" t="s">
        <v>133</v>
      </c>
      <c r="H167" s="1" t="str">
        <f xml:space="preserve"> "006233"</f>
        <v>006233</v>
      </c>
      <c r="J167" s="1">
        <f t="shared" ref="J167" si="810" xml:space="preserve"> IF(AND(LEN(ChartLines.ID)&gt;0,"Unused"&lt;&gt;ChartLines.ID), COUNTIFS(ChartLines.ID,ChartLines.ID), "·")</f>
        <v>2</v>
      </c>
      <c r="K167" s="1">
        <f t="shared" ref="K167" si="811" xml:space="preserve"> IF(AND(LEN(ChartLines.ID)&gt;0,"Unused"&lt;&gt;ChartLines.ID), COUNTIFS(ChartLines.ID,ChartLines.ID,   ChartLines.RowNum,"&lt;="&amp;ChartLines.RowNum), "·")</f>
        <v>1</v>
      </c>
      <c r="L167" s="1" t="str" cm="1">
        <f t="array" ref="L167" xml:space="preserve"> _xlfn.IFS(OR(LEN(_xlfn.SINGLE(ChartLines.ID))=0,"Unused"=_xlfn.SINGLE(ChartLines.ID)), "·",   1=_xlfn.SINGLE(ChartLines.NumInstances), IF("USD"=_xlfn.SINGLE(ChartLines.ID), "SoleBig", "SoleOrdinary"),   1=_xlfn.SINGLE(ChartLines.InstanceNum), "Outer",   TRUE, "Inner")</f>
        <v>Outer</v>
      </c>
      <c r="M167" s="1">
        <f t="shared" ref="M167" si="812" xml:space="preserve"> IF(LEN(ChartLines.Hex6)=6, HEX2DEC(LEFT(ChartLines.Hex6, 2)), "·")</f>
        <v>0</v>
      </c>
      <c r="N167" s="1">
        <f t="shared" ref="N167" si="813" xml:space="preserve"> IF(LEN(ChartLines.Hex6)=6, HEX2DEC(MID(ChartLines.Hex6, 3, 2)), "·")</f>
        <v>98</v>
      </c>
      <c r="O167" s="1">
        <f t="shared" ref="O167" si="814" xml:space="preserve"> IF(LEN(ChartLines.Hex6)=6, HEX2DEC(RIGHT(ChartLines.Hex6, 2)), "·")</f>
        <v>51</v>
      </c>
      <c r="P167" s="1" cm="1">
        <f t="array" ref="P167" xml:space="preserve"> 1 + ROW() - _xlfn.SINGLE(ROW(ChartLines.RowNum))</f>
        <v>162</v>
      </c>
    </row>
    <row r="168" spans="2:16" x14ac:dyDescent="0.2">
      <c r="B168" s="1" t="s">
        <v>216</v>
      </c>
      <c r="C168" s="4" t="s">
        <v>114</v>
      </c>
      <c r="G168" s="1" t="s">
        <v>133</v>
      </c>
      <c r="H168" s="1" t="s">
        <v>504</v>
      </c>
      <c r="J168" s="1">
        <f t="shared" ref="J168" si="815" xml:space="preserve"> IF(AND(LEN(ChartLines.ID)&gt;0,"Unused"&lt;&gt;ChartLines.ID), COUNTIFS(ChartLines.ID,ChartLines.ID), "·")</f>
        <v>2</v>
      </c>
      <c r="K168" s="1">
        <f t="shared" ref="K168" si="816" xml:space="preserve"> IF(AND(LEN(ChartLines.ID)&gt;0,"Unused"&lt;&gt;ChartLines.ID), COUNTIFS(ChartLines.ID,ChartLines.ID,   ChartLines.RowNum,"&lt;="&amp;ChartLines.RowNum), "·")</f>
        <v>2</v>
      </c>
      <c r="L168" s="1" t="str" cm="1">
        <f t="array" ref="L168" xml:space="preserve"> _xlfn.IFS(OR(LEN(_xlfn.SINGLE(ChartLines.ID))=0,"Unused"=_xlfn.SINGLE(ChartLines.ID)), "·",   1=_xlfn.SINGLE(ChartLines.NumInstances), IF("USD"=_xlfn.SINGLE(ChartLines.ID), "SoleBig", "SoleOrdinary"),   1=_xlfn.SINGLE(ChartLines.InstanceNum), "Outer",   TRUE, "Inner")</f>
        <v>Inner</v>
      </c>
      <c r="M168" s="1">
        <f t="shared" ref="M168" si="817" xml:space="preserve"> IF(LEN(ChartLines.Hex6)=6, HEX2DEC(LEFT(ChartLines.Hex6, 2)), "·")</f>
        <v>251</v>
      </c>
      <c r="N168" s="1">
        <f t="shared" ref="N168" si="818" xml:space="preserve"> IF(LEN(ChartLines.Hex6)=6, HEX2DEC(MID(ChartLines.Hex6, 3, 2)), "·")</f>
        <v>15</v>
      </c>
      <c r="O168" s="1">
        <f t="shared" ref="O168" si="819" xml:space="preserve"> IF(LEN(ChartLines.Hex6)=6, HEX2DEC(RIGHT(ChartLines.Hex6, 2)), "·")</f>
        <v>12</v>
      </c>
      <c r="P168" s="1" cm="1">
        <f t="array" ref="P168" xml:space="preserve"> 1 + ROW() - _xlfn.SINGLE(ROW(ChartLines.RowNum))</f>
        <v>163</v>
      </c>
    </row>
    <row r="169" spans="2:16" x14ac:dyDescent="0.2">
      <c r="B169" s="1" t="s">
        <v>217</v>
      </c>
      <c r="C169" s="4" t="s">
        <v>115</v>
      </c>
      <c r="G169" s="1" t="s">
        <v>134</v>
      </c>
      <c r="H169" s="1" t="str">
        <f xml:space="preserve"> "006633"</f>
        <v>006633</v>
      </c>
      <c r="J169" s="1">
        <f t="shared" ref="J169" si="820" xml:space="preserve"> IF(AND(LEN(ChartLines.ID)&gt;0,"Unused"&lt;&gt;ChartLines.ID), COUNTIFS(ChartLines.ID,ChartLines.ID), "·")</f>
        <v>2</v>
      </c>
      <c r="K169" s="1">
        <f t="shared" ref="K169" si="821" xml:space="preserve"> IF(AND(LEN(ChartLines.ID)&gt;0,"Unused"&lt;&gt;ChartLines.ID), COUNTIFS(ChartLines.ID,ChartLines.ID,   ChartLines.RowNum,"&lt;="&amp;ChartLines.RowNum), "·")</f>
        <v>1</v>
      </c>
      <c r="L169" s="1" t="str" cm="1">
        <f t="array" ref="L169" xml:space="preserve"> _xlfn.IFS(OR(LEN(_xlfn.SINGLE(ChartLines.ID))=0,"Unused"=_xlfn.SINGLE(ChartLines.ID)), "·",   1=_xlfn.SINGLE(ChartLines.NumInstances), IF("USD"=_xlfn.SINGLE(ChartLines.ID), "SoleBig", "SoleOrdinary"),   1=_xlfn.SINGLE(ChartLines.InstanceNum), "Outer",   TRUE, "Inner")</f>
        <v>Outer</v>
      </c>
      <c r="M169" s="1">
        <f t="shared" ref="M169" si="822" xml:space="preserve"> IF(LEN(ChartLines.Hex6)=6, HEX2DEC(LEFT(ChartLines.Hex6, 2)), "·")</f>
        <v>0</v>
      </c>
      <c r="N169" s="1">
        <f t="shared" ref="N169" si="823" xml:space="preserve"> IF(LEN(ChartLines.Hex6)=6, HEX2DEC(MID(ChartLines.Hex6, 3, 2)), "·")</f>
        <v>102</v>
      </c>
      <c r="O169" s="1">
        <f t="shared" ref="O169" si="824" xml:space="preserve"> IF(LEN(ChartLines.Hex6)=6, HEX2DEC(RIGHT(ChartLines.Hex6, 2)), "·")</f>
        <v>51</v>
      </c>
      <c r="P169" s="1" cm="1">
        <f t="array" ref="P169" xml:space="preserve"> 1 + ROW() - _xlfn.SINGLE(ROW(ChartLines.RowNum))</f>
        <v>164</v>
      </c>
    </row>
    <row r="170" spans="2:16" x14ac:dyDescent="0.2">
      <c r="B170" s="1" t="s">
        <v>218</v>
      </c>
      <c r="C170" s="4" t="s">
        <v>116</v>
      </c>
      <c r="G170" s="1" t="s">
        <v>134</v>
      </c>
      <c r="H170" s="1" t="s">
        <v>423</v>
      </c>
      <c r="J170" s="1">
        <f t="shared" ref="J170" si="825" xml:space="preserve"> IF(AND(LEN(ChartLines.ID)&gt;0,"Unused"&lt;&gt;ChartLines.ID), COUNTIFS(ChartLines.ID,ChartLines.ID), "·")</f>
        <v>2</v>
      </c>
      <c r="K170" s="1">
        <f t="shared" ref="K170" si="826" xml:space="preserve"> IF(AND(LEN(ChartLines.ID)&gt;0,"Unused"&lt;&gt;ChartLines.ID), COUNTIFS(ChartLines.ID,ChartLines.ID,   ChartLines.RowNum,"&lt;="&amp;ChartLines.RowNum), "·")</f>
        <v>2</v>
      </c>
      <c r="L170" s="1" t="str" cm="1">
        <f t="array" ref="L170" xml:space="preserve"> _xlfn.IFS(OR(LEN(_xlfn.SINGLE(ChartLines.ID))=0,"Unused"=_xlfn.SINGLE(ChartLines.ID)), "·",   1=_xlfn.SINGLE(ChartLines.NumInstances), IF("USD"=_xlfn.SINGLE(ChartLines.ID), "SoleBig", "SoleOrdinary"),   1=_xlfn.SINGLE(ChartLines.InstanceNum), "Outer",   TRUE, "Inner")</f>
        <v>Inner</v>
      </c>
      <c r="M170" s="1">
        <f t="shared" ref="M170" si="827" xml:space="preserve"> IF(LEN(ChartLines.Hex6)=6, HEX2DEC(LEFT(ChartLines.Hex6, 2)), "·")</f>
        <v>255</v>
      </c>
      <c r="N170" s="1">
        <f t="shared" ref="N170" si="828" xml:space="preserve"> IF(LEN(ChartLines.Hex6)=6, HEX2DEC(MID(ChartLines.Hex6, 3, 2)), "·")</f>
        <v>255</v>
      </c>
      <c r="O170" s="1">
        <f t="shared" ref="O170" si="829" xml:space="preserve"> IF(LEN(ChartLines.Hex6)=6, HEX2DEC(RIGHT(ChartLines.Hex6, 2)), "·")</f>
        <v>255</v>
      </c>
      <c r="P170" s="1" cm="1">
        <f t="array" ref="P170" xml:space="preserve"> 1 + ROW() - _xlfn.SINGLE(ROW(ChartLines.RowNum))</f>
        <v>165</v>
      </c>
    </row>
    <row r="171" spans="2:16" x14ac:dyDescent="0.2">
      <c r="B171" s="1" t="s">
        <v>219</v>
      </c>
      <c r="C171" s="4" t="s">
        <v>117</v>
      </c>
      <c r="G171" s="1" t="s">
        <v>135</v>
      </c>
      <c r="H171" s="1" t="s">
        <v>505</v>
      </c>
      <c r="J171" s="1">
        <f t="shared" ref="J171" si="830" xml:space="preserve"> IF(AND(LEN(ChartLines.ID)&gt;0,"Unused"&lt;&gt;ChartLines.ID), COUNTIFS(ChartLines.ID,ChartLines.ID), "·")</f>
        <v>2</v>
      </c>
      <c r="K171" s="1">
        <f t="shared" ref="K171" si="831" xml:space="preserve"> IF(AND(LEN(ChartLines.ID)&gt;0,"Unused"&lt;&gt;ChartLines.ID), COUNTIFS(ChartLines.ID,ChartLines.ID,   ChartLines.RowNum,"&lt;="&amp;ChartLines.RowNum), "·")</f>
        <v>1</v>
      </c>
      <c r="L171" s="1" t="str" cm="1">
        <f t="array" ref="L171" xml:space="preserve"> _xlfn.IFS(OR(LEN(_xlfn.SINGLE(ChartLines.ID))=0,"Unused"=_xlfn.SINGLE(ChartLines.ID)), "·",   1=_xlfn.SINGLE(ChartLines.NumInstances), IF("USD"=_xlfn.SINGLE(ChartLines.ID), "SoleBig", "SoleOrdinary"),   1=_xlfn.SINGLE(ChartLines.InstanceNum), "Outer",   TRUE, "Inner")</f>
        <v>Outer</v>
      </c>
      <c r="M171" s="1">
        <f t="shared" ref="M171" si="832" xml:space="preserve"> IF(LEN(ChartLines.Hex6)=6, HEX2DEC(LEFT(ChartLines.Hex6, 2)), "·")</f>
        <v>35</v>
      </c>
      <c r="N171" s="1">
        <f t="shared" ref="N171" si="833" xml:space="preserve"> IF(LEN(ChartLines.Hex6)=6, HEX2DEC(MID(ChartLines.Hex6, 3, 2)), "·")</f>
        <v>159</v>
      </c>
      <c r="O171" s="1">
        <f t="shared" ref="O171" si="834" xml:space="preserve"> IF(LEN(ChartLines.Hex6)=6, HEX2DEC(RIGHT(ChartLines.Hex6, 2)), "·")</f>
        <v>64</v>
      </c>
      <c r="P171" s="1" cm="1">
        <f t="array" ref="P171" xml:space="preserve"> 1 + ROW() - _xlfn.SINGLE(ROW(ChartLines.RowNum))</f>
        <v>166</v>
      </c>
    </row>
    <row r="172" spans="2:16" x14ac:dyDescent="0.2">
      <c r="B172" s="1" t="s">
        <v>220</v>
      </c>
      <c r="C172" s="4" t="s">
        <v>118</v>
      </c>
      <c r="G172" s="1" t="s">
        <v>135</v>
      </c>
      <c r="H172" s="1" t="s">
        <v>423</v>
      </c>
      <c r="J172" s="1">
        <f t="shared" ref="J172" si="835" xml:space="preserve"> IF(AND(LEN(ChartLines.ID)&gt;0,"Unused"&lt;&gt;ChartLines.ID), COUNTIFS(ChartLines.ID,ChartLines.ID), "·")</f>
        <v>2</v>
      </c>
      <c r="K172" s="1">
        <f t="shared" ref="K172" si="836" xml:space="preserve"> IF(AND(LEN(ChartLines.ID)&gt;0,"Unused"&lt;&gt;ChartLines.ID), COUNTIFS(ChartLines.ID,ChartLines.ID,   ChartLines.RowNum,"&lt;="&amp;ChartLines.RowNum), "·")</f>
        <v>2</v>
      </c>
      <c r="L172" s="1" t="str" cm="1">
        <f t="array" ref="L172" xml:space="preserve"> _xlfn.IFS(OR(LEN(_xlfn.SINGLE(ChartLines.ID))=0,"Unused"=_xlfn.SINGLE(ChartLines.ID)), "·",   1=_xlfn.SINGLE(ChartLines.NumInstances), IF("USD"=_xlfn.SINGLE(ChartLines.ID), "SoleBig", "SoleOrdinary"),   1=_xlfn.SINGLE(ChartLines.InstanceNum), "Outer",   TRUE, "Inner")</f>
        <v>Inner</v>
      </c>
      <c r="M172" s="1">
        <f t="shared" ref="M172" si="837" xml:space="preserve"> IF(LEN(ChartLines.Hex6)=6, HEX2DEC(LEFT(ChartLines.Hex6, 2)), "·")</f>
        <v>255</v>
      </c>
      <c r="N172" s="1">
        <f t="shared" ref="N172" si="838" xml:space="preserve"> IF(LEN(ChartLines.Hex6)=6, HEX2DEC(MID(ChartLines.Hex6, 3, 2)), "·")</f>
        <v>255</v>
      </c>
      <c r="O172" s="1">
        <f t="shared" ref="O172" si="839" xml:space="preserve"> IF(LEN(ChartLines.Hex6)=6, HEX2DEC(RIGHT(ChartLines.Hex6, 2)), "·")</f>
        <v>255</v>
      </c>
      <c r="P172" s="1" cm="1">
        <f t="array" ref="P172" xml:space="preserve"> 1 + ROW() - _xlfn.SINGLE(ROW(ChartLines.RowNum))</f>
        <v>167</v>
      </c>
    </row>
    <row r="173" spans="2:16" x14ac:dyDescent="0.2">
      <c r="B173" s="1" t="s">
        <v>221</v>
      </c>
      <c r="C173" s="4" t="s">
        <v>119</v>
      </c>
      <c r="G173" s="1" t="s">
        <v>136</v>
      </c>
      <c r="H173" s="1" t="str">
        <f xml:space="preserve"> "000000"</f>
        <v>000000</v>
      </c>
      <c r="J173" s="1">
        <f t="shared" ref="J173" si="840" xml:space="preserve"> IF(AND(LEN(ChartLines.ID)&gt;0,"Unused"&lt;&gt;ChartLines.ID), COUNTIFS(ChartLines.ID,ChartLines.ID), "·")</f>
        <v>2</v>
      </c>
      <c r="K173" s="1">
        <f t="shared" ref="K173" si="841" xml:space="preserve"> IF(AND(LEN(ChartLines.ID)&gt;0,"Unused"&lt;&gt;ChartLines.ID), COUNTIFS(ChartLines.ID,ChartLines.ID,   ChartLines.RowNum,"&lt;="&amp;ChartLines.RowNum), "·")</f>
        <v>1</v>
      </c>
      <c r="L173" s="1" t="str" cm="1">
        <f t="array" ref="L173" xml:space="preserve"> _xlfn.IFS(OR(LEN(_xlfn.SINGLE(ChartLines.ID))=0,"Unused"=_xlfn.SINGLE(ChartLines.ID)), "·",   1=_xlfn.SINGLE(ChartLines.NumInstances), IF("USD"=_xlfn.SINGLE(ChartLines.ID), "SoleBig", "SoleOrdinary"),   1=_xlfn.SINGLE(ChartLines.InstanceNum), "Outer",   TRUE, "Inner")</f>
        <v>Outer</v>
      </c>
      <c r="M173" s="1">
        <f t="shared" ref="M173" si="842" xml:space="preserve"> IF(LEN(ChartLines.Hex6)=6, HEX2DEC(LEFT(ChartLines.Hex6, 2)), "·")</f>
        <v>0</v>
      </c>
      <c r="N173" s="1">
        <f t="shared" ref="N173" si="843" xml:space="preserve"> IF(LEN(ChartLines.Hex6)=6, HEX2DEC(MID(ChartLines.Hex6, 3, 2)), "·")</f>
        <v>0</v>
      </c>
      <c r="O173" s="1">
        <f t="shared" ref="O173" si="844" xml:space="preserve"> IF(LEN(ChartLines.Hex6)=6, HEX2DEC(RIGHT(ChartLines.Hex6, 2)), "·")</f>
        <v>0</v>
      </c>
      <c r="P173" s="1" cm="1">
        <f t="array" ref="P173" xml:space="preserve"> 1 + ROW() - _xlfn.SINGLE(ROW(ChartLines.RowNum))</f>
        <v>168</v>
      </c>
    </row>
    <row r="174" spans="2:16" x14ac:dyDescent="0.2">
      <c r="B174" s="1" t="s">
        <v>222</v>
      </c>
      <c r="C174" s="4" t="s">
        <v>120</v>
      </c>
      <c r="G174" s="1" t="s">
        <v>136</v>
      </c>
      <c r="H174" s="1" t="s">
        <v>506</v>
      </c>
      <c r="J174" s="1">
        <f t="shared" ref="J174" si="845" xml:space="preserve"> IF(AND(LEN(ChartLines.ID)&gt;0,"Unused"&lt;&gt;ChartLines.ID), COUNTIFS(ChartLines.ID,ChartLines.ID), "·")</f>
        <v>2</v>
      </c>
      <c r="K174" s="1">
        <f t="shared" ref="K174" si="846" xml:space="preserve"> IF(AND(LEN(ChartLines.ID)&gt;0,"Unused"&lt;&gt;ChartLines.ID), COUNTIFS(ChartLines.ID,ChartLines.ID,   ChartLines.RowNum,"&lt;="&amp;ChartLines.RowNum), "·")</f>
        <v>2</v>
      </c>
      <c r="L174" s="1" t="str" cm="1">
        <f t="array" ref="L174" xml:space="preserve"> _xlfn.IFS(OR(LEN(_xlfn.SINGLE(ChartLines.ID))=0,"Unused"=_xlfn.SINGLE(ChartLines.ID)), "·",   1=_xlfn.SINGLE(ChartLines.NumInstances), IF("USD"=_xlfn.SINGLE(ChartLines.ID), "SoleBig", "SoleOrdinary"),   1=_xlfn.SINGLE(ChartLines.InstanceNum), "Outer",   TRUE, "Inner")</f>
        <v>Inner</v>
      </c>
      <c r="M174" s="1">
        <f t="shared" ref="M174" si="847" xml:space="preserve"> IF(LEN(ChartLines.Hex6)=6, HEX2DEC(LEFT(ChartLines.Hex6, 2)), "·")</f>
        <v>227</v>
      </c>
      <c r="N174" s="1">
        <f t="shared" ref="N174" si="848" xml:space="preserve"> IF(LEN(ChartLines.Hex6)=6, HEX2DEC(MID(ChartLines.Hex6, 3, 2)), "·")</f>
        <v>179</v>
      </c>
      <c r="O174" s="1">
        <f t="shared" ref="O174" si="849" xml:space="preserve"> IF(LEN(ChartLines.Hex6)=6, HEX2DEC(RIGHT(ChartLines.Hex6, 2)), "·")</f>
        <v>41</v>
      </c>
      <c r="P174" s="1" cm="1">
        <f t="array" ref="P174" xml:space="preserve"> 1 + ROW() - _xlfn.SINGLE(ROW(ChartLines.RowNum))</f>
        <v>169</v>
      </c>
    </row>
    <row r="175" spans="2:16" x14ac:dyDescent="0.2">
      <c r="B175" s="1" t="s">
        <v>223</v>
      </c>
      <c r="C175" s="4" t="s">
        <v>561</v>
      </c>
      <c r="G175" s="1" t="s">
        <v>137</v>
      </c>
      <c r="H175" s="1" t="s">
        <v>507</v>
      </c>
      <c r="J175" s="1">
        <f t="shared" ref="J175" si="850" xml:space="preserve"> IF(AND(LEN(ChartLines.ID)&gt;0,"Unused"&lt;&gt;ChartLines.ID), COUNTIFS(ChartLines.ID,ChartLines.ID), "·")</f>
        <v>2</v>
      </c>
      <c r="K175" s="1">
        <f t="shared" ref="K175" si="851" xml:space="preserve"> IF(AND(LEN(ChartLines.ID)&gt;0,"Unused"&lt;&gt;ChartLines.ID), COUNTIFS(ChartLines.ID,ChartLines.ID,   ChartLines.RowNum,"&lt;="&amp;ChartLines.RowNum), "·")</f>
        <v>1</v>
      </c>
      <c r="L175" s="1" t="str" cm="1">
        <f t="array" ref="L175" xml:space="preserve"> _xlfn.IFS(OR(LEN(_xlfn.SINGLE(ChartLines.ID))=0,"Unused"=_xlfn.SINGLE(ChartLines.ID)), "·",   1=_xlfn.SINGLE(ChartLines.NumInstances), IF("USD"=_xlfn.SINGLE(ChartLines.ID), "SoleBig", "SoleOrdinary"),   1=_xlfn.SINGLE(ChartLines.InstanceNum), "Outer",   TRUE, "Inner")</f>
        <v>Outer</v>
      </c>
      <c r="M175" s="1">
        <f t="shared" ref="M175" si="852" xml:space="preserve"> IF(LEN(ChartLines.Hex6)=6, HEX2DEC(LEFT(ChartLines.Hex6, 2)), "·")</f>
        <v>0</v>
      </c>
      <c r="N175" s="1">
        <f t="shared" ref="N175" si="853" xml:space="preserve"> IF(LEN(ChartLines.Hex6)=6, HEX2DEC(MID(ChartLines.Hex6, 3, 2)), "·")</f>
        <v>94</v>
      </c>
      <c r="O175" s="1">
        <f t="shared" ref="O175" si="854" xml:space="preserve"> IF(LEN(ChartLines.Hex6)=6, HEX2DEC(RIGHT(ChartLines.Hex6, 2)), "·")</f>
        <v>184</v>
      </c>
      <c r="P175" s="1" cm="1">
        <f t="array" ref="P175" xml:space="preserve"> 1 + ROW() - _xlfn.SINGLE(ROW(ChartLines.RowNum))</f>
        <v>170</v>
      </c>
    </row>
    <row r="176" spans="2:16" x14ac:dyDescent="0.2">
      <c r="B176" s="1" t="s">
        <v>224</v>
      </c>
      <c r="C176" s="4" t="s">
        <v>121</v>
      </c>
      <c r="G176" s="1" t="s">
        <v>137</v>
      </c>
      <c r="H176" s="1" t="s">
        <v>423</v>
      </c>
      <c r="J176" s="1">
        <f t="shared" ref="J176" si="855" xml:space="preserve"> IF(AND(LEN(ChartLines.ID)&gt;0,"Unused"&lt;&gt;ChartLines.ID), COUNTIFS(ChartLines.ID,ChartLines.ID), "·")</f>
        <v>2</v>
      </c>
      <c r="K176" s="1">
        <f t="shared" ref="K176" si="856" xml:space="preserve"> IF(AND(LEN(ChartLines.ID)&gt;0,"Unused"&lt;&gt;ChartLines.ID), COUNTIFS(ChartLines.ID,ChartLines.ID,   ChartLines.RowNum,"&lt;="&amp;ChartLines.RowNum), "·")</f>
        <v>2</v>
      </c>
      <c r="L176" s="1" t="str" cm="1">
        <f t="array" ref="L176" xml:space="preserve"> _xlfn.IFS(OR(LEN(_xlfn.SINGLE(ChartLines.ID))=0,"Unused"=_xlfn.SINGLE(ChartLines.ID)), "·",   1=_xlfn.SINGLE(ChartLines.NumInstances), IF("USD"=_xlfn.SINGLE(ChartLines.ID), "SoleBig", "SoleOrdinary"),   1=_xlfn.SINGLE(ChartLines.InstanceNum), "Outer",   TRUE, "Inner")</f>
        <v>Inner</v>
      </c>
      <c r="M176" s="1">
        <f t="shared" ref="M176" si="857" xml:space="preserve"> IF(LEN(ChartLines.Hex6)=6, HEX2DEC(LEFT(ChartLines.Hex6, 2)), "·")</f>
        <v>255</v>
      </c>
      <c r="N176" s="1">
        <f t="shared" ref="N176" si="858" xml:space="preserve"> IF(LEN(ChartLines.Hex6)=6, HEX2DEC(MID(ChartLines.Hex6, 3, 2)), "·")</f>
        <v>255</v>
      </c>
      <c r="O176" s="1">
        <f t="shared" ref="O176" si="859" xml:space="preserve"> IF(LEN(ChartLines.Hex6)=6, HEX2DEC(RIGHT(ChartLines.Hex6, 2)), "·")</f>
        <v>255</v>
      </c>
      <c r="P176" s="1" cm="1">
        <f t="array" ref="P176" xml:space="preserve"> 1 + ROW() - _xlfn.SINGLE(ROW(ChartLines.RowNum))</f>
        <v>171</v>
      </c>
    </row>
    <row r="177" spans="2:16" x14ac:dyDescent="0.2">
      <c r="B177" s="1" t="s">
        <v>225</v>
      </c>
      <c r="C177" s="4" t="s">
        <v>122</v>
      </c>
      <c r="J177" s="1" t="str">
        <f t="shared" ref="J177" si="860" xml:space="preserve"> IF(AND(LEN(ChartLines.ID)&gt;0,"Unused"&lt;&gt;ChartLines.ID), COUNTIFS(ChartLines.ID,ChartLines.ID), "·")</f>
        <v>·</v>
      </c>
      <c r="K177" s="1" t="str">
        <f t="shared" ref="K177" si="861" xml:space="preserve"> IF(AND(LEN(ChartLines.ID)&gt;0,"Unused"&lt;&gt;ChartLines.ID), COUNTIFS(ChartLines.ID,ChartLines.ID,   ChartLines.RowNum,"&lt;="&amp;ChartLines.RowNum), "·")</f>
        <v>·</v>
      </c>
      <c r="L177" s="1" t="str" cm="1">
        <f t="array" ref="L177" xml:space="preserve"> _xlfn.IFS(OR(LEN(_xlfn.SINGLE(ChartLines.ID))=0,"Unused"=_xlfn.SINGLE(ChartLines.ID)), "·",   1=_xlfn.SINGLE(ChartLines.NumInstances), IF("USD"=_xlfn.SINGLE(ChartLines.ID), "SoleBig", "SoleOrdinary"),   1=_xlfn.SINGLE(ChartLines.InstanceNum), "Outer",   TRUE, "Inner")</f>
        <v>·</v>
      </c>
      <c r="M177" s="1" t="str">
        <f t="shared" ref="M177" si="862" xml:space="preserve"> IF(LEN(ChartLines.Hex6)=6, HEX2DEC(LEFT(ChartLines.Hex6, 2)), "·")</f>
        <v>·</v>
      </c>
      <c r="N177" s="1" t="str">
        <f t="shared" ref="N177" si="863" xml:space="preserve"> IF(LEN(ChartLines.Hex6)=6, HEX2DEC(MID(ChartLines.Hex6, 3, 2)), "·")</f>
        <v>·</v>
      </c>
      <c r="O177" s="1" t="str">
        <f t="shared" ref="O177" si="864" xml:space="preserve"> IF(LEN(ChartLines.Hex6)=6, HEX2DEC(RIGHT(ChartLines.Hex6, 2)), "·")</f>
        <v>·</v>
      </c>
      <c r="P177" s="1" cm="1">
        <f t="array" ref="P177" xml:space="preserve"> 1 + ROW() - _xlfn.SINGLE(ROW(ChartLines.RowNum))</f>
        <v>172</v>
      </c>
    </row>
    <row r="178" spans="2:16" x14ac:dyDescent="0.2">
      <c r="B178" s="1" t="s">
        <v>226</v>
      </c>
      <c r="C178" s="4" t="s">
        <v>123</v>
      </c>
      <c r="G178" s="1" t="s">
        <v>138</v>
      </c>
      <c r="H178" s="1" t="str">
        <f xml:space="preserve"> "007749"</f>
        <v>007749</v>
      </c>
      <c r="J178" s="1">
        <f t="shared" ref="J178" si="865" xml:space="preserve"> IF(AND(LEN(ChartLines.ID)&gt;0,"Unused"&lt;&gt;ChartLines.ID), COUNTIFS(ChartLines.ID,ChartLines.ID), "·")</f>
        <v>2</v>
      </c>
      <c r="K178" s="1">
        <f t="shared" ref="K178" si="866" xml:space="preserve"> IF(AND(LEN(ChartLines.ID)&gt;0,"Unused"&lt;&gt;ChartLines.ID), COUNTIFS(ChartLines.ID,ChartLines.ID,   ChartLines.RowNum,"&lt;="&amp;ChartLines.RowNum), "·")</f>
        <v>1</v>
      </c>
      <c r="L178" s="1" t="str" cm="1">
        <f t="array" ref="L178" xml:space="preserve"> _xlfn.IFS(OR(LEN(_xlfn.SINGLE(ChartLines.ID))=0,"Unused"=_xlfn.SINGLE(ChartLines.ID)), "·",   1=_xlfn.SINGLE(ChartLines.NumInstances), IF("USD"=_xlfn.SINGLE(ChartLines.ID), "SoleBig", "SoleOrdinary"),   1=_xlfn.SINGLE(ChartLines.InstanceNum), "Outer",   TRUE, "Inner")</f>
        <v>Outer</v>
      </c>
      <c r="M178" s="1">
        <f t="shared" ref="M178" si="867" xml:space="preserve"> IF(LEN(ChartLines.Hex6)=6, HEX2DEC(LEFT(ChartLines.Hex6, 2)), "·")</f>
        <v>0</v>
      </c>
      <c r="N178" s="1">
        <f t="shared" ref="N178" si="868" xml:space="preserve"> IF(LEN(ChartLines.Hex6)=6, HEX2DEC(MID(ChartLines.Hex6, 3, 2)), "·")</f>
        <v>119</v>
      </c>
      <c r="O178" s="1">
        <f t="shared" ref="O178" si="869" xml:space="preserve"> IF(LEN(ChartLines.Hex6)=6, HEX2DEC(RIGHT(ChartLines.Hex6, 2)), "·")</f>
        <v>73</v>
      </c>
      <c r="P178" s="1" cm="1">
        <f t="array" ref="P178" xml:space="preserve"> 1 + ROW() - _xlfn.SINGLE(ROW(ChartLines.RowNum))</f>
        <v>173</v>
      </c>
    </row>
    <row r="179" spans="2:16" x14ac:dyDescent="0.2">
      <c r="B179" s="1" t="s">
        <v>227</v>
      </c>
      <c r="C179" s="4" t="s">
        <v>124</v>
      </c>
      <c r="G179" s="1" t="s">
        <v>138</v>
      </c>
      <c r="H179" s="1" t="str">
        <f xml:space="preserve"> "FFA500"</f>
        <v>FFA500</v>
      </c>
      <c r="J179" s="1">
        <f t="shared" ref="J179" si="870" xml:space="preserve"> IF(AND(LEN(ChartLines.ID)&gt;0,"Unused"&lt;&gt;ChartLines.ID), COUNTIFS(ChartLines.ID,ChartLines.ID), "·")</f>
        <v>2</v>
      </c>
      <c r="K179" s="1">
        <f t="shared" ref="K179" si="871" xml:space="preserve"> IF(AND(LEN(ChartLines.ID)&gt;0,"Unused"&lt;&gt;ChartLines.ID), COUNTIFS(ChartLines.ID,ChartLines.ID,   ChartLines.RowNum,"&lt;="&amp;ChartLines.RowNum), "·")</f>
        <v>2</v>
      </c>
      <c r="L179" s="1" t="str" cm="1">
        <f t="array" ref="L179" xml:space="preserve"> _xlfn.IFS(OR(LEN(_xlfn.SINGLE(ChartLines.ID))=0,"Unused"=_xlfn.SINGLE(ChartLines.ID)), "·",   1=_xlfn.SINGLE(ChartLines.NumInstances), IF("USD"=_xlfn.SINGLE(ChartLines.ID), "SoleBig", "SoleOrdinary"),   1=_xlfn.SINGLE(ChartLines.InstanceNum), "Outer",   TRUE, "Inner")</f>
        <v>Inner</v>
      </c>
      <c r="M179" s="1">
        <f t="shared" ref="M179" si="872" xml:space="preserve"> IF(LEN(ChartLines.Hex6)=6, HEX2DEC(LEFT(ChartLines.Hex6, 2)), "·")</f>
        <v>255</v>
      </c>
      <c r="N179" s="1">
        <f t="shared" ref="N179" si="873" xml:space="preserve"> IF(LEN(ChartLines.Hex6)=6, HEX2DEC(MID(ChartLines.Hex6, 3, 2)), "·")</f>
        <v>165</v>
      </c>
      <c r="O179" s="1">
        <f t="shared" ref="O179" si="874" xml:space="preserve"> IF(LEN(ChartLines.Hex6)=6, HEX2DEC(RIGHT(ChartLines.Hex6, 2)), "·")</f>
        <v>0</v>
      </c>
      <c r="P179" s="1" cm="1">
        <f t="array" ref="P179" xml:space="preserve"> 1 + ROW() - _xlfn.SINGLE(ROW(ChartLines.RowNum))</f>
        <v>174</v>
      </c>
    </row>
    <row r="180" spans="2:16" x14ac:dyDescent="0.2">
      <c r="B180" s="1" t="s">
        <v>228</v>
      </c>
      <c r="C180" s="4" t="s">
        <v>125</v>
      </c>
      <c r="G180" s="1" t="s">
        <v>139</v>
      </c>
      <c r="H180" s="1" t="str">
        <f xml:space="preserve"> "009639"</f>
        <v>009639</v>
      </c>
      <c r="J180" s="1">
        <f t="shared" ref="J180" si="875" xml:space="preserve"> IF(AND(LEN(ChartLines.ID)&gt;0,"Unused"&lt;&gt;ChartLines.ID), COUNTIFS(ChartLines.ID,ChartLines.ID), "·")</f>
        <v>2</v>
      </c>
      <c r="K180" s="1">
        <f t="shared" ref="K180" si="876" xml:space="preserve"> IF(AND(LEN(ChartLines.ID)&gt;0,"Unused"&lt;&gt;ChartLines.ID), COUNTIFS(ChartLines.ID,ChartLines.ID,   ChartLines.RowNum,"&lt;="&amp;ChartLines.RowNum), "·")</f>
        <v>1</v>
      </c>
      <c r="L180" s="1" t="str" cm="1">
        <f t="array" ref="L180" xml:space="preserve"> _xlfn.IFS(OR(LEN(_xlfn.SINGLE(ChartLines.ID))=0,"Unused"=_xlfn.SINGLE(ChartLines.ID)), "·",   1=_xlfn.SINGLE(ChartLines.NumInstances), IF("USD"=_xlfn.SINGLE(ChartLines.ID), "SoleBig", "SoleOrdinary"),   1=_xlfn.SINGLE(ChartLines.InstanceNum), "Outer",   TRUE, "Inner")</f>
        <v>Outer</v>
      </c>
      <c r="M180" s="1">
        <f t="shared" ref="M180" si="877" xml:space="preserve"> IF(LEN(ChartLines.Hex6)=6, HEX2DEC(LEFT(ChartLines.Hex6, 2)), "·")</f>
        <v>0</v>
      </c>
      <c r="N180" s="1">
        <f t="shared" ref="N180" si="878" xml:space="preserve"> IF(LEN(ChartLines.Hex6)=6, HEX2DEC(MID(ChartLines.Hex6, 3, 2)), "·")</f>
        <v>150</v>
      </c>
      <c r="O180" s="1">
        <f t="shared" ref="O180" si="879" xml:space="preserve"> IF(LEN(ChartLines.Hex6)=6, HEX2DEC(RIGHT(ChartLines.Hex6, 2)), "·")</f>
        <v>57</v>
      </c>
      <c r="P180" s="1" cm="1">
        <f t="array" ref="P180" xml:space="preserve"> 1 + ROW() - _xlfn.SINGLE(ROW(ChartLines.RowNum))</f>
        <v>175</v>
      </c>
    </row>
    <row r="181" spans="2:16" x14ac:dyDescent="0.2">
      <c r="B181" s="1" t="s">
        <v>229</v>
      </c>
      <c r="C181" s="4" t="s">
        <v>126</v>
      </c>
      <c r="G181" s="1" t="s">
        <v>139</v>
      </c>
      <c r="H181" s="1" t="s">
        <v>423</v>
      </c>
      <c r="J181" s="1">
        <f t="shared" ref="J181" si="880" xml:space="preserve"> IF(AND(LEN(ChartLines.ID)&gt;0,"Unused"&lt;&gt;ChartLines.ID), COUNTIFS(ChartLines.ID,ChartLines.ID), "·")</f>
        <v>2</v>
      </c>
      <c r="K181" s="1">
        <f t="shared" ref="K181" si="881" xml:space="preserve"> IF(AND(LEN(ChartLines.ID)&gt;0,"Unused"&lt;&gt;ChartLines.ID), COUNTIFS(ChartLines.ID,ChartLines.ID,   ChartLines.RowNum,"&lt;="&amp;ChartLines.RowNum), "·")</f>
        <v>2</v>
      </c>
      <c r="L181" s="1" t="str" cm="1">
        <f t="array" ref="L181" xml:space="preserve"> _xlfn.IFS(OR(LEN(_xlfn.SINGLE(ChartLines.ID))=0,"Unused"=_xlfn.SINGLE(ChartLines.ID)), "·",   1=_xlfn.SINGLE(ChartLines.NumInstances), IF("USD"=_xlfn.SINGLE(ChartLines.ID), "SoleBig", "SoleOrdinary"),   1=_xlfn.SINGLE(ChartLines.InstanceNum), "Outer",   TRUE, "Inner")</f>
        <v>Inner</v>
      </c>
      <c r="M181" s="1">
        <f t="shared" ref="M181" si="882" xml:space="preserve"> IF(LEN(ChartLines.Hex6)=6, HEX2DEC(LEFT(ChartLines.Hex6, 2)), "·")</f>
        <v>255</v>
      </c>
      <c r="N181" s="1">
        <f t="shared" ref="N181" si="883" xml:space="preserve"> IF(LEN(ChartLines.Hex6)=6, HEX2DEC(MID(ChartLines.Hex6, 3, 2)), "·")</f>
        <v>255</v>
      </c>
      <c r="O181" s="1">
        <f t="shared" ref="O181" si="884" xml:space="preserve"> IF(LEN(ChartLines.Hex6)=6, HEX2DEC(RIGHT(ChartLines.Hex6, 2)), "·")</f>
        <v>255</v>
      </c>
      <c r="P181" s="1" cm="1">
        <f t="array" ref="P181" xml:space="preserve"> 1 + ROW() - _xlfn.SINGLE(ROW(ChartLines.RowNum))</f>
        <v>176</v>
      </c>
    </row>
    <row r="182" spans="2:16" x14ac:dyDescent="0.2">
      <c r="B182" s="1" t="s">
        <v>230</v>
      </c>
      <c r="C182" s="4" t="s">
        <v>127</v>
      </c>
      <c r="G182" s="1" t="s">
        <v>140</v>
      </c>
      <c r="H182" s="1" t="str">
        <f xml:space="preserve"> "0F47AF"</f>
        <v>0F47AF</v>
      </c>
      <c r="J182" s="1">
        <f t="shared" ref="J182" si="885" xml:space="preserve"> IF(AND(LEN(ChartLines.ID)&gt;0,"Unused"&lt;&gt;ChartLines.ID), COUNTIFS(ChartLines.ID,ChartLines.ID), "·")</f>
        <v>2</v>
      </c>
      <c r="K182" s="1">
        <f t="shared" ref="K182" si="886" xml:space="preserve"> IF(AND(LEN(ChartLines.ID)&gt;0,"Unused"&lt;&gt;ChartLines.ID), COUNTIFS(ChartLines.ID,ChartLines.ID,   ChartLines.RowNum,"&lt;="&amp;ChartLines.RowNum), "·")</f>
        <v>1</v>
      </c>
      <c r="L182" s="1" t="str" cm="1">
        <f t="array" ref="L182" xml:space="preserve"> _xlfn.IFS(OR(LEN(_xlfn.SINGLE(ChartLines.ID))=0,"Unused"=_xlfn.SINGLE(ChartLines.ID)), "·",   1=_xlfn.SINGLE(ChartLines.NumInstances), IF("USD"=_xlfn.SINGLE(ChartLines.ID), "SoleBig", "SoleOrdinary"),   1=_xlfn.SINGLE(ChartLines.InstanceNum), "Outer",   TRUE, "Inner")</f>
        <v>Outer</v>
      </c>
      <c r="M182" s="1">
        <f t="shared" ref="M182" si="887" xml:space="preserve"> IF(LEN(ChartLines.Hex6)=6, HEX2DEC(LEFT(ChartLines.Hex6, 2)), "·")</f>
        <v>15</v>
      </c>
      <c r="N182" s="1">
        <f t="shared" ref="N182" si="888" xml:space="preserve"> IF(LEN(ChartLines.Hex6)=6, HEX2DEC(MID(ChartLines.Hex6, 3, 2)), "·")</f>
        <v>71</v>
      </c>
      <c r="O182" s="1">
        <f t="shared" ref="O182" si="889" xml:space="preserve"> IF(LEN(ChartLines.Hex6)=6, HEX2DEC(RIGHT(ChartLines.Hex6, 2)), "·")</f>
        <v>175</v>
      </c>
      <c r="P182" s="1" cm="1">
        <f t="array" ref="P182" xml:space="preserve"> 1 + ROW() - _xlfn.SINGLE(ROW(ChartLines.RowNum))</f>
        <v>177</v>
      </c>
    </row>
    <row r="183" spans="2:16" x14ac:dyDescent="0.2">
      <c r="B183" s="1" t="s">
        <v>231</v>
      </c>
      <c r="C183" s="4" t="s">
        <v>128</v>
      </c>
      <c r="G183" s="1" t="s">
        <v>140</v>
      </c>
      <c r="H183" s="1" t="s">
        <v>508</v>
      </c>
      <c r="J183" s="1">
        <f t="shared" ref="J183" si="890" xml:space="preserve"> IF(AND(LEN(ChartLines.ID)&gt;0,"Unused"&lt;&gt;ChartLines.ID), COUNTIFS(ChartLines.ID,ChartLines.ID), "·")</f>
        <v>2</v>
      </c>
      <c r="K183" s="1">
        <f t="shared" ref="K183" si="891" xml:space="preserve"> IF(AND(LEN(ChartLines.ID)&gt;0,"Unused"&lt;&gt;ChartLines.ID), COUNTIFS(ChartLines.ID,ChartLines.ID,   ChartLines.RowNum,"&lt;="&amp;ChartLines.RowNum), "·")</f>
        <v>2</v>
      </c>
      <c r="L183" s="1" t="str" cm="1">
        <f t="array" ref="L183" xml:space="preserve"> _xlfn.IFS(OR(LEN(_xlfn.SINGLE(ChartLines.ID))=0,"Unused"=_xlfn.SINGLE(ChartLines.ID)), "·",   1=_xlfn.SINGLE(ChartLines.NumInstances), IF("USD"=_xlfn.SINGLE(ChartLines.ID), "SoleBig", "SoleOrdinary"),   1=_xlfn.SINGLE(ChartLines.InstanceNum), "Outer",   TRUE, "Inner")</f>
        <v>Inner</v>
      </c>
      <c r="M183" s="1">
        <f t="shared" ref="M183" si="892" xml:space="preserve"> IF(LEN(ChartLines.Hex6)=6, HEX2DEC(LEFT(ChartLines.Hex6, 2)), "·")</f>
        <v>252</v>
      </c>
      <c r="N183" s="1">
        <f t="shared" ref="N183" si="893" xml:space="preserve"> IF(LEN(ChartLines.Hex6)=6, HEX2DEC(MID(ChartLines.Hex6, 3, 2)), "·")</f>
        <v>221</v>
      </c>
      <c r="O183" s="1">
        <f t="shared" ref="O183" si="894" xml:space="preserve"> IF(LEN(ChartLines.Hex6)=6, HEX2DEC(RIGHT(ChartLines.Hex6, 2)), "·")</f>
        <v>9</v>
      </c>
      <c r="P183" s="1" cm="1">
        <f t="array" ref="P183" xml:space="preserve"> 1 + ROW() - _xlfn.SINGLE(ROW(ChartLines.RowNum))</f>
        <v>178</v>
      </c>
    </row>
    <row r="184" spans="2:16" x14ac:dyDescent="0.2">
      <c r="B184" s="1" t="s">
        <v>558</v>
      </c>
      <c r="C184" s="4" t="s">
        <v>501</v>
      </c>
      <c r="G184" s="1" t="s">
        <v>141</v>
      </c>
      <c r="H184" s="1" t="str">
        <f xml:space="preserve"> "000000"</f>
        <v>000000</v>
      </c>
      <c r="J184" s="1">
        <f t="shared" ref="J184" si="895" xml:space="preserve"> IF(AND(LEN(ChartLines.ID)&gt;0,"Unused"&lt;&gt;ChartLines.ID), COUNTIFS(ChartLines.ID,ChartLines.ID), "·")</f>
        <v>2</v>
      </c>
      <c r="K184" s="1">
        <f t="shared" ref="K184" si="896" xml:space="preserve"> IF(AND(LEN(ChartLines.ID)&gt;0,"Unused"&lt;&gt;ChartLines.ID), COUNTIFS(ChartLines.ID,ChartLines.ID,   ChartLines.RowNum,"&lt;="&amp;ChartLines.RowNum), "·")</f>
        <v>1</v>
      </c>
      <c r="L184" s="1" t="str" cm="1">
        <f t="array" ref="L184" xml:space="preserve"> _xlfn.IFS(OR(LEN(_xlfn.SINGLE(ChartLines.ID))=0,"Unused"=_xlfn.SINGLE(ChartLines.ID)), "·",   1=_xlfn.SINGLE(ChartLines.NumInstances), IF("USD"=_xlfn.SINGLE(ChartLines.ID), "SoleBig", "SoleOrdinary"),   1=_xlfn.SINGLE(ChartLines.InstanceNum), "Outer",   TRUE, "Inner")</f>
        <v>Outer</v>
      </c>
      <c r="M184" s="1">
        <f t="shared" ref="M184" si="897" xml:space="preserve"> IF(LEN(ChartLines.Hex6)=6, HEX2DEC(LEFT(ChartLines.Hex6, 2)), "·")</f>
        <v>0</v>
      </c>
      <c r="N184" s="1">
        <f t="shared" ref="N184" si="898" xml:space="preserve"> IF(LEN(ChartLines.Hex6)=6, HEX2DEC(MID(ChartLines.Hex6, 3, 2)), "·")</f>
        <v>0</v>
      </c>
      <c r="O184" s="1">
        <f t="shared" ref="O184" si="899" xml:space="preserve"> IF(LEN(ChartLines.Hex6)=6, HEX2DEC(RIGHT(ChartLines.Hex6, 2)), "·")</f>
        <v>0</v>
      </c>
      <c r="P184" s="1" cm="1">
        <f t="array" ref="P184" xml:space="preserve"> 1 + ROW() - _xlfn.SINGLE(ROW(ChartLines.RowNum))</f>
        <v>179</v>
      </c>
    </row>
    <row r="185" spans="2:16" x14ac:dyDescent="0.2">
      <c r="B185" s="1" t="s">
        <v>232</v>
      </c>
      <c r="C185" s="4" t="s">
        <v>129</v>
      </c>
      <c r="G185" s="1" t="s">
        <v>141</v>
      </c>
      <c r="H185" s="1" t="s">
        <v>423</v>
      </c>
      <c r="J185" s="1">
        <f t="shared" ref="J185" si="900" xml:space="preserve"> IF(AND(LEN(ChartLines.ID)&gt;0,"Unused"&lt;&gt;ChartLines.ID), COUNTIFS(ChartLines.ID,ChartLines.ID), "·")</f>
        <v>2</v>
      </c>
      <c r="K185" s="1">
        <f t="shared" ref="K185" si="901" xml:space="preserve"> IF(AND(LEN(ChartLines.ID)&gt;0,"Unused"&lt;&gt;ChartLines.ID), COUNTIFS(ChartLines.ID,ChartLines.ID,   ChartLines.RowNum,"&lt;="&amp;ChartLines.RowNum), "·")</f>
        <v>2</v>
      </c>
      <c r="L185" s="1" t="str" cm="1">
        <f t="array" ref="L185" xml:space="preserve"> _xlfn.IFS(OR(LEN(_xlfn.SINGLE(ChartLines.ID))=0,"Unused"=_xlfn.SINGLE(ChartLines.ID)), "·",   1=_xlfn.SINGLE(ChartLines.NumInstances), IF("USD"=_xlfn.SINGLE(ChartLines.ID), "SoleBig", "SoleOrdinary"),   1=_xlfn.SINGLE(ChartLines.InstanceNum), "Outer",   TRUE, "Inner")</f>
        <v>Inner</v>
      </c>
      <c r="M185" s="1">
        <f t="shared" ref="M185" si="902" xml:space="preserve"> IF(LEN(ChartLines.Hex6)=6, HEX2DEC(LEFT(ChartLines.Hex6, 2)), "·")</f>
        <v>255</v>
      </c>
      <c r="N185" s="1">
        <f t="shared" ref="N185" si="903" xml:space="preserve"> IF(LEN(ChartLines.Hex6)=6, HEX2DEC(MID(ChartLines.Hex6, 3, 2)), "·")</f>
        <v>255</v>
      </c>
      <c r="O185" s="1">
        <f t="shared" ref="O185" si="904" xml:space="preserve"> IF(LEN(ChartLines.Hex6)=6, HEX2DEC(RIGHT(ChartLines.Hex6, 2)), "·")</f>
        <v>255</v>
      </c>
      <c r="P185" s="1" cm="1">
        <f t="array" ref="P185" xml:space="preserve"> 1 + ROW() - _xlfn.SINGLE(ROW(ChartLines.RowNum))</f>
        <v>180</v>
      </c>
    </row>
    <row r="186" spans="2:16" x14ac:dyDescent="0.2">
      <c r="B186" s="1" t="s">
        <v>233</v>
      </c>
      <c r="C186" s="4" t="s">
        <v>130</v>
      </c>
      <c r="G186" s="1" t="s">
        <v>142</v>
      </c>
      <c r="H186" s="1" t="s">
        <v>509</v>
      </c>
      <c r="J186" s="1">
        <f t="shared" ref="J186" si="905" xml:space="preserve"> IF(AND(LEN(ChartLines.ID)&gt;0,"Unused"&lt;&gt;ChartLines.ID), COUNTIFS(ChartLines.ID,ChartLines.ID), "·")</f>
        <v>2</v>
      </c>
      <c r="K186" s="1">
        <f t="shared" ref="K186" si="906" xml:space="preserve"> IF(AND(LEN(ChartLines.ID)&gt;0,"Unused"&lt;&gt;ChartLines.ID), COUNTIFS(ChartLines.ID,ChartLines.ID,   ChartLines.RowNum,"&lt;="&amp;ChartLines.RowNum), "·")</f>
        <v>1</v>
      </c>
      <c r="L186" s="1" t="str" cm="1">
        <f t="array" ref="L186" xml:space="preserve"> _xlfn.IFS(OR(LEN(_xlfn.SINGLE(ChartLines.ID))=0,"Unused"=_xlfn.SINGLE(ChartLines.ID)), "·",   1=_xlfn.SINGLE(ChartLines.NumInstances), IF("USD"=_xlfn.SINGLE(ChartLines.ID), "SoleBig", "SoleOrdinary"),   1=_xlfn.SINGLE(ChartLines.InstanceNum), "Outer",   TRUE, "Inner")</f>
        <v>Outer</v>
      </c>
      <c r="M186" s="1">
        <f t="shared" ref="M186" si="907" xml:space="preserve"> IF(LEN(ChartLines.Hex6)=6, HEX2DEC(LEFT(ChartLines.Hex6, 2)), "·")</f>
        <v>187</v>
      </c>
      <c r="N186" s="1">
        <f t="shared" ref="N186" si="908" xml:space="preserve"> IF(LEN(ChartLines.Hex6)=6, HEX2DEC(MID(ChartLines.Hex6, 3, 2)), "·")</f>
        <v>0</v>
      </c>
      <c r="O186" s="1">
        <f t="shared" ref="O186" si="909" xml:space="preserve"> IF(LEN(ChartLines.Hex6)=6, HEX2DEC(RIGHT(ChartLines.Hex6, 2)), "·")</f>
        <v>0</v>
      </c>
      <c r="P186" s="1" cm="1">
        <f t="array" ref="P186" xml:space="preserve"> 1 + ROW() - _xlfn.SINGLE(ROW(ChartLines.RowNum))</f>
        <v>181</v>
      </c>
    </row>
    <row r="187" spans="2:16" x14ac:dyDescent="0.2">
      <c r="B187" s="1" t="s">
        <v>234</v>
      </c>
      <c r="C187" s="4" t="s">
        <v>131</v>
      </c>
      <c r="G187" s="1" t="s">
        <v>142</v>
      </c>
      <c r="H187" s="1" t="str">
        <f xml:space="preserve"> "000000"</f>
        <v>000000</v>
      </c>
      <c r="J187" s="1">
        <f t="shared" ref="J187" si="910" xml:space="preserve"> IF(AND(LEN(ChartLines.ID)&gt;0,"Unused"&lt;&gt;ChartLines.ID), COUNTIFS(ChartLines.ID,ChartLines.ID), "·")</f>
        <v>2</v>
      </c>
      <c r="K187" s="1">
        <f t="shared" ref="K187" si="911" xml:space="preserve"> IF(AND(LEN(ChartLines.ID)&gt;0,"Unused"&lt;&gt;ChartLines.ID), COUNTIFS(ChartLines.ID,ChartLines.ID,   ChartLines.RowNum,"&lt;="&amp;ChartLines.RowNum), "·")</f>
        <v>2</v>
      </c>
      <c r="L187" s="1" t="str" cm="1">
        <f t="array" ref="L187" xml:space="preserve"> _xlfn.IFS(OR(LEN(_xlfn.SINGLE(ChartLines.ID))=0,"Unused"=_xlfn.SINGLE(ChartLines.ID)), "·",   1=_xlfn.SINGLE(ChartLines.NumInstances), IF("USD"=_xlfn.SINGLE(ChartLines.ID), "SoleBig", "SoleOrdinary"),   1=_xlfn.SINGLE(ChartLines.InstanceNum), "Outer",   TRUE, "Inner")</f>
        <v>Inner</v>
      </c>
      <c r="M187" s="1">
        <f t="shared" ref="M187" si="912" xml:space="preserve"> IF(LEN(ChartLines.Hex6)=6, HEX2DEC(LEFT(ChartLines.Hex6, 2)), "·")</f>
        <v>0</v>
      </c>
      <c r="N187" s="1">
        <f t="shared" ref="N187" si="913" xml:space="preserve"> IF(LEN(ChartLines.Hex6)=6, HEX2DEC(MID(ChartLines.Hex6, 3, 2)), "·")</f>
        <v>0</v>
      </c>
      <c r="O187" s="1">
        <f t="shared" ref="O187" si="914" xml:space="preserve"> IF(LEN(ChartLines.Hex6)=6, HEX2DEC(RIGHT(ChartLines.Hex6, 2)), "·")</f>
        <v>0</v>
      </c>
      <c r="P187" s="1" cm="1">
        <f t="array" ref="P187" xml:space="preserve"> 1 + ROW() - _xlfn.SINGLE(ROW(ChartLines.RowNum))</f>
        <v>182</v>
      </c>
    </row>
    <row r="188" spans="2:16" x14ac:dyDescent="0.2">
      <c r="B188" s="1" t="s">
        <v>235</v>
      </c>
      <c r="C188" s="4" t="s">
        <v>132</v>
      </c>
      <c r="G188" s="1" t="s">
        <v>143</v>
      </c>
      <c r="H188" s="1" t="s">
        <v>465</v>
      </c>
      <c r="J188" s="1">
        <f t="shared" ref="J188" si="915" xml:space="preserve"> IF(AND(LEN(ChartLines.ID)&gt;0,"Unused"&lt;&gt;ChartLines.ID), COUNTIFS(ChartLines.ID,ChartLines.ID), "·")</f>
        <v>2</v>
      </c>
      <c r="K188" s="1">
        <f t="shared" ref="K188" si="916" xml:space="preserve"> IF(AND(LEN(ChartLines.ID)&gt;0,"Unused"&lt;&gt;ChartLines.ID), COUNTIFS(ChartLines.ID,ChartLines.ID,   ChartLines.RowNum,"&lt;="&amp;ChartLines.RowNum), "·")</f>
        <v>1</v>
      </c>
      <c r="L188" s="1" t="str" cm="1">
        <f t="array" ref="L188" xml:space="preserve"> _xlfn.IFS(OR(LEN(_xlfn.SINGLE(ChartLines.ID))=0,"Unused"=_xlfn.SINGLE(ChartLines.ID)), "·",   1=_xlfn.SINGLE(ChartLines.NumInstances), IF("USD"=_xlfn.SINGLE(ChartLines.ID), "SoleBig", "SoleOrdinary"),   1=_xlfn.SINGLE(ChartLines.InstanceNum), "Outer",   TRUE, "Inner")</f>
        <v>Outer</v>
      </c>
      <c r="M188" s="1">
        <f t="shared" ref="M188" si="917" xml:space="preserve"> IF(LEN(ChartLines.Hex6)=6, HEX2DEC(LEFT(ChartLines.Hex6, 2)), "·")</f>
        <v>252</v>
      </c>
      <c r="N188" s="1">
        <f t="shared" ref="N188" si="918" xml:space="preserve"> IF(LEN(ChartLines.Hex6)=6, HEX2DEC(MID(ChartLines.Hex6, 3, 2)), "·")</f>
        <v>209</v>
      </c>
      <c r="O188" s="1">
        <f t="shared" ref="O188" si="919" xml:space="preserve"> IF(LEN(ChartLines.Hex6)=6, HEX2DEC(RIGHT(ChartLines.Hex6, 2)), "·")</f>
        <v>22</v>
      </c>
      <c r="P188" s="1" cm="1">
        <f t="array" ref="P188" xml:space="preserve"> 1 + ROW() - _xlfn.SINGLE(ROW(ChartLines.RowNum))</f>
        <v>183</v>
      </c>
    </row>
    <row r="189" spans="2:16" x14ac:dyDescent="0.2">
      <c r="B189" s="1" t="s">
        <v>236</v>
      </c>
      <c r="C189" s="4" t="s">
        <v>133</v>
      </c>
      <c r="G189" s="1" t="s">
        <v>143</v>
      </c>
      <c r="H189" s="1" t="str">
        <f xml:space="preserve"> "000000"</f>
        <v>000000</v>
      </c>
      <c r="J189" s="1">
        <f t="shared" ref="J189" si="920" xml:space="preserve"> IF(AND(LEN(ChartLines.ID)&gt;0,"Unused"&lt;&gt;ChartLines.ID), COUNTIFS(ChartLines.ID,ChartLines.ID), "·")</f>
        <v>2</v>
      </c>
      <c r="K189" s="1">
        <f t="shared" ref="K189" si="921" xml:space="preserve"> IF(AND(LEN(ChartLines.ID)&gt;0,"Unused"&lt;&gt;ChartLines.ID), COUNTIFS(ChartLines.ID,ChartLines.ID,   ChartLines.RowNum,"&lt;="&amp;ChartLines.RowNum), "·")</f>
        <v>2</v>
      </c>
      <c r="L189" s="1" t="str" cm="1">
        <f t="array" ref="L189" xml:space="preserve"> _xlfn.IFS(OR(LEN(_xlfn.SINGLE(ChartLines.ID))=0,"Unused"=_xlfn.SINGLE(ChartLines.ID)), "·",   1=_xlfn.SINGLE(ChartLines.NumInstances), IF("USD"=_xlfn.SINGLE(ChartLines.ID), "SoleBig", "SoleOrdinary"),   1=_xlfn.SINGLE(ChartLines.InstanceNum), "Outer",   TRUE, "Inner")</f>
        <v>Inner</v>
      </c>
      <c r="M189" s="1">
        <f t="shared" ref="M189" si="922" xml:space="preserve"> IF(LEN(ChartLines.Hex6)=6, HEX2DEC(LEFT(ChartLines.Hex6, 2)), "·")</f>
        <v>0</v>
      </c>
      <c r="N189" s="1">
        <f t="shared" ref="N189" si="923" xml:space="preserve"> IF(LEN(ChartLines.Hex6)=6, HEX2DEC(MID(ChartLines.Hex6, 3, 2)), "·")</f>
        <v>0</v>
      </c>
      <c r="O189" s="1">
        <f t="shared" ref="O189" si="924" xml:space="preserve"> IF(LEN(ChartLines.Hex6)=6, HEX2DEC(RIGHT(ChartLines.Hex6, 2)), "·")</f>
        <v>0</v>
      </c>
      <c r="P189" s="1" cm="1">
        <f t="array" ref="P189" xml:space="preserve"> 1 + ROW() - _xlfn.SINGLE(ROW(ChartLines.RowNum))</f>
        <v>184</v>
      </c>
    </row>
    <row r="190" spans="2:16" x14ac:dyDescent="0.2">
      <c r="B190" s="1" t="s">
        <v>237</v>
      </c>
      <c r="C190" s="4" t="s">
        <v>134</v>
      </c>
      <c r="G190" s="1" t="s">
        <v>144</v>
      </c>
      <c r="H190" s="1" t="str">
        <f xml:space="preserve"> "000000"</f>
        <v>000000</v>
      </c>
      <c r="J190" s="1">
        <f t="shared" ref="J190" si="925" xml:space="preserve"> IF(AND(LEN(ChartLines.ID)&gt;0,"Unused"&lt;&gt;ChartLines.ID), COUNTIFS(ChartLines.ID,ChartLines.ID), "·")</f>
        <v>2</v>
      </c>
      <c r="K190" s="1">
        <f t="shared" ref="K190" si="926" xml:space="preserve"> IF(AND(LEN(ChartLines.ID)&gt;0,"Unused"&lt;&gt;ChartLines.ID), COUNTIFS(ChartLines.ID,ChartLines.ID,   ChartLines.RowNum,"&lt;="&amp;ChartLines.RowNum), "·")</f>
        <v>1</v>
      </c>
      <c r="L190" s="1" t="str" cm="1">
        <f t="array" ref="L190" xml:space="preserve"> _xlfn.IFS(OR(LEN(_xlfn.SINGLE(ChartLines.ID))=0,"Unused"=_xlfn.SINGLE(ChartLines.ID)), "·",   1=_xlfn.SINGLE(ChartLines.NumInstances), IF("USD"=_xlfn.SINGLE(ChartLines.ID), "SoleBig", "SoleOrdinary"),   1=_xlfn.SINGLE(ChartLines.InstanceNum), "Outer",   TRUE, "Inner")</f>
        <v>Outer</v>
      </c>
      <c r="M190" s="1">
        <f t="shared" ref="M190" si="927" xml:space="preserve"> IF(LEN(ChartLines.Hex6)=6, HEX2DEC(LEFT(ChartLines.Hex6, 2)), "·")</f>
        <v>0</v>
      </c>
      <c r="N190" s="1">
        <f t="shared" ref="N190" si="928" xml:space="preserve"> IF(LEN(ChartLines.Hex6)=6, HEX2DEC(MID(ChartLines.Hex6, 3, 2)), "·")</f>
        <v>0</v>
      </c>
      <c r="O190" s="1">
        <f t="shared" ref="O190" si="929" xml:space="preserve"> IF(LEN(ChartLines.Hex6)=6, HEX2DEC(RIGHT(ChartLines.Hex6, 2)), "·")</f>
        <v>0</v>
      </c>
      <c r="P190" s="1" cm="1">
        <f t="array" ref="P190" xml:space="preserve"> 1 + ROW() - _xlfn.SINGLE(ROW(ChartLines.RowNum))</f>
        <v>185</v>
      </c>
    </row>
    <row r="191" spans="2:16" x14ac:dyDescent="0.2">
      <c r="B191" s="1" t="s">
        <v>238</v>
      </c>
      <c r="C191" s="4" t="s">
        <v>135</v>
      </c>
      <c r="G191" s="1" t="s">
        <v>144</v>
      </c>
      <c r="H191" s="1" t="s">
        <v>510</v>
      </c>
      <c r="J191" s="1">
        <f t="shared" ref="J191" si="930" xml:space="preserve"> IF(AND(LEN(ChartLines.ID)&gt;0,"Unused"&lt;&gt;ChartLines.ID), COUNTIFS(ChartLines.ID,ChartLines.ID), "·")</f>
        <v>2</v>
      </c>
      <c r="K191" s="1">
        <f t="shared" ref="K191" si="931" xml:space="preserve"> IF(AND(LEN(ChartLines.ID)&gt;0,"Unused"&lt;&gt;ChartLines.ID), COUNTIFS(ChartLines.ID,ChartLines.ID,   ChartLines.RowNum,"&lt;="&amp;ChartLines.RowNum), "·")</f>
        <v>2</v>
      </c>
      <c r="L191" s="1" t="str" cm="1">
        <f t="array" ref="L191" xml:space="preserve"> _xlfn.IFS(OR(LEN(_xlfn.SINGLE(ChartLines.ID))=0,"Unused"=_xlfn.SINGLE(ChartLines.ID)), "·",   1=_xlfn.SINGLE(ChartLines.NumInstances), IF("USD"=_xlfn.SINGLE(ChartLines.ID), "SoleBig", "SoleOrdinary"),   1=_xlfn.SINGLE(ChartLines.InstanceNum), "Outer",   TRUE, "Inner")</f>
        <v>Inner</v>
      </c>
      <c r="M191" s="1">
        <f t="shared" ref="M191" si="932" xml:space="preserve"> IF(LEN(ChartLines.Hex6)=6, HEX2DEC(LEFT(ChartLines.Hex6, 2)), "·")</f>
        <v>217</v>
      </c>
      <c r="N191" s="1">
        <f t="shared" ref="N191" si="933" xml:space="preserve"> IF(LEN(ChartLines.Hex6)=6, HEX2DEC(MID(ChartLines.Hex6, 3, 2)), "·")</f>
        <v>0</v>
      </c>
      <c r="O191" s="1">
        <f t="shared" ref="O191" si="934" xml:space="preserve"> IF(LEN(ChartLines.Hex6)=6, HEX2DEC(RIGHT(ChartLines.Hex6, 2)), "·")</f>
        <v>0</v>
      </c>
      <c r="P191" s="1" cm="1">
        <f t="array" ref="P191" xml:space="preserve"> 1 + ROW() - _xlfn.SINGLE(ROW(ChartLines.RowNum))</f>
        <v>186</v>
      </c>
    </row>
    <row r="192" spans="2:16" x14ac:dyDescent="0.2">
      <c r="B192" s="1" t="s">
        <v>239</v>
      </c>
      <c r="C192" s="4" t="s">
        <v>136</v>
      </c>
      <c r="G192" s="1" t="s">
        <v>145</v>
      </c>
      <c r="H192" s="1" t="str">
        <f xml:space="preserve"> "007FFF"</f>
        <v>007FFF</v>
      </c>
      <c r="J192" s="1">
        <f t="shared" ref="J192" si="935" xml:space="preserve"> IF(AND(LEN(ChartLines.ID)&gt;0,"Unused"&lt;&gt;ChartLines.ID), COUNTIFS(ChartLines.ID,ChartLines.ID), "·")</f>
        <v>2</v>
      </c>
      <c r="K192" s="1">
        <f t="shared" ref="K192" si="936" xml:space="preserve"> IF(AND(LEN(ChartLines.ID)&gt;0,"Unused"&lt;&gt;ChartLines.ID), COUNTIFS(ChartLines.ID,ChartLines.ID,   ChartLines.RowNum,"&lt;="&amp;ChartLines.RowNum), "·")</f>
        <v>1</v>
      </c>
      <c r="L192" s="1" t="str" cm="1">
        <f t="array" ref="L192" xml:space="preserve"> _xlfn.IFS(OR(LEN(_xlfn.SINGLE(ChartLines.ID))=0,"Unused"=_xlfn.SINGLE(ChartLines.ID)), "·",   1=_xlfn.SINGLE(ChartLines.NumInstances), IF("USD"=_xlfn.SINGLE(ChartLines.ID), "SoleBig", "SoleOrdinary"),   1=_xlfn.SINGLE(ChartLines.InstanceNum), "Outer",   TRUE, "Inner")</f>
        <v>Outer</v>
      </c>
      <c r="M192" s="1">
        <f t="shared" ref="M192" si="937" xml:space="preserve"> IF(LEN(ChartLines.Hex6)=6, HEX2DEC(LEFT(ChartLines.Hex6, 2)), "·")</f>
        <v>0</v>
      </c>
      <c r="N192" s="1">
        <f t="shared" ref="N192" si="938" xml:space="preserve"> IF(LEN(ChartLines.Hex6)=6, HEX2DEC(MID(ChartLines.Hex6, 3, 2)), "·")</f>
        <v>127</v>
      </c>
      <c r="O192" s="1">
        <f t="shared" ref="O192" si="939" xml:space="preserve"> IF(LEN(ChartLines.Hex6)=6, HEX2DEC(RIGHT(ChartLines.Hex6, 2)), "·")</f>
        <v>255</v>
      </c>
      <c r="P192" s="1" cm="1">
        <f t="array" ref="P192" xml:space="preserve"> 1 + ROW() - _xlfn.SINGLE(ROW(ChartLines.RowNum))</f>
        <v>187</v>
      </c>
    </row>
    <row r="193" spans="2:16" x14ac:dyDescent="0.2">
      <c r="B193" s="1" t="s">
        <v>240</v>
      </c>
      <c r="C193" s="4" t="s">
        <v>137</v>
      </c>
      <c r="G193" s="1" t="s">
        <v>145</v>
      </c>
      <c r="H193" s="1" t="s">
        <v>511</v>
      </c>
      <c r="J193" s="1">
        <f t="shared" ref="J193" si="940" xml:space="preserve"> IF(AND(LEN(ChartLines.ID)&gt;0,"Unused"&lt;&gt;ChartLines.ID), COUNTIFS(ChartLines.ID,ChartLines.ID), "·")</f>
        <v>2</v>
      </c>
      <c r="K193" s="1">
        <f t="shared" ref="K193" si="941" xml:space="preserve"> IF(AND(LEN(ChartLines.ID)&gt;0,"Unused"&lt;&gt;ChartLines.ID), COUNTIFS(ChartLines.ID,ChartLines.ID,   ChartLines.RowNum,"&lt;="&amp;ChartLines.RowNum), "·")</f>
        <v>2</v>
      </c>
      <c r="L193" s="1" t="str" cm="1">
        <f t="array" ref="L193" xml:space="preserve"> _xlfn.IFS(OR(LEN(_xlfn.SINGLE(ChartLines.ID))=0,"Unused"=_xlfn.SINGLE(ChartLines.ID)), "·",   1=_xlfn.SINGLE(ChartLines.NumInstances), IF("USD"=_xlfn.SINGLE(ChartLines.ID), "SoleBig", "SoleOrdinary"),   1=_xlfn.SINGLE(ChartLines.InstanceNum), "Outer",   TRUE, "Inner")</f>
        <v>Inner</v>
      </c>
      <c r="M193" s="1">
        <f t="shared" ref="M193" si="942" xml:space="preserve"> IF(LEN(ChartLines.Hex6)=6, HEX2DEC(LEFT(ChartLines.Hex6, 2)), "·")</f>
        <v>247</v>
      </c>
      <c r="N193" s="1">
        <f t="shared" ref="N193" si="943" xml:space="preserve"> IF(LEN(ChartLines.Hex6)=6, HEX2DEC(MID(ChartLines.Hex6, 3, 2)), "·")</f>
        <v>214</v>
      </c>
      <c r="O193" s="1">
        <f t="shared" ref="O193" si="944" xml:space="preserve"> IF(LEN(ChartLines.Hex6)=6, HEX2DEC(RIGHT(ChartLines.Hex6, 2)), "·")</f>
        <v>24</v>
      </c>
      <c r="P193" s="1" cm="1">
        <f t="array" ref="P193" xml:space="preserve"> 1 + ROW() - _xlfn.SINGLE(ROW(ChartLines.RowNum))</f>
        <v>188</v>
      </c>
    </row>
    <row r="194" spans="2:16" x14ac:dyDescent="0.2">
      <c r="B194" s="1" t="s">
        <v>241</v>
      </c>
      <c r="C194" s="4" t="s">
        <v>138</v>
      </c>
      <c r="G194" s="1" t="s">
        <v>146</v>
      </c>
      <c r="H194" s="1" t="str">
        <f xml:space="preserve"> "000000"</f>
        <v>000000</v>
      </c>
      <c r="J194" s="1">
        <f t="shared" ref="J194" si="945" xml:space="preserve"> IF(AND(LEN(ChartLines.ID)&gt;0,"Unused"&lt;&gt;ChartLines.ID), COUNTIFS(ChartLines.ID,ChartLines.ID), "·")</f>
        <v>2</v>
      </c>
      <c r="K194" s="1">
        <f t="shared" ref="K194" si="946" xml:space="preserve"> IF(AND(LEN(ChartLines.ID)&gt;0,"Unused"&lt;&gt;ChartLines.ID), COUNTIFS(ChartLines.ID,ChartLines.ID,   ChartLines.RowNum,"&lt;="&amp;ChartLines.RowNum), "·")</f>
        <v>1</v>
      </c>
      <c r="L194" s="1" t="str" cm="1">
        <f t="array" ref="L194" xml:space="preserve"> _xlfn.IFS(OR(LEN(_xlfn.SINGLE(ChartLines.ID))=0,"Unused"=_xlfn.SINGLE(ChartLines.ID)), "·",   1=_xlfn.SINGLE(ChartLines.NumInstances), IF("USD"=_xlfn.SINGLE(ChartLines.ID), "SoleBig", "SoleOrdinary"),   1=_xlfn.SINGLE(ChartLines.InstanceNum), "Outer",   TRUE, "Inner")</f>
        <v>Outer</v>
      </c>
      <c r="M194" s="1">
        <f t="shared" ref="M194" si="947" xml:space="preserve"> IF(LEN(ChartLines.Hex6)=6, HEX2DEC(LEFT(ChartLines.Hex6, 2)), "·")</f>
        <v>0</v>
      </c>
      <c r="N194" s="1">
        <f t="shared" ref="N194" si="948" xml:space="preserve"> IF(LEN(ChartLines.Hex6)=6, HEX2DEC(MID(ChartLines.Hex6, 3, 2)), "·")</f>
        <v>0</v>
      </c>
      <c r="O194" s="1">
        <f t="shared" ref="O194" si="949" xml:space="preserve"> IF(LEN(ChartLines.Hex6)=6, HEX2DEC(RIGHT(ChartLines.Hex6, 2)), "·")</f>
        <v>0</v>
      </c>
      <c r="P194" s="1" cm="1">
        <f t="array" ref="P194" xml:space="preserve"> 1 + ROW() - _xlfn.SINGLE(ROW(ChartLines.RowNum))</f>
        <v>189</v>
      </c>
    </row>
    <row r="195" spans="2:16" x14ac:dyDescent="0.2">
      <c r="B195" s="1" t="s">
        <v>242</v>
      </c>
      <c r="C195" s="4" t="s">
        <v>139</v>
      </c>
      <c r="G195" s="1" t="s">
        <v>146</v>
      </c>
      <c r="H195" s="1" t="s">
        <v>427</v>
      </c>
      <c r="J195" s="1">
        <f t="shared" ref="J195" si="950" xml:space="preserve"> IF(AND(LEN(ChartLines.ID)&gt;0,"Unused"&lt;&gt;ChartLines.ID), COUNTIFS(ChartLines.ID,ChartLines.ID), "·")</f>
        <v>2</v>
      </c>
      <c r="K195" s="1">
        <f t="shared" ref="K195" si="951" xml:space="preserve"> IF(AND(LEN(ChartLines.ID)&gt;0,"Unused"&lt;&gt;ChartLines.ID), COUNTIFS(ChartLines.ID,ChartLines.ID,   ChartLines.RowNum,"&lt;="&amp;ChartLines.RowNum), "·")</f>
        <v>2</v>
      </c>
      <c r="L195" s="1" t="str" cm="1">
        <f t="array" ref="L195" xml:space="preserve"> _xlfn.IFS(OR(LEN(_xlfn.SINGLE(ChartLines.ID))=0,"Unused"=_xlfn.SINGLE(ChartLines.ID)), "·",   1=_xlfn.SINGLE(ChartLines.NumInstances), IF("USD"=_xlfn.SINGLE(ChartLines.ID), "SoleBig", "SoleOrdinary"),   1=_xlfn.SINGLE(ChartLines.InstanceNum), "Outer",   TRUE, "Inner")</f>
        <v>Inner</v>
      </c>
      <c r="M195" s="1">
        <f t="shared" ref="M195" si="952" xml:space="preserve"> IF(LEN(ChartLines.Hex6)=6, HEX2DEC(LEFT(ChartLines.Hex6, 2)), "·")</f>
        <v>255</v>
      </c>
      <c r="N195" s="1">
        <f t="shared" ref="N195" si="953" xml:space="preserve"> IF(LEN(ChartLines.Hex6)=6, HEX2DEC(MID(ChartLines.Hex6, 3, 2)), "·")</f>
        <v>209</v>
      </c>
      <c r="O195" s="1">
        <f t="shared" ref="O195" si="954" xml:space="preserve"> IF(LEN(ChartLines.Hex6)=6, HEX2DEC(RIGHT(ChartLines.Hex6, 2)), "·")</f>
        <v>0</v>
      </c>
      <c r="P195" s="1" cm="1">
        <f t="array" ref="P195" xml:space="preserve"> 1 + ROW() - _xlfn.SINGLE(ROW(ChartLines.RowNum))</f>
        <v>190</v>
      </c>
    </row>
    <row r="196" spans="2:16" x14ac:dyDescent="0.2">
      <c r="B196" s="1" t="s">
        <v>243</v>
      </c>
      <c r="C196" s="4" t="s">
        <v>140</v>
      </c>
      <c r="G196" s="1" t="s">
        <v>147</v>
      </c>
      <c r="H196" s="1" t="s">
        <v>512</v>
      </c>
      <c r="J196" s="1">
        <f t="shared" ref="J196" si="955" xml:space="preserve"> IF(AND(LEN(ChartLines.ID)&gt;0,"Unused"&lt;&gt;ChartLines.ID), COUNTIFS(ChartLines.ID,ChartLines.ID), "·")</f>
        <v>2</v>
      </c>
      <c r="K196" s="1">
        <f t="shared" ref="K196" si="956" xml:space="preserve"> IF(AND(LEN(ChartLines.ID)&gt;0,"Unused"&lt;&gt;ChartLines.ID), COUNTIFS(ChartLines.ID,ChartLines.ID,   ChartLines.RowNum,"&lt;="&amp;ChartLines.RowNum), "·")</f>
        <v>1</v>
      </c>
      <c r="L196" s="1" t="str" cm="1">
        <f t="array" ref="L196" xml:space="preserve"> _xlfn.IFS(OR(LEN(_xlfn.SINGLE(ChartLines.ID))=0,"Unused"=_xlfn.SINGLE(ChartLines.ID)), "·",   1=_xlfn.SINGLE(ChartLines.NumInstances), IF("USD"=_xlfn.SINGLE(ChartLines.ID), "SoleBig", "SoleOrdinary"),   1=_xlfn.SINGLE(ChartLines.InstanceNum), "Outer",   TRUE, "Inner")</f>
        <v>Outer</v>
      </c>
      <c r="M196" s="1">
        <f t="shared" ref="M196" si="957" xml:space="preserve"> IF(LEN(ChartLines.Hex6)=6, HEX2DEC(LEFT(ChartLines.Hex6, 2)), "·")</f>
        <v>29</v>
      </c>
      <c r="N196" s="1">
        <f t="shared" ref="N196" si="958" xml:space="preserve"> IF(LEN(ChartLines.Hex6)=6, HEX2DEC(MID(ChartLines.Hex6, 3, 2)), "·")</f>
        <v>98</v>
      </c>
      <c r="O196" s="1">
        <f t="shared" ref="O196" si="959" xml:space="preserve"> IF(LEN(ChartLines.Hex6)=6, HEX2DEC(RIGHT(ChartLines.Hex6, 2)), "·")</f>
        <v>51</v>
      </c>
      <c r="P196" s="1" cm="1">
        <f t="array" ref="P196" xml:space="preserve"> 1 + ROW() - _xlfn.SINGLE(ROW(ChartLines.RowNum))</f>
        <v>191</v>
      </c>
    </row>
    <row r="197" spans="2:16" x14ac:dyDescent="0.2">
      <c r="B197" s="1" t="s">
        <v>560</v>
      </c>
      <c r="C197" s="4" t="s">
        <v>141</v>
      </c>
      <c r="G197" s="1" t="s">
        <v>147</v>
      </c>
      <c r="H197" s="1" t="s">
        <v>513</v>
      </c>
      <c r="J197" s="1">
        <f t="shared" ref="J197" si="960" xml:space="preserve"> IF(AND(LEN(ChartLines.ID)&gt;0,"Unused"&lt;&gt;ChartLines.ID), COUNTIFS(ChartLines.ID,ChartLines.ID), "·")</f>
        <v>2</v>
      </c>
      <c r="K197" s="1">
        <f t="shared" ref="K197" si="961" xml:space="preserve"> IF(AND(LEN(ChartLines.ID)&gt;0,"Unused"&lt;&gt;ChartLines.ID), COUNTIFS(ChartLines.ID,ChartLines.ID,   ChartLines.RowNum,"&lt;="&amp;ChartLines.RowNum), "·")</f>
        <v>2</v>
      </c>
      <c r="L197" s="1" t="str" cm="1">
        <f t="array" ref="L197" xml:space="preserve"> _xlfn.IFS(OR(LEN(_xlfn.SINGLE(ChartLines.ID))=0,"Unused"=_xlfn.SINGLE(ChartLines.ID)), "·",   1=_xlfn.SINGLE(ChartLines.NumInstances), IF("USD"=_xlfn.SINGLE(ChartLines.ID), "SoleBig", "SoleOrdinary"),   1=_xlfn.SINGLE(ChartLines.InstanceNum), "Outer",   TRUE, "Inner")</f>
        <v>Inner</v>
      </c>
      <c r="M197" s="1">
        <f t="shared" ref="M197" si="962" xml:space="preserve"> IF(LEN(ChartLines.Hex6)=6, HEX2DEC(LEFT(ChartLines.Hex6, 2)), "·")</f>
        <v>253</v>
      </c>
      <c r="N197" s="1">
        <f t="shared" ref="N197" si="963" xml:space="preserve"> IF(LEN(ChartLines.Hex6)=6, HEX2DEC(MID(ChartLines.Hex6, 3, 2)), "·")</f>
        <v>239</v>
      </c>
      <c r="O197" s="1">
        <f t="shared" ref="O197" si="964" xml:space="preserve"> IF(LEN(ChartLines.Hex6)=6, HEX2DEC(RIGHT(ChartLines.Hex6, 2)), "·")</f>
        <v>66</v>
      </c>
      <c r="P197" s="1" cm="1">
        <f t="array" ref="P197" xml:space="preserve"> 1 + ROW() - _xlfn.SINGLE(ROW(ChartLines.RowNum))</f>
        <v>192</v>
      </c>
    </row>
    <row r="198" spans="2:16" x14ac:dyDescent="0.2">
      <c r="B198" s="1" t="s">
        <v>244</v>
      </c>
      <c r="C198" s="4" t="s">
        <v>142</v>
      </c>
      <c r="G198" s="1" t="s">
        <v>148</v>
      </c>
      <c r="H198" s="1" t="s">
        <v>434</v>
      </c>
      <c r="J198" s="1">
        <f t="shared" ref="J198" si="965" xml:space="preserve"> IF(AND(LEN(ChartLines.ID)&gt;0,"Unused"&lt;&gt;ChartLines.ID), COUNTIFS(ChartLines.ID,ChartLines.ID), "·")</f>
        <v>2</v>
      </c>
      <c r="K198" s="1">
        <f t="shared" ref="K198" si="966" xml:space="preserve"> IF(AND(LEN(ChartLines.ID)&gt;0,"Unused"&lt;&gt;ChartLines.ID), COUNTIFS(ChartLines.ID,ChartLines.ID,   ChartLines.RowNum,"&lt;="&amp;ChartLines.RowNum), "·")</f>
        <v>1</v>
      </c>
      <c r="L198" s="1" t="str" cm="1">
        <f t="array" ref="L198" xml:space="preserve"> _xlfn.IFS(OR(LEN(_xlfn.SINGLE(ChartLines.ID))=0,"Unused"=_xlfn.SINGLE(ChartLines.ID)), "·",   1=_xlfn.SINGLE(ChartLines.NumInstances), IF("USD"=_xlfn.SINGLE(ChartLines.ID), "SoleBig", "SoleOrdinary"),   1=_xlfn.SINGLE(ChartLines.InstanceNum), "Outer",   TRUE, "Inner")</f>
        <v>Outer</v>
      </c>
      <c r="M198" s="1">
        <f t="shared" ref="M198" si="967" xml:space="preserve"> IF(LEN(ChartLines.Hex6)=6, HEX2DEC(LEFT(ChartLines.Hex6, 2)), "·")</f>
        <v>0</v>
      </c>
      <c r="N198" s="1">
        <f t="shared" ref="N198" si="968" xml:space="preserve"> IF(LEN(ChartLines.Hex6)=6, HEX2DEC(MID(ChartLines.Hex6, 3, 2)), "·")</f>
        <v>61</v>
      </c>
      <c r="O198" s="1">
        <f t="shared" ref="O198" si="969" xml:space="preserve"> IF(LEN(ChartLines.Hex6)=6, HEX2DEC(RIGHT(ChartLines.Hex6, 2)), "·")</f>
        <v>165</v>
      </c>
      <c r="P198" s="1" cm="1">
        <f t="array" ref="P198" xml:space="preserve"> 1 + ROW() - _xlfn.SINGLE(ROW(ChartLines.RowNum))</f>
        <v>193</v>
      </c>
    </row>
    <row r="199" spans="2:16" x14ac:dyDescent="0.2">
      <c r="B199" s="1" t="s">
        <v>245</v>
      </c>
      <c r="C199" s="4" t="s">
        <v>143</v>
      </c>
      <c r="G199" s="1" t="s">
        <v>148</v>
      </c>
      <c r="H199" s="1" t="str">
        <f xml:space="preserve"> "009639"</f>
        <v>009639</v>
      </c>
      <c r="J199" s="1">
        <f t="shared" ref="J199" si="970" xml:space="preserve"> IF(AND(LEN(ChartLines.ID)&gt;0,"Unused"&lt;&gt;ChartLines.ID), COUNTIFS(ChartLines.ID,ChartLines.ID), "·")</f>
        <v>2</v>
      </c>
      <c r="K199" s="1">
        <f t="shared" ref="K199" si="971" xml:space="preserve"> IF(AND(LEN(ChartLines.ID)&gt;0,"Unused"&lt;&gt;ChartLines.ID), COUNTIFS(ChartLines.ID,ChartLines.ID,   ChartLines.RowNum,"&lt;="&amp;ChartLines.RowNum), "·")</f>
        <v>2</v>
      </c>
      <c r="L199" s="1" t="str" cm="1">
        <f t="array" ref="L199" xml:space="preserve"> _xlfn.IFS(OR(LEN(_xlfn.SINGLE(ChartLines.ID))=0,"Unused"=_xlfn.SINGLE(ChartLines.ID)), "·",   1=_xlfn.SINGLE(ChartLines.NumInstances), IF("USD"=_xlfn.SINGLE(ChartLines.ID), "SoleBig", "SoleOrdinary"),   1=_xlfn.SINGLE(ChartLines.InstanceNum), "Outer",   TRUE, "Inner")</f>
        <v>Inner</v>
      </c>
      <c r="M199" s="1">
        <f t="shared" ref="M199" si="972" xml:space="preserve"> IF(LEN(ChartLines.Hex6)=6, HEX2DEC(LEFT(ChartLines.Hex6, 2)), "·")</f>
        <v>0</v>
      </c>
      <c r="N199" s="1">
        <f t="shared" ref="N199" si="973" xml:space="preserve"> IF(LEN(ChartLines.Hex6)=6, HEX2DEC(MID(ChartLines.Hex6, 3, 2)), "·")</f>
        <v>150</v>
      </c>
      <c r="O199" s="1">
        <f t="shared" ref="O199" si="974" xml:space="preserve"> IF(LEN(ChartLines.Hex6)=6, HEX2DEC(RIGHT(ChartLines.Hex6, 2)), "·")</f>
        <v>57</v>
      </c>
      <c r="P199" s="1" cm="1">
        <f t="array" ref="P199" xml:space="preserve"> 1 + ROW() - _xlfn.SINGLE(ROW(ChartLines.RowNum))</f>
        <v>194</v>
      </c>
    </row>
    <row r="200" spans="2:16" x14ac:dyDescent="0.2">
      <c r="B200" s="1" t="s">
        <v>246</v>
      </c>
      <c r="C200" s="4" t="s">
        <v>144</v>
      </c>
      <c r="G200" s="1" t="s">
        <v>149</v>
      </c>
      <c r="H200" s="1" t="s">
        <v>514</v>
      </c>
      <c r="J200" s="1">
        <f t="shared" ref="J200:J206" si="975" xml:space="preserve"> IF(AND(LEN(ChartLines.ID)&gt;0,"Unused"&lt;&gt;ChartLines.ID), COUNTIFS(ChartLines.ID,ChartLines.ID), "·")</f>
        <v>2</v>
      </c>
      <c r="K200" s="1">
        <f t="shared" ref="K200:K206" si="976" xml:space="preserve"> IF(AND(LEN(ChartLines.ID)&gt;0,"Unused"&lt;&gt;ChartLines.ID), COUNTIFS(ChartLines.ID,ChartLines.ID,   ChartLines.RowNum,"&lt;="&amp;ChartLines.RowNum), "·")</f>
        <v>1</v>
      </c>
      <c r="L200" s="1" t="str" cm="1">
        <f t="array" ref="L200" xml:space="preserve"> _xlfn.IFS(OR(LEN(_xlfn.SINGLE(ChartLines.ID))=0,"Unused"=_xlfn.SINGLE(ChartLines.ID)), "·",   1=_xlfn.SINGLE(ChartLines.NumInstances), IF("USD"=_xlfn.SINGLE(ChartLines.ID), "SoleBig", "SoleOrdinary"),   1=_xlfn.SINGLE(ChartLines.InstanceNum), "Outer",   TRUE, "Inner")</f>
        <v>Outer</v>
      </c>
      <c r="M200" s="1">
        <f t="shared" ref="M200:M206" si="977" xml:space="preserve"> IF(LEN(ChartLines.Hex6)=6, HEX2DEC(LEFT(ChartLines.Hex6, 2)), "·")</f>
        <v>234</v>
      </c>
      <c r="N200" s="1">
        <f t="shared" ref="N200:N206" si="978" xml:space="preserve"> IF(LEN(ChartLines.Hex6)=6, HEX2DEC(MID(ChartLines.Hex6, 3, 2)), "·")</f>
        <v>118</v>
      </c>
      <c r="O200" s="1">
        <f t="shared" ref="O200:O206" si="979" xml:space="preserve"> IF(LEN(ChartLines.Hex6)=6, HEX2DEC(RIGHT(ChartLines.Hex6, 2)), "·")</f>
        <v>0</v>
      </c>
      <c r="P200" s="1" cm="1">
        <f t="array" ref="P200" xml:space="preserve"> 1 + ROW() - _xlfn.SINGLE(ROW(ChartLines.RowNum))</f>
        <v>195</v>
      </c>
    </row>
    <row r="201" spans="2:16" x14ac:dyDescent="0.2">
      <c r="B201" s="1" t="s">
        <v>247</v>
      </c>
      <c r="C201" s="4" t="s">
        <v>145</v>
      </c>
      <c r="G201" s="1" t="s">
        <v>149</v>
      </c>
      <c r="H201" s="1" t="s">
        <v>515</v>
      </c>
      <c r="J201" s="1">
        <f t="shared" si="975"/>
        <v>2</v>
      </c>
      <c r="K201" s="1">
        <f t="shared" si="976"/>
        <v>2</v>
      </c>
      <c r="L201" s="1" t="str" cm="1">
        <f t="array" ref="L201" xml:space="preserve"> _xlfn.IFS(OR(LEN(_xlfn.SINGLE(ChartLines.ID))=0,"Unused"=_xlfn.SINGLE(ChartLines.ID)), "·",   1=_xlfn.SINGLE(ChartLines.NumInstances), IF("USD"=_xlfn.SINGLE(ChartLines.ID), "SoleBig", "SoleOrdinary"),   1=_xlfn.SINGLE(ChartLines.InstanceNum), "Outer",   TRUE, "Inner")</f>
        <v>Inner</v>
      </c>
      <c r="M201" s="1">
        <f t="shared" si="977"/>
        <v>0</v>
      </c>
      <c r="N201" s="1">
        <f t="shared" si="978"/>
        <v>154</v>
      </c>
      <c r="O201" s="1">
        <f t="shared" si="979"/>
        <v>68</v>
      </c>
      <c r="P201" s="1" cm="1">
        <f t="array" ref="P201" xml:space="preserve"> 1 + ROW() - _xlfn.SINGLE(ROW(ChartLines.RowNum))</f>
        <v>196</v>
      </c>
    </row>
    <row r="202" spans="2:16" x14ac:dyDescent="0.2">
      <c r="B202" s="1" t="s">
        <v>248</v>
      </c>
      <c r="C202" s="4" t="s">
        <v>146</v>
      </c>
      <c r="G202" s="1" t="s">
        <v>555</v>
      </c>
      <c r="H202" s="1" t="s">
        <v>426</v>
      </c>
      <c r="J202" s="1">
        <f t="shared" si="975"/>
        <v>2</v>
      </c>
      <c r="K202" s="1">
        <f t="shared" si="976"/>
        <v>1</v>
      </c>
      <c r="L202" s="1" t="str" cm="1">
        <f t="array" ref="L202" xml:space="preserve"> _xlfn.IFS(OR(LEN(_xlfn.SINGLE(ChartLines.ID))=0,"Unused"=_xlfn.SINGLE(ChartLines.ID)), "·",   1=_xlfn.SINGLE(ChartLines.NumInstances), IF("USD"=_xlfn.SINGLE(ChartLines.ID), "SoleBig", "SoleOrdinary"),   1=_xlfn.SINGLE(ChartLines.InstanceNum), "Outer",   TRUE, "Inner")</f>
        <v>Outer</v>
      </c>
      <c r="M202" s="1">
        <f t="shared" si="977"/>
        <v>200</v>
      </c>
      <c r="N202" s="1">
        <f t="shared" si="978"/>
        <v>16</v>
      </c>
      <c r="O202" s="1">
        <f t="shared" si="979"/>
        <v>46</v>
      </c>
      <c r="P202" s="1" cm="1">
        <f t="array" ref="P202" xml:space="preserve"> 1 + ROW() - _xlfn.SINGLE(ROW(ChartLines.RowNum))</f>
        <v>197</v>
      </c>
    </row>
    <row r="203" spans="2:16" x14ac:dyDescent="0.2">
      <c r="B203" s="1" t="s">
        <v>557</v>
      </c>
      <c r="C203" s="4" t="s">
        <v>555</v>
      </c>
      <c r="G203" s="1" t="s">
        <v>555</v>
      </c>
      <c r="H203" s="1" t="s">
        <v>425</v>
      </c>
      <c r="J203" s="1">
        <f t="shared" si="975"/>
        <v>2</v>
      </c>
      <c r="K203" s="1">
        <f t="shared" si="976"/>
        <v>2</v>
      </c>
      <c r="L203" s="1" t="str" cm="1">
        <f t="array" ref="L203" xml:space="preserve"> _xlfn.IFS(OR(LEN(_xlfn.SINGLE(ChartLines.ID))=0,"Unused"=_xlfn.SINGLE(ChartLines.ID)), "·",   1=_xlfn.SINGLE(ChartLines.NumInstances), IF("USD"=_xlfn.SINGLE(ChartLines.ID), "SoleBig", "SoleOrdinary"),   1=_xlfn.SINGLE(ChartLines.InstanceNum), "Outer",   TRUE, "Inner")</f>
        <v>Inner</v>
      </c>
      <c r="M203" s="1">
        <f t="shared" si="977"/>
        <v>255</v>
      </c>
      <c r="N203" s="1">
        <f t="shared" si="978"/>
        <v>205</v>
      </c>
      <c r="O203" s="1">
        <f t="shared" si="979"/>
        <v>0</v>
      </c>
      <c r="P203" s="1" cm="1">
        <f t="array" ref="P203" xml:space="preserve"> 1 + ROW() - _xlfn.SINGLE(ROW(ChartLines.RowNum))</f>
        <v>198</v>
      </c>
    </row>
    <row r="204" spans="2:16" x14ac:dyDescent="0.2">
      <c r="B204" s="1" t="s">
        <v>249</v>
      </c>
      <c r="C204" s="4" t="s">
        <v>150</v>
      </c>
      <c r="J204" s="1" t="str">
        <f t="shared" si="975"/>
        <v>·</v>
      </c>
      <c r="K204" s="1" t="str">
        <f t="shared" si="976"/>
        <v>·</v>
      </c>
      <c r="L204" s="1" t="str" cm="1">
        <f t="array" ref="L204" xml:space="preserve"> _xlfn.IFS(OR(LEN(_xlfn.SINGLE(ChartLines.ID))=0,"Unused"=_xlfn.SINGLE(ChartLines.ID)), "·",   1=_xlfn.SINGLE(ChartLines.NumInstances), IF("USD"=_xlfn.SINGLE(ChartLines.ID), "SoleBig", "SoleOrdinary"),   1=_xlfn.SINGLE(ChartLines.InstanceNum), "Outer",   TRUE, "Inner")</f>
        <v>·</v>
      </c>
      <c r="M204" s="1" t="str">
        <f t="shared" si="977"/>
        <v>·</v>
      </c>
      <c r="N204" s="1" t="str">
        <f t="shared" si="978"/>
        <v>·</v>
      </c>
      <c r="O204" s="1" t="str">
        <f t="shared" si="979"/>
        <v>·</v>
      </c>
      <c r="P204" s="1" cm="1">
        <f t="array" ref="P204" xml:space="preserve"> 1 + ROW() - _xlfn.SINGLE(ROW(ChartLines.RowNum))</f>
        <v>199</v>
      </c>
    </row>
    <row r="205" spans="2:16" x14ac:dyDescent="0.2">
      <c r="B205" s="1" t="s">
        <v>250</v>
      </c>
      <c r="C205" s="4" t="s">
        <v>151</v>
      </c>
      <c r="G205" s="1" t="s">
        <v>150</v>
      </c>
      <c r="H205" s="1" t="str">
        <f xml:space="preserve"> "006341"</f>
        <v>006341</v>
      </c>
      <c r="J205" s="1">
        <f t="shared" si="975"/>
        <v>2</v>
      </c>
      <c r="K205" s="1">
        <f t="shared" si="976"/>
        <v>1</v>
      </c>
      <c r="L205" s="1" t="str" cm="1">
        <f t="array" ref="L205" xml:space="preserve"> _xlfn.IFS(OR(LEN(_xlfn.SINGLE(ChartLines.ID))=0,"Unused"=_xlfn.SINGLE(ChartLines.ID)), "·",   1=_xlfn.SINGLE(ChartLines.NumInstances), IF("USD"=_xlfn.SINGLE(ChartLines.ID), "SoleBig", "SoleOrdinary"),   1=_xlfn.SINGLE(ChartLines.InstanceNum), "Outer",   TRUE, "Inner")</f>
        <v>Outer</v>
      </c>
      <c r="M205" s="1">
        <f t="shared" si="977"/>
        <v>0</v>
      </c>
      <c r="N205" s="1">
        <f t="shared" si="978"/>
        <v>99</v>
      </c>
      <c r="O205" s="1">
        <f t="shared" si="979"/>
        <v>65</v>
      </c>
      <c r="P205" s="1" cm="1">
        <f t="array" ref="P205" xml:space="preserve"> 1 + ROW() - _xlfn.SINGLE(ROW(ChartLines.RowNum))</f>
        <v>200</v>
      </c>
    </row>
    <row r="206" spans="2:16" x14ac:dyDescent="0.2">
      <c r="B206" s="1" t="s">
        <v>251</v>
      </c>
      <c r="C206" s="4" t="s">
        <v>152</v>
      </c>
      <c r="G206" s="1" t="s">
        <v>150</v>
      </c>
      <c r="H206" s="1" t="s">
        <v>426</v>
      </c>
      <c r="J206" s="1">
        <f t="shared" si="975"/>
        <v>2</v>
      </c>
      <c r="K206" s="1">
        <f t="shared" si="976"/>
        <v>2</v>
      </c>
      <c r="L206" s="1" t="str" cm="1">
        <f t="array" ref="L206" xml:space="preserve"> _xlfn.IFS(OR(LEN(_xlfn.SINGLE(ChartLines.ID))=0,"Unused"=_xlfn.SINGLE(ChartLines.ID)), "·",   1=_xlfn.SINGLE(ChartLines.NumInstances), IF("USD"=_xlfn.SINGLE(ChartLines.ID), "SoleBig", "SoleOrdinary"),   1=_xlfn.SINGLE(ChartLines.InstanceNum), "Outer",   TRUE, "Inner")</f>
        <v>Inner</v>
      </c>
      <c r="M206" s="1">
        <f t="shared" si="977"/>
        <v>200</v>
      </c>
      <c r="N206" s="1">
        <f t="shared" si="978"/>
        <v>16</v>
      </c>
      <c r="O206" s="1">
        <f t="shared" si="979"/>
        <v>46</v>
      </c>
      <c r="P206" s="1" cm="1">
        <f t="array" ref="P206" xml:space="preserve"> 1 + ROW() - _xlfn.SINGLE(ROW(ChartLines.RowNum))</f>
        <v>201</v>
      </c>
    </row>
    <row r="207" spans="2:16" x14ac:dyDescent="0.2">
      <c r="B207" s="1" t="s">
        <v>252</v>
      </c>
      <c r="C207" s="4" t="s">
        <v>153</v>
      </c>
      <c r="G207" s="1" t="s">
        <v>151</v>
      </c>
      <c r="H207" s="1" t="str">
        <f xml:space="preserve"> "009639"</f>
        <v>009639</v>
      </c>
      <c r="J207" s="1">
        <f xml:space="preserve"> IF(AND(LEN(ChartLines.ID)&gt;0,"Unused"&lt;&gt;ChartLines.ID), COUNTIFS(ChartLines.ID,ChartLines.ID), "·")</f>
        <v>2</v>
      </c>
      <c r="K207" s="1">
        <f xml:space="preserve"> IF(AND(LEN(ChartLines.ID)&gt;0,"Unused"&lt;&gt;ChartLines.ID), COUNTIFS(ChartLines.ID,ChartLines.ID,   ChartLines.RowNum,"&lt;="&amp;ChartLines.RowNum), "·")</f>
        <v>1</v>
      </c>
      <c r="L207" s="1" t="str" cm="1">
        <f t="array" ref="L207" xml:space="preserve"> _xlfn.IFS(OR(LEN(_xlfn.SINGLE(ChartLines.ID))=0,"Unused"=_xlfn.SINGLE(ChartLines.ID)), "·",   1=_xlfn.SINGLE(ChartLines.NumInstances), IF("USD"=_xlfn.SINGLE(ChartLines.ID), "SoleBig", "SoleOrdinary"),   1=_xlfn.SINGLE(ChartLines.InstanceNum), "Outer",   TRUE, "Inner")</f>
        <v>Outer</v>
      </c>
      <c r="M207" s="1">
        <f xml:space="preserve"> IF(LEN(ChartLines.Hex6)=6, HEX2DEC(LEFT(ChartLines.Hex6, 2)), "·")</f>
        <v>0</v>
      </c>
      <c r="N207" s="1">
        <f xml:space="preserve"> IF(LEN(ChartLines.Hex6)=6, HEX2DEC(MID(ChartLines.Hex6, 3, 2)), "·")</f>
        <v>150</v>
      </c>
      <c r="O207" s="1">
        <f xml:space="preserve"> IF(LEN(ChartLines.Hex6)=6, HEX2DEC(RIGHT(ChartLines.Hex6, 2)), "·")</f>
        <v>57</v>
      </c>
      <c r="P207" s="1" cm="1">
        <f t="array" ref="P207" xml:space="preserve"> 1 + ROW() - _xlfn.SINGLE(ROW(ChartLines.RowNum))</f>
        <v>202</v>
      </c>
    </row>
    <row r="208" spans="2:16" x14ac:dyDescent="0.2">
      <c r="B208" s="1" t="s">
        <v>253</v>
      </c>
      <c r="C208" s="4" t="s">
        <v>154</v>
      </c>
      <c r="G208" s="1" t="s">
        <v>151</v>
      </c>
      <c r="H208" s="1" t="s">
        <v>516</v>
      </c>
      <c r="J208" s="1">
        <f xml:space="preserve"> IF(AND(LEN(ChartLines.ID)&gt;0,"Unused"&lt;&gt;ChartLines.ID), COUNTIFS(ChartLines.ID,ChartLines.ID), "·")</f>
        <v>2</v>
      </c>
      <c r="K208" s="1">
        <f xml:space="preserve"> IF(AND(LEN(ChartLines.ID)&gt;0,"Unused"&lt;&gt;ChartLines.ID), COUNTIFS(ChartLines.ID,ChartLines.ID,   ChartLines.RowNum,"&lt;="&amp;ChartLines.RowNum), "·")</f>
        <v>2</v>
      </c>
      <c r="L208" s="1" t="str" cm="1">
        <f t="array" ref="L208" xml:space="preserve"> _xlfn.IFS(OR(LEN(_xlfn.SINGLE(ChartLines.ID))=0,"Unused"=_xlfn.SINGLE(ChartLines.ID)), "·",   1=_xlfn.SINGLE(ChartLines.NumInstances), IF("USD"=_xlfn.SINGLE(ChartLines.ID), "SoleBig", "SoleOrdinary"),   1=_xlfn.SINGLE(ChartLines.InstanceNum), "Outer",   TRUE, "Inner")</f>
        <v>Inner</v>
      </c>
      <c r="M208" s="1">
        <f xml:space="preserve"> IF(LEN(ChartLines.Hex6)=6, HEX2DEC(LEFT(ChartLines.Hex6, 2)), "·")</f>
        <v>254</v>
      </c>
      <c r="N208" s="1">
        <f xml:space="preserve"> IF(LEN(ChartLines.Hex6)=6, HEX2DEC(MID(ChartLines.Hex6, 3, 2)), "·")</f>
        <v>221</v>
      </c>
      <c r="O208" s="1">
        <f xml:space="preserve"> IF(LEN(ChartLines.Hex6)=6, HEX2DEC(RIGHT(ChartLines.Hex6, 2)), "·")</f>
        <v>0</v>
      </c>
      <c r="P208" s="1" cm="1">
        <f t="array" ref="P208" xml:space="preserve"> 1 + ROW() - _xlfn.SINGLE(ROW(ChartLines.RowNum))</f>
        <v>203</v>
      </c>
    </row>
    <row r="209" spans="2:16" x14ac:dyDescent="0.2">
      <c r="B209" s="1" t="s">
        <v>254</v>
      </c>
      <c r="C209" s="4" t="s">
        <v>155</v>
      </c>
      <c r="G209" s="1" t="s">
        <v>152</v>
      </c>
      <c r="H209" s="1" t="s">
        <v>517</v>
      </c>
      <c r="J209" s="1">
        <f xml:space="preserve"> IF(AND(LEN(ChartLines.ID)&gt;0,"Unused"&lt;&gt;ChartLines.ID), COUNTIFS(ChartLines.ID,ChartLines.ID), "·")</f>
        <v>2</v>
      </c>
      <c r="K209" s="1">
        <f xml:space="preserve"> IF(AND(LEN(ChartLines.ID)&gt;0,"Unused"&lt;&gt;ChartLines.ID), COUNTIFS(ChartLines.ID,ChartLines.ID,   ChartLines.RowNum,"&lt;="&amp;ChartLines.RowNum), "·")</f>
        <v>1</v>
      </c>
      <c r="L209" s="1" t="str" cm="1">
        <f t="array" ref="L209" xml:space="preserve"> _xlfn.IFS(OR(LEN(_xlfn.SINGLE(ChartLines.ID))=0,"Unused"=_xlfn.SINGLE(ChartLines.ID)), "·",   1=_xlfn.SINGLE(ChartLines.NumInstances), IF("USD"=_xlfn.SINGLE(ChartLines.ID), "SoleBig", "SoleOrdinary"),   1=_xlfn.SINGLE(ChartLines.InstanceNum), "Outer",   TRUE, "Inner")</f>
        <v>Outer</v>
      </c>
      <c r="M209" s="1">
        <f xml:space="preserve"> IF(LEN(ChartLines.Hex6)=6, HEX2DEC(LEFT(ChartLines.Hex6, 2)), "·")</f>
        <v>213</v>
      </c>
      <c r="N209" s="1">
        <f xml:space="preserve"> IF(LEN(ChartLines.Hex6)=6, HEX2DEC(MID(ChartLines.Hex6, 3, 2)), "·")</f>
        <v>43</v>
      </c>
      <c r="O209" s="1">
        <f xml:space="preserve"> IF(LEN(ChartLines.Hex6)=6, HEX2DEC(RIGHT(ChartLines.Hex6, 2)), "·")</f>
        <v>30</v>
      </c>
      <c r="P209" s="1" cm="1">
        <f t="array" ref="P209" xml:space="preserve"> 1 + ROW() - _xlfn.SINGLE(ROW(ChartLines.RowNum))</f>
        <v>204</v>
      </c>
    </row>
    <row r="210" spans="2:16" x14ac:dyDescent="0.2">
      <c r="B210" s="1" t="s">
        <v>255</v>
      </c>
      <c r="C210" s="4" t="s">
        <v>156</v>
      </c>
      <c r="G210" s="1" t="s">
        <v>152</v>
      </c>
      <c r="H210" s="1" t="s">
        <v>518</v>
      </c>
      <c r="J210" s="1">
        <f xml:space="preserve"> IF(AND(LEN(ChartLines.ID)&gt;0,"Unused"&lt;&gt;ChartLines.ID), COUNTIFS(ChartLines.ID,ChartLines.ID), "·")</f>
        <v>2</v>
      </c>
      <c r="K210" s="1">
        <f xml:space="preserve"> IF(AND(LEN(ChartLines.ID)&gt;0,"Unused"&lt;&gt;ChartLines.ID), COUNTIFS(ChartLines.ID,ChartLines.ID,   ChartLines.RowNum,"&lt;="&amp;ChartLines.RowNum), "·")</f>
        <v>2</v>
      </c>
      <c r="L210" s="1" t="str" cm="1">
        <f t="array" ref="L210" xml:space="preserve"> _xlfn.IFS(OR(LEN(_xlfn.SINGLE(ChartLines.ID))=0,"Unused"=_xlfn.SINGLE(ChartLines.ID)), "·",   1=_xlfn.SINGLE(ChartLines.NumInstances), IF("USD"=_xlfn.SINGLE(ChartLines.ID), "SoleBig", "SoleOrdinary"),   1=_xlfn.SINGLE(ChartLines.InstanceNum), "Outer",   TRUE, "Inner")</f>
        <v>Inner</v>
      </c>
      <c r="M210" s="1">
        <f xml:space="preserve"> IF(LEN(ChartLines.Hex6)=6, HEX2DEC(LEFT(ChartLines.Hex6, 2)), "·")</f>
        <v>0</v>
      </c>
      <c r="N210" s="1">
        <f xml:space="preserve"> IF(LEN(ChartLines.Hex6)=6, HEX2DEC(MID(ChartLines.Hex6, 3, 2)), "·")</f>
        <v>51</v>
      </c>
      <c r="O210" s="1">
        <f xml:space="preserve"> IF(LEN(ChartLines.Hex6)=6, HEX2DEC(RIGHT(ChartLines.Hex6, 2)), "·")</f>
        <v>160</v>
      </c>
      <c r="P210" s="1" cm="1">
        <f t="array" ref="P210" xml:space="preserve"> 1 + ROW() - _xlfn.SINGLE(ROW(ChartLines.RowNum))</f>
        <v>205</v>
      </c>
    </row>
    <row r="211" spans="2:16" x14ac:dyDescent="0.2">
      <c r="B211" s="1" t="s">
        <v>256</v>
      </c>
      <c r="C211" s="4" t="s">
        <v>157</v>
      </c>
      <c r="G211" s="1" t="s">
        <v>153</v>
      </c>
      <c r="H211" s="1" t="str">
        <f xml:space="preserve"> "003087"</f>
        <v>003087</v>
      </c>
      <c r="J211" s="1">
        <f t="shared" ref="J211" si="980" xml:space="preserve"> IF(AND(LEN(ChartLines.ID)&gt;0,"Unused"&lt;&gt;ChartLines.ID), COUNTIFS(ChartLines.ID,ChartLines.ID), "·")</f>
        <v>2</v>
      </c>
      <c r="K211" s="1">
        <f t="shared" ref="K211" si="981" xml:space="preserve"> IF(AND(LEN(ChartLines.ID)&gt;0,"Unused"&lt;&gt;ChartLines.ID), COUNTIFS(ChartLines.ID,ChartLines.ID,   ChartLines.RowNum,"&lt;="&amp;ChartLines.RowNum), "·")</f>
        <v>1</v>
      </c>
      <c r="L211" s="1" t="str" cm="1">
        <f t="array" ref="L211" xml:space="preserve"> _xlfn.IFS(OR(LEN(_xlfn.SINGLE(ChartLines.ID))=0,"Unused"=_xlfn.SINGLE(ChartLines.ID)), "·",   1=_xlfn.SINGLE(ChartLines.NumInstances), IF("USD"=_xlfn.SINGLE(ChartLines.ID), "SoleBig", "SoleOrdinary"),   1=_xlfn.SINGLE(ChartLines.InstanceNum), "Outer",   TRUE, "Inner")</f>
        <v>Outer</v>
      </c>
      <c r="M211" s="1">
        <f t="shared" ref="M211" si="982" xml:space="preserve"> IF(LEN(ChartLines.Hex6)=6, HEX2DEC(LEFT(ChartLines.Hex6, 2)), "·")</f>
        <v>0</v>
      </c>
      <c r="N211" s="1">
        <f t="shared" ref="N211" si="983" xml:space="preserve"> IF(LEN(ChartLines.Hex6)=6, HEX2DEC(MID(ChartLines.Hex6, 3, 2)), "·")</f>
        <v>48</v>
      </c>
      <c r="O211" s="1">
        <f t="shared" ref="O211" si="984" xml:space="preserve"> IF(LEN(ChartLines.Hex6)=6, HEX2DEC(RIGHT(ChartLines.Hex6, 2)), "·")</f>
        <v>135</v>
      </c>
      <c r="P211" s="1" cm="1">
        <f t="array" ref="P211" xml:space="preserve"> 1 + ROW() - _xlfn.SINGLE(ROW(ChartLines.RowNum))</f>
        <v>206</v>
      </c>
    </row>
    <row r="212" spans="2:16" x14ac:dyDescent="0.2">
      <c r="B212" s="1" t="s">
        <v>257</v>
      </c>
      <c r="C212" s="4" t="s">
        <v>158</v>
      </c>
      <c r="G212" s="1" t="s">
        <v>153</v>
      </c>
      <c r="H212" s="1" t="s">
        <v>425</v>
      </c>
      <c r="J212" s="1">
        <f t="shared" ref="J212" si="985" xml:space="preserve"> IF(AND(LEN(ChartLines.ID)&gt;0,"Unused"&lt;&gt;ChartLines.ID), COUNTIFS(ChartLines.ID,ChartLines.ID), "·")</f>
        <v>2</v>
      </c>
      <c r="K212" s="1">
        <f t="shared" ref="K212" si="986" xml:space="preserve"> IF(AND(LEN(ChartLines.ID)&gt;0,"Unused"&lt;&gt;ChartLines.ID), COUNTIFS(ChartLines.ID,ChartLines.ID,   ChartLines.RowNum,"&lt;="&amp;ChartLines.RowNum), "·")</f>
        <v>2</v>
      </c>
      <c r="L212" s="1" t="str" cm="1">
        <f t="array" ref="L212" xml:space="preserve"> _xlfn.IFS(OR(LEN(_xlfn.SINGLE(ChartLines.ID))=0,"Unused"=_xlfn.SINGLE(ChartLines.ID)), "·",   1=_xlfn.SINGLE(ChartLines.NumInstances), IF("USD"=_xlfn.SINGLE(ChartLines.ID), "SoleBig", "SoleOrdinary"),   1=_xlfn.SINGLE(ChartLines.InstanceNum), "Outer",   TRUE, "Inner")</f>
        <v>Inner</v>
      </c>
      <c r="M212" s="1">
        <f t="shared" ref="M212" si="987" xml:space="preserve"> IF(LEN(ChartLines.Hex6)=6, HEX2DEC(LEFT(ChartLines.Hex6, 2)), "·")</f>
        <v>255</v>
      </c>
      <c r="N212" s="1">
        <f t="shared" ref="N212" si="988" xml:space="preserve"> IF(LEN(ChartLines.Hex6)=6, HEX2DEC(MID(ChartLines.Hex6, 3, 2)), "·")</f>
        <v>205</v>
      </c>
      <c r="O212" s="1">
        <f t="shared" ref="O212" si="989" xml:space="preserve"> IF(LEN(ChartLines.Hex6)=6, HEX2DEC(RIGHT(ChartLines.Hex6, 2)), "·")</f>
        <v>0</v>
      </c>
      <c r="P212" s="1" cm="1">
        <f t="array" ref="P212" xml:space="preserve"> 1 + ROW() - _xlfn.SINGLE(ROW(ChartLines.RowNum))</f>
        <v>207</v>
      </c>
    </row>
    <row r="213" spans="2:16" x14ac:dyDescent="0.2">
      <c r="B213" s="1" t="s">
        <v>258</v>
      </c>
      <c r="C213" s="4" t="s">
        <v>162</v>
      </c>
      <c r="G213" s="1" t="s">
        <v>154</v>
      </c>
      <c r="H213" s="1" t="s">
        <v>426</v>
      </c>
      <c r="J213" s="1">
        <f t="shared" ref="J213" si="990" xml:space="preserve"> IF(AND(LEN(ChartLines.ID)&gt;0,"Unused"&lt;&gt;ChartLines.ID), COUNTIFS(ChartLines.ID,ChartLines.ID), "·")</f>
        <v>2</v>
      </c>
      <c r="K213" s="1">
        <f t="shared" ref="K213" si="991" xml:space="preserve"> IF(AND(LEN(ChartLines.ID)&gt;0,"Unused"&lt;&gt;ChartLines.ID), COUNTIFS(ChartLines.ID,ChartLines.ID,   ChartLines.RowNum,"&lt;="&amp;ChartLines.RowNum), "·")</f>
        <v>1</v>
      </c>
      <c r="L213" s="1" t="str" cm="1">
        <f t="array" ref="L213" xml:space="preserve"> _xlfn.IFS(OR(LEN(_xlfn.SINGLE(ChartLines.ID))=0,"Unused"=_xlfn.SINGLE(ChartLines.ID)), "·",   1=_xlfn.SINGLE(ChartLines.NumInstances), IF("USD"=_xlfn.SINGLE(ChartLines.ID), "SoleBig", "SoleOrdinary"),   1=_xlfn.SINGLE(ChartLines.InstanceNum), "Outer",   TRUE, "Inner")</f>
        <v>Outer</v>
      </c>
      <c r="M213" s="1">
        <f t="shared" ref="M213" si="992" xml:space="preserve"> IF(LEN(ChartLines.Hex6)=6, HEX2DEC(LEFT(ChartLines.Hex6, 2)), "·")</f>
        <v>200</v>
      </c>
      <c r="N213" s="1">
        <f t="shared" ref="N213" si="993" xml:space="preserve"> IF(LEN(ChartLines.Hex6)=6, HEX2DEC(MID(ChartLines.Hex6, 3, 2)), "·")</f>
        <v>16</v>
      </c>
      <c r="O213" s="1">
        <f t="shared" ref="O213" si="994" xml:space="preserve"> IF(LEN(ChartLines.Hex6)=6, HEX2DEC(RIGHT(ChartLines.Hex6, 2)), "·")</f>
        <v>46</v>
      </c>
      <c r="P213" s="1" cm="1">
        <f t="array" ref="P213" xml:space="preserve"> 1 + ROW() - _xlfn.SINGLE(ROW(ChartLines.RowNum))</f>
        <v>208</v>
      </c>
    </row>
    <row r="214" spans="2:16" x14ac:dyDescent="0.2">
      <c r="B214" s="1" t="s">
        <v>259</v>
      </c>
      <c r="C214" s="4" t="s">
        <v>163</v>
      </c>
      <c r="G214" s="1" t="s">
        <v>154</v>
      </c>
      <c r="H214" s="1" t="s">
        <v>423</v>
      </c>
      <c r="J214" s="1">
        <f t="shared" ref="J214" si="995" xml:space="preserve"> IF(AND(LEN(ChartLines.ID)&gt;0,"Unused"&lt;&gt;ChartLines.ID), COUNTIFS(ChartLines.ID,ChartLines.ID), "·")</f>
        <v>2</v>
      </c>
      <c r="K214" s="1">
        <f t="shared" ref="K214" si="996" xml:space="preserve"> IF(AND(LEN(ChartLines.ID)&gt;0,"Unused"&lt;&gt;ChartLines.ID), COUNTIFS(ChartLines.ID,ChartLines.ID,   ChartLines.RowNum,"&lt;="&amp;ChartLines.RowNum), "·")</f>
        <v>2</v>
      </c>
      <c r="L214" s="1" t="str" cm="1">
        <f t="array" ref="L214" xml:space="preserve"> _xlfn.IFS(OR(LEN(_xlfn.SINGLE(ChartLines.ID))=0,"Unused"=_xlfn.SINGLE(ChartLines.ID)), "·",   1=_xlfn.SINGLE(ChartLines.NumInstances), IF("USD"=_xlfn.SINGLE(ChartLines.ID), "SoleBig", "SoleOrdinary"),   1=_xlfn.SINGLE(ChartLines.InstanceNum), "Outer",   TRUE, "Inner")</f>
        <v>Inner</v>
      </c>
      <c r="M214" s="1">
        <f t="shared" ref="M214" si="997" xml:space="preserve"> IF(LEN(ChartLines.Hex6)=6, HEX2DEC(LEFT(ChartLines.Hex6, 2)), "·")</f>
        <v>255</v>
      </c>
      <c r="N214" s="1">
        <f t="shared" ref="N214" si="998" xml:space="preserve"> IF(LEN(ChartLines.Hex6)=6, HEX2DEC(MID(ChartLines.Hex6, 3, 2)), "·")</f>
        <v>255</v>
      </c>
      <c r="O214" s="1">
        <f t="shared" ref="O214" si="999" xml:space="preserve"> IF(LEN(ChartLines.Hex6)=6, HEX2DEC(RIGHT(ChartLines.Hex6, 2)), "·")</f>
        <v>255</v>
      </c>
      <c r="P214" s="1" cm="1">
        <f t="array" ref="P214" xml:space="preserve"> 1 + ROW() - _xlfn.SINGLE(ROW(ChartLines.RowNum))</f>
        <v>209</v>
      </c>
    </row>
    <row r="215" spans="2:16" x14ac:dyDescent="0.2">
      <c r="B215" s="1" t="s">
        <v>260</v>
      </c>
      <c r="C215" s="4" t="s">
        <v>164</v>
      </c>
      <c r="G215" s="1" t="s">
        <v>155</v>
      </c>
      <c r="H215" s="1" t="str">
        <f xml:space="preserve"> "001489"</f>
        <v>001489</v>
      </c>
      <c r="J215" s="1">
        <f t="shared" ref="J215" si="1000" xml:space="preserve"> IF(AND(LEN(ChartLines.ID)&gt;0,"Unused"&lt;&gt;ChartLines.ID), COUNTIFS(ChartLines.ID,ChartLines.ID), "·")</f>
        <v>2</v>
      </c>
      <c r="K215" s="1">
        <f t="shared" ref="K215" si="1001" xml:space="preserve"> IF(AND(LEN(ChartLines.ID)&gt;0,"Unused"&lt;&gt;ChartLines.ID), COUNTIFS(ChartLines.ID,ChartLines.ID,   ChartLines.RowNum,"&lt;="&amp;ChartLines.RowNum), "·")</f>
        <v>1</v>
      </c>
      <c r="L215" s="1" t="str" cm="1">
        <f t="array" ref="L215" xml:space="preserve"> _xlfn.IFS(OR(LEN(_xlfn.SINGLE(ChartLines.ID))=0,"Unused"=_xlfn.SINGLE(ChartLines.ID)), "·",   1=_xlfn.SINGLE(ChartLines.NumInstances), IF("USD"=_xlfn.SINGLE(ChartLines.ID), "SoleBig", "SoleOrdinary"),   1=_xlfn.SINGLE(ChartLines.InstanceNum), "Outer",   TRUE, "Inner")</f>
        <v>Outer</v>
      </c>
      <c r="M215" s="1">
        <f t="shared" ref="M215" si="1002" xml:space="preserve"> IF(LEN(ChartLines.Hex6)=6, HEX2DEC(LEFT(ChartLines.Hex6, 2)), "·")</f>
        <v>0</v>
      </c>
      <c r="N215" s="1">
        <f t="shared" ref="N215" si="1003" xml:space="preserve"> IF(LEN(ChartLines.Hex6)=6, HEX2DEC(MID(ChartLines.Hex6, 3, 2)), "·")</f>
        <v>20</v>
      </c>
      <c r="O215" s="1">
        <f t="shared" ref="O215" si="1004" xml:space="preserve"> IF(LEN(ChartLines.Hex6)=6, HEX2DEC(RIGHT(ChartLines.Hex6, 2)), "·")</f>
        <v>137</v>
      </c>
      <c r="P215" s="1" cm="1">
        <f t="array" ref="P215" xml:space="preserve"> 1 + ROW() - _xlfn.SINGLE(ROW(ChartLines.RowNum))</f>
        <v>210</v>
      </c>
    </row>
    <row r="216" spans="2:16" x14ac:dyDescent="0.2">
      <c r="B216" s="1" t="s">
        <v>261</v>
      </c>
      <c r="C216" s="4" t="s">
        <v>165</v>
      </c>
      <c r="G216" s="1" t="s">
        <v>155</v>
      </c>
      <c r="H216" s="1" t="s">
        <v>423</v>
      </c>
      <c r="J216" s="1">
        <f t="shared" ref="J216" si="1005" xml:space="preserve"> IF(AND(LEN(ChartLines.ID)&gt;0,"Unused"&lt;&gt;ChartLines.ID), COUNTIFS(ChartLines.ID,ChartLines.ID), "·")</f>
        <v>2</v>
      </c>
      <c r="K216" s="1">
        <f t="shared" ref="K216" si="1006" xml:space="preserve"> IF(AND(LEN(ChartLines.ID)&gt;0,"Unused"&lt;&gt;ChartLines.ID), COUNTIFS(ChartLines.ID,ChartLines.ID,   ChartLines.RowNum,"&lt;="&amp;ChartLines.RowNum), "·")</f>
        <v>2</v>
      </c>
      <c r="L216" s="1" t="str" cm="1">
        <f t="array" ref="L216" xml:space="preserve"> _xlfn.IFS(OR(LEN(_xlfn.SINGLE(ChartLines.ID))=0,"Unused"=_xlfn.SINGLE(ChartLines.ID)), "·",   1=_xlfn.SINGLE(ChartLines.NumInstances), IF("USD"=_xlfn.SINGLE(ChartLines.ID), "SoleBig", "SoleOrdinary"),   1=_xlfn.SINGLE(ChartLines.InstanceNum), "Outer",   TRUE, "Inner")</f>
        <v>Inner</v>
      </c>
      <c r="M216" s="1">
        <f t="shared" ref="M216" si="1007" xml:space="preserve"> IF(LEN(ChartLines.Hex6)=6, HEX2DEC(LEFT(ChartLines.Hex6, 2)), "·")</f>
        <v>255</v>
      </c>
      <c r="N216" s="1">
        <f t="shared" ref="N216" si="1008" xml:space="preserve"> IF(LEN(ChartLines.Hex6)=6, HEX2DEC(MID(ChartLines.Hex6, 3, 2)), "·")</f>
        <v>255</v>
      </c>
      <c r="O216" s="1">
        <f t="shared" ref="O216" si="1009" xml:space="preserve"> IF(LEN(ChartLines.Hex6)=6, HEX2DEC(RIGHT(ChartLines.Hex6, 2)), "·")</f>
        <v>255</v>
      </c>
      <c r="P216" s="1" cm="1">
        <f t="array" ref="P216" xml:space="preserve"> 1 + ROW() - _xlfn.SINGLE(ROW(ChartLines.RowNum))</f>
        <v>211</v>
      </c>
    </row>
    <row r="217" spans="2:16" x14ac:dyDescent="0.2">
      <c r="B217" s="1" t="s">
        <v>262</v>
      </c>
      <c r="C217" s="4" t="s">
        <v>166</v>
      </c>
      <c r="G217" s="1" t="s">
        <v>156</v>
      </c>
      <c r="H217" s="1" t="s">
        <v>519</v>
      </c>
      <c r="J217" s="1">
        <f t="shared" ref="J217" si="1010" xml:space="preserve"> IF(AND(LEN(ChartLines.ID)&gt;0,"Unused"&lt;&gt;ChartLines.ID), COUNTIFS(ChartLines.ID,ChartLines.ID), "·")</f>
        <v>2</v>
      </c>
      <c r="K217" s="1">
        <f t="shared" ref="K217" si="1011" xml:space="preserve"> IF(AND(LEN(ChartLines.ID)&gt;0,"Unused"&lt;&gt;ChartLines.ID), COUNTIFS(ChartLines.ID,ChartLines.ID,   ChartLines.RowNum,"&lt;="&amp;ChartLines.RowNum), "·")</f>
        <v>1</v>
      </c>
      <c r="L217" s="1" t="str" cm="1">
        <f t="array" ref="L217" xml:space="preserve"> _xlfn.IFS(OR(LEN(_xlfn.SINGLE(ChartLines.ID))=0,"Unused"=_xlfn.SINGLE(ChartLines.ID)), "·",   1=_xlfn.SINGLE(ChartLines.NumInstances), IF("USD"=_xlfn.SINGLE(ChartLines.ID), "SoleBig", "SoleOrdinary"),   1=_xlfn.SINGLE(ChartLines.InstanceNum), "Outer",   TRUE, "Inner")</f>
        <v>Outer</v>
      </c>
      <c r="M217" s="1">
        <f t="shared" ref="M217" si="1012" xml:space="preserve"> IF(LEN(ChartLines.Hex6)=6, HEX2DEC(LEFT(ChartLines.Hex6, 2)), "·")</f>
        <v>108</v>
      </c>
      <c r="N217" s="1">
        <f t="shared" ref="N217" si="1013" xml:space="preserve"> IF(LEN(ChartLines.Hex6)=6, HEX2DEC(MID(ChartLines.Hex6, 3, 2)), "·")</f>
        <v>172</v>
      </c>
      <c r="O217" s="1">
        <f t="shared" ref="O217" si="1014" xml:space="preserve"> IF(LEN(ChartLines.Hex6)=6, HEX2DEC(RIGHT(ChartLines.Hex6, 2)), "·")</f>
        <v>228</v>
      </c>
      <c r="P217" s="1" cm="1">
        <f t="array" ref="P217" xml:space="preserve"> 1 + ROW() - _xlfn.SINGLE(ROW(ChartLines.RowNum))</f>
        <v>212</v>
      </c>
    </row>
    <row r="218" spans="2:16" x14ac:dyDescent="0.2">
      <c r="B218" s="1" t="s">
        <v>263</v>
      </c>
      <c r="C218" s="4" t="s">
        <v>61</v>
      </c>
      <c r="G218" s="1" t="s">
        <v>156</v>
      </c>
      <c r="H218" s="1" t="s">
        <v>423</v>
      </c>
      <c r="J218" s="1">
        <f t="shared" ref="J218" si="1015" xml:space="preserve"> IF(AND(LEN(ChartLines.ID)&gt;0,"Unused"&lt;&gt;ChartLines.ID), COUNTIFS(ChartLines.ID,ChartLines.ID), "·")</f>
        <v>2</v>
      </c>
      <c r="K218" s="1">
        <f t="shared" ref="K218" si="1016" xml:space="preserve"> IF(AND(LEN(ChartLines.ID)&gt;0,"Unused"&lt;&gt;ChartLines.ID), COUNTIFS(ChartLines.ID,ChartLines.ID,   ChartLines.RowNum,"&lt;="&amp;ChartLines.RowNum), "·")</f>
        <v>2</v>
      </c>
      <c r="L218" s="1" t="str" cm="1">
        <f t="array" ref="L218" xml:space="preserve"> _xlfn.IFS(OR(LEN(_xlfn.SINGLE(ChartLines.ID))=0,"Unused"=_xlfn.SINGLE(ChartLines.ID)), "·",   1=_xlfn.SINGLE(ChartLines.NumInstances), IF("USD"=_xlfn.SINGLE(ChartLines.ID), "SoleBig", "SoleOrdinary"),   1=_xlfn.SINGLE(ChartLines.InstanceNum), "Outer",   TRUE, "Inner")</f>
        <v>Inner</v>
      </c>
      <c r="M218" s="1">
        <f t="shared" ref="M218" si="1017" xml:space="preserve"> IF(LEN(ChartLines.Hex6)=6, HEX2DEC(LEFT(ChartLines.Hex6, 2)), "·")</f>
        <v>255</v>
      </c>
      <c r="N218" s="1">
        <f t="shared" ref="N218" si="1018" xml:space="preserve"> IF(LEN(ChartLines.Hex6)=6, HEX2DEC(MID(ChartLines.Hex6, 3, 2)), "·")</f>
        <v>255</v>
      </c>
      <c r="O218" s="1">
        <f t="shared" ref="O218" si="1019" xml:space="preserve"> IF(LEN(ChartLines.Hex6)=6, HEX2DEC(RIGHT(ChartLines.Hex6, 2)), "·")</f>
        <v>255</v>
      </c>
      <c r="P218" s="1" cm="1">
        <f t="array" ref="P218" xml:space="preserve"> 1 + ROW() - _xlfn.SINGLE(ROW(ChartLines.RowNum))</f>
        <v>213</v>
      </c>
    </row>
    <row r="219" spans="2:16" x14ac:dyDescent="0.2">
      <c r="B219" s="1" t="s">
        <v>264</v>
      </c>
      <c r="C219" s="4" t="s">
        <v>62</v>
      </c>
      <c r="G219" s="1" t="s">
        <v>157</v>
      </c>
      <c r="H219" s="1" t="str">
        <f xml:space="preserve"> "000000"</f>
        <v>000000</v>
      </c>
      <c r="J219" s="1">
        <f t="shared" ref="J219" si="1020" xml:space="preserve"> IF(AND(LEN(ChartLines.ID)&gt;0,"Unused"&lt;&gt;ChartLines.ID), COUNTIFS(ChartLines.ID,ChartLines.ID), "·")</f>
        <v>2</v>
      </c>
      <c r="K219" s="1">
        <f t="shared" ref="K219" si="1021" xml:space="preserve"> IF(AND(LEN(ChartLines.ID)&gt;0,"Unused"&lt;&gt;ChartLines.ID), COUNTIFS(ChartLines.ID,ChartLines.ID,   ChartLines.RowNum,"&lt;="&amp;ChartLines.RowNum), "·")</f>
        <v>1</v>
      </c>
      <c r="L219" s="1" t="str" cm="1">
        <f t="array" ref="L219" xml:space="preserve"> _xlfn.IFS(OR(LEN(_xlfn.SINGLE(ChartLines.ID))=0,"Unused"=_xlfn.SINGLE(ChartLines.ID)), "·",   1=_xlfn.SINGLE(ChartLines.NumInstances), IF("USD"=_xlfn.SINGLE(ChartLines.ID), "SoleBig", "SoleOrdinary"),   1=_xlfn.SINGLE(ChartLines.InstanceNum), "Outer",   TRUE, "Inner")</f>
        <v>Outer</v>
      </c>
      <c r="M219" s="1">
        <f t="shared" ref="M219" si="1022" xml:space="preserve"> IF(LEN(ChartLines.Hex6)=6, HEX2DEC(LEFT(ChartLines.Hex6, 2)), "·")</f>
        <v>0</v>
      </c>
      <c r="N219" s="1">
        <f t="shared" ref="N219" si="1023" xml:space="preserve"> IF(LEN(ChartLines.Hex6)=6, HEX2DEC(MID(ChartLines.Hex6, 3, 2)), "·")</f>
        <v>0</v>
      </c>
      <c r="O219" s="1">
        <f t="shared" ref="O219" si="1024" xml:space="preserve"> IF(LEN(ChartLines.Hex6)=6, HEX2DEC(RIGHT(ChartLines.Hex6, 2)), "·")</f>
        <v>0</v>
      </c>
      <c r="P219" s="1" cm="1">
        <f t="array" ref="P219" xml:space="preserve"> 1 + ROW() - _xlfn.SINGLE(ROW(ChartLines.RowNum))</f>
        <v>214</v>
      </c>
    </row>
    <row r="220" spans="2:16" x14ac:dyDescent="0.2">
      <c r="B220" s="1" t="s">
        <v>265</v>
      </c>
      <c r="C220" s="4" t="s">
        <v>63</v>
      </c>
      <c r="G220" s="1" t="s">
        <v>157</v>
      </c>
      <c r="H220" s="1" t="s">
        <v>423</v>
      </c>
      <c r="J220" s="1">
        <f t="shared" ref="J220" si="1025" xml:space="preserve"> IF(AND(LEN(ChartLines.ID)&gt;0,"Unused"&lt;&gt;ChartLines.ID), COUNTIFS(ChartLines.ID,ChartLines.ID), "·")</f>
        <v>2</v>
      </c>
      <c r="K220" s="1">
        <f t="shared" ref="K220" si="1026" xml:space="preserve"> IF(AND(LEN(ChartLines.ID)&gt;0,"Unused"&lt;&gt;ChartLines.ID), COUNTIFS(ChartLines.ID,ChartLines.ID,   ChartLines.RowNum,"&lt;="&amp;ChartLines.RowNum), "·")</f>
        <v>2</v>
      </c>
      <c r="L220" s="1" t="str" cm="1">
        <f t="array" ref="L220" xml:space="preserve"> _xlfn.IFS(OR(LEN(_xlfn.SINGLE(ChartLines.ID))=0,"Unused"=_xlfn.SINGLE(ChartLines.ID)), "·",   1=_xlfn.SINGLE(ChartLines.NumInstances), IF("USD"=_xlfn.SINGLE(ChartLines.ID), "SoleBig", "SoleOrdinary"),   1=_xlfn.SINGLE(ChartLines.InstanceNum), "Outer",   TRUE, "Inner")</f>
        <v>Inner</v>
      </c>
      <c r="M220" s="1">
        <f t="shared" ref="M220" si="1027" xml:space="preserve"> IF(LEN(ChartLines.Hex6)=6, HEX2DEC(LEFT(ChartLines.Hex6, 2)), "·")</f>
        <v>255</v>
      </c>
      <c r="N220" s="1">
        <f t="shared" ref="N220" si="1028" xml:space="preserve"> IF(LEN(ChartLines.Hex6)=6, HEX2DEC(MID(ChartLines.Hex6, 3, 2)), "·")</f>
        <v>255</v>
      </c>
      <c r="O220" s="1">
        <f t="shared" ref="O220" si="1029" xml:space="preserve"> IF(LEN(ChartLines.Hex6)=6, HEX2DEC(RIGHT(ChartLines.Hex6, 2)), "·")</f>
        <v>255</v>
      </c>
      <c r="P220" s="1" cm="1">
        <f t="array" ref="P220" xml:space="preserve"> 1 + ROW() - _xlfn.SINGLE(ROW(ChartLines.RowNum))</f>
        <v>215</v>
      </c>
    </row>
    <row r="221" spans="2:16" x14ac:dyDescent="0.2">
      <c r="B221" s="1" t="s">
        <v>266</v>
      </c>
      <c r="C221" s="4" t="s">
        <v>63</v>
      </c>
      <c r="G221" s="1" t="s">
        <v>158</v>
      </c>
      <c r="H221" s="1" t="s">
        <v>520</v>
      </c>
      <c r="J221" s="1">
        <f t="shared" ref="J221" si="1030" xml:space="preserve"> IF(AND(LEN(ChartLines.ID)&gt;0,"Unused"&lt;&gt;ChartLines.ID), COUNTIFS(ChartLines.ID,ChartLines.ID), "·")</f>
        <v>2</v>
      </c>
      <c r="K221" s="1">
        <f t="shared" ref="K221" si="1031" xml:space="preserve"> IF(AND(LEN(ChartLines.ID)&gt;0,"Unused"&lt;&gt;ChartLines.ID), COUNTIFS(ChartLines.ID,ChartLines.ID,   ChartLines.RowNum,"&lt;="&amp;ChartLines.RowNum), "·")</f>
        <v>1</v>
      </c>
      <c r="L221" s="1" t="str" cm="1">
        <f t="array" ref="L221" xml:space="preserve"> _xlfn.IFS(OR(LEN(_xlfn.SINGLE(ChartLines.ID))=0,"Unused"=_xlfn.SINGLE(ChartLines.ID)), "·",   1=_xlfn.SINGLE(ChartLines.NumInstances), IF("USD"=_xlfn.SINGLE(ChartLines.ID), "SoleBig", "SoleOrdinary"),   1=_xlfn.SINGLE(ChartLines.InstanceNum), "Outer",   TRUE, "Inner")</f>
        <v>Outer</v>
      </c>
      <c r="M221" s="1">
        <f t="shared" ref="M221" si="1032" xml:space="preserve"> IF(LEN(ChartLines.Hex6)=6, HEX2DEC(LEFT(ChartLines.Hex6, 2)), "·")</f>
        <v>29</v>
      </c>
      <c r="N221" s="1">
        <f t="shared" ref="N221" si="1033" xml:space="preserve"> IF(LEN(ChartLines.Hex6)=6, HEX2DEC(MID(ChartLines.Hex6, 3, 2)), "·")</f>
        <v>66</v>
      </c>
      <c r="O221" s="1">
        <f t="shared" ref="O221" si="1034" xml:space="preserve"> IF(LEN(ChartLines.Hex6)=6, HEX2DEC(RIGHT(ChartLines.Hex6, 2)), "·")</f>
        <v>138</v>
      </c>
      <c r="P221" s="1" cm="1">
        <f t="array" ref="P221" xml:space="preserve"> 1 + ROW() - _xlfn.SINGLE(ROW(ChartLines.RowNum))</f>
        <v>216</v>
      </c>
    </row>
    <row r="222" spans="2:16" x14ac:dyDescent="0.2">
      <c r="B222" s="1" t="s">
        <v>267</v>
      </c>
      <c r="C222" s="4" t="s">
        <v>64</v>
      </c>
      <c r="G222" s="1" t="s">
        <v>158</v>
      </c>
      <c r="H222" s="1" t="s">
        <v>426</v>
      </c>
      <c r="J222" s="1">
        <f t="shared" ref="J222" si="1035" xml:space="preserve"> IF(AND(LEN(ChartLines.ID)&gt;0,"Unused"&lt;&gt;ChartLines.ID), COUNTIFS(ChartLines.ID,ChartLines.ID), "·")</f>
        <v>2</v>
      </c>
      <c r="K222" s="1">
        <f t="shared" ref="K222" si="1036" xml:space="preserve"> IF(AND(LEN(ChartLines.ID)&gt;0,"Unused"&lt;&gt;ChartLines.ID), COUNTIFS(ChartLines.ID,ChartLines.ID,   ChartLines.RowNum,"&lt;="&amp;ChartLines.RowNum), "·")</f>
        <v>2</v>
      </c>
      <c r="L222" s="1" t="str" cm="1">
        <f t="array" ref="L222" xml:space="preserve"> _xlfn.IFS(OR(LEN(_xlfn.SINGLE(ChartLines.ID))=0,"Unused"=_xlfn.SINGLE(ChartLines.ID)), "·",   1=_xlfn.SINGLE(ChartLines.NumInstances), IF("USD"=_xlfn.SINGLE(ChartLines.ID), "SoleBig", "SoleOrdinary"),   1=_xlfn.SINGLE(ChartLines.InstanceNum), "Outer",   TRUE, "Inner")</f>
        <v>Inner</v>
      </c>
      <c r="M222" s="1">
        <f t="shared" ref="M222" si="1037" xml:space="preserve"> IF(LEN(ChartLines.Hex6)=6, HEX2DEC(LEFT(ChartLines.Hex6, 2)), "·")</f>
        <v>200</v>
      </c>
      <c r="N222" s="1">
        <f t="shared" ref="N222" si="1038" xml:space="preserve"> IF(LEN(ChartLines.Hex6)=6, HEX2DEC(MID(ChartLines.Hex6, 3, 2)), "·")</f>
        <v>16</v>
      </c>
      <c r="O222" s="1">
        <f t="shared" ref="O222" si="1039" xml:space="preserve"> IF(LEN(ChartLines.Hex6)=6, HEX2DEC(RIGHT(ChartLines.Hex6, 2)), "·")</f>
        <v>46</v>
      </c>
      <c r="P222" s="1" cm="1">
        <f t="array" ref="P222" xml:space="preserve"> 1 + ROW() - _xlfn.SINGLE(ROW(ChartLines.RowNum))</f>
        <v>217</v>
      </c>
    </row>
    <row r="223" spans="2:16" x14ac:dyDescent="0.2">
      <c r="B223" s="1" t="s">
        <v>268</v>
      </c>
      <c r="C223" s="4" t="s">
        <v>65</v>
      </c>
      <c r="G223" s="1" t="s">
        <v>159</v>
      </c>
      <c r="H223" s="1" t="s">
        <v>450</v>
      </c>
      <c r="J223" s="1">
        <f t="shared" ref="J223" si="1040" xml:space="preserve"> IF(AND(LEN(ChartLines.ID)&gt;0,"Unused"&lt;&gt;ChartLines.ID), COUNTIFS(ChartLines.ID,ChartLines.ID), "·")</f>
        <v>2</v>
      </c>
      <c r="K223" s="1">
        <f t="shared" ref="K223" si="1041" xml:space="preserve"> IF(AND(LEN(ChartLines.ID)&gt;0,"Unused"&lt;&gt;ChartLines.ID), COUNTIFS(ChartLines.ID,ChartLines.ID,   ChartLines.RowNum,"&lt;="&amp;ChartLines.RowNum), "·")</f>
        <v>1</v>
      </c>
      <c r="L223" s="1" t="str" cm="1">
        <f t="array" ref="L223" xml:space="preserve"> _xlfn.IFS(OR(LEN(_xlfn.SINGLE(ChartLines.ID))=0,"Unused"=_xlfn.SINGLE(ChartLines.ID)), "·",   1=_xlfn.SINGLE(ChartLines.NumInstances), IF("USD"=_xlfn.SINGLE(ChartLines.ID), "SoleBig", "SoleOrdinary"),   1=_xlfn.SINGLE(ChartLines.InstanceNum), "Outer",   TRUE, "Inner")</f>
        <v>Outer</v>
      </c>
      <c r="M223" s="1">
        <f t="shared" ref="M223" si="1042" xml:space="preserve"> IF(LEN(ChartLines.Hex6)=6, HEX2DEC(LEFT(ChartLines.Hex6, 2)), "·")</f>
        <v>0</v>
      </c>
      <c r="N223" s="1">
        <f t="shared" ref="N223" si="1043" xml:space="preserve"> IF(LEN(ChartLines.Hex6)=6, HEX2DEC(MID(ChartLines.Hex6, 3, 2)), "·")</f>
        <v>114</v>
      </c>
      <c r="O223" s="1">
        <f t="shared" ref="O223" si="1044" xml:space="preserve"> IF(LEN(ChartLines.Hex6)=6, HEX2DEC(RIGHT(ChartLines.Hex6, 2)), "·")</f>
        <v>206</v>
      </c>
      <c r="P223" s="1" cm="1">
        <f t="array" ref="P223" xml:space="preserve"> 1 + ROW() - _xlfn.SINGLE(ROW(ChartLines.RowNum))</f>
        <v>218</v>
      </c>
    </row>
    <row r="224" spans="2:16" x14ac:dyDescent="0.2">
      <c r="B224" s="1" t="s">
        <v>269</v>
      </c>
      <c r="C224" s="4" t="s">
        <v>66</v>
      </c>
      <c r="G224" s="1" t="s">
        <v>159</v>
      </c>
      <c r="H224" s="1" t="s">
        <v>427</v>
      </c>
      <c r="J224" s="1">
        <f t="shared" ref="J224" si="1045" xml:space="preserve"> IF(AND(LEN(ChartLines.ID)&gt;0,"Unused"&lt;&gt;ChartLines.ID), COUNTIFS(ChartLines.ID,ChartLines.ID), "·")</f>
        <v>2</v>
      </c>
      <c r="K224" s="1">
        <f t="shared" ref="K224" si="1046" xml:space="preserve"> IF(AND(LEN(ChartLines.ID)&gt;0,"Unused"&lt;&gt;ChartLines.ID), COUNTIFS(ChartLines.ID,ChartLines.ID,   ChartLines.RowNum,"&lt;="&amp;ChartLines.RowNum), "·")</f>
        <v>2</v>
      </c>
      <c r="L224" s="1" t="str" cm="1">
        <f t="array" ref="L224" xml:space="preserve"> _xlfn.IFS(OR(LEN(_xlfn.SINGLE(ChartLines.ID))=0,"Unused"=_xlfn.SINGLE(ChartLines.ID)), "·",   1=_xlfn.SINGLE(ChartLines.NumInstances), IF("USD"=_xlfn.SINGLE(ChartLines.ID), "SoleBig", "SoleOrdinary"),   1=_xlfn.SINGLE(ChartLines.InstanceNum), "Outer",   TRUE, "Inner")</f>
        <v>Inner</v>
      </c>
      <c r="M224" s="1">
        <f t="shared" ref="M224" si="1047" xml:space="preserve"> IF(LEN(ChartLines.Hex6)=6, HEX2DEC(LEFT(ChartLines.Hex6, 2)), "·")</f>
        <v>255</v>
      </c>
      <c r="N224" s="1">
        <f t="shared" ref="N224" si="1048" xml:space="preserve"> IF(LEN(ChartLines.Hex6)=6, HEX2DEC(MID(ChartLines.Hex6, 3, 2)), "·")</f>
        <v>209</v>
      </c>
      <c r="O224" s="1">
        <f t="shared" ref="O224" si="1049" xml:space="preserve"> IF(LEN(ChartLines.Hex6)=6, HEX2DEC(RIGHT(ChartLines.Hex6, 2)), "·")</f>
        <v>0</v>
      </c>
      <c r="P224" s="1" cm="1">
        <f t="array" ref="P224" xml:space="preserve"> 1 + ROW() - _xlfn.SINGLE(ROW(ChartLines.RowNum))</f>
        <v>219</v>
      </c>
    </row>
    <row r="225" spans="2:16" x14ac:dyDescent="0.2">
      <c r="B225" s="1" t="s">
        <v>270</v>
      </c>
      <c r="C225" s="4" t="s">
        <v>67</v>
      </c>
      <c r="G225" s="1" t="s">
        <v>160</v>
      </c>
      <c r="H225" s="1" t="s">
        <v>521</v>
      </c>
      <c r="J225" s="1">
        <f t="shared" ref="J225" si="1050" xml:space="preserve"> IF(AND(LEN(ChartLines.ID)&gt;0,"Unused"&lt;&gt;ChartLines.ID), COUNTIFS(ChartLines.ID,ChartLines.ID), "·")</f>
        <v>2</v>
      </c>
      <c r="K225" s="1">
        <f t="shared" ref="K225" si="1051" xml:space="preserve"> IF(AND(LEN(ChartLines.ID)&gt;0,"Unused"&lt;&gt;ChartLines.ID), COUNTIFS(ChartLines.ID,ChartLines.ID,   ChartLines.RowNum,"&lt;="&amp;ChartLines.RowNum), "·")</f>
        <v>1</v>
      </c>
      <c r="L225" s="1" t="str" cm="1">
        <f t="array" ref="L225" xml:space="preserve"> _xlfn.IFS(OR(LEN(_xlfn.SINGLE(ChartLines.ID))=0,"Unused"=_xlfn.SINGLE(ChartLines.ID)), "·",   1=_xlfn.SINGLE(ChartLines.NumInstances), IF("USD"=_xlfn.SINGLE(ChartLines.ID), "SoleBig", "SoleOrdinary"),   1=_xlfn.SINGLE(ChartLines.InstanceNum), "Outer",   TRUE, "Inner")</f>
        <v>Outer</v>
      </c>
      <c r="M225" s="1">
        <f t="shared" ref="M225" si="1052" xml:space="preserve"> IF(LEN(ChartLines.Hex6)=6, HEX2DEC(LEFT(ChartLines.Hex6, 2)), "·")</f>
        <v>252</v>
      </c>
      <c r="N225" s="1">
        <f t="shared" ref="N225" si="1053" xml:space="preserve"> IF(LEN(ChartLines.Hex6)=6, HEX2DEC(MID(ChartLines.Hex6, 3, 2)), "·")</f>
        <v>227</v>
      </c>
      <c r="O225" s="1">
        <f t="shared" ref="O225" si="1054" xml:space="preserve"> IF(LEN(ChartLines.Hex6)=6, HEX2DEC(RIGHT(ChartLines.Hex6, 2)), "·")</f>
        <v>0</v>
      </c>
      <c r="P225" s="1" cm="1">
        <f t="array" ref="P225" xml:space="preserve"> 1 + ROW() - _xlfn.SINGLE(ROW(ChartLines.RowNum))</f>
        <v>220</v>
      </c>
    </row>
    <row r="226" spans="2:16" x14ac:dyDescent="0.2">
      <c r="B226" s="1" t="s">
        <v>271</v>
      </c>
      <c r="C226" s="4" t="s">
        <v>68</v>
      </c>
      <c r="G226" s="1" t="s">
        <v>160</v>
      </c>
      <c r="H226" s="1" t="s">
        <v>434</v>
      </c>
      <c r="J226" s="1">
        <f t="shared" ref="J226" si="1055" xml:space="preserve"> IF(AND(LEN(ChartLines.ID)&gt;0,"Unused"&lt;&gt;ChartLines.ID), COUNTIFS(ChartLines.ID,ChartLines.ID), "·")</f>
        <v>2</v>
      </c>
      <c r="K226" s="1">
        <f t="shared" ref="K226" si="1056" xml:space="preserve"> IF(AND(LEN(ChartLines.ID)&gt;0,"Unused"&lt;&gt;ChartLines.ID), COUNTIFS(ChartLines.ID,ChartLines.ID,   ChartLines.RowNum,"&lt;="&amp;ChartLines.RowNum), "·")</f>
        <v>2</v>
      </c>
      <c r="L226" s="1" t="str" cm="1">
        <f t="array" ref="L226" xml:space="preserve"> _xlfn.IFS(OR(LEN(_xlfn.SINGLE(ChartLines.ID))=0,"Unused"=_xlfn.SINGLE(ChartLines.ID)), "·",   1=_xlfn.SINGLE(ChartLines.NumInstances), IF("USD"=_xlfn.SINGLE(ChartLines.ID), "SoleBig", "SoleOrdinary"),   1=_xlfn.SINGLE(ChartLines.InstanceNum), "Outer",   TRUE, "Inner")</f>
        <v>Inner</v>
      </c>
      <c r="M226" s="1">
        <f t="shared" ref="M226" si="1057" xml:space="preserve"> IF(LEN(ChartLines.Hex6)=6, HEX2DEC(LEFT(ChartLines.Hex6, 2)), "·")</f>
        <v>0</v>
      </c>
      <c r="N226" s="1">
        <f t="shared" ref="N226" si="1058" xml:space="preserve"> IF(LEN(ChartLines.Hex6)=6, HEX2DEC(MID(ChartLines.Hex6, 3, 2)), "·")</f>
        <v>61</v>
      </c>
      <c r="O226" s="1">
        <f t="shared" ref="O226" si="1059" xml:space="preserve"> IF(LEN(ChartLines.Hex6)=6, HEX2DEC(RIGHT(ChartLines.Hex6, 2)), "·")</f>
        <v>165</v>
      </c>
      <c r="P226" s="1" cm="1">
        <f t="array" ref="P226" xml:space="preserve"> 1 + ROW() - _xlfn.SINGLE(ROW(ChartLines.RowNum))</f>
        <v>221</v>
      </c>
    </row>
    <row r="227" spans="2:16" x14ac:dyDescent="0.2">
      <c r="B227" s="1" t="s">
        <v>272</v>
      </c>
      <c r="C227" s="4" t="s">
        <v>69</v>
      </c>
      <c r="G227" s="1" t="s">
        <v>161</v>
      </c>
      <c r="H227" s="1" t="s">
        <v>507</v>
      </c>
      <c r="J227" s="1">
        <f t="shared" ref="J227" si="1060" xml:space="preserve"> IF(AND(LEN(ChartLines.ID)&gt;0,"Unused"&lt;&gt;ChartLines.ID), COUNTIFS(ChartLines.ID,ChartLines.ID), "·")</f>
        <v>2</v>
      </c>
      <c r="K227" s="1">
        <f t="shared" ref="K227" si="1061" xml:space="preserve"> IF(AND(LEN(ChartLines.ID)&gt;0,"Unused"&lt;&gt;ChartLines.ID), COUNTIFS(ChartLines.ID,ChartLines.ID,   ChartLines.RowNum,"&lt;="&amp;ChartLines.RowNum), "·")</f>
        <v>1</v>
      </c>
      <c r="L227" s="1" t="str" cm="1">
        <f t="array" ref="L227" xml:space="preserve"> _xlfn.IFS(OR(LEN(_xlfn.SINGLE(ChartLines.ID))=0,"Unused"=_xlfn.SINGLE(ChartLines.ID)), "·",   1=_xlfn.SINGLE(ChartLines.NumInstances), IF("USD"=_xlfn.SINGLE(ChartLines.ID), "SoleBig", "SoleOrdinary"),   1=_xlfn.SINGLE(ChartLines.InstanceNum), "Outer",   TRUE, "Inner")</f>
        <v>Outer</v>
      </c>
      <c r="M227" s="1">
        <f t="shared" ref="M227" si="1062" xml:space="preserve"> IF(LEN(ChartLines.Hex6)=6, HEX2DEC(LEFT(ChartLines.Hex6, 2)), "·")</f>
        <v>0</v>
      </c>
      <c r="N227" s="1">
        <f t="shared" ref="N227" si="1063" xml:space="preserve"> IF(LEN(ChartLines.Hex6)=6, HEX2DEC(MID(ChartLines.Hex6, 3, 2)), "·")</f>
        <v>94</v>
      </c>
      <c r="O227" s="1">
        <f t="shared" ref="O227" si="1064" xml:space="preserve"> IF(LEN(ChartLines.Hex6)=6, HEX2DEC(RIGHT(ChartLines.Hex6, 2)), "·")</f>
        <v>184</v>
      </c>
      <c r="P227" s="1" cm="1">
        <f t="array" ref="P227" xml:space="preserve"> 1 + ROW() - _xlfn.SINGLE(ROW(ChartLines.RowNum))</f>
        <v>222</v>
      </c>
    </row>
    <row r="228" spans="2:16" x14ac:dyDescent="0.2">
      <c r="B228" s="1" t="s">
        <v>273</v>
      </c>
      <c r="C228" s="4" t="s">
        <v>70</v>
      </c>
      <c r="G228" s="1" t="s">
        <v>161</v>
      </c>
      <c r="H228" s="1" t="s">
        <v>423</v>
      </c>
      <c r="J228" s="1">
        <f t="shared" ref="J228" si="1065" xml:space="preserve"> IF(AND(LEN(ChartLines.ID)&gt;0,"Unused"&lt;&gt;ChartLines.ID), COUNTIFS(ChartLines.ID,ChartLines.ID), "·")</f>
        <v>2</v>
      </c>
      <c r="K228" s="1">
        <f t="shared" ref="K228" si="1066" xml:space="preserve"> IF(AND(LEN(ChartLines.ID)&gt;0,"Unused"&lt;&gt;ChartLines.ID), COUNTIFS(ChartLines.ID,ChartLines.ID,   ChartLines.RowNum,"&lt;="&amp;ChartLines.RowNum), "·")</f>
        <v>2</v>
      </c>
      <c r="L228" s="1" t="str" cm="1">
        <f t="array" ref="L228" xml:space="preserve"> _xlfn.IFS(OR(LEN(_xlfn.SINGLE(ChartLines.ID))=0,"Unused"=_xlfn.SINGLE(ChartLines.ID)), "·",   1=_xlfn.SINGLE(ChartLines.NumInstances), IF("USD"=_xlfn.SINGLE(ChartLines.ID), "SoleBig", "SoleOrdinary"),   1=_xlfn.SINGLE(ChartLines.InstanceNum), "Outer",   TRUE, "Inner")</f>
        <v>Inner</v>
      </c>
      <c r="M228" s="1">
        <f t="shared" ref="M228" si="1067" xml:space="preserve"> IF(LEN(ChartLines.Hex6)=6, HEX2DEC(LEFT(ChartLines.Hex6, 2)), "·")</f>
        <v>255</v>
      </c>
      <c r="N228" s="1">
        <f t="shared" ref="N228" si="1068" xml:space="preserve"> IF(LEN(ChartLines.Hex6)=6, HEX2DEC(MID(ChartLines.Hex6, 3, 2)), "·")</f>
        <v>255</v>
      </c>
      <c r="O228" s="1">
        <f t="shared" ref="O228" si="1069" xml:space="preserve"> IF(LEN(ChartLines.Hex6)=6, HEX2DEC(RIGHT(ChartLines.Hex6, 2)), "·")</f>
        <v>255</v>
      </c>
      <c r="P228" s="1" cm="1">
        <f t="array" ref="P228" xml:space="preserve"> 1 + ROW() - _xlfn.SINGLE(ROW(ChartLines.RowNum))</f>
        <v>223</v>
      </c>
    </row>
    <row r="229" spans="2:16" x14ac:dyDescent="0.2">
      <c r="B229" s="1" t="s">
        <v>274</v>
      </c>
      <c r="C229" s="4" t="s">
        <v>72</v>
      </c>
      <c r="G229" s="1" t="s">
        <v>162</v>
      </c>
      <c r="H229" s="1" t="str">
        <f xml:space="preserve"> "072357"</f>
        <v>072357</v>
      </c>
      <c r="J229" s="1">
        <f t="shared" ref="J229" si="1070" xml:space="preserve"> IF(AND(LEN(ChartLines.ID)&gt;0,"Unused"&lt;&gt;ChartLines.ID), COUNTIFS(ChartLines.ID,ChartLines.ID), "·")</f>
        <v>2</v>
      </c>
      <c r="K229" s="1">
        <f t="shared" ref="K229" si="1071" xml:space="preserve"> IF(AND(LEN(ChartLines.ID)&gt;0,"Unused"&lt;&gt;ChartLines.ID), COUNTIFS(ChartLines.ID,ChartLines.ID,   ChartLines.RowNum,"&lt;="&amp;ChartLines.RowNum), "·")</f>
        <v>1</v>
      </c>
      <c r="L229" s="1" t="str" cm="1">
        <f t="array" ref="L229" xml:space="preserve"> _xlfn.IFS(OR(LEN(_xlfn.SINGLE(ChartLines.ID))=0,"Unused"=_xlfn.SINGLE(ChartLines.ID)), "·",   1=_xlfn.SINGLE(ChartLines.NumInstances), IF("USD"=_xlfn.SINGLE(ChartLines.ID), "SoleBig", "SoleOrdinary"),   1=_xlfn.SINGLE(ChartLines.InstanceNum), "Outer",   TRUE, "Inner")</f>
        <v>Outer</v>
      </c>
      <c r="M229" s="1">
        <f t="shared" ref="M229" si="1072" xml:space="preserve"> IF(LEN(ChartLines.Hex6)=6, HEX2DEC(LEFT(ChartLines.Hex6, 2)), "·")</f>
        <v>7</v>
      </c>
      <c r="N229" s="1">
        <f t="shared" ref="N229" si="1073" xml:space="preserve"> IF(LEN(ChartLines.Hex6)=6, HEX2DEC(MID(ChartLines.Hex6, 3, 2)), "·")</f>
        <v>35</v>
      </c>
      <c r="O229" s="1">
        <f t="shared" ref="O229" si="1074" xml:space="preserve"> IF(LEN(ChartLines.Hex6)=6, HEX2DEC(RIGHT(ChartLines.Hex6, 2)), "·")</f>
        <v>87</v>
      </c>
      <c r="P229" s="1" cm="1">
        <f t="array" ref="P229" xml:space="preserve"> 1 + ROW() - _xlfn.SINGLE(ROW(ChartLines.RowNum))</f>
        <v>224</v>
      </c>
    </row>
    <row r="230" spans="2:16" x14ac:dyDescent="0.2">
      <c r="B230" s="1" t="s">
        <v>275</v>
      </c>
      <c r="C230" s="4" t="s">
        <v>54</v>
      </c>
      <c r="G230" s="1" t="s">
        <v>162</v>
      </c>
      <c r="H230" s="1" t="s">
        <v>522</v>
      </c>
      <c r="J230" s="1">
        <f t="shared" ref="J230" si="1075" xml:space="preserve"> IF(AND(LEN(ChartLines.ID)&gt;0,"Unused"&lt;&gt;ChartLines.ID), COUNTIFS(ChartLines.ID,ChartLines.ID), "·")</f>
        <v>2</v>
      </c>
      <c r="K230" s="1">
        <f t="shared" ref="K230" si="1076" xml:space="preserve"> IF(AND(LEN(ChartLines.ID)&gt;0,"Unused"&lt;&gt;ChartLines.ID), COUNTIFS(ChartLines.ID,ChartLines.ID,   ChartLines.RowNum,"&lt;="&amp;ChartLines.RowNum), "·")</f>
        <v>2</v>
      </c>
      <c r="L230" s="1" t="str" cm="1">
        <f t="array" ref="L230" xml:space="preserve"> _xlfn.IFS(OR(LEN(_xlfn.SINGLE(ChartLines.ID))=0,"Unused"=_xlfn.SINGLE(ChartLines.ID)), "·",   1=_xlfn.SINGLE(ChartLines.NumInstances), IF("USD"=_xlfn.SINGLE(ChartLines.ID), "SoleBig", "SoleOrdinary"),   1=_xlfn.SINGLE(ChartLines.InstanceNum), "Outer",   TRUE, "Inner")</f>
        <v>Inner</v>
      </c>
      <c r="M230" s="1">
        <f t="shared" ref="M230" si="1077" xml:space="preserve"> IF(LEN(ChartLines.Hex6)=6, HEX2DEC(LEFT(ChartLines.Hex6, 2)), "·")</f>
        <v>218</v>
      </c>
      <c r="N230" s="1">
        <f t="shared" ref="N230" si="1078" xml:space="preserve"> IF(LEN(ChartLines.Hex6)=6, HEX2DEC(MID(ChartLines.Hex6, 3, 2)), "·")</f>
        <v>18</v>
      </c>
      <c r="O230" s="1">
        <f t="shared" ref="O230" si="1079" xml:space="preserve"> IF(LEN(ChartLines.Hex6)=6, HEX2DEC(RIGHT(ChartLines.Hex6, 2)), "·")</f>
        <v>26</v>
      </c>
      <c r="P230" s="1" cm="1">
        <f t="array" ref="P230" xml:space="preserve"> 1 + ROW() - _xlfn.SINGLE(ROW(ChartLines.RowNum))</f>
        <v>225</v>
      </c>
    </row>
    <row r="231" spans="2:16" x14ac:dyDescent="0.2">
      <c r="B231" s="1" t="s">
        <v>276</v>
      </c>
      <c r="C231" s="4" t="s">
        <v>55</v>
      </c>
      <c r="G231" s="1" t="s">
        <v>163</v>
      </c>
      <c r="H231" s="1" t="str">
        <f xml:space="preserve"> "002D62"</f>
        <v>002D62</v>
      </c>
      <c r="J231" s="1">
        <f t="shared" ref="J231" si="1080" xml:space="preserve"> IF(AND(LEN(ChartLines.ID)&gt;0,"Unused"&lt;&gt;ChartLines.ID), COUNTIFS(ChartLines.ID,ChartLines.ID), "·")</f>
        <v>2</v>
      </c>
      <c r="K231" s="1">
        <f t="shared" ref="K231" si="1081" xml:space="preserve"> IF(AND(LEN(ChartLines.ID)&gt;0,"Unused"&lt;&gt;ChartLines.ID), COUNTIFS(ChartLines.ID,ChartLines.ID,   ChartLines.RowNum,"&lt;="&amp;ChartLines.RowNum), "·")</f>
        <v>1</v>
      </c>
      <c r="L231" s="1" t="str" cm="1">
        <f t="array" ref="L231" xml:space="preserve"> _xlfn.IFS(OR(LEN(_xlfn.SINGLE(ChartLines.ID))=0,"Unused"=_xlfn.SINGLE(ChartLines.ID)), "·",   1=_xlfn.SINGLE(ChartLines.NumInstances), IF("USD"=_xlfn.SINGLE(ChartLines.ID), "SoleBig", "SoleOrdinary"),   1=_xlfn.SINGLE(ChartLines.InstanceNum), "Outer",   TRUE, "Inner")</f>
        <v>Outer</v>
      </c>
      <c r="M231" s="1">
        <f t="shared" ref="M231" si="1082" xml:space="preserve"> IF(LEN(ChartLines.Hex6)=6, HEX2DEC(LEFT(ChartLines.Hex6, 2)), "·")</f>
        <v>0</v>
      </c>
      <c r="N231" s="1">
        <f t="shared" ref="N231" si="1083" xml:space="preserve"> IF(LEN(ChartLines.Hex6)=6, HEX2DEC(MID(ChartLines.Hex6, 3, 2)), "·")</f>
        <v>45</v>
      </c>
      <c r="O231" s="1">
        <f t="shared" ref="O231" si="1084" xml:space="preserve"> IF(LEN(ChartLines.Hex6)=6, HEX2DEC(RIGHT(ChartLines.Hex6, 2)), "·")</f>
        <v>98</v>
      </c>
      <c r="P231" s="1" cm="1">
        <f t="array" ref="P231" xml:space="preserve"> 1 + ROW() - _xlfn.SINGLE(ROW(ChartLines.RowNum))</f>
        <v>226</v>
      </c>
    </row>
    <row r="232" spans="2:16" x14ac:dyDescent="0.2">
      <c r="B232" s="1" t="s">
        <v>277</v>
      </c>
      <c r="C232" s="4" t="s">
        <v>56</v>
      </c>
      <c r="G232" s="1" t="s">
        <v>163</v>
      </c>
      <c r="H232" s="1" t="s">
        <v>500</v>
      </c>
      <c r="J232" s="1">
        <f t="shared" ref="J232" si="1085" xml:space="preserve"> IF(AND(LEN(ChartLines.ID)&gt;0,"Unused"&lt;&gt;ChartLines.ID), COUNTIFS(ChartLines.ID,ChartLines.ID), "·")</f>
        <v>2</v>
      </c>
      <c r="K232" s="1">
        <f t="shared" ref="K232" si="1086" xml:space="preserve"> IF(AND(LEN(ChartLines.ID)&gt;0,"Unused"&lt;&gt;ChartLines.ID), COUNTIFS(ChartLines.ID,ChartLines.ID,   ChartLines.RowNum,"&lt;="&amp;ChartLines.RowNum), "·")</f>
        <v>2</v>
      </c>
      <c r="L232" s="1" t="str" cm="1">
        <f t="array" ref="L232" xml:space="preserve"> _xlfn.IFS(OR(LEN(_xlfn.SINGLE(ChartLines.ID))=0,"Unused"=_xlfn.SINGLE(ChartLines.ID)), "·",   1=_xlfn.SINGLE(ChartLines.NumInstances), IF("USD"=_xlfn.SINGLE(ChartLines.ID), "SoleBig", "SoleOrdinary"),   1=_xlfn.SINGLE(ChartLines.InstanceNum), "Outer",   TRUE, "Inner")</f>
        <v>Inner</v>
      </c>
      <c r="M232" s="1">
        <f t="shared" ref="M232" si="1087" xml:space="preserve"> IF(LEN(ChartLines.Hex6)=6, HEX2DEC(LEFT(ChartLines.Hex6, 2)), "·")</f>
        <v>206</v>
      </c>
      <c r="N232" s="1">
        <f t="shared" ref="N232" si="1088" xml:space="preserve"> IF(LEN(ChartLines.Hex6)=6, HEX2DEC(MID(ChartLines.Hex6, 3, 2)), "·")</f>
        <v>17</v>
      </c>
      <c r="O232" s="1">
        <f t="shared" ref="O232" si="1089" xml:space="preserve"> IF(LEN(ChartLines.Hex6)=6, HEX2DEC(RIGHT(ChartLines.Hex6, 2)), "·")</f>
        <v>38</v>
      </c>
      <c r="P232" s="1" cm="1">
        <f t="array" ref="P232" xml:space="preserve"> 1 + ROW() - _xlfn.SINGLE(ROW(ChartLines.RowNum))</f>
        <v>227</v>
      </c>
    </row>
    <row r="233" spans="2:16" x14ac:dyDescent="0.2">
      <c r="B233" s="1" t="s">
        <v>278</v>
      </c>
      <c r="C233" s="4" t="s">
        <v>73</v>
      </c>
      <c r="G233" s="1" t="s">
        <v>164</v>
      </c>
      <c r="H233" s="1" t="str">
        <f xml:space="preserve"> "C8102E"</f>
        <v>C8102E</v>
      </c>
      <c r="J233" s="1">
        <f t="shared" ref="J233" si="1090" xml:space="preserve"> IF(AND(LEN(ChartLines.ID)&gt;0,"Unused"&lt;&gt;ChartLines.ID), COUNTIFS(ChartLines.ID,ChartLines.ID), "·")</f>
        <v>2</v>
      </c>
      <c r="K233" s="1">
        <f t="shared" ref="K233" si="1091" xml:space="preserve"> IF(AND(LEN(ChartLines.ID)&gt;0,"Unused"&lt;&gt;ChartLines.ID), COUNTIFS(ChartLines.ID,ChartLines.ID,   ChartLines.RowNum,"&lt;="&amp;ChartLines.RowNum), "·")</f>
        <v>1</v>
      </c>
      <c r="L233" s="1" t="str" cm="1">
        <f t="array" ref="L233" xml:space="preserve"> _xlfn.IFS(OR(LEN(_xlfn.SINGLE(ChartLines.ID))=0,"Unused"=_xlfn.SINGLE(ChartLines.ID)), "·",   1=_xlfn.SINGLE(ChartLines.NumInstances), IF("USD"=_xlfn.SINGLE(ChartLines.ID), "SoleBig", "SoleOrdinary"),   1=_xlfn.SINGLE(ChartLines.InstanceNum), "Outer",   TRUE, "Inner")</f>
        <v>Outer</v>
      </c>
      <c r="M233" s="1">
        <f t="shared" ref="M233" si="1092" xml:space="preserve"> IF(LEN(ChartLines.Hex6)=6, HEX2DEC(LEFT(ChartLines.Hex6, 2)), "·")</f>
        <v>200</v>
      </c>
      <c r="N233" s="1">
        <f t="shared" ref="N233" si="1093" xml:space="preserve"> IF(LEN(ChartLines.Hex6)=6, HEX2DEC(MID(ChartLines.Hex6, 3, 2)), "·")</f>
        <v>16</v>
      </c>
      <c r="O233" s="1">
        <f t="shared" ref="O233" si="1094" xml:space="preserve"> IF(LEN(ChartLines.Hex6)=6, HEX2DEC(RIGHT(ChartLines.Hex6, 2)), "·")</f>
        <v>46</v>
      </c>
      <c r="P233" s="1" cm="1">
        <f t="array" ref="P233" xml:space="preserve"> 1 + ROW() - _xlfn.SINGLE(ROW(ChartLines.RowNum))</f>
        <v>228</v>
      </c>
    </row>
    <row r="234" spans="2:16" x14ac:dyDescent="0.2">
      <c r="B234" s="1" t="s">
        <v>279</v>
      </c>
      <c r="C234" s="4" t="s">
        <v>74</v>
      </c>
      <c r="G234" s="1" t="s">
        <v>164</v>
      </c>
      <c r="H234" s="1" t="str">
        <f xml:space="preserve"> "000000"</f>
        <v>000000</v>
      </c>
      <c r="J234" s="1">
        <f t="shared" ref="J234" si="1095" xml:space="preserve"> IF(AND(LEN(ChartLines.ID)&gt;0,"Unused"&lt;&gt;ChartLines.ID), COUNTIFS(ChartLines.ID,ChartLines.ID), "·")</f>
        <v>2</v>
      </c>
      <c r="K234" s="1">
        <f t="shared" ref="K234" si="1096" xml:space="preserve"> IF(AND(LEN(ChartLines.ID)&gt;0,"Unused"&lt;&gt;ChartLines.ID), COUNTIFS(ChartLines.ID,ChartLines.ID,   ChartLines.RowNum,"&lt;="&amp;ChartLines.RowNum), "·")</f>
        <v>2</v>
      </c>
      <c r="L234" s="1" t="str" cm="1">
        <f t="array" ref="L234" xml:space="preserve"> _xlfn.IFS(OR(LEN(_xlfn.SINGLE(ChartLines.ID))=0,"Unused"=_xlfn.SINGLE(ChartLines.ID)), "·",   1=_xlfn.SINGLE(ChartLines.NumInstances), IF("USD"=_xlfn.SINGLE(ChartLines.ID), "SoleBig", "SoleOrdinary"),   1=_xlfn.SINGLE(ChartLines.InstanceNum), "Outer",   TRUE, "Inner")</f>
        <v>Inner</v>
      </c>
      <c r="M234" s="1">
        <f t="shared" ref="M234" si="1097" xml:space="preserve"> IF(LEN(ChartLines.Hex6)=6, HEX2DEC(LEFT(ChartLines.Hex6, 2)), "·")</f>
        <v>0</v>
      </c>
      <c r="N234" s="1">
        <f t="shared" ref="N234" si="1098" xml:space="preserve"> IF(LEN(ChartLines.Hex6)=6, HEX2DEC(MID(ChartLines.Hex6, 3, 2)), "·")</f>
        <v>0</v>
      </c>
      <c r="O234" s="1">
        <f t="shared" ref="O234" si="1099" xml:space="preserve"> IF(LEN(ChartLines.Hex6)=6, HEX2DEC(RIGHT(ChartLines.Hex6, 2)), "·")</f>
        <v>0</v>
      </c>
      <c r="P234" s="1" cm="1">
        <f t="array" ref="P234" xml:space="preserve"> 1 + ROW() - _xlfn.SINGLE(ROW(ChartLines.RowNum))</f>
        <v>229</v>
      </c>
    </row>
    <row r="235" spans="2:16" x14ac:dyDescent="0.2">
      <c r="B235" s="1" t="s">
        <v>280</v>
      </c>
      <c r="C235" s="4" t="s">
        <v>75</v>
      </c>
      <c r="G235" s="1" t="s">
        <v>165</v>
      </c>
      <c r="H235" s="1" t="str">
        <f xml:space="preserve"> "009639"</f>
        <v>009639</v>
      </c>
      <c r="J235" s="1">
        <f t="shared" ref="J235" si="1100" xml:space="preserve"> IF(AND(LEN(ChartLines.ID)&gt;0,"Unused"&lt;&gt;ChartLines.ID), COUNTIFS(ChartLines.ID,ChartLines.ID), "·")</f>
        <v>2</v>
      </c>
      <c r="K235" s="1">
        <f t="shared" ref="K235" si="1101" xml:space="preserve"> IF(AND(LEN(ChartLines.ID)&gt;0,"Unused"&lt;&gt;ChartLines.ID), COUNTIFS(ChartLines.ID,ChartLines.ID,   ChartLines.RowNum,"&lt;="&amp;ChartLines.RowNum), "·")</f>
        <v>1</v>
      </c>
      <c r="L235" s="1" t="str" cm="1">
        <f t="array" ref="L235" xml:space="preserve"> _xlfn.IFS(OR(LEN(_xlfn.SINGLE(ChartLines.ID))=0,"Unused"=_xlfn.SINGLE(ChartLines.ID)), "·",   1=_xlfn.SINGLE(ChartLines.NumInstances), IF("USD"=_xlfn.SINGLE(ChartLines.ID), "SoleBig", "SoleOrdinary"),   1=_xlfn.SINGLE(ChartLines.InstanceNum), "Outer",   TRUE, "Inner")</f>
        <v>Outer</v>
      </c>
      <c r="M235" s="1">
        <f t="shared" ref="M235" si="1102" xml:space="preserve"> IF(LEN(ChartLines.Hex6)=6, HEX2DEC(LEFT(ChartLines.Hex6, 2)), "·")</f>
        <v>0</v>
      </c>
      <c r="N235" s="1">
        <f t="shared" ref="N235" si="1103" xml:space="preserve"> IF(LEN(ChartLines.Hex6)=6, HEX2DEC(MID(ChartLines.Hex6, 3, 2)), "·")</f>
        <v>150</v>
      </c>
      <c r="O235" s="1">
        <f t="shared" ref="O235" si="1104" xml:space="preserve"> IF(LEN(ChartLines.Hex6)=6, HEX2DEC(RIGHT(ChartLines.Hex6, 2)), "·")</f>
        <v>57</v>
      </c>
      <c r="P235" s="1" cm="1">
        <f t="array" ref="P235" xml:space="preserve"> 1 + ROW() - _xlfn.SINGLE(ROW(ChartLines.RowNum))</f>
        <v>230</v>
      </c>
    </row>
    <row r="236" spans="2:16" x14ac:dyDescent="0.2">
      <c r="B236" s="1" t="s">
        <v>281</v>
      </c>
      <c r="C236" s="4" t="s">
        <v>76</v>
      </c>
      <c r="G236" s="1" t="s">
        <v>165</v>
      </c>
      <c r="H236" s="1" t="str">
        <f xml:space="preserve"> "000000"</f>
        <v>000000</v>
      </c>
      <c r="J236" s="1">
        <f t="shared" ref="J236" si="1105" xml:space="preserve"> IF(AND(LEN(ChartLines.ID)&gt;0,"Unused"&lt;&gt;ChartLines.ID), COUNTIFS(ChartLines.ID,ChartLines.ID), "·")</f>
        <v>2</v>
      </c>
      <c r="K236" s="1">
        <f t="shared" ref="K236" si="1106" xml:space="preserve"> IF(AND(LEN(ChartLines.ID)&gt;0,"Unused"&lt;&gt;ChartLines.ID), COUNTIFS(ChartLines.ID,ChartLines.ID,   ChartLines.RowNum,"&lt;="&amp;ChartLines.RowNum), "·")</f>
        <v>2</v>
      </c>
      <c r="L236" s="1" t="str" cm="1">
        <f t="array" ref="L236" xml:space="preserve"> _xlfn.IFS(OR(LEN(_xlfn.SINGLE(ChartLines.ID))=0,"Unused"=_xlfn.SINGLE(ChartLines.ID)), "·",   1=_xlfn.SINGLE(ChartLines.NumInstances), IF("USD"=_xlfn.SINGLE(ChartLines.ID), "SoleBig", "SoleOrdinary"),   1=_xlfn.SINGLE(ChartLines.InstanceNum), "Outer",   TRUE, "Inner")</f>
        <v>Inner</v>
      </c>
      <c r="M236" s="1">
        <f t="shared" ref="M236" si="1107" xml:space="preserve"> IF(LEN(ChartLines.Hex6)=6, HEX2DEC(LEFT(ChartLines.Hex6, 2)), "·")</f>
        <v>0</v>
      </c>
      <c r="N236" s="1">
        <f t="shared" ref="N236" si="1108" xml:space="preserve"> IF(LEN(ChartLines.Hex6)=6, HEX2DEC(MID(ChartLines.Hex6, 3, 2)), "·")</f>
        <v>0</v>
      </c>
      <c r="O236" s="1">
        <f t="shared" ref="O236" si="1109" xml:space="preserve"> IF(LEN(ChartLines.Hex6)=6, HEX2DEC(RIGHT(ChartLines.Hex6, 2)), "·")</f>
        <v>0</v>
      </c>
      <c r="P236" s="1" cm="1">
        <f t="array" ref="P236" xml:space="preserve"> 1 + ROW() - _xlfn.SINGLE(ROW(ChartLines.RowNum))</f>
        <v>231</v>
      </c>
    </row>
    <row r="237" spans="2:16" x14ac:dyDescent="0.2">
      <c r="B237" s="1" t="s">
        <v>282</v>
      </c>
      <c r="C237" s="4" t="s">
        <v>77</v>
      </c>
      <c r="G237" s="1" t="s">
        <v>166</v>
      </c>
      <c r="H237" s="1" t="s">
        <v>523</v>
      </c>
      <c r="J237" s="1">
        <f t="shared" ref="J237" si="1110" xml:space="preserve"> IF(AND(LEN(ChartLines.ID)&gt;0,"Unused"&lt;&gt;ChartLines.ID), COUNTIFS(ChartLines.ID,ChartLines.ID), "·")</f>
        <v>2</v>
      </c>
      <c r="K237" s="1">
        <f t="shared" ref="K237" si="1111" xml:space="preserve"> IF(AND(LEN(ChartLines.ID)&gt;0,"Unused"&lt;&gt;ChartLines.ID), COUNTIFS(ChartLines.ID,ChartLines.ID,   ChartLines.RowNum,"&lt;="&amp;ChartLines.RowNum), "·")</f>
        <v>1</v>
      </c>
      <c r="L237" s="1" t="str" cm="1">
        <f t="array" ref="L237" xml:space="preserve"> _xlfn.IFS(OR(LEN(_xlfn.SINGLE(ChartLines.ID))=0,"Unused"=_xlfn.SINGLE(ChartLines.ID)), "·",   1=_xlfn.SINGLE(ChartLines.NumInstances), IF("USD"=_xlfn.SINGLE(ChartLines.ID), "SoleBig", "SoleOrdinary"),   1=_xlfn.SINGLE(ChartLines.InstanceNum), "Outer",   TRUE, "Inner")</f>
        <v>Outer</v>
      </c>
      <c r="M237" s="1">
        <f t="shared" ref="M237" si="1112" xml:space="preserve"> IF(LEN(ChartLines.Hex6)=6, HEX2DEC(LEFT(ChartLines.Hex6, 2)), "·")</f>
        <v>255</v>
      </c>
      <c r="N237" s="1">
        <f t="shared" ref="N237" si="1113" xml:space="preserve"> IF(LEN(ChartLines.Hex6)=6, HEX2DEC(MID(ChartLines.Hex6, 3, 2)), "·")</f>
        <v>199</v>
      </c>
      <c r="O237" s="1">
        <f t="shared" ref="O237" si="1114" xml:space="preserve"> IF(LEN(ChartLines.Hex6)=6, HEX2DEC(RIGHT(ChartLines.Hex6, 2)), "·")</f>
        <v>44</v>
      </c>
      <c r="P237" s="1" cm="1">
        <f t="array" ref="P237" xml:space="preserve"> 1 + ROW() - _xlfn.SINGLE(ROW(ChartLines.RowNum))</f>
        <v>232</v>
      </c>
    </row>
    <row r="238" spans="2:16" x14ac:dyDescent="0.2">
      <c r="B238" s="1" t="s">
        <v>283</v>
      </c>
      <c r="C238" s="4" t="s">
        <v>78</v>
      </c>
      <c r="G238" s="1" t="s">
        <v>166</v>
      </c>
      <c r="H238" s="1" t="str">
        <f xml:space="preserve"> "00778B"</f>
        <v>00778B</v>
      </c>
      <c r="J238" s="1">
        <f t="shared" ref="J238" si="1115" xml:space="preserve"> IF(AND(LEN(ChartLines.ID)&gt;0,"Unused"&lt;&gt;ChartLines.ID), COUNTIFS(ChartLines.ID,ChartLines.ID), "·")</f>
        <v>2</v>
      </c>
      <c r="K238" s="1">
        <f t="shared" ref="K238" si="1116" xml:space="preserve"> IF(AND(LEN(ChartLines.ID)&gt;0,"Unused"&lt;&gt;ChartLines.ID), COUNTIFS(ChartLines.ID,ChartLines.ID,   ChartLines.RowNum,"&lt;="&amp;ChartLines.RowNum), "·")</f>
        <v>2</v>
      </c>
      <c r="L238" s="1" t="str" cm="1">
        <f t="array" ref="L238" xml:space="preserve"> _xlfn.IFS(OR(LEN(_xlfn.SINGLE(ChartLines.ID))=0,"Unused"=_xlfn.SINGLE(ChartLines.ID)), "·",   1=_xlfn.SINGLE(ChartLines.NumInstances), IF("USD"=_xlfn.SINGLE(ChartLines.ID), "SoleBig", "SoleOrdinary"),   1=_xlfn.SINGLE(ChartLines.InstanceNum), "Outer",   TRUE, "Inner")</f>
        <v>Inner</v>
      </c>
      <c r="M238" s="1">
        <f t="shared" ref="M238" si="1117" xml:space="preserve"> IF(LEN(ChartLines.Hex6)=6, HEX2DEC(LEFT(ChartLines.Hex6, 2)), "·")</f>
        <v>0</v>
      </c>
      <c r="N238" s="1">
        <f t="shared" ref="N238" si="1118" xml:space="preserve"> IF(LEN(ChartLines.Hex6)=6, HEX2DEC(MID(ChartLines.Hex6, 3, 2)), "·")</f>
        <v>119</v>
      </c>
      <c r="O238" s="1">
        <f t="shared" ref="O238" si="1119" xml:space="preserve"> IF(LEN(ChartLines.Hex6)=6, HEX2DEC(RIGHT(ChartLines.Hex6, 2)), "·")</f>
        <v>139</v>
      </c>
      <c r="P238" s="1" cm="1">
        <f t="array" ref="P238" xml:space="preserve"> 1 + ROW() - _xlfn.SINGLE(ROW(ChartLines.RowNum))</f>
        <v>233</v>
      </c>
    </row>
    <row r="239" spans="2:16" x14ac:dyDescent="0.2">
      <c r="B239" s="1" t="s">
        <v>284</v>
      </c>
      <c r="C239" s="4" t="s">
        <v>79</v>
      </c>
      <c r="J239" s="1" t="str">
        <f t="shared" ref="J239" si="1120" xml:space="preserve"> IF(AND(LEN(ChartLines.ID)&gt;0,"Unused"&lt;&gt;ChartLines.ID), COUNTIFS(ChartLines.ID,ChartLines.ID), "·")</f>
        <v>·</v>
      </c>
      <c r="K239" s="1" t="str">
        <f t="shared" ref="K239" si="1121" xml:space="preserve"> IF(AND(LEN(ChartLines.ID)&gt;0,"Unused"&lt;&gt;ChartLines.ID), COUNTIFS(ChartLines.ID,ChartLines.ID,   ChartLines.RowNum,"&lt;="&amp;ChartLines.RowNum), "·")</f>
        <v>·</v>
      </c>
      <c r="L239" s="1" t="str" cm="1">
        <f t="array" ref="L239" xml:space="preserve"> _xlfn.IFS(OR(LEN(_xlfn.SINGLE(ChartLines.ID))=0,"Unused"=_xlfn.SINGLE(ChartLines.ID)), "·",   1=_xlfn.SINGLE(ChartLines.NumInstances), IF("USD"=_xlfn.SINGLE(ChartLines.ID), "SoleBig", "SoleOrdinary"),   1=_xlfn.SINGLE(ChartLines.InstanceNum), "Outer",   TRUE, "Inner")</f>
        <v>·</v>
      </c>
      <c r="M239" s="1" t="str">
        <f t="shared" ref="M239" si="1122" xml:space="preserve"> IF(LEN(ChartLines.Hex6)=6, HEX2DEC(LEFT(ChartLines.Hex6, 2)), "·")</f>
        <v>·</v>
      </c>
      <c r="N239" s="1" t="str">
        <f t="shared" ref="N239" si="1123" xml:space="preserve"> IF(LEN(ChartLines.Hex6)=6, HEX2DEC(MID(ChartLines.Hex6, 3, 2)), "·")</f>
        <v>·</v>
      </c>
      <c r="O239" s="1" t="str">
        <f t="shared" ref="O239" si="1124" xml:space="preserve"> IF(LEN(ChartLines.Hex6)=6, HEX2DEC(RIGHT(ChartLines.Hex6, 2)), "·")</f>
        <v>·</v>
      </c>
      <c r="P239" s="1" cm="1">
        <f t="array" ref="P239" xml:space="preserve"> 1 + ROW() - _xlfn.SINGLE(ROW(ChartLines.RowNum))</f>
        <v>234</v>
      </c>
    </row>
    <row r="240" spans="2:16" x14ac:dyDescent="0.2">
      <c r="B240" s="1" t="s">
        <v>285</v>
      </c>
      <c r="C240" s="4" t="s">
        <v>80</v>
      </c>
      <c r="G240" s="1" t="s">
        <v>167</v>
      </c>
      <c r="H240" s="1" t="s">
        <v>524</v>
      </c>
      <c r="J240" s="1">
        <f t="shared" ref="J240" si="1125" xml:space="preserve"> IF(AND(LEN(ChartLines.ID)&gt;0,"Unused"&lt;&gt;ChartLines.ID), COUNTIFS(ChartLines.ID,ChartLines.ID), "·")</f>
        <v>2</v>
      </c>
      <c r="K240" s="1">
        <f t="shared" ref="K240" si="1126" xml:space="preserve"> IF(AND(LEN(ChartLines.ID)&gt;0,"Unused"&lt;&gt;ChartLines.ID), COUNTIFS(ChartLines.ID,ChartLines.ID,   ChartLines.RowNum,"&lt;="&amp;ChartLines.RowNum), "·")</f>
        <v>1</v>
      </c>
      <c r="L240" s="1" t="str" cm="1">
        <f t="array" ref="L240" xml:space="preserve"> _xlfn.IFS(OR(LEN(_xlfn.SINGLE(ChartLines.ID))=0,"Unused"=_xlfn.SINGLE(ChartLines.ID)), "·",   1=_xlfn.SINGLE(ChartLines.NumInstances), IF("USD"=_xlfn.SINGLE(ChartLines.ID), "SoleBig", "SoleOrdinary"),   1=_xlfn.SINGLE(ChartLines.InstanceNum), "Outer",   TRUE, "Inner")</f>
        <v>Outer</v>
      </c>
      <c r="M240" s="1">
        <f t="shared" ref="M240" si="1127" xml:space="preserve"> IF(LEN(ChartLines.Hex6)=6, HEX2DEC(LEFT(ChartLines.Hex6, 2)), "·")</f>
        <v>8</v>
      </c>
      <c r="N240" s="1">
        <f t="shared" ref="N240" si="1128" xml:space="preserve"> IF(LEN(ChartLines.Hex6)=6, HEX2DEC(MID(ChartLines.Hex6, 3, 2)), "·")</f>
        <v>82</v>
      </c>
      <c r="O240" s="1">
        <f t="shared" ref="O240" si="1129" xml:space="preserve"> IF(LEN(ChartLines.Hex6)=6, HEX2DEC(RIGHT(ChartLines.Hex6, 2)), "·")</f>
        <v>140</v>
      </c>
      <c r="P240" s="1" cm="1">
        <f t="array" ref="P240" xml:space="preserve"> 1 + ROW() - _xlfn.SINGLE(ROW(ChartLines.RowNum))</f>
        <v>235</v>
      </c>
    </row>
    <row r="241" spans="2:16" x14ac:dyDescent="0.2">
      <c r="B241" s="1" t="s">
        <v>286</v>
      </c>
      <c r="C241" s="4" t="s">
        <v>57</v>
      </c>
      <c r="G241" s="1" t="s">
        <v>167</v>
      </c>
      <c r="H241" s="1" t="str">
        <f xml:space="preserve"> "949494"</f>
        <v>949494</v>
      </c>
      <c r="J241" s="1">
        <f t="shared" ref="J241" si="1130" xml:space="preserve"> IF(AND(LEN(ChartLines.ID)&gt;0,"Unused"&lt;&gt;ChartLines.ID), COUNTIFS(ChartLines.ID,ChartLines.ID), "·")</f>
        <v>2</v>
      </c>
      <c r="K241" s="1">
        <f t="shared" ref="K241" si="1131" xml:space="preserve"> IF(AND(LEN(ChartLines.ID)&gt;0,"Unused"&lt;&gt;ChartLines.ID), COUNTIFS(ChartLines.ID,ChartLines.ID,   ChartLines.RowNum,"&lt;="&amp;ChartLines.RowNum), "·")</f>
        <v>2</v>
      </c>
      <c r="L241" s="1" t="str" cm="1">
        <f t="array" ref="L241" xml:space="preserve"> _xlfn.IFS(OR(LEN(_xlfn.SINGLE(ChartLines.ID))=0,"Unused"=_xlfn.SINGLE(ChartLines.ID)), "·",   1=_xlfn.SINGLE(ChartLines.NumInstances), IF("USD"=_xlfn.SINGLE(ChartLines.ID), "SoleBig", "SoleOrdinary"),   1=_xlfn.SINGLE(ChartLines.InstanceNum), "Outer",   TRUE, "Inner")</f>
        <v>Inner</v>
      </c>
      <c r="M241" s="1">
        <f t="shared" ref="M241" si="1132" xml:space="preserve"> IF(LEN(ChartLines.Hex6)=6, HEX2DEC(LEFT(ChartLines.Hex6, 2)), "·")</f>
        <v>148</v>
      </c>
      <c r="N241" s="1">
        <f t="shared" ref="N241" si="1133" xml:space="preserve"> IF(LEN(ChartLines.Hex6)=6, HEX2DEC(MID(ChartLines.Hex6, 3, 2)), "·")</f>
        <v>148</v>
      </c>
      <c r="O241" s="1">
        <f t="shared" ref="O241" si="1134" xml:space="preserve"> IF(LEN(ChartLines.Hex6)=6, HEX2DEC(RIGHT(ChartLines.Hex6, 2)), "·")</f>
        <v>148</v>
      </c>
      <c r="P241" s="1" cm="1">
        <f t="array" ref="P241" xml:space="preserve"> 1 + ROW() - _xlfn.SINGLE(ROW(ChartLines.RowNum))</f>
        <v>236</v>
      </c>
    </row>
    <row r="242" spans="2:16" x14ac:dyDescent="0.2">
      <c r="B242" s="1" t="s">
        <v>287</v>
      </c>
      <c r="C242" s="4" t="s">
        <v>81</v>
      </c>
      <c r="G242" s="1" t="s">
        <v>168</v>
      </c>
      <c r="H242" s="1" t="str">
        <f xml:space="preserve"> "0A6AAA"</f>
        <v>0A6AAA</v>
      </c>
      <c r="J242" s="1">
        <f t="shared" ref="J242" si="1135" xml:space="preserve"> IF(AND(LEN(ChartLines.ID)&gt;0,"Unused"&lt;&gt;ChartLines.ID), COUNTIFS(ChartLines.ID,ChartLines.ID), "·")</f>
        <v>2</v>
      </c>
      <c r="K242" s="1">
        <f t="shared" ref="K242" si="1136" xml:space="preserve"> IF(AND(LEN(ChartLines.ID)&gt;0,"Unused"&lt;&gt;ChartLines.ID), COUNTIFS(ChartLines.ID,ChartLines.ID,   ChartLines.RowNum,"&lt;="&amp;ChartLines.RowNum), "·")</f>
        <v>1</v>
      </c>
      <c r="L242" s="1" t="str" cm="1">
        <f t="array" ref="L242" xml:space="preserve"> _xlfn.IFS(OR(LEN(_xlfn.SINGLE(ChartLines.ID))=0,"Unused"=_xlfn.SINGLE(ChartLines.ID)), "·",   1=_xlfn.SINGLE(ChartLines.NumInstances), IF("USD"=_xlfn.SINGLE(ChartLines.ID), "SoleBig", "SoleOrdinary"),   1=_xlfn.SINGLE(ChartLines.InstanceNum), "Outer",   TRUE, "Inner")</f>
        <v>Outer</v>
      </c>
      <c r="M242" s="1">
        <f t="shared" ref="M242" si="1137" xml:space="preserve"> IF(LEN(ChartLines.Hex6)=6, HEX2DEC(LEFT(ChartLines.Hex6, 2)), "·")</f>
        <v>10</v>
      </c>
      <c r="N242" s="1">
        <f t="shared" ref="N242" si="1138" xml:space="preserve"> IF(LEN(ChartLines.Hex6)=6, HEX2DEC(MID(ChartLines.Hex6, 3, 2)), "·")</f>
        <v>106</v>
      </c>
      <c r="O242" s="1">
        <f t="shared" ref="O242" si="1139" xml:space="preserve"> IF(LEN(ChartLines.Hex6)=6, HEX2DEC(RIGHT(ChartLines.Hex6, 2)), "·")</f>
        <v>170</v>
      </c>
      <c r="P242" s="1" cm="1">
        <f t="array" ref="P242" xml:space="preserve"> 1 + ROW() - _xlfn.SINGLE(ROW(ChartLines.RowNum))</f>
        <v>237</v>
      </c>
    </row>
    <row r="243" spans="2:16" x14ac:dyDescent="0.2">
      <c r="B243" s="1" t="s">
        <v>288</v>
      </c>
      <c r="C243" s="4" t="s">
        <v>82</v>
      </c>
      <c r="G243" s="1" t="s">
        <v>168</v>
      </c>
      <c r="H243" s="1" t="s">
        <v>423</v>
      </c>
      <c r="J243" s="1">
        <f t="shared" ref="J243" si="1140" xml:space="preserve"> IF(AND(LEN(ChartLines.ID)&gt;0,"Unused"&lt;&gt;ChartLines.ID), COUNTIFS(ChartLines.ID,ChartLines.ID), "·")</f>
        <v>2</v>
      </c>
      <c r="K243" s="1">
        <f t="shared" ref="K243" si="1141" xml:space="preserve"> IF(AND(LEN(ChartLines.ID)&gt;0,"Unused"&lt;&gt;ChartLines.ID), COUNTIFS(ChartLines.ID,ChartLines.ID,   ChartLines.RowNum,"&lt;="&amp;ChartLines.RowNum), "·")</f>
        <v>2</v>
      </c>
      <c r="L243" s="1" t="str" cm="1">
        <f t="array" ref="L243" xml:space="preserve"> _xlfn.IFS(OR(LEN(_xlfn.SINGLE(ChartLines.ID))=0,"Unused"=_xlfn.SINGLE(ChartLines.ID)), "·",   1=_xlfn.SINGLE(ChartLines.NumInstances), IF("USD"=_xlfn.SINGLE(ChartLines.ID), "SoleBig", "SoleOrdinary"),   1=_xlfn.SINGLE(ChartLines.InstanceNum), "Outer",   TRUE, "Inner")</f>
        <v>Inner</v>
      </c>
      <c r="M243" s="1">
        <f t="shared" ref="M243" si="1142" xml:space="preserve"> IF(LEN(ChartLines.Hex6)=6, HEX2DEC(LEFT(ChartLines.Hex6, 2)), "·")</f>
        <v>255</v>
      </c>
      <c r="N243" s="1">
        <f t="shared" ref="N243" si="1143" xml:space="preserve"> IF(LEN(ChartLines.Hex6)=6, HEX2DEC(MID(ChartLines.Hex6, 3, 2)), "·")</f>
        <v>255</v>
      </c>
      <c r="O243" s="1">
        <f t="shared" ref="O243" si="1144" xml:space="preserve"> IF(LEN(ChartLines.Hex6)=6, HEX2DEC(RIGHT(ChartLines.Hex6, 2)), "·")</f>
        <v>255</v>
      </c>
      <c r="P243" s="1" cm="1">
        <f t="array" ref="P243" xml:space="preserve"> 1 + ROW() - _xlfn.SINGLE(ROW(ChartLines.RowNum))</f>
        <v>238</v>
      </c>
    </row>
    <row r="244" spans="2:16" x14ac:dyDescent="0.2">
      <c r="B244" s="1" t="s">
        <v>289</v>
      </c>
      <c r="C244" s="4" t="s">
        <v>83</v>
      </c>
      <c r="G244" s="1" t="s">
        <v>169</v>
      </c>
      <c r="H244" s="1" t="str">
        <f xml:space="preserve"> "165788"</f>
        <v>165788</v>
      </c>
      <c r="J244" s="1">
        <f t="shared" ref="J244" si="1145" xml:space="preserve"> IF(AND(LEN(ChartLines.ID)&gt;0,"Unused"&lt;&gt;ChartLines.ID), COUNTIFS(ChartLines.ID,ChartLines.ID), "·")</f>
        <v>2</v>
      </c>
      <c r="K244" s="1">
        <f t="shared" ref="K244" si="1146" xml:space="preserve"> IF(AND(LEN(ChartLines.ID)&gt;0,"Unused"&lt;&gt;ChartLines.ID), COUNTIFS(ChartLines.ID,ChartLines.ID,   ChartLines.RowNum,"&lt;="&amp;ChartLines.RowNum), "·")</f>
        <v>1</v>
      </c>
      <c r="L244" s="1" t="str" cm="1">
        <f t="array" ref="L244" xml:space="preserve"> _xlfn.IFS(OR(LEN(_xlfn.SINGLE(ChartLines.ID))=0,"Unused"=_xlfn.SINGLE(ChartLines.ID)), "·",   1=_xlfn.SINGLE(ChartLines.NumInstances), IF("USD"=_xlfn.SINGLE(ChartLines.ID), "SoleBig", "SoleOrdinary"),   1=_xlfn.SINGLE(ChartLines.InstanceNum), "Outer",   TRUE, "Inner")</f>
        <v>Outer</v>
      </c>
      <c r="M244" s="1">
        <f t="shared" ref="M244" si="1147" xml:space="preserve"> IF(LEN(ChartLines.Hex6)=6, HEX2DEC(LEFT(ChartLines.Hex6, 2)), "·")</f>
        <v>22</v>
      </c>
      <c r="N244" s="1">
        <f t="shared" ref="N244" si="1148" xml:space="preserve"> IF(LEN(ChartLines.Hex6)=6, HEX2DEC(MID(ChartLines.Hex6, 3, 2)), "·")</f>
        <v>87</v>
      </c>
      <c r="O244" s="1">
        <f t="shared" ref="O244" si="1149" xml:space="preserve"> IF(LEN(ChartLines.Hex6)=6, HEX2DEC(RIGHT(ChartLines.Hex6, 2)), "·")</f>
        <v>136</v>
      </c>
      <c r="P244" s="1" cm="1">
        <f t="array" ref="P244" xml:space="preserve"> 1 + ROW() - _xlfn.SINGLE(ROW(ChartLines.RowNum))</f>
        <v>239</v>
      </c>
    </row>
    <row r="245" spans="2:16" x14ac:dyDescent="0.2">
      <c r="B245" s="1" t="s">
        <v>290</v>
      </c>
      <c r="C245" s="4" t="s">
        <v>84</v>
      </c>
      <c r="G245" s="1" t="s">
        <v>169</v>
      </c>
      <c r="H245" s="1" t="str">
        <f xml:space="preserve"> "C3DCF4"</f>
        <v>C3DCF4</v>
      </c>
      <c r="J245" s="1">
        <f t="shared" ref="J245" si="1150" xml:space="preserve"> IF(AND(LEN(ChartLines.ID)&gt;0,"Unused"&lt;&gt;ChartLines.ID), COUNTIFS(ChartLines.ID,ChartLines.ID), "·")</f>
        <v>2</v>
      </c>
      <c r="K245" s="1">
        <f t="shared" ref="K245" si="1151" xml:space="preserve"> IF(AND(LEN(ChartLines.ID)&gt;0,"Unused"&lt;&gt;ChartLines.ID), COUNTIFS(ChartLines.ID,ChartLines.ID,   ChartLines.RowNum,"&lt;="&amp;ChartLines.RowNum), "·")</f>
        <v>2</v>
      </c>
      <c r="L245" s="1" t="str" cm="1">
        <f t="array" ref="L245" xml:space="preserve"> _xlfn.IFS(OR(LEN(_xlfn.SINGLE(ChartLines.ID))=0,"Unused"=_xlfn.SINGLE(ChartLines.ID)), "·",   1=_xlfn.SINGLE(ChartLines.NumInstances), IF("USD"=_xlfn.SINGLE(ChartLines.ID), "SoleBig", "SoleOrdinary"),   1=_xlfn.SINGLE(ChartLines.InstanceNum), "Outer",   TRUE, "Inner")</f>
        <v>Inner</v>
      </c>
      <c r="M245" s="1">
        <f t="shared" ref="M245" si="1152" xml:space="preserve"> IF(LEN(ChartLines.Hex6)=6, HEX2DEC(LEFT(ChartLines.Hex6, 2)), "·")</f>
        <v>195</v>
      </c>
      <c r="N245" s="1">
        <f t="shared" ref="N245" si="1153" xml:space="preserve"> IF(LEN(ChartLines.Hex6)=6, HEX2DEC(MID(ChartLines.Hex6, 3, 2)), "·")</f>
        <v>220</v>
      </c>
      <c r="O245" s="1">
        <f t="shared" ref="O245" si="1154" xml:space="preserve"> IF(LEN(ChartLines.Hex6)=6, HEX2DEC(RIGHT(ChartLines.Hex6, 2)), "·")</f>
        <v>244</v>
      </c>
      <c r="P245" s="1" cm="1">
        <f t="array" ref="P245" xml:space="preserve"> 1 + ROW() - _xlfn.SINGLE(ROW(ChartLines.RowNum))</f>
        <v>240</v>
      </c>
    </row>
    <row r="246" spans="2:16" x14ac:dyDescent="0.2">
      <c r="B246" s="1" t="s">
        <v>291</v>
      </c>
      <c r="C246" s="4" t="s">
        <v>85</v>
      </c>
      <c r="G246" s="1" t="s">
        <v>170</v>
      </c>
      <c r="H246" s="1" t="s">
        <v>525</v>
      </c>
      <c r="J246" s="1">
        <f t="shared" ref="J246" si="1155" xml:space="preserve"> IF(AND(LEN(ChartLines.ID)&gt;0,"Unused"&lt;&gt;ChartLines.ID), COUNTIFS(ChartLines.ID,ChartLines.ID), "·")</f>
        <v>1</v>
      </c>
      <c r="K246" s="1">
        <f t="shared" ref="K246" si="1156" xml:space="preserve"> IF(AND(LEN(ChartLines.ID)&gt;0,"Unused"&lt;&gt;ChartLines.ID), COUNTIFS(ChartLines.ID,ChartLines.ID,   ChartLines.RowNum,"&lt;="&amp;ChartLines.RowNum), "·")</f>
        <v>1</v>
      </c>
      <c r="L246" s="1" t="str" cm="1">
        <f t="array" ref="L246" xml:space="preserve"> _xlfn.IFS(OR(LEN(_xlfn.SINGLE(ChartLines.ID))=0,"Unused"=_xlfn.SINGLE(ChartLines.ID)), "·",   1=_xlfn.SINGLE(ChartLines.NumInstances), IF("USD"=_xlfn.SINGLE(ChartLines.ID), "SoleBig", "SoleOrdinary"),   1=_xlfn.SINGLE(ChartLines.InstanceNum), "Outer",   TRUE, "Inner")</f>
        <v>SoleOrdinary</v>
      </c>
      <c r="M246" s="1">
        <f t="shared" ref="M246" si="1157" xml:space="preserve"> IF(LEN(ChartLines.Hex6)=6, HEX2DEC(LEFT(ChartLines.Hex6, 2)), "·")</f>
        <v>27</v>
      </c>
      <c r="N246" s="1">
        <f t="shared" ref="N246" si="1158" xml:space="preserve"> IF(LEN(ChartLines.Hex6)=6, HEX2DEC(MID(ChartLines.Hex6, 3, 2)), "·")</f>
        <v>97</v>
      </c>
      <c r="O246" s="1">
        <f t="shared" ref="O246" si="1159" xml:space="preserve"> IF(LEN(ChartLines.Hex6)=6, HEX2DEC(RIGHT(ChartLines.Hex6, 2)), "·")</f>
        <v>140</v>
      </c>
      <c r="P246" s="1" cm="1">
        <f t="array" ref="P246" xml:space="preserve"> 1 + ROW() - _xlfn.SINGLE(ROW(ChartLines.RowNum))</f>
        <v>241</v>
      </c>
    </row>
    <row r="247" spans="2:16" x14ac:dyDescent="0.2">
      <c r="B247" s="1" t="s">
        <v>292</v>
      </c>
      <c r="C247" s="4" t="s">
        <v>86</v>
      </c>
      <c r="G247" s="1" t="s">
        <v>419</v>
      </c>
      <c r="J247" s="1" t="str">
        <f t="shared" ref="J247" si="1160" xml:space="preserve"> IF(AND(LEN(ChartLines.ID)&gt;0,"Unused"&lt;&gt;ChartLines.ID), COUNTIFS(ChartLines.ID,ChartLines.ID), "·")</f>
        <v>·</v>
      </c>
      <c r="K247" s="1" t="str">
        <f t="shared" ref="K247" si="1161" xml:space="preserve"> IF(AND(LEN(ChartLines.ID)&gt;0,"Unused"&lt;&gt;ChartLines.ID), COUNTIFS(ChartLines.ID,ChartLines.ID,   ChartLines.RowNum,"&lt;="&amp;ChartLines.RowNum), "·")</f>
        <v>·</v>
      </c>
      <c r="L247" s="1" t="str" cm="1">
        <f t="array" ref="L247" xml:space="preserve"> _xlfn.IFS(OR(LEN(_xlfn.SINGLE(ChartLines.ID))=0,"Unused"=_xlfn.SINGLE(ChartLines.ID)), "·",   1=_xlfn.SINGLE(ChartLines.NumInstances), IF("USD"=_xlfn.SINGLE(ChartLines.ID), "SoleBig", "SoleOrdinary"),   1=_xlfn.SINGLE(ChartLines.InstanceNum), "Outer",   TRUE, "Inner")</f>
        <v>·</v>
      </c>
      <c r="M247" s="1" t="str">
        <f t="shared" ref="M247" si="1162" xml:space="preserve"> IF(LEN(ChartLines.Hex6)=6, HEX2DEC(LEFT(ChartLines.Hex6, 2)), "·")</f>
        <v>·</v>
      </c>
      <c r="N247" s="1" t="str">
        <f t="shared" ref="N247" si="1163" xml:space="preserve"> IF(LEN(ChartLines.Hex6)=6, HEX2DEC(MID(ChartLines.Hex6, 3, 2)), "·")</f>
        <v>·</v>
      </c>
      <c r="O247" s="1" t="str">
        <f t="shared" ref="O247" si="1164" xml:space="preserve"> IF(LEN(ChartLines.Hex6)=6, HEX2DEC(RIGHT(ChartLines.Hex6, 2)), "·")</f>
        <v>·</v>
      </c>
      <c r="P247" s="1" cm="1">
        <f t="array" ref="P247" xml:space="preserve"> 1 + ROW() - _xlfn.SINGLE(ROW(ChartLines.RowNum))</f>
        <v>242</v>
      </c>
    </row>
    <row r="248" spans="2:16" x14ac:dyDescent="0.2">
      <c r="B248" s="1" t="s">
        <v>293</v>
      </c>
      <c r="C248" s="4" t="s">
        <v>87</v>
      </c>
      <c r="G248" s="1" t="s">
        <v>171</v>
      </c>
      <c r="H248" s="1" t="s">
        <v>526</v>
      </c>
      <c r="J248" s="1">
        <f t="shared" ref="J248" si="1165" xml:space="preserve"> IF(AND(LEN(ChartLines.ID)&gt;0,"Unused"&lt;&gt;ChartLines.ID), COUNTIFS(ChartLines.ID,ChartLines.ID), "·")</f>
        <v>1</v>
      </c>
      <c r="K248" s="1">
        <f t="shared" ref="K248" si="1166" xml:space="preserve"> IF(AND(LEN(ChartLines.ID)&gt;0,"Unused"&lt;&gt;ChartLines.ID), COUNTIFS(ChartLines.ID,ChartLines.ID,   ChartLines.RowNum,"&lt;="&amp;ChartLines.RowNum), "·")</f>
        <v>1</v>
      </c>
      <c r="L248" s="1" t="str" cm="1">
        <f t="array" ref="L248" xml:space="preserve"> _xlfn.IFS(OR(LEN(_xlfn.SINGLE(ChartLines.ID))=0,"Unused"=_xlfn.SINGLE(ChartLines.ID)), "·",   1=_xlfn.SINGLE(ChartLines.NumInstances), IF("USD"=_xlfn.SINGLE(ChartLines.ID), "SoleBig", "SoleOrdinary"),   1=_xlfn.SINGLE(ChartLines.InstanceNum), "Outer",   TRUE, "Inner")</f>
        <v>SoleOrdinary</v>
      </c>
      <c r="M248" s="1">
        <f t="shared" ref="M248" si="1167" xml:space="preserve"> IF(LEN(ChartLines.Hex6)=6, HEX2DEC(LEFT(ChartLines.Hex6, 2)), "·")</f>
        <v>28</v>
      </c>
      <c r="N248" s="1">
        <f t="shared" ref="N248" si="1168" xml:space="preserve"> IF(LEN(ChartLines.Hex6)=6, HEX2DEC(MID(ChartLines.Hex6, 3, 2)), "·")</f>
        <v>48</v>
      </c>
      <c r="O248" s="1">
        <f t="shared" ref="O248" si="1169" xml:space="preserve"> IF(LEN(ChartLines.Hex6)=6, HEX2DEC(RIGHT(ChartLines.Hex6, 2)), "·")</f>
        <v>96</v>
      </c>
      <c r="P248" s="1" cm="1">
        <f t="array" ref="P248" xml:space="preserve"> 1 + ROW() - _xlfn.SINGLE(ROW(ChartLines.RowNum))</f>
        <v>243</v>
      </c>
    </row>
    <row r="249" spans="2:16" x14ac:dyDescent="0.2">
      <c r="B249" s="1" t="s">
        <v>294</v>
      </c>
      <c r="C249" s="4" t="s">
        <v>88</v>
      </c>
      <c r="G249" s="1" t="s">
        <v>419</v>
      </c>
      <c r="J249" s="1" t="str">
        <f t="shared" ref="J249" si="1170" xml:space="preserve"> IF(AND(LEN(ChartLines.ID)&gt;0,"Unused"&lt;&gt;ChartLines.ID), COUNTIFS(ChartLines.ID,ChartLines.ID), "·")</f>
        <v>·</v>
      </c>
      <c r="K249" s="1" t="str">
        <f t="shared" ref="K249" si="1171" xml:space="preserve"> IF(AND(LEN(ChartLines.ID)&gt;0,"Unused"&lt;&gt;ChartLines.ID), COUNTIFS(ChartLines.ID,ChartLines.ID,   ChartLines.RowNum,"&lt;="&amp;ChartLines.RowNum), "·")</f>
        <v>·</v>
      </c>
      <c r="L249" s="1" t="str" cm="1">
        <f t="array" ref="L249" xml:space="preserve"> _xlfn.IFS(OR(LEN(_xlfn.SINGLE(ChartLines.ID))=0,"Unused"=_xlfn.SINGLE(ChartLines.ID)), "·",   1=_xlfn.SINGLE(ChartLines.NumInstances), IF("USD"=_xlfn.SINGLE(ChartLines.ID), "SoleBig", "SoleOrdinary"),   1=_xlfn.SINGLE(ChartLines.InstanceNum), "Outer",   TRUE, "Inner")</f>
        <v>·</v>
      </c>
      <c r="M249" s="1" t="str">
        <f t="shared" ref="M249" si="1172" xml:space="preserve"> IF(LEN(ChartLines.Hex6)=6, HEX2DEC(LEFT(ChartLines.Hex6, 2)), "·")</f>
        <v>·</v>
      </c>
      <c r="N249" s="1" t="str">
        <f t="shared" ref="N249" si="1173" xml:space="preserve"> IF(LEN(ChartLines.Hex6)=6, HEX2DEC(MID(ChartLines.Hex6, 3, 2)), "·")</f>
        <v>·</v>
      </c>
      <c r="O249" s="1" t="str">
        <f t="shared" ref="O249" si="1174" xml:space="preserve"> IF(LEN(ChartLines.Hex6)=6, HEX2DEC(RIGHT(ChartLines.Hex6, 2)), "·")</f>
        <v>·</v>
      </c>
      <c r="P249" s="1" cm="1">
        <f t="array" ref="P249" xml:space="preserve"> 1 + ROW() - _xlfn.SINGLE(ROW(ChartLines.RowNum))</f>
        <v>244</v>
      </c>
    </row>
    <row r="250" spans="2:16" x14ac:dyDescent="0.2">
      <c r="B250" s="1" t="s">
        <v>295</v>
      </c>
      <c r="C250" s="4" t="s">
        <v>89</v>
      </c>
      <c r="G250" s="1" t="s">
        <v>172</v>
      </c>
      <c r="H250" s="1" t="s">
        <v>527</v>
      </c>
      <c r="J250" s="1">
        <f t="shared" ref="J250" si="1175" xml:space="preserve"> IF(AND(LEN(ChartLines.ID)&gt;0,"Unused"&lt;&gt;ChartLines.ID), COUNTIFS(ChartLines.ID,ChartLines.ID), "·")</f>
        <v>2</v>
      </c>
      <c r="K250" s="1">
        <f t="shared" ref="K250" si="1176" xml:space="preserve"> IF(AND(LEN(ChartLines.ID)&gt;0,"Unused"&lt;&gt;ChartLines.ID), COUNTIFS(ChartLines.ID,ChartLines.ID,   ChartLines.RowNum,"&lt;="&amp;ChartLines.RowNum), "·")</f>
        <v>1</v>
      </c>
      <c r="L250" s="1" t="str" cm="1">
        <f t="array" ref="L250" xml:space="preserve"> _xlfn.IFS(OR(LEN(_xlfn.SINGLE(ChartLines.ID))=0,"Unused"=_xlfn.SINGLE(ChartLines.ID)), "·",   1=_xlfn.SINGLE(ChartLines.NumInstances), IF("USD"=_xlfn.SINGLE(ChartLines.ID), "SoleBig", "SoleOrdinary"),   1=_xlfn.SINGLE(ChartLines.InstanceNum), "Outer",   TRUE, "Inner")</f>
        <v>Outer</v>
      </c>
      <c r="M250" s="1">
        <f t="shared" ref="M250" si="1177" xml:space="preserve"> IF(LEN(ChartLines.Hex6)=6, HEX2DEC(LEFT(ChartLines.Hex6, 2)), "·")</f>
        <v>134</v>
      </c>
      <c r="N250" s="1">
        <f t="shared" ref="N250" si="1178" xml:space="preserve"> IF(LEN(ChartLines.Hex6)=6, HEX2DEC(MID(ChartLines.Hex6, 3, 2)), "·")</f>
        <v>12</v>
      </c>
      <c r="O250" s="1">
        <f t="shared" ref="O250" si="1179" xml:space="preserve"> IF(LEN(ChartLines.Hex6)=6, HEX2DEC(RIGHT(ChartLines.Hex6, 2)), "·")</f>
        <v>20</v>
      </c>
      <c r="P250" s="1" cm="1">
        <f t="array" ref="P250" xml:space="preserve"> 1 + ROW() - _xlfn.SINGLE(ROW(ChartLines.RowNum))</f>
        <v>245</v>
      </c>
    </row>
    <row r="251" spans="2:16" x14ac:dyDescent="0.2">
      <c r="B251" s="1" t="s">
        <v>296</v>
      </c>
      <c r="C251" s="4" t="s">
        <v>90</v>
      </c>
      <c r="G251" s="1" t="s">
        <v>172</v>
      </c>
      <c r="H251" s="1" t="s">
        <v>423</v>
      </c>
      <c r="J251" s="1">
        <f t="shared" ref="J251" si="1180" xml:space="preserve"> IF(AND(LEN(ChartLines.ID)&gt;0,"Unused"&lt;&gt;ChartLines.ID), COUNTIFS(ChartLines.ID,ChartLines.ID), "·")</f>
        <v>2</v>
      </c>
      <c r="K251" s="1">
        <f t="shared" ref="K251" si="1181" xml:space="preserve"> IF(AND(LEN(ChartLines.ID)&gt;0,"Unused"&lt;&gt;ChartLines.ID), COUNTIFS(ChartLines.ID,ChartLines.ID,   ChartLines.RowNum,"&lt;="&amp;ChartLines.RowNum), "·")</f>
        <v>2</v>
      </c>
      <c r="L251" s="1" t="str" cm="1">
        <f t="array" ref="L251" xml:space="preserve"> _xlfn.IFS(OR(LEN(_xlfn.SINGLE(ChartLines.ID))=0,"Unused"=_xlfn.SINGLE(ChartLines.ID)), "·",   1=_xlfn.SINGLE(ChartLines.NumInstances), IF("USD"=_xlfn.SINGLE(ChartLines.ID), "SoleBig", "SoleOrdinary"),   1=_xlfn.SINGLE(ChartLines.InstanceNum), "Outer",   TRUE, "Inner")</f>
        <v>Inner</v>
      </c>
      <c r="M251" s="1">
        <f t="shared" ref="M251" si="1182" xml:space="preserve"> IF(LEN(ChartLines.Hex6)=6, HEX2DEC(LEFT(ChartLines.Hex6, 2)), "·")</f>
        <v>255</v>
      </c>
      <c r="N251" s="1">
        <f t="shared" ref="N251" si="1183" xml:space="preserve"> IF(LEN(ChartLines.Hex6)=6, HEX2DEC(MID(ChartLines.Hex6, 3, 2)), "·")</f>
        <v>255</v>
      </c>
      <c r="O251" s="1">
        <f t="shared" ref="O251" si="1184" xml:space="preserve"> IF(LEN(ChartLines.Hex6)=6, HEX2DEC(RIGHT(ChartLines.Hex6, 2)), "·")</f>
        <v>255</v>
      </c>
      <c r="P251" s="1" cm="1">
        <f t="array" ref="P251" xml:space="preserve"> 1 + ROW() - _xlfn.SINGLE(ROW(ChartLines.RowNum))</f>
        <v>246</v>
      </c>
    </row>
    <row r="252" spans="2:16" x14ac:dyDescent="0.2">
      <c r="B252" s="1" t="s">
        <v>297</v>
      </c>
      <c r="C252" s="4" t="s">
        <v>91</v>
      </c>
      <c r="G252" s="1" t="s">
        <v>173</v>
      </c>
      <c r="H252" s="1" t="str">
        <f xml:space="preserve"> "039355"</f>
        <v>039355</v>
      </c>
      <c r="J252" s="1">
        <f t="shared" ref="J252" si="1185" xml:space="preserve"> IF(AND(LEN(ChartLines.ID)&gt;0,"Unused"&lt;&gt;ChartLines.ID), COUNTIFS(ChartLines.ID,ChartLines.ID), "·")</f>
        <v>2</v>
      </c>
      <c r="K252" s="1">
        <f t="shared" ref="K252" si="1186" xml:space="preserve"> IF(AND(LEN(ChartLines.ID)&gt;0,"Unused"&lt;&gt;ChartLines.ID), COUNTIFS(ChartLines.ID,ChartLines.ID,   ChartLines.RowNum,"&lt;="&amp;ChartLines.RowNum), "·")</f>
        <v>1</v>
      </c>
      <c r="L252" s="1" t="str" cm="1">
        <f t="array" ref="L252" xml:space="preserve"> _xlfn.IFS(OR(LEN(_xlfn.SINGLE(ChartLines.ID))=0,"Unused"=_xlfn.SINGLE(ChartLines.ID)), "·",   1=_xlfn.SINGLE(ChartLines.NumInstances), IF("USD"=_xlfn.SINGLE(ChartLines.ID), "SoleBig", "SoleOrdinary"),   1=_xlfn.SINGLE(ChartLines.InstanceNum), "Outer",   TRUE, "Inner")</f>
        <v>Outer</v>
      </c>
      <c r="M252" s="1">
        <f t="shared" ref="M252" si="1187" xml:space="preserve"> IF(LEN(ChartLines.Hex6)=6, HEX2DEC(LEFT(ChartLines.Hex6, 2)), "·")</f>
        <v>3</v>
      </c>
      <c r="N252" s="1">
        <f t="shared" ref="N252" si="1188" xml:space="preserve"> IF(LEN(ChartLines.Hex6)=6, HEX2DEC(MID(ChartLines.Hex6, 3, 2)), "·")</f>
        <v>147</v>
      </c>
      <c r="O252" s="1">
        <f t="shared" ref="O252" si="1189" xml:space="preserve"> IF(LEN(ChartLines.Hex6)=6, HEX2DEC(RIGHT(ChartLines.Hex6, 2)), "·")</f>
        <v>85</v>
      </c>
      <c r="P252" s="1" cm="1">
        <f t="array" ref="P252" xml:space="preserve"> 1 + ROW() - _xlfn.SINGLE(ROW(ChartLines.RowNum))</f>
        <v>247</v>
      </c>
    </row>
    <row r="253" spans="2:16" x14ac:dyDescent="0.2">
      <c r="B253" s="1" t="s">
        <v>298</v>
      </c>
      <c r="C253" s="4" t="s">
        <v>92</v>
      </c>
      <c r="G253" s="1" t="s">
        <v>173</v>
      </c>
      <c r="H253" s="1" t="s">
        <v>423</v>
      </c>
      <c r="J253" s="1">
        <f t="shared" ref="J253" si="1190" xml:space="preserve"> IF(AND(LEN(ChartLines.ID)&gt;0,"Unused"&lt;&gt;ChartLines.ID), COUNTIFS(ChartLines.ID,ChartLines.ID), "·")</f>
        <v>2</v>
      </c>
      <c r="K253" s="1">
        <f t="shared" ref="K253" si="1191" xml:space="preserve"> IF(AND(LEN(ChartLines.ID)&gt;0,"Unused"&lt;&gt;ChartLines.ID), COUNTIFS(ChartLines.ID,ChartLines.ID,   ChartLines.RowNum,"&lt;="&amp;ChartLines.RowNum), "·")</f>
        <v>2</v>
      </c>
      <c r="L253" s="1" t="str" cm="1">
        <f t="array" ref="L253" xml:space="preserve"> _xlfn.IFS(OR(LEN(_xlfn.SINGLE(ChartLines.ID))=0,"Unused"=_xlfn.SINGLE(ChartLines.ID)), "·",   1=_xlfn.SINGLE(ChartLines.NumInstances), IF("USD"=_xlfn.SINGLE(ChartLines.ID), "SoleBig", "SoleOrdinary"),   1=_xlfn.SINGLE(ChartLines.InstanceNum), "Outer",   TRUE, "Inner")</f>
        <v>Inner</v>
      </c>
      <c r="M253" s="1">
        <f t="shared" ref="M253" si="1192" xml:space="preserve"> IF(LEN(ChartLines.Hex6)=6, HEX2DEC(LEFT(ChartLines.Hex6, 2)), "·")</f>
        <v>255</v>
      </c>
      <c r="N253" s="1">
        <f t="shared" ref="N253" si="1193" xml:space="preserve"> IF(LEN(ChartLines.Hex6)=6, HEX2DEC(MID(ChartLines.Hex6, 3, 2)), "·")</f>
        <v>255</v>
      </c>
      <c r="O253" s="1">
        <f t="shared" ref="O253" si="1194" xml:space="preserve"> IF(LEN(ChartLines.Hex6)=6, HEX2DEC(RIGHT(ChartLines.Hex6, 2)), "·")</f>
        <v>255</v>
      </c>
      <c r="P253" s="1" cm="1">
        <f t="array" ref="P253" xml:space="preserve"> 1 + ROW() - _xlfn.SINGLE(ROW(ChartLines.RowNum))</f>
        <v>248</v>
      </c>
    </row>
    <row r="254" spans="2:16" x14ac:dyDescent="0.2">
      <c r="B254" s="1" t="s">
        <v>299</v>
      </c>
      <c r="C254" s="4" t="s">
        <v>93</v>
      </c>
      <c r="G254" s="1" t="s">
        <v>174</v>
      </c>
      <c r="H254" s="1" t="str">
        <f xml:space="preserve"> "000000"</f>
        <v>000000</v>
      </c>
      <c r="J254" s="1">
        <f t="shared" ref="J254" si="1195" xml:space="preserve"> IF(AND(LEN(ChartLines.ID)&gt;0,"Unused"&lt;&gt;ChartLines.ID), COUNTIFS(ChartLines.ID,ChartLines.ID), "·")</f>
        <v>2</v>
      </c>
      <c r="K254" s="1">
        <f t="shared" ref="K254" si="1196" xml:space="preserve"> IF(AND(LEN(ChartLines.ID)&gt;0,"Unused"&lt;&gt;ChartLines.ID), COUNTIFS(ChartLines.ID,ChartLines.ID,   ChartLines.RowNum,"&lt;="&amp;ChartLines.RowNum), "·")</f>
        <v>1</v>
      </c>
      <c r="L254" s="1" t="str" cm="1">
        <f t="array" ref="L254" xml:space="preserve"> _xlfn.IFS(OR(LEN(_xlfn.SINGLE(ChartLines.ID))=0,"Unused"=_xlfn.SINGLE(ChartLines.ID)), "·",   1=_xlfn.SINGLE(ChartLines.NumInstances), IF("USD"=_xlfn.SINGLE(ChartLines.ID), "SoleBig", "SoleOrdinary"),   1=_xlfn.SINGLE(ChartLines.InstanceNum), "Outer",   TRUE, "Inner")</f>
        <v>Outer</v>
      </c>
      <c r="M254" s="1">
        <f t="shared" ref="M254" si="1197" xml:space="preserve"> IF(LEN(ChartLines.Hex6)=6, HEX2DEC(LEFT(ChartLines.Hex6, 2)), "·")</f>
        <v>0</v>
      </c>
      <c r="N254" s="1">
        <f t="shared" ref="N254" si="1198" xml:space="preserve"> IF(LEN(ChartLines.Hex6)=6, HEX2DEC(MID(ChartLines.Hex6, 3, 2)), "·")</f>
        <v>0</v>
      </c>
      <c r="O254" s="1">
        <f t="shared" ref="O254" si="1199" xml:space="preserve"> IF(LEN(ChartLines.Hex6)=6, HEX2DEC(RIGHT(ChartLines.Hex6, 2)), "·")</f>
        <v>0</v>
      </c>
      <c r="P254" s="1" cm="1">
        <f t="array" ref="P254" xml:space="preserve"> 1 + ROW() - _xlfn.SINGLE(ROW(ChartLines.RowNum))</f>
        <v>249</v>
      </c>
    </row>
    <row r="255" spans="2:16" x14ac:dyDescent="0.2">
      <c r="B255" s="1" t="s">
        <v>300</v>
      </c>
      <c r="C255" s="4" t="s">
        <v>94</v>
      </c>
      <c r="G255" s="1" t="s">
        <v>174</v>
      </c>
      <c r="H255" s="1" t="str">
        <f xml:space="preserve"> "039355"</f>
        <v>039355</v>
      </c>
      <c r="J255" s="1">
        <f t="shared" ref="J255" si="1200" xml:space="preserve"> IF(AND(LEN(ChartLines.ID)&gt;0,"Unused"&lt;&gt;ChartLines.ID), COUNTIFS(ChartLines.ID,ChartLines.ID), "·")</f>
        <v>2</v>
      </c>
      <c r="K255" s="1">
        <f t="shared" ref="K255" si="1201" xml:space="preserve"> IF(AND(LEN(ChartLines.ID)&gt;0,"Unused"&lt;&gt;ChartLines.ID), COUNTIFS(ChartLines.ID,ChartLines.ID,   ChartLines.RowNum,"&lt;="&amp;ChartLines.RowNum), "·")</f>
        <v>2</v>
      </c>
      <c r="L255" s="1" t="str" cm="1">
        <f t="array" ref="L255" xml:space="preserve"> _xlfn.IFS(OR(LEN(_xlfn.SINGLE(ChartLines.ID))=0,"Unused"=_xlfn.SINGLE(ChartLines.ID)), "·",   1=_xlfn.SINGLE(ChartLines.NumInstances), IF("USD"=_xlfn.SINGLE(ChartLines.ID), "SoleBig", "SoleOrdinary"),   1=_xlfn.SINGLE(ChartLines.InstanceNum), "Outer",   TRUE, "Inner")</f>
        <v>Inner</v>
      </c>
      <c r="M255" s="1">
        <f t="shared" ref="M255" si="1202" xml:space="preserve"> IF(LEN(ChartLines.Hex6)=6, HEX2DEC(LEFT(ChartLines.Hex6, 2)), "·")</f>
        <v>3</v>
      </c>
      <c r="N255" s="1">
        <f t="shared" ref="N255" si="1203" xml:space="preserve"> IF(LEN(ChartLines.Hex6)=6, HEX2DEC(MID(ChartLines.Hex6, 3, 2)), "·")</f>
        <v>147</v>
      </c>
      <c r="O255" s="1">
        <f t="shared" ref="O255" si="1204" xml:space="preserve"> IF(LEN(ChartLines.Hex6)=6, HEX2DEC(RIGHT(ChartLines.Hex6, 2)), "·")</f>
        <v>85</v>
      </c>
      <c r="P255" s="1" cm="1">
        <f t="array" ref="P255" xml:space="preserve"> 1 + ROW() - _xlfn.SINGLE(ROW(ChartLines.RowNum))</f>
        <v>250</v>
      </c>
    </row>
    <row r="256" spans="2:16" x14ac:dyDescent="0.2">
      <c r="B256" s="1" t="s">
        <v>301</v>
      </c>
      <c r="C256" s="4" t="s">
        <v>95</v>
      </c>
      <c r="G256" s="1" t="s">
        <v>175</v>
      </c>
      <c r="H256" s="1" t="s">
        <v>528</v>
      </c>
      <c r="J256" s="1">
        <f t="shared" ref="J256" si="1205" xml:space="preserve"> IF(AND(LEN(ChartLines.ID)&gt;0,"Unused"&lt;&gt;ChartLines.ID), COUNTIFS(ChartLines.ID,ChartLines.ID), "·")</f>
        <v>2</v>
      </c>
      <c r="K256" s="1">
        <f t="shared" ref="K256" si="1206" xml:space="preserve"> IF(AND(LEN(ChartLines.ID)&gt;0,"Unused"&lt;&gt;ChartLines.ID), COUNTIFS(ChartLines.ID,ChartLines.ID,   ChartLines.RowNum,"&lt;="&amp;ChartLines.RowNum), "·")</f>
        <v>1</v>
      </c>
      <c r="L256" s="1" t="str" cm="1">
        <f t="array" ref="L256" xml:space="preserve"> _xlfn.IFS(OR(LEN(_xlfn.SINGLE(ChartLines.ID))=0,"Unused"=_xlfn.SINGLE(ChartLines.ID)), "·",   1=_xlfn.SINGLE(ChartLines.NumInstances), IF("USD"=_xlfn.SINGLE(ChartLines.ID), "SoleBig", "SoleOrdinary"),   1=_xlfn.SINGLE(ChartLines.InstanceNum), "Outer",   TRUE, "Inner")</f>
        <v>Outer</v>
      </c>
      <c r="M256" s="1">
        <f t="shared" ref="M256" si="1207" xml:space="preserve"> IF(LEN(ChartLines.Hex6)=6, HEX2DEC(LEFT(ChartLines.Hex6, 2)), "·")</f>
        <v>25</v>
      </c>
      <c r="N256" s="1">
        <f t="shared" ref="N256" si="1208" xml:space="preserve"> IF(LEN(ChartLines.Hex6)=6, HEX2DEC(MID(ChartLines.Hex6, 3, 2)), "·")</f>
        <v>141</v>
      </c>
      <c r="O256" s="1">
        <f t="shared" ref="O256" si="1209" xml:space="preserve"> IF(LEN(ChartLines.Hex6)=6, HEX2DEC(RIGHT(ChartLines.Hex6, 2)), "·")</f>
        <v>102</v>
      </c>
      <c r="P256" s="1" cm="1">
        <f t="array" ref="P256" xml:space="preserve"> 1 + ROW() - _xlfn.SINGLE(ROW(ChartLines.RowNum))</f>
        <v>251</v>
      </c>
    </row>
    <row r="257" spans="2:16" x14ac:dyDescent="0.2">
      <c r="B257" s="1" t="s">
        <v>302</v>
      </c>
      <c r="C257" s="4" t="s">
        <v>96</v>
      </c>
      <c r="G257" s="1" t="s">
        <v>175</v>
      </c>
      <c r="H257" s="1" t="s">
        <v>529</v>
      </c>
      <c r="J257" s="1">
        <f t="shared" ref="J257" si="1210" xml:space="preserve"> IF(AND(LEN(ChartLines.ID)&gt;0,"Unused"&lt;&gt;ChartLines.ID), COUNTIFS(ChartLines.ID,ChartLines.ID), "·")</f>
        <v>2</v>
      </c>
      <c r="K257" s="1">
        <f t="shared" ref="K257" si="1211" xml:space="preserve"> IF(AND(LEN(ChartLines.ID)&gt;0,"Unused"&lt;&gt;ChartLines.ID), COUNTIFS(ChartLines.ID,ChartLines.ID,   ChartLines.RowNum,"&lt;="&amp;ChartLines.RowNum), "·")</f>
        <v>2</v>
      </c>
      <c r="L257" s="1" t="str" cm="1">
        <f t="array" ref="L257" xml:space="preserve"> _xlfn.IFS(OR(LEN(_xlfn.SINGLE(ChartLines.ID))=0,"Unused"=_xlfn.SINGLE(ChartLines.ID)), "·",   1=_xlfn.SINGLE(ChartLines.NumInstances), IF("USD"=_xlfn.SINGLE(ChartLines.ID), "SoleBig", "SoleOrdinary"),   1=_xlfn.SINGLE(ChartLines.InstanceNum), "Outer",   TRUE, "Inner")</f>
        <v>Inner</v>
      </c>
      <c r="M257" s="1">
        <f t="shared" ref="M257" si="1212" xml:space="preserve"> IF(LEN(ChartLines.Hex6)=6, HEX2DEC(LEFT(ChartLines.Hex6, 2)), "·")</f>
        <v>252</v>
      </c>
      <c r="N257" s="1">
        <f t="shared" ref="N257" si="1213" xml:space="preserve"> IF(LEN(ChartLines.Hex6)=6, HEX2DEC(MID(ChartLines.Hex6, 3, 2)), "·")</f>
        <v>185</v>
      </c>
      <c r="O257" s="1">
        <f t="shared" ref="O257" si="1214" xml:space="preserve"> IF(LEN(ChartLines.Hex6)=6, HEX2DEC(RIGHT(ChartLines.Hex6, 2)), "·")</f>
        <v>14</v>
      </c>
      <c r="P257" s="1" cm="1">
        <f t="array" ref="P257" xml:space="preserve"> 1 + ROW() - _xlfn.SINGLE(ROW(ChartLines.RowNum))</f>
        <v>252</v>
      </c>
    </row>
    <row r="258" spans="2:16" x14ac:dyDescent="0.2">
      <c r="B258" s="1" t="s">
        <v>303</v>
      </c>
      <c r="C258" s="4" t="s">
        <v>97</v>
      </c>
      <c r="G258" s="1" t="s">
        <v>176</v>
      </c>
      <c r="H258" s="1" t="str">
        <f xml:space="preserve"> "005073"</f>
        <v>005073</v>
      </c>
      <c r="J258" s="1">
        <f t="shared" ref="J258" si="1215" xml:space="preserve"> IF(AND(LEN(ChartLines.ID)&gt;0,"Unused"&lt;&gt;ChartLines.ID), COUNTIFS(ChartLines.ID,ChartLines.ID), "·")</f>
        <v>2</v>
      </c>
      <c r="K258" s="1">
        <f t="shared" ref="K258" si="1216" xml:space="preserve"> IF(AND(LEN(ChartLines.ID)&gt;0,"Unused"&lt;&gt;ChartLines.ID), COUNTIFS(ChartLines.ID,ChartLines.ID,   ChartLines.RowNum,"&lt;="&amp;ChartLines.RowNum), "·")</f>
        <v>1</v>
      </c>
      <c r="L258" s="1" t="str" cm="1">
        <f t="array" ref="L258" xml:space="preserve"> _xlfn.IFS(OR(LEN(_xlfn.SINGLE(ChartLines.ID))=0,"Unused"=_xlfn.SINGLE(ChartLines.ID)), "·",   1=_xlfn.SINGLE(ChartLines.NumInstances), IF("USD"=_xlfn.SINGLE(ChartLines.ID), "SoleBig", "SoleOrdinary"),   1=_xlfn.SINGLE(ChartLines.InstanceNum), "Outer",   TRUE, "Inner")</f>
        <v>Outer</v>
      </c>
      <c r="M258" s="1">
        <f t="shared" ref="M258" si="1217" xml:space="preserve"> IF(LEN(ChartLines.Hex6)=6, HEX2DEC(LEFT(ChartLines.Hex6, 2)), "·")</f>
        <v>0</v>
      </c>
      <c r="N258" s="1">
        <f t="shared" ref="N258" si="1218" xml:space="preserve"> IF(LEN(ChartLines.Hex6)=6, HEX2DEC(MID(ChartLines.Hex6, 3, 2)), "·")</f>
        <v>80</v>
      </c>
      <c r="O258" s="1">
        <f t="shared" ref="O258" si="1219" xml:space="preserve"> IF(LEN(ChartLines.Hex6)=6, HEX2DEC(RIGHT(ChartLines.Hex6, 2)), "·")</f>
        <v>115</v>
      </c>
      <c r="P258" s="1" cm="1">
        <f t="array" ref="P258" xml:space="preserve"> 1 + ROW() - _xlfn.SINGLE(ROW(ChartLines.RowNum))</f>
        <v>253</v>
      </c>
    </row>
    <row r="259" spans="2:16" x14ac:dyDescent="0.2">
      <c r="B259" s="1" t="s">
        <v>304</v>
      </c>
      <c r="C259" s="4" t="s">
        <v>98</v>
      </c>
      <c r="G259" s="1" t="s">
        <v>176</v>
      </c>
      <c r="H259" s="1" t="s">
        <v>423</v>
      </c>
      <c r="J259" s="1">
        <f t="shared" ref="J259" si="1220" xml:space="preserve"> IF(AND(LEN(ChartLines.ID)&gt;0,"Unused"&lt;&gt;ChartLines.ID), COUNTIFS(ChartLines.ID,ChartLines.ID), "·")</f>
        <v>2</v>
      </c>
      <c r="K259" s="1">
        <f t="shared" ref="K259" si="1221" xml:space="preserve"> IF(AND(LEN(ChartLines.ID)&gt;0,"Unused"&lt;&gt;ChartLines.ID), COUNTIFS(ChartLines.ID,ChartLines.ID,   ChartLines.RowNum,"&lt;="&amp;ChartLines.RowNum), "·")</f>
        <v>2</v>
      </c>
      <c r="L259" s="1" t="str" cm="1">
        <f t="array" ref="L259" xml:space="preserve"> _xlfn.IFS(OR(LEN(_xlfn.SINGLE(ChartLines.ID))=0,"Unused"=_xlfn.SINGLE(ChartLines.ID)), "·",   1=_xlfn.SINGLE(ChartLines.NumInstances), IF("USD"=_xlfn.SINGLE(ChartLines.ID), "SoleBig", "SoleOrdinary"),   1=_xlfn.SINGLE(ChartLines.InstanceNum), "Outer",   TRUE, "Inner")</f>
        <v>Inner</v>
      </c>
      <c r="M259" s="1">
        <f t="shared" ref="M259" si="1222" xml:space="preserve"> IF(LEN(ChartLines.Hex6)=6, HEX2DEC(LEFT(ChartLines.Hex6, 2)), "·")</f>
        <v>255</v>
      </c>
      <c r="N259" s="1">
        <f t="shared" ref="N259" si="1223" xml:space="preserve"> IF(LEN(ChartLines.Hex6)=6, HEX2DEC(MID(ChartLines.Hex6, 3, 2)), "·")</f>
        <v>255</v>
      </c>
      <c r="O259" s="1">
        <f t="shared" ref="O259" si="1224" xml:space="preserve"> IF(LEN(ChartLines.Hex6)=6, HEX2DEC(RIGHT(ChartLines.Hex6, 2)), "·")</f>
        <v>255</v>
      </c>
      <c r="P259" s="1" cm="1">
        <f t="array" ref="P259" xml:space="preserve"> 1 + ROW() - _xlfn.SINGLE(ROW(ChartLines.RowNum))</f>
        <v>254</v>
      </c>
    </row>
    <row r="260" spans="2:16" x14ac:dyDescent="0.2">
      <c r="B260" s="1" t="s">
        <v>305</v>
      </c>
      <c r="C260" s="4" t="s">
        <v>99</v>
      </c>
      <c r="G260" s="1" t="s">
        <v>177</v>
      </c>
      <c r="H260" s="1" t="s">
        <v>530</v>
      </c>
      <c r="J260" s="1">
        <f t="shared" ref="J260" si="1225" xml:space="preserve"> IF(AND(LEN(ChartLines.ID)&gt;0,"Unused"&lt;&gt;ChartLines.ID), COUNTIFS(ChartLines.ID,ChartLines.ID), "·")</f>
        <v>2</v>
      </c>
      <c r="K260" s="1">
        <f t="shared" ref="K260" si="1226" xml:space="preserve"> IF(AND(LEN(ChartLines.ID)&gt;0,"Unused"&lt;&gt;ChartLines.ID), COUNTIFS(ChartLines.ID,ChartLines.ID,   ChartLines.RowNum,"&lt;="&amp;ChartLines.RowNum), "·")</f>
        <v>1</v>
      </c>
      <c r="L260" s="1" t="str" cm="1">
        <f t="array" ref="L260" xml:space="preserve"> _xlfn.IFS(OR(LEN(_xlfn.SINGLE(ChartLines.ID))=0,"Unused"=_xlfn.SINGLE(ChartLines.ID)), "·",   1=_xlfn.SINGLE(ChartLines.NumInstances), IF("USD"=_xlfn.SINGLE(ChartLines.ID), "SoleBig", "SoleOrdinary"),   1=_xlfn.SINGLE(ChartLines.InstanceNum), "Outer",   TRUE, "Inner")</f>
        <v>Outer</v>
      </c>
      <c r="M260" s="1">
        <f t="shared" ref="M260" si="1227" xml:space="preserve"> IF(LEN(ChartLines.Hex6)=6, HEX2DEC(LEFT(ChartLines.Hex6, 2)), "·")</f>
        <v>43</v>
      </c>
      <c r="N260" s="1">
        <f t="shared" ref="N260" si="1228" xml:space="preserve"> IF(LEN(ChartLines.Hex6)=6, HEX2DEC(MID(ChartLines.Hex6, 3, 2)), "·")</f>
        <v>206</v>
      </c>
      <c r="O260" s="1">
        <f t="shared" ref="O260" si="1229" xml:space="preserve"> IF(LEN(ChartLines.Hex6)=6, HEX2DEC(RIGHT(ChartLines.Hex6, 2)), "·")</f>
        <v>117</v>
      </c>
      <c r="P260" s="1" cm="1">
        <f t="array" ref="P260" xml:space="preserve"> 1 + ROW() - _xlfn.SINGLE(ROW(ChartLines.RowNum))</f>
        <v>255</v>
      </c>
    </row>
    <row r="261" spans="2:16" x14ac:dyDescent="0.2">
      <c r="B261" s="1" t="s">
        <v>306</v>
      </c>
      <c r="C261" s="4" t="s">
        <v>100</v>
      </c>
      <c r="G261" s="1" t="s">
        <v>177</v>
      </c>
      <c r="H261" s="1" t="s">
        <v>531</v>
      </c>
      <c r="J261" s="1">
        <f t="shared" ref="J261" si="1230" xml:space="preserve"> IF(AND(LEN(ChartLines.ID)&gt;0,"Unused"&lt;&gt;ChartLines.ID), COUNTIFS(ChartLines.ID,ChartLines.ID), "·")</f>
        <v>2</v>
      </c>
      <c r="K261" s="1">
        <f t="shared" ref="K261" si="1231" xml:space="preserve"> IF(AND(LEN(ChartLines.ID)&gt;0,"Unused"&lt;&gt;ChartLines.ID), COUNTIFS(ChartLines.ID,ChartLines.ID,   ChartLines.RowNum,"&lt;="&amp;ChartLines.RowNum), "·")</f>
        <v>2</v>
      </c>
      <c r="L261" s="1" t="str" cm="1">
        <f t="array" ref="L261" xml:space="preserve"> _xlfn.IFS(OR(LEN(_xlfn.SINGLE(ChartLines.ID))=0,"Unused"=_xlfn.SINGLE(ChartLines.ID)), "·",   1=_xlfn.SINGLE(ChartLines.NumInstances), IF("USD"=_xlfn.SINGLE(ChartLines.ID), "SoleBig", "SoleOrdinary"),   1=_xlfn.SINGLE(ChartLines.InstanceNum), "Outer",   TRUE, "Inner")</f>
        <v>Inner</v>
      </c>
      <c r="M261" s="1">
        <f t="shared" ref="M261" si="1232" xml:space="preserve"> IF(LEN(ChartLines.Hex6)=6, HEX2DEC(LEFT(ChartLines.Hex6, 2)), "·")</f>
        <v>0</v>
      </c>
      <c r="N261" s="1">
        <f t="shared" ref="N261" si="1233" xml:space="preserve"> IF(LEN(ChartLines.Hex6)=6, HEX2DEC(MID(ChartLines.Hex6, 3, 2)), "·")</f>
        <v>70</v>
      </c>
      <c r="O261" s="1">
        <f t="shared" ref="O261" si="1234" xml:space="preserve"> IF(LEN(ChartLines.Hex6)=6, HEX2DEC(RIGHT(ChartLines.Hex6, 2)), "·")</f>
        <v>194</v>
      </c>
      <c r="P261" s="1" cm="1">
        <f t="array" ref="P261" xml:space="preserve"> 1 + ROW() - _xlfn.SINGLE(ROW(ChartLines.RowNum))</f>
        <v>256</v>
      </c>
    </row>
    <row r="262" spans="2:16" x14ac:dyDescent="0.2">
      <c r="B262" s="1" t="s">
        <v>307</v>
      </c>
      <c r="C262" s="4" t="s">
        <v>101</v>
      </c>
      <c r="G262" s="1" t="s">
        <v>178</v>
      </c>
      <c r="H262" s="1" t="s">
        <v>532</v>
      </c>
      <c r="J262" s="1">
        <f t="shared" ref="J262" si="1235" xml:space="preserve"> IF(AND(LEN(ChartLines.ID)&gt;0,"Unused"&lt;&gt;ChartLines.ID), COUNTIFS(ChartLines.ID,ChartLines.ID), "·")</f>
        <v>2</v>
      </c>
      <c r="K262" s="1">
        <f t="shared" ref="K262" si="1236" xml:space="preserve"> IF(AND(LEN(ChartLines.ID)&gt;0,"Unused"&lt;&gt;ChartLines.ID), COUNTIFS(ChartLines.ID,ChartLines.ID,   ChartLines.RowNum,"&lt;="&amp;ChartLines.RowNum), "·")</f>
        <v>1</v>
      </c>
      <c r="L262" s="1" t="str" cm="1">
        <f t="array" ref="L262" xml:space="preserve"> _xlfn.IFS(OR(LEN(_xlfn.SINGLE(ChartLines.ID))=0,"Unused"=_xlfn.SINGLE(ChartLines.ID)), "·",   1=_xlfn.SINGLE(ChartLines.NumInstances), IF("USD"=_xlfn.SINGLE(ChartLines.ID), "SoleBig", "SoleOrdinary"),   1=_xlfn.SINGLE(ChartLines.InstanceNum), "Outer",   TRUE, "Inner")</f>
        <v>Outer</v>
      </c>
      <c r="M262" s="1">
        <f t="shared" ref="M262" si="1237" xml:space="preserve"> IF(LEN(ChartLines.Hex6)=6, HEX2DEC(LEFT(ChartLines.Hex6, 2)), "·")</f>
        <v>239</v>
      </c>
      <c r="N262" s="1">
        <f t="shared" ref="N262" si="1238" xml:space="preserve"> IF(LEN(ChartLines.Hex6)=6, HEX2DEC(MID(ChartLines.Hex6, 3, 2)), "·")</f>
        <v>190</v>
      </c>
      <c r="O262" s="1">
        <f t="shared" ref="O262" si="1239" xml:space="preserve"> IF(LEN(ChartLines.Hex6)=6, HEX2DEC(RIGHT(ChartLines.Hex6, 2)), "·")</f>
        <v>32</v>
      </c>
      <c r="P262" s="1" cm="1">
        <f t="array" ref="P262" xml:space="preserve"> 1 + ROW() - _xlfn.SINGLE(ROW(ChartLines.RowNum))</f>
        <v>257</v>
      </c>
    </row>
    <row r="263" spans="2:16" x14ac:dyDescent="0.2">
      <c r="B263" s="1" t="s">
        <v>308</v>
      </c>
      <c r="C263" s="4" t="s">
        <v>102</v>
      </c>
      <c r="G263" s="1" t="s">
        <v>178</v>
      </c>
      <c r="H263" s="1" t="s">
        <v>533</v>
      </c>
      <c r="J263" s="1">
        <f t="shared" ref="J263" si="1240" xml:space="preserve"> IF(AND(LEN(ChartLines.ID)&gt;0,"Unused"&lt;&gt;ChartLines.ID), COUNTIFS(ChartLines.ID,ChartLines.ID), "·")</f>
        <v>2</v>
      </c>
      <c r="K263" s="1">
        <f t="shared" ref="K263" si="1241" xml:space="preserve"> IF(AND(LEN(ChartLines.ID)&gt;0,"Unused"&lt;&gt;ChartLines.ID), COUNTIFS(ChartLines.ID,ChartLines.ID,   ChartLines.RowNum,"&lt;="&amp;ChartLines.RowNum), "·")</f>
        <v>2</v>
      </c>
      <c r="L263" s="1" t="str" cm="1">
        <f t="array" ref="L263" xml:space="preserve"> _xlfn.IFS(OR(LEN(_xlfn.SINGLE(ChartLines.ID))=0,"Unused"=_xlfn.SINGLE(ChartLines.ID)), "·",   1=_xlfn.SINGLE(ChartLines.NumInstances), IF("USD"=_xlfn.SINGLE(ChartLines.ID), "SoleBig", "SoleOrdinary"),   1=_xlfn.SINGLE(ChartLines.InstanceNum), "Outer",   TRUE, "Inner")</f>
        <v>Inner</v>
      </c>
      <c r="M263" s="1">
        <f t="shared" ref="M263" si="1242" xml:space="preserve"> IF(LEN(ChartLines.Hex6)=6, HEX2DEC(LEFT(ChartLines.Hex6, 2)), "·")</f>
        <v>11</v>
      </c>
      <c r="N263" s="1">
        <f t="shared" ref="N263" si="1243" xml:space="preserve"> IF(LEN(ChartLines.Hex6)=6, HEX2DEC(MID(ChartLines.Hex6, 3, 2)), "·")</f>
        <v>92</v>
      </c>
      <c r="O263" s="1">
        <f t="shared" ref="O263" si="1244" xml:space="preserve"> IF(LEN(ChartLines.Hex6)=6, HEX2DEC(RIGHT(ChartLines.Hex6, 2)), "·")</f>
        <v>174</v>
      </c>
      <c r="P263" s="1" cm="1">
        <f t="array" ref="P263" xml:space="preserve"> 1 + ROW() - _xlfn.SINGLE(ROW(ChartLines.RowNum))</f>
        <v>258</v>
      </c>
    </row>
    <row r="264" spans="2:16" x14ac:dyDescent="0.2">
      <c r="B264" s="1" t="s">
        <v>309</v>
      </c>
      <c r="C264" s="4" t="s">
        <v>103</v>
      </c>
      <c r="G264" s="1" t="s">
        <v>179</v>
      </c>
      <c r="H264" s="1" t="str">
        <f xml:space="preserve"> "056839"</f>
        <v>056839</v>
      </c>
      <c r="J264" s="1">
        <f t="shared" ref="J264" si="1245" xml:space="preserve"> IF(AND(LEN(ChartLines.ID)&gt;0,"Unused"&lt;&gt;ChartLines.ID), COUNTIFS(ChartLines.ID,ChartLines.ID), "·")</f>
        <v>2</v>
      </c>
      <c r="K264" s="1">
        <f t="shared" ref="K264" si="1246" xml:space="preserve"> IF(AND(LEN(ChartLines.ID)&gt;0,"Unused"&lt;&gt;ChartLines.ID), COUNTIFS(ChartLines.ID,ChartLines.ID,   ChartLines.RowNum,"&lt;="&amp;ChartLines.RowNum), "·")</f>
        <v>1</v>
      </c>
      <c r="L264" s="1" t="str" cm="1">
        <f t="array" ref="L264" xml:space="preserve"> _xlfn.IFS(OR(LEN(_xlfn.SINGLE(ChartLines.ID))=0,"Unused"=_xlfn.SINGLE(ChartLines.ID)), "·",   1=_xlfn.SINGLE(ChartLines.NumInstances), IF("USD"=_xlfn.SINGLE(ChartLines.ID), "SoleBig", "SoleOrdinary"),   1=_xlfn.SINGLE(ChartLines.InstanceNum), "Outer",   TRUE, "Inner")</f>
        <v>Outer</v>
      </c>
      <c r="M264" s="1">
        <f t="shared" ref="M264" si="1247" xml:space="preserve"> IF(LEN(ChartLines.Hex6)=6, HEX2DEC(LEFT(ChartLines.Hex6, 2)), "·")</f>
        <v>5</v>
      </c>
      <c r="N264" s="1">
        <f t="shared" ref="N264" si="1248" xml:space="preserve"> IF(LEN(ChartLines.Hex6)=6, HEX2DEC(MID(ChartLines.Hex6, 3, 2)), "·")</f>
        <v>104</v>
      </c>
      <c r="O264" s="1">
        <f t="shared" ref="O264" si="1249" xml:space="preserve"> IF(LEN(ChartLines.Hex6)=6, HEX2DEC(RIGHT(ChartLines.Hex6, 2)), "·")</f>
        <v>57</v>
      </c>
      <c r="P264" s="1" cm="1">
        <f t="array" ref="P264" xml:space="preserve"> 1 + ROW() - _xlfn.SINGLE(ROW(ChartLines.RowNum))</f>
        <v>259</v>
      </c>
    </row>
    <row r="265" spans="2:16" x14ac:dyDescent="0.2">
      <c r="B265" s="1" t="s">
        <v>310</v>
      </c>
      <c r="C265" s="4" t="s">
        <v>104</v>
      </c>
      <c r="G265" s="1" t="s">
        <v>179</v>
      </c>
      <c r="H265" s="1" t="s">
        <v>534</v>
      </c>
      <c r="J265" s="1">
        <f t="shared" ref="J265" si="1250" xml:space="preserve"> IF(AND(LEN(ChartLines.ID)&gt;0,"Unused"&lt;&gt;ChartLines.ID), COUNTIFS(ChartLines.ID,ChartLines.ID), "·")</f>
        <v>2</v>
      </c>
      <c r="K265" s="1">
        <f t="shared" ref="K265" si="1251" xml:space="preserve"> IF(AND(LEN(ChartLines.ID)&gt;0,"Unused"&lt;&gt;ChartLines.ID), COUNTIFS(ChartLines.ID,ChartLines.ID,   ChartLines.RowNum,"&lt;="&amp;ChartLines.RowNum), "·")</f>
        <v>2</v>
      </c>
      <c r="L265" s="1" t="str" cm="1">
        <f t="array" ref="L265" xml:space="preserve"> _xlfn.IFS(OR(LEN(_xlfn.SINGLE(ChartLines.ID))=0,"Unused"=_xlfn.SINGLE(ChartLines.ID)), "·",   1=_xlfn.SINGLE(ChartLines.NumInstances), IF("USD"=_xlfn.SINGLE(ChartLines.ID), "SoleBig", "SoleOrdinary"),   1=_xlfn.SINGLE(ChartLines.InstanceNum), "Outer",   TRUE, "Inner")</f>
        <v>Inner</v>
      </c>
      <c r="M265" s="1">
        <f t="shared" ref="M265" si="1252" xml:space="preserve"> IF(LEN(ChartLines.Hex6)=6, HEX2DEC(LEFT(ChartLines.Hex6, 2)), "·")</f>
        <v>190</v>
      </c>
      <c r="N265" s="1">
        <f t="shared" ref="N265" si="1253" xml:space="preserve"> IF(LEN(ChartLines.Hex6)=6, HEX2DEC(MID(ChartLines.Hex6, 3, 2)), "·")</f>
        <v>214</v>
      </c>
      <c r="O265" s="1">
        <f t="shared" ref="O265" si="1254" xml:space="preserve"> IF(LEN(ChartLines.Hex6)=6, HEX2DEC(RIGHT(ChartLines.Hex6, 2)), "·")</f>
        <v>47</v>
      </c>
      <c r="P265" s="1" cm="1">
        <f t="array" ref="P265" xml:space="preserve"> 1 + ROW() - _xlfn.SINGLE(ROW(ChartLines.RowNum))</f>
        <v>260</v>
      </c>
    </row>
    <row r="266" spans="2:16" x14ac:dyDescent="0.2">
      <c r="B266" s="1" t="s">
        <v>311</v>
      </c>
      <c r="C266" s="4" t="s">
        <v>105</v>
      </c>
      <c r="G266" s="1" t="s">
        <v>180</v>
      </c>
      <c r="H266" s="1" t="str">
        <f xml:space="preserve"> "000000"</f>
        <v>000000</v>
      </c>
      <c r="J266" s="1">
        <f t="shared" ref="J266" si="1255" xml:space="preserve"> IF(AND(LEN(ChartLines.ID)&gt;0,"Unused"&lt;&gt;ChartLines.ID), COUNTIFS(ChartLines.ID,ChartLines.ID), "·")</f>
        <v>2</v>
      </c>
      <c r="K266" s="1">
        <f t="shared" ref="K266" si="1256" xml:space="preserve"> IF(AND(LEN(ChartLines.ID)&gt;0,"Unused"&lt;&gt;ChartLines.ID), COUNTIFS(ChartLines.ID,ChartLines.ID,   ChartLines.RowNum,"&lt;="&amp;ChartLines.RowNum), "·")</f>
        <v>1</v>
      </c>
      <c r="L266" s="1" t="str" cm="1">
        <f t="array" ref="L266" xml:space="preserve"> _xlfn.IFS(OR(LEN(_xlfn.SINGLE(ChartLines.ID))=0,"Unused"=_xlfn.SINGLE(ChartLines.ID)), "·",   1=_xlfn.SINGLE(ChartLines.NumInstances), IF("USD"=_xlfn.SINGLE(ChartLines.ID), "SoleBig", "SoleOrdinary"),   1=_xlfn.SINGLE(ChartLines.InstanceNum), "Outer",   TRUE, "Inner")</f>
        <v>Outer</v>
      </c>
      <c r="M266" s="1">
        <f t="shared" ref="M266" si="1257" xml:space="preserve"> IF(LEN(ChartLines.Hex6)=6, HEX2DEC(LEFT(ChartLines.Hex6, 2)), "·")</f>
        <v>0</v>
      </c>
      <c r="N266" s="1">
        <f t="shared" ref="N266" si="1258" xml:space="preserve"> IF(LEN(ChartLines.Hex6)=6, HEX2DEC(MID(ChartLines.Hex6, 3, 2)), "·")</f>
        <v>0</v>
      </c>
      <c r="O266" s="1">
        <f t="shared" ref="O266" si="1259" xml:space="preserve"> IF(LEN(ChartLines.Hex6)=6, HEX2DEC(RIGHT(ChartLines.Hex6, 2)), "·")</f>
        <v>0</v>
      </c>
      <c r="P266" s="1" cm="1">
        <f t="array" ref="P266" xml:space="preserve"> 1 + ROW() - _xlfn.SINGLE(ROW(ChartLines.RowNum))</f>
        <v>261</v>
      </c>
    </row>
    <row r="267" spans="2:16" x14ac:dyDescent="0.2">
      <c r="B267" s="1" t="s">
        <v>312</v>
      </c>
      <c r="C267" s="4" t="s">
        <v>106</v>
      </c>
      <c r="G267" s="1" t="s">
        <v>180</v>
      </c>
      <c r="H267" s="1" t="s">
        <v>423</v>
      </c>
      <c r="J267" s="1">
        <f t="shared" ref="J267" si="1260" xml:space="preserve"> IF(AND(LEN(ChartLines.ID)&gt;0,"Unused"&lt;&gt;ChartLines.ID), COUNTIFS(ChartLines.ID,ChartLines.ID), "·")</f>
        <v>2</v>
      </c>
      <c r="K267" s="1">
        <f t="shared" ref="K267" si="1261" xml:space="preserve"> IF(AND(LEN(ChartLines.ID)&gt;0,"Unused"&lt;&gt;ChartLines.ID), COUNTIFS(ChartLines.ID,ChartLines.ID,   ChartLines.RowNum,"&lt;="&amp;ChartLines.RowNum), "·")</f>
        <v>2</v>
      </c>
      <c r="L267" s="1" t="str" cm="1">
        <f t="array" ref="L267" xml:space="preserve"> _xlfn.IFS(OR(LEN(_xlfn.SINGLE(ChartLines.ID))=0,"Unused"=_xlfn.SINGLE(ChartLines.ID)), "·",   1=_xlfn.SINGLE(ChartLines.NumInstances), IF("USD"=_xlfn.SINGLE(ChartLines.ID), "SoleBig", "SoleOrdinary"),   1=_xlfn.SINGLE(ChartLines.InstanceNum), "Outer",   TRUE, "Inner")</f>
        <v>Inner</v>
      </c>
      <c r="M267" s="1">
        <f t="shared" ref="M267" si="1262" xml:space="preserve"> IF(LEN(ChartLines.Hex6)=6, HEX2DEC(LEFT(ChartLines.Hex6, 2)), "·")</f>
        <v>255</v>
      </c>
      <c r="N267" s="1">
        <f t="shared" ref="N267" si="1263" xml:space="preserve"> IF(LEN(ChartLines.Hex6)=6, HEX2DEC(MID(ChartLines.Hex6, 3, 2)), "·")</f>
        <v>255</v>
      </c>
      <c r="O267" s="1">
        <f t="shared" ref="O267" si="1264" xml:space="preserve"> IF(LEN(ChartLines.Hex6)=6, HEX2DEC(RIGHT(ChartLines.Hex6, 2)), "·")</f>
        <v>255</v>
      </c>
      <c r="P267" s="1" cm="1">
        <f t="array" ref="P267" xml:space="preserve"> 1 + ROW() - _xlfn.SINGLE(ROW(ChartLines.RowNum))</f>
        <v>262</v>
      </c>
    </row>
    <row r="268" spans="2:16" x14ac:dyDescent="0.2">
      <c r="B268" s="1" t="s">
        <v>313</v>
      </c>
      <c r="C268" s="4" t="s">
        <v>107</v>
      </c>
      <c r="G268" s="1" t="s">
        <v>181</v>
      </c>
      <c r="H268" s="1" t="s">
        <v>535</v>
      </c>
      <c r="J268" s="1">
        <f t="shared" ref="J268" si="1265" xml:space="preserve"> IF(AND(LEN(ChartLines.ID)&gt;0,"Unused"&lt;&gt;ChartLines.ID), COUNTIFS(ChartLines.ID,ChartLines.ID), "·")</f>
        <v>1</v>
      </c>
      <c r="K268" s="1">
        <f t="shared" ref="K268" si="1266" xml:space="preserve"> IF(AND(LEN(ChartLines.ID)&gt;0,"Unused"&lt;&gt;ChartLines.ID), COUNTIFS(ChartLines.ID,ChartLines.ID,   ChartLines.RowNum,"&lt;="&amp;ChartLines.RowNum), "·")</f>
        <v>1</v>
      </c>
      <c r="L268" s="1" t="str" cm="1">
        <f t="array" ref="L268" xml:space="preserve"> _xlfn.IFS(OR(LEN(_xlfn.SINGLE(ChartLines.ID))=0,"Unused"=_xlfn.SINGLE(ChartLines.ID)), "·",   1=_xlfn.SINGLE(ChartLines.NumInstances), IF("USD"=_xlfn.SINGLE(ChartLines.ID), "SoleBig", "SoleOrdinary"),   1=_xlfn.SINGLE(ChartLines.InstanceNum), "Outer",   TRUE, "Inner")</f>
        <v>SoleOrdinary</v>
      </c>
      <c r="M268" s="1">
        <f t="shared" ref="M268" si="1267" xml:space="preserve"> IF(LEN(ChartLines.Hex6)=6, HEX2DEC(LEFT(ChartLines.Hex6, 2)), "·")</f>
        <v>0</v>
      </c>
      <c r="N268" s="1">
        <f t="shared" ref="N268" si="1268" xml:space="preserve"> IF(LEN(ChartLines.Hex6)=6, HEX2DEC(MID(ChartLines.Hex6, 3, 2)), "·")</f>
        <v>76</v>
      </c>
      <c r="O268" s="1">
        <f t="shared" ref="O268" si="1269" xml:space="preserve"> IF(LEN(ChartLines.Hex6)=6, HEX2DEC(RIGHT(ChartLines.Hex6, 2)), "·")</f>
        <v>151</v>
      </c>
      <c r="P268" s="1" cm="1">
        <f t="array" ref="P268" xml:space="preserve"> 1 + ROW() - _xlfn.SINGLE(ROW(ChartLines.RowNum))</f>
        <v>263</v>
      </c>
    </row>
    <row r="269" spans="2:16" x14ac:dyDescent="0.2">
      <c r="B269" s="1" t="s">
        <v>314</v>
      </c>
      <c r="C269" s="4" t="s">
        <v>108</v>
      </c>
      <c r="G269" s="1" t="s">
        <v>419</v>
      </c>
      <c r="J269" s="1" t="str">
        <f t="shared" ref="J269" si="1270" xml:space="preserve"> IF(AND(LEN(ChartLines.ID)&gt;0,"Unused"&lt;&gt;ChartLines.ID), COUNTIFS(ChartLines.ID,ChartLines.ID), "·")</f>
        <v>·</v>
      </c>
      <c r="K269" s="1" t="str">
        <f t="shared" ref="K269" si="1271" xml:space="preserve"> IF(AND(LEN(ChartLines.ID)&gt;0,"Unused"&lt;&gt;ChartLines.ID), COUNTIFS(ChartLines.ID,ChartLines.ID,   ChartLines.RowNum,"&lt;="&amp;ChartLines.RowNum), "·")</f>
        <v>·</v>
      </c>
      <c r="L269" s="1" t="str" cm="1">
        <f t="array" ref="L269" xml:space="preserve"> _xlfn.IFS(OR(LEN(_xlfn.SINGLE(ChartLines.ID))=0,"Unused"=_xlfn.SINGLE(ChartLines.ID)), "·",   1=_xlfn.SINGLE(ChartLines.NumInstances), IF("USD"=_xlfn.SINGLE(ChartLines.ID), "SoleBig", "SoleOrdinary"),   1=_xlfn.SINGLE(ChartLines.InstanceNum), "Outer",   TRUE, "Inner")</f>
        <v>·</v>
      </c>
      <c r="M269" s="1" t="str">
        <f t="shared" ref="M269" si="1272" xml:space="preserve"> IF(LEN(ChartLines.Hex6)=6, HEX2DEC(LEFT(ChartLines.Hex6, 2)), "·")</f>
        <v>·</v>
      </c>
      <c r="N269" s="1" t="str">
        <f t="shared" ref="N269" si="1273" xml:space="preserve"> IF(LEN(ChartLines.Hex6)=6, HEX2DEC(MID(ChartLines.Hex6, 3, 2)), "·")</f>
        <v>·</v>
      </c>
      <c r="O269" s="1" t="str">
        <f t="shared" ref="O269" si="1274" xml:space="preserve"> IF(LEN(ChartLines.Hex6)=6, HEX2DEC(RIGHT(ChartLines.Hex6, 2)), "·")</f>
        <v>·</v>
      </c>
      <c r="P269" s="1" cm="1">
        <f t="array" ref="P269" xml:space="preserve"> 1 + ROW() - _xlfn.SINGLE(ROW(ChartLines.RowNum))</f>
        <v>264</v>
      </c>
    </row>
    <row r="270" spans="2:16" x14ac:dyDescent="0.2">
      <c r="B270" s="1" t="s">
        <v>315</v>
      </c>
      <c r="C270" s="4" t="s">
        <v>109</v>
      </c>
      <c r="J270" s="1" t="str">
        <f t="shared" ref="J270" si="1275" xml:space="preserve"> IF(AND(LEN(ChartLines.ID)&gt;0,"Unused"&lt;&gt;ChartLines.ID), COUNTIFS(ChartLines.ID,ChartLines.ID), "·")</f>
        <v>·</v>
      </c>
      <c r="K270" s="1" t="str">
        <f t="shared" ref="K270" si="1276" xml:space="preserve"> IF(AND(LEN(ChartLines.ID)&gt;0,"Unused"&lt;&gt;ChartLines.ID), COUNTIFS(ChartLines.ID,ChartLines.ID,   ChartLines.RowNum,"&lt;="&amp;ChartLines.RowNum), "·")</f>
        <v>·</v>
      </c>
      <c r="L270" s="1" t="str" cm="1">
        <f t="array" ref="L270" xml:space="preserve"> _xlfn.IFS(OR(LEN(_xlfn.SINGLE(ChartLines.ID))=0,"Unused"=_xlfn.SINGLE(ChartLines.ID)), "·",   1=_xlfn.SINGLE(ChartLines.NumInstances), IF("USD"=_xlfn.SINGLE(ChartLines.ID), "SoleBig", "SoleOrdinary"),   1=_xlfn.SINGLE(ChartLines.InstanceNum), "Outer",   TRUE, "Inner")</f>
        <v>·</v>
      </c>
      <c r="M270" s="1" t="str">
        <f t="shared" ref="M270" si="1277" xml:space="preserve"> IF(LEN(ChartLines.Hex6)=6, HEX2DEC(LEFT(ChartLines.Hex6, 2)), "·")</f>
        <v>·</v>
      </c>
      <c r="N270" s="1" t="str">
        <f t="shared" ref="N270" si="1278" xml:space="preserve"> IF(LEN(ChartLines.Hex6)=6, HEX2DEC(MID(ChartLines.Hex6, 3, 2)), "·")</f>
        <v>·</v>
      </c>
      <c r="O270" s="1" t="str">
        <f t="shared" ref="O270" si="1279" xml:space="preserve"> IF(LEN(ChartLines.Hex6)=6, HEX2DEC(RIGHT(ChartLines.Hex6, 2)), "·")</f>
        <v>·</v>
      </c>
      <c r="P270" s="1" cm="1">
        <f t="array" ref="P270" xml:space="preserve"> 1 + ROW() - _xlfn.SINGLE(ROW(ChartLines.RowNum))</f>
        <v>265</v>
      </c>
    </row>
    <row r="271" spans="2:16" x14ac:dyDescent="0.2">
      <c r="B271" s="1" t="s">
        <v>316</v>
      </c>
      <c r="C271" s="4" t="s">
        <v>110</v>
      </c>
      <c r="G271" s="1" t="s">
        <v>182</v>
      </c>
      <c r="H271" s="1" t="str">
        <f xml:space="preserve"> "996515"</f>
        <v>996515</v>
      </c>
      <c r="J271" s="1">
        <f t="shared" ref="J271" si="1280" xml:space="preserve"> IF(AND(LEN(ChartLines.ID)&gt;0,"Unused"&lt;&gt;ChartLines.ID), COUNTIFS(ChartLines.ID,ChartLines.ID), "·")</f>
        <v>2</v>
      </c>
      <c r="K271" s="1">
        <f t="shared" ref="K271" si="1281" xml:space="preserve"> IF(AND(LEN(ChartLines.ID)&gt;0,"Unused"&lt;&gt;ChartLines.ID), COUNTIFS(ChartLines.ID,ChartLines.ID,   ChartLines.RowNum,"&lt;="&amp;ChartLines.RowNum), "·")</f>
        <v>1</v>
      </c>
      <c r="L271" s="1" t="str" cm="1">
        <f t="array" ref="L271" xml:space="preserve"> _xlfn.IFS(OR(LEN(_xlfn.SINGLE(ChartLines.ID))=0,"Unused"=_xlfn.SINGLE(ChartLines.ID)), "·",   1=_xlfn.SINGLE(ChartLines.NumInstances), IF("USD"=_xlfn.SINGLE(ChartLines.ID), "SoleBig", "SoleOrdinary"),   1=_xlfn.SINGLE(ChartLines.InstanceNum), "Outer",   TRUE, "Inner")</f>
        <v>Outer</v>
      </c>
      <c r="M271" s="1">
        <f t="shared" ref="M271" si="1282" xml:space="preserve"> IF(LEN(ChartLines.Hex6)=6, HEX2DEC(LEFT(ChartLines.Hex6, 2)), "·")</f>
        <v>153</v>
      </c>
      <c r="N271" s="1">
        <f t="shared" ref="N271" si="1283" xml:space="preserve"> IF(LEN(ChartLines.Hex6)=6, HEX2DEC(MID(ChartLines.Hex6, 3, 2)), "·")</f>
        <v>101</v>
      </c>
      <c r="O271" s="1">
        <f t="shared" ref="O271" si="1284" xml:space="preserve"> IF(LEN(ChartLines.Hex6)=6, HEX2DEC(RIGHT(ChartLines.Hex6, 2)), "·")</f>
        <v>21</v>
      </c>
      <c r="P271" s="1" cm="1">
        <f t="array" ref="P271" xml:space="preserve"> 1 + ROW() - _xlfn.SINGLE(ROW(ChartLines.RowNum))</f>
        <v>266</v>
      </c>
    </row>
    <row r="272" spans="2:16" x14ac:dyDescent="0.2">
      <c r="B272" s="1" t="s">
        <v>317</v>
      </c>
      <c r="C272" s="4" t="s">
        <v>111</v>
      </c>
      <c r="G272" s="1" t="s">
        <v>182</v>
      </c>
      <c r="H272" s="1" t="str">
        <f xml:space="preserve"> "D4AF37"</f>
        <v>D4AF37</v>
      </c>
      <c r="J272" s="1">
        <f t="shared" ref="J272" si="1285" xml:space="preserve"> IF(AND(LEN(ChartLines.ID)&gt;0,"Unused"&lt;&gt;ChartLines.ID), COUNTIFS(ChartLines.ID,ChartLines.ID), "·")</f>
        <v>2</v>
      </c>
      <c r="K272" s="1">
        <f t="shared" ref="K272" si="1286" xml:space="preserve"> IF(AND(LEN(ChartLines.ID)&gt;0,"Unused"&lt;&gt;ChartLines.ID), COUNTIFS(ChartLines.ID,ChartLines.ID,   ChartLines.RowNum,"&lt;="&amp;ChartLines.RowNum), "·")</f>
        <v>2</v>
      </c>
      <c r="L272" s="1" t="str" cm="1">
        <f t="array" ref="L272" xml:space="preserve"> _xlfn.IFS(OR(LEN(_xlfn.SINGLE(ChartLines.ID))=0,"Unused"=_xlfn.SINGLE(ChartLines.ID)), "·",   1=_xlfn.SINGLE(ChartLines.NumInstances), IF("USD"=_xlfn.SINGLE(ChartLines.ID), "SoleBig", "SoleOrdinary"),   1=_xlfn.SINGLE(ChartLines.InstanceNum), "Outer",   TRUE, "Inner")</f>
        <v>Inner</v>
      </c>
      <c r="M272" s="1">
        <f t="shared" ref="M272" si="1287" xml:space="preserve"> IF(LEN(ChartLines.Hex6)=6, HEX2DEC(LEFT(ChartLines.Hex6, 2)), "·")</f>
        <v>212</v>
      </c>
      <c r="N272" s="1">
        <f t="shared" ref="N272" si="1288" xml:space="preserve"> IF(LEN(ChartLines.Hex6)=6, HEX2DEC(MID(ChartLines.Hex6, 3, 2)), "·")</f>
        <v>175</v>
      </c>
      <c r="O272" s="1">
        <f t="shared" ref="O272" si="1289" xml:space="preserve"> IF(LEN(ChartLines.Hex6)=6, HEX2DEC(RIGHT(ChartLines.Hex6, 2)), "·")</f>
        <v>55</v>
      </c>
      <c r="P272" s="1" cm="1">
        <f t="array" ref="P272" xml:space="preserve"> 1 + ROW() - _xlfn.SINGLE(ROW(ChartLines.RowNum))</f>
        <v>267</v>
      </c>
    </row>
    <row r="273" spans="2:16" x14ac:dyDescent="0.2">
      <c r="B273" s="1" t="s">
        <v>318</v>
      </c>
      <c r="C273" s="4" t="s">
        <v>112</v>
      </c>
      <c r="G273" s="1" t="s">
        <v>183</v>
      </c>
      <c r="H273" s="1" t="s">
        <v>536</v>
      </c>
      <c r="J273" s="1">
        <f t="shared" ref="J273" si="1290" xml:space="preserve"> IF(AND(LEN(ChartLines.ID)&gt;0,"Unused"&lt;&gt;ChartLines.ID), COUNTIFS(ChartLines.ID,ChartLines.ID), "·")</f>
        <v>2</v>
      </c>
      <c r="K273" s="1">
        <f t="shared" ref="K273" si="1291" xml:space="preserve"> IF(AND(LEN(ChartLines.ID)&gt;0,"Unused"&lt;&gt;ChartLines.ID), COUNTIFS(ChartLines.ID,ChartLines.ID,   ChartLines.RowNum,"&lt;="&amp;ChartLines.RowNum), "·")</f>
        <v>1</v>
      </c>
      <c r="L273" s="1" t="str" cm="1">
        <f t="array" ref="L273" xml:space="preserve"> _xlfn.IFS(OR(LEN(_xlfn.SINGLE(ChartLines.ID))=0,"Unused"=_xlfn.SINGLE(ChartLines.ID)), "·",   1=_xlfn.SINGLE(ChartLines.NumInstances), IF("USD"=_xlfn.SINGLE(ChartLines.ID), "SoleBig", "SoleOrdinary"),   1=_xlfn.SINGLE(ChartLines.InstanceNum), "Outer",   TRUE, "Inner")</f>
        <v>Outer</v>
      </c>
      <c r="M273" s="1">
        <f t="shared" ref="M273" si="1292" xml:space="preserve"> IF(LEN(ChartLines.Hex6)=6, HEX2DEC(LEFT(ChartLines.Hex6, 2)), "·")</f>
        <v>92</v>
      </c>
      <c r="N273" s="1">
        <f t="shared" ref="N273" si="1293" xml:space="preserve"> IF(LEN(ChartLines.Hex6)=6, HEX2DEC(MID(ChartLines.Hex6, 3, 2)), "·")</f>
        <v>92</v>
      </c>
      <c r="O273" s="1">
        <f t="shared" ref="O273" si="1294" xml:space="preserve"> IF(LEN(ChartLines.Hex6)=6, HEX2DEC(RIGHT(ChartLines.Hex6, 2)), "·")</f>
        <v>92</v>
      </c>
      <c r="P273" s="1" cm="1">
        <f t="array" ref="P273" xml:space="preserve"> 1 + ROW() - _xlfn.SINGLE(ROW(ChartLines.RowNum))</f>
        <v>268</v>
      </c>
    </row>
    <row r="274" spans="2:16" x14ac:dyDescent="0.2">
      <c r="B274" s="1" t="s">
        <v>319</v>
      </c>
      <c r="C274" s="4" t="s">
        <v>113</v>
      </c>
      <c r="G274" s="1" t="s">
        <v>183</v>
      </c>
      <c r="H274" s="1" t="str">
        <f xml:space="preserve"> "C0C0C0"</f>
        <v>C0C0C0</v>
      </c>
      <c r="J274" s="1">
        <f t="shared" ref="J274" si="1295" xml:space="preserve"> IF(AND(LEN(ChartLines.ID)&gt;0,"Unused"&lt;&gt;ChartLines.ID), COUNTIFS(ChartLines.ID,ChartLines.ID), "·")</f>
        <v>2</v>
      </c>
      <c r="K274" s="1">
        <f t="shared" ref="K274" si="1296" xml:space="preserve"> IF(AND(LEN(ChartLines.ID)&gt;0,"Unused"&lt;&gt;ChartLines.ID), COUNTIFS(ChartLines.ID,ChartLines.ID,   ChartLines.RowNum,"&lt;="&amp;ChartLines.RowNum), "·")</f>
        <v>2</v>
      </c>
      <c r="L274" s="1" t="str" cm="1">
        <f t="array" ref="L274" xml:space="preserve"> _xlfn.IFS(OR(LEN(_xlfn.SINGLE(ChartLines.ID))=0,"Unused"=_xlfn.SINGLE(ChartLines.ID)), "·",   1=_xlfn.SINGLE(ChartLines.NumInstances), IF("USD"=_xlfn.SINGLE(ChartLines.ID), "SoleBig", "SoleOrdinary"),   1=_xlfn.SINGLE(ChartLines.InstanceNum), "Outer",   TRUE, "Inner")</f>
        <v>Inner</v>
      </c>
      <c r="M274" s="1">
        <f t="shared" ref="M274" si="1297" xml:space="preserve"> IF(LEN(ChartLines.Hex6)=6, HEX2DEC(LEFT(ChartLines.Hex6, 2)), "·")</f>
        <v>192</v>
      </c>
      <c r="N274" s="1">
        <f t="shared" ref="N274" si="1298" xml:space="preserve"> IF(LEN(ChartLines.Hex6)=6, HEX2DEC(MID(ChartLines.Hex6, 3, 2)), "·")</f>
        <v>192</v>
      </c>
      <c r="O274" s="1">
        <f t="shared" ref="O274" si="1299" xml:space="preserve"> IF(LEN(ChartLines.Hex6)=6, HEX2DEC(RIGHT(ChartLines.Hex6, 2)), "·")</f>
        <v>192</v>
      </c>
      <c r="P274" s="1" cm="1">
        <f t="array" ref="P274" xml:space="preserve"> 1 + ROW() - _xlfn.SINGLE(ROW(ChartLines.RowNum))</f>
        <v>269</v>
      </c>
    </row>
    <row r="275" spans="2:16" x14ac:dyDescent="0.2">
      <c r="B275" s="1" t="s">
        <v>320</v>
      </c>
      <c r="C275" s="4" t="s">
        <v>114</v>
      </c>
      <c r="G275" s="1" t="s">
        <v>184</v>
      </c>
      <c r="H275" s="1" t="s">
        <v>537</v>
      </c>
      <c r="J275" s="1">
        <f t="shared" ref="J275" si="1300" xml:space="preserve"> IF(AND(LEN(ChartLines.ID)&gt;0,"Unused"&lt;&gt;ChartLines.ID), COUNTIFS(ChartLines.ID,ChartLines.ID), "·")</f>
        <v>2</v>
      </c>
      <c r="K275" s="1">
        <f t="shared" ref="K275" si="1301" xml:space="preserve"> IF(AND(LEN(ChartLines.ID)&gt;0,"Unused"&lt;&gt;ChartLines.ID), COUNTIFS(ChartLines.ID,ChartLines.ID,   ChartLines.RowNum,"&lt;="&amp;ChartLines.RowNum), "·")</f>
        <v>1</v>
      </c>
      <c r="L275" s="1" t="str" cm="1">
        <f t="array" ref="L275" xml:space="preserve"> _xlfn.IFS(OR(LEN(_xlfn.SINGLE(ChartLines.ID))=0,"Unused"=_xlfn.SINGLE(ChartLines.ID)), "·",   1=_xlfn.SINGLE(ChartLines.NumInstances), IF("USD"=_xlfn.SINGLE(ChartLines.ID), "SoleBig", "SoleOrdinary"),   1=_xlfn.SINGLE(ChartLines.InstanceNum), "Outer",   TRUE, "Inner")</f>
        <v>Outer</v>
      </c>
      <c r="M275" s="1">
        <f t="shared" ref="M275" si="1302" xml:space="preserve"> IF(LEN(ChartLines.Hex6)=6, HEX2DEC(LEFT(ChartLines.Hex6, 2)), "·")</f>
        <v>217</v>
      </c>
      <c r="N275" s="1">
        <f t="shared" ref="N275" si="1303" xml:space="preserve"> IF(LEN(ChartLines.Hex6)=6, HEX2DEC(MID(ChartLines.Hex6, 3, 2)), "·")</f>
        <v>91</v>
      </c>
      <c r="O275" s="1">
        <f t="shared" ref="O275" si="1304" xml:space="preserve"> IF(LEN(ChartLines.Hex6)=6, HEX2DEC(RIGHT(ChartLines.Hex6, 2)), "·")</f>
        <v>20</v>
      </c>
      <c r="P275" s="1" cm="1">
        <f t="array" ref="P275" xml:space="preserve"> 1 + ROW() - _xlfn.SINGLE(ROW(ChartLines.RowNum))</f>
        <v>270</v>
      </c>
    </row>
    <row r="276" spans="2:16" x14ac:dyDescent="0.2">
      <c r="B276" s="1" t="s">
        <v>321</v>
      </c>
      <c r="C276" s="4" t="s">
        <v>115</v>
      </c>
      <c r="G276" s="1" t="s">
        <v>184</v>
      </c>
      <c r="H276" s="1" t="s">
        <v>538</v>
      </c>
      <c r="J276" s="1">
        <f t="shared" ref="J276" si="1305" xml:space="preserve"> IF(AND(LEN(ChartLines.ID)&gt;0,"Unused"&lt;&gt;ChartLines.ID), COUNTIFS(ChartLines.ID,ChartLines.ID), "·")</f>
        <v>2</v>
      </c>
      <c r="K276" s="1">
        <f t="shared" ref="K276" si="1306" xml:space="preserve"> IF(AND(LEN(ChartLines.ID)&gt;0,"Unused"&lt;&gt;ChartLines.ID), COUNTIFS(ChartLines.ID,ChartLines.ID,   ChartLines.RowNum,"&lt;="&amp;ChartLines.RowNum), "·")</f>
        <v>2</v>
      </c>
      <c r="L276" s="1" t="str" cm="1">
        <f t="array" ref="L276" xml:space="preserve"> _xlfn.IFS(OR(LEN(_xlfn.SINGLE(ChartLines.ID))=0,"Unused"=_xlfn.SINGLE(ChartLines.ID)), "·",   1=_xlfn.SINGLE(ChartLines.NumInstances), IF("USD"=_xlfn.SINGLE(ChartLines.ID), "SoleBig", "SoleOrdinary"),   1=_xlfn.SINGLE(ChartLines.InstanceNum), "Outer",   TRUE, "Inner")</f>
        <v>Inner</v>
      </c>
      <c r="M276" s="1">
        <f t="shared" ref="M276" si="1307" xml:space="preserve"> IF(LEN(ChartLines.Hex6)=6, HEX2DEC(LEFT(ChartLines.Hex6, 2)), "·")</f>
        <v>199</v>
      </c>
      <c r="N276" s="1">
        <f t="shared" ref="N276" si="1308" xml:space="preserve"> IF(LEN(ChartLines.Hex6)=6, HEX2DEC(MID(ChartLines.Hex6, 3, 2)), "·")</f>
        <v>199</v>
      </c>
      <c r="O276" s="1">
        <f t="shared" ref="O276" si="1309" xml:space="preserve"> IF(LEN(ChartLines.Hex6)=6, HEX2DEC(RIGHT(ChartLines.Hex6, 2)), "·")</f>
        <v>199</v>
      </c>
      <c r="P276" s="1" cm="1">
        <f t="array" ref="P276" xml:space="preserve"> 1 + ROW() - _xlfn.SINGLE(ROW(ChartLines.RowNum))</f>
        <v>271</v>
      </c>
    </row>
    <row r="277" spans="2:16" x14ac:dyDescent="0.2">
      <c r="B277" s="1" t="s">
        <v>322</v>
      </c>
      <c r="C277" s="4" t="s">
        <v>116</v>
      </c>
    </row>
    <row r="278" spans="2:16" x14ac:dyDescent="0.2">
      <c r="B278" s="1" t="s">
        <v>323</v>
      </c>
      <c r="C278" s="4" t="s">
        <v>117</v>
      </c>
    </row>
    <row r="279" spans="2:16" x14ac:dyDescent="0.2">
      <c r="B279" s="1" t="s">
        <v>324</v>
      </c>
      <c r="C279" s="4" t="s">
        <v>118</v>
      </c>
    </row>
    <row r="280" spans="2:16" x14ac:dyDescent="0.2">
      <c r="B280" s="1" t="s">
        <v>325</v>
      </c>
      <c r="C280" s="4" t="s">
        <v>119</v>
      </c>
    </row>
    <row r="281" spans="2:16" x14ac:dyDescent="0.2">
      <c r="B281" s="1" t="s">
        <v>326</v>
      </c>
      <c r="C281" s="4" t="s">
        <v>120</v>
      </c>
    </row>
    <row r="282" spans="2:16" x14ac:dyDescent="0.2">
      <c r="B282" s="1" t="s">
        <v>327</v>
      </c>
      <c r="C282" s="4" t="s">
        <v>561</v>
      </c>
    </row>
    <row r="283" spans="2:16" x14ac:dyDescent="0.2">
      <c r="B283" s="1" t="s">
        <v>328</v>
      </c>
      <c r="C283" s="4" t="s">
        <v>121</v>
      </c>
    </row>
    <row r="284" spans="2:16" x14ac:dyDescent="0.2">
      <c r="B284" s="1" t="s">
        <v>329</v>
      </c>
      <c r="C284" s="4" t="s">
        <v>122</v>
      </c>
    </row>
    <row r="285" spans="2:16" x14ac:dyDescent="0.2">
      <c r="B285" s="8" t="s">
        <v>330</v>
      </c>
      <c r="C285" s="4" t="s">
        <v>123</v>
      </c>
    </row>
    <row r="286" spans="2:16" x14ac:dyDescent="0.2">
      <c r="B286" s="1" t="s">
        <v>331</v>
      </c>
      <c r="C286" s="4" t="s">
        <v>123</v>
      </c>
    </row>
    <row r="287" spans="2:16" x14ac:dyDescent="0.2">
      <c r="B287" s="1" t="s">
        <v>562</v>
      </c>
      <c r="C287" s="4" t="s">
        <v>123</v>
      </c>
    </row>
    <row r="288" spans="2:16" x14ac:dyDescent="0.2">
      <c r="B288" s="1" t="s">
        <v>332</v>
      </c>
      <c r="C288" s="4" t="s">
        <v>124</v>
      </c>
    </row>
    <row r="289" spans="2:3" x14ac:dyDescent="0.2">
      <c r="B289" s="1" t="s">
        <v>333</v>
      </c>
      <c r="C289" s="4" t="s">
        <v>125</v>
      </c>
    </row>
    <row r="290" spans="2:3" x14ac:dyDescent="0.2">
      <c r="B290" s="1" t="s">
        <v>334</v>
      </c>
      <c r="C290" s="4" t="s">
        <v>126</v>
      </c>
    </row>
    <row r="291" spans="2:3" x14ac:dyDescent="0.2">
      <c r="B291" s="1" t="s">
        <v>335</v>
      </c>
      <c r="C291" s="4" t="s">
        <v>127</v>
      </c>
    </row>
    <row r="292" spans="2:3" x14ac:dyDescent="0.2">
      <c r="B292" s="1" t="s">
        <v>336</v>
      </c>
      <c r="C292" s="4" t="s">
        <v>128</v>
      </c>
    </row>
    <row r="293" spans="2:3" x14ac:dyDescent="0.2">
      <c r="B293" s="1" t="s">
        <v>559</v>
      </c>
      <c r="C293" s="4" t="s">
        <v>501</v>
      </c>
    </row>
    <row r="294" spans="2:3" x14ac:dyDescent="0.2">
      <c r="B294" s="1" t="s">
        <v>337</v>
      </c>
      <c r="C294" s="4" t="s">
        <v>129</v>
      </c>
    </row>
    <row r="295" spans="2:3" x14ac:dyDescent="0.2">
      <c r="B295" s="1" t="s">
        <v>338</v>
      </c>
      <c r="C295" s="4" t="s">
        <v>130</v>
      </c>
    </row>
    <row r="296" spans="2:3" x14ac:dyDescent="0.2">
      <c r="B296" s="1" t="s">
        <v>339</v>
      </c>
      <c r="C296" s="4" t="s">
        <v>131</v>
      </c>
    </row>
    <row r="297" spans="2:3" x14ac:dyDescent="0.2">
      <c r="B297" s="1" t="s">
        <v>340</v>
      </c>
      <c r="C297" s="4" t="s">
        <v>132</v>
      </c>
    </row>
    <row r="298" spans="2:3" x14ac:dyDescent="0.2">
      <c r="B298" s="1" t="s">
        <v>341</v>
      </c>
      <c r="C298" s="4" t="s">
        <v>133</v>
      </c>
    </row>
    <row r="299" spans="2:3" x14ac:dyDescent="0.2">
      <c r="B299" s="1" t="s">
        <v>342</v>
      </c>
      <c r="C299" s="4" t="s">
        <v>134</v>
      </c>
    </row>
    <row r="300" spans="2:3" x14ac:dyDescent="0.2">
      <c r="B300" s="1" t="s">
        <v>343</v>
      </c>
      <c r="C300" s="4" t="s">
        <v>135</v>
      </c>
    </row>
    <row r="301" spans="2:3" x14ac:dyDescent="0.2">
      <c r="B301" s="1" t="s">
        <v>344</v>
      </c>
      <c r="C301" s="4" t="s">
        <v>136</v>
      </c>
    </row>
    <row r="302" spans="2:3" x14ac:dyDescent="0.2">
      <c r="B302" s="1" t="s">
        <v>345</v>
      </c>
      <c r="C302" s="4" t="s">
        <v>137</v>
      </c>
    </row>
    <row r="303" spans="2:3" x14ac:dyDescent="0.2">
      <c r="B303" s="1" t="s">
        <v>346</v>
      </c>
      <c r="C303" s="4" t="s">
        <v>138</v>
      </c>
    </row>
    <row r="304" spans="2:3" x14ac:dyDescent="0.2">
      <c r="B304" s="1" t="s">
        <v>347</v>
      </c>
      <c r="C304" s="4" t="s">
        <v>139</v>
      </c>
    </row>
    <row r="305" spans="2:3" x14ac:dyDescent="0.2">
      <c r="B305" s="1" t="s">
        <v>348</v>
      </c>
      <c r="C305" s="4" t="s">
        <v>140</v>
      </c>
    </row>
    <row r="306" spans="2:3" x14ac:dyDescent="0.2">
      <c r="B306" s="1" t="s">
        <v>349</v>
      </c>
      <c r="C306" s="4" t="s">
        <v>141</v>
      </c>
    </row>
    <row r="307" spans="2:3" x14ac:dyDescent="0.2">
      <c r="B307" s="1" t="s">
        <v>350</v>
      </c>
      <c r="C307" s="4" t="s">
        <v>142</v>
      </c>
    </row>
    <row r="308" spans="2:3" x14ac:dyDescent="0.2">
      <c r="B308" s="1" t="s">
        <v>351</v>
      </c>
      <c r="C308" s="4" t="s">
        <v>143</v>
      </c>
    </row>
    <row r="309" spans="2:3" x14ac:dyDescent="0.2">
      <c r="B309" s="1" t="s">
        <v>352</v>
      </c>
      <c r="C309" s="4" t="s">
        <v>144</v>
      </c>
    </row>
    <row r="310" spans="2:3" x14ac:dyDescent="0.2">
      <c r="B310" s="1" t="s">
        <v>353</v>
      </c>
      <c r="C310" s="4" t="s">
        <v>145</v>
      </c>
    </row>
    <row r="311" spans="2:3" x14ac:dyDescent="0.2">
      <c r="B311" s="1" t="s">
        <v>354</v>
      </c>
      <c r="C311" s="4" t="s">
        <v>145</v>
      </c>
    </row>
    <row r="312" spans="2:3" x14ac:dyDescent="0.2">
      <c r="B312" s="1" t="s">
        <v>355</v>
      </c>
      <c r="C312" s="4" t="s">
        <v>146</v>
      </c>
    </row>
    <row r="313" spans="2:3" x14ac:dyDescent="0.2">
      <c r="B313" s="1" t="s">
        <v>356</v>
      </c>
      <c r="C313" s="4" t="s">
        <v>147</v>
      </c>
    </row>
    <row r="314" spans="2:3" x14ac:dyDescent="0.2">
      <c r="B314" s="1" t="s">
        <v>357</v>
      </c>
      <c r="C314" s="4" t="s">
        <v>148</v>
      </c>
    </row>
    <row r="315" spans="2:3" x14ac:dyDescent="0.2">
      <c r="B315" s="1" t="s">
        <v>358</v>
      </c>
      <c r="C315" s="4" t="s">
        <v>149</v>
      </c>
    </row>
    <row r="316" spans="2:3" x14ac:dyDescent="0.2">
      <c r="B316" s="1" t="s">
        <v>359</v>
      </c>
      <c r="C316" s="4" t="s">
        <v>149</v>
      </c>
    </row>
    <row r="317" spans="2:3" x14ac:dyDescent="0.2">
      <c r="B317" s="1" t="s">
        <v>360</v>
      </c>
      <c r="C317" s="4" t="s">
        <v>149</v>
      </c>
    </row>
    <row r="318" spans="2:3" x14ac:dyDescent="0.2">
      <c r="B318" s="1" t="s">
        <v>361</v>
      </c>
      <c r="C318" s="4" t="s">
        <v>149</v>
      </c>
    </row>
    <row r="319" spans="2:3" x14ac:dyDescent="0.2">
      <c r="B319" s="1" t="s">
        <v>362</v>
      </c>
      <c r="C319" s="4" t="s">
        <v>149</v>
      </c>
    </row>
    <row r="320" spans="2:3" x14ac:dyDescent="0.2">
      <c r="B320" s="1" t="s">
        <v>556</v>
      </c>
      <c r="C320" s="4" t="s">
        <v>555</v>
      </c>
    </row>
    <row r="321" spans="2:3" x14ac:dyDescent="0.2">
      <c r="B321" s="1" t="s">
        <v>363</v>
      </c>
      <c r="C321" s="4" t="s">
        <v>150</v>
      </c>
    </row>
    <row r="322" spans="2:3" x14ac:dyDescent="0.2">
      <c r="B322" s="1" t="s">
        <v>364</v>
      </c>
      <c r="C322" s="4" t="s">
        <v>151</v>
      </c>
    </row>
    <row r="323" spans="2:3" x14ac:dyDescent="0.2">
      <c r="B323" s="1" t="s">
        <v>365</v>
      </c>
      <c r="C323" s="4" t="s">
        <v>152</v>
      </c>
    </row>
    <row r="324" spans="2:3" x14ac:dyDescent="0.2">
      <c r="B324" s="1" t="s">
        <v>366</v>
      </c>
      <c r="C324" s="4" t="s">
        <v>153</v>
      </c>
    </row>
    <row r="325" spans="2:3" x14ac:dyDescent="0.2">
      <c r="B325" s="1" t="s">
        <v>367</v>
      </c>
      <c r="C325" s="4" t="s">
        <v>154</v>
      </c>
    </row>
    <row r="326" spans="2:3" x14ac:dyDescent="0.2">
      <c r="B326" s="1" t="s">
        <v>368</v>
      </c>
      <c r="C326" s="4" t="s">
        <v>155</v>
      </c>
    </row>
    <row r="327" spans="2:3" x14ac:dyDescent="0.2">
      <c r="B327" s="1" t="s">
        <v>369</v>
      </c>
      <c r="C327" s="4" t="s">
        <v>156</v>
      </c>
    </row>
    <row r="328" spans="2:3" x14ac:dyDescent="0.2">
      <c r="B328" s="1" t="s">
        <v>370</v>
      </c>
      <c r="C328" s="4" t="s">
        <v>157</v>
      </c>
    </row>
    <row r="329" spans="2:3" x14ac:dyDescent="0.2">
      <c r="B329" s="1" t="s">
        <v>371</v>
      </c>
      <c r="C329" s="4" t="s">
        <v>158</v>
      </c>
    </row>
    <row r="330" spans="2:3" x14ac:dyDescent="0.2">
      <c r="B330" s="1" t="s">
        <v>372</v>
      </c>
      <c r="C330" s="4" t="s">
        <v>159</v>
      </c>
    </row>
    <row r="331" spans="2:3" x14ac:dyDescent="0.2">
      <c r="B331" s="1" t="s">
        <v>373</v>
      </c>
      <c r="C331" s="4" t="s">
        <v>160</v>
      </c>
    </row>
    <row r="332" spans="2:3" x14ac:dyDescent="0.2">
      <c r="B332" s="1" t="s">
        <v>374</v>
      </c>
      <c r="C332" s="4" t="s">
        <v>161</v>
      </c>
    </row>
    <row r="333" spans="2:3" x14ac:dyDescent="0.2">
      <c r="B333" s="1" t="s">
        <v>375</v>
      </c>
      <c r="C333" s="4" t="s">
        <v>162</v>
      </c>
    </row>
    <row r="334" spans="2:3" x14ac:dyDescent="0.2">
      <c r="B334" s="1" t="s">
        <v>376</v>
      </c>
      <c r="C334" s="4" t="s">
        <v>163</v>
      </c>
    </row>
    <row r="335" spans="2:3" x14ac:dyDescent="0.2">
      <c r="B335" s="1" t="s">
        <v>377</v>
      </c>
      <c r="C335" s="4" t="s">
        <v>164</v>
      </c>
    </row>
    <row r="336" spans="2:3" x14ac:dyDescent="0.2">
      <c r="B336" s="1" t="s">
        <v>378</v>
      </c>
      <c r="C336" s="4" t="s">
        <v>164</v>
      </c>
    </row>
    <row r="337" spans="2:3" x14ac:dyDescent="0.2">
      <c r="B337" s="1" t="s">
        <v>379</v>
      </c>
      <c r="C337" s="4" t="s">
        <v>165</v>
      </c>
    </row>
    <row r="338" spans="2:3" x14ac:dyDescent="0.2">
      <c r="B338" s="1" t="s">
        <v>380</v>
      </c>
      <c r="C338" s="4" t="s">
        <v>166</v>
      </c>
    </row>
    <row r="339" spans="2:3" x14ac:dyDescent="0.2">
      <c r="B339" s="1" t="s">
        <v>381</v>
      </c>
      <c r="C339" s="4" t="s">
        <v>166</v>
      </c>
    </row>
    <row r="340" spans="2:3" x14ac:dyDescent="0.2">
      <c r="B340" s="1" t="s">
        <v>382</v>
      </c>
      <c r="C340" s="4" t="s">
        <v>167</v>
      </c>
    </row>
    <row r="341" spans="2:3" x14ac:dyDescent="0.2">
      <c r="B341" s="1" t="s">
        <v>383</v>
      </c>
      <c r="C341" s="4" t="s">
        <v>168</v>
      </c>
    </row>
    <row r="342" spans="2:3" x14ac:dyDescent="0.2">
      <c r="B342" s="1" t="s">
        <v>384</v>
      </c>
      <c r="C342" s="4" t="s">
        <v>168</v>
      </c>
    </row>
    <row r="343" spans="2:3" x14ac:dyDescent="0.2">
      <c r="B343" s="1" t="s">
        <v>385</v>
      </c>
      <c r="C343" s="4" t="s">
        <v>169</v>
      </c>
    </row>
    <row r="344" spans="2:3" x14ac:dyDescent="0.2">
      <c r="B344" s="1" t="s">
        <v>566</v>
      </c>
      <c r="C344" s="4" t="s">
        <v>170</v>
      </c>
    </row>
    <row r="345" spans="2:3" x14ac:dyDescent="0.2">
      <c r="B345" s="1" t="s">
        <v>568</v>
      </c>
      <c r="C345" s="4" t="s">
        <v>170</v>
      </c>
    </row>
    <row r="346" spans="2:3" x14ac:dyDescent="0.2">
      <c r="B346" s="1" t="s">
        <v>567</v>
      </c>
      <c r="C346" s="4" t="s">
        <v>170</v>
      </c>
    </row>
    <row r="347" spans="2:3" x14ac:dyDescent="0.2">
      <c r="B347" s="1" t="s">
        <v>569</v>
      </c>
      <c r="C347" s="4" t="s">
        <v>170</v>
      </c>
    </row>
    <row r="348" spans="2:3" x14ac:dyDescent="0.2">
      <c r="B348" s="1" t="s">
        <v>386</v>
      </c>
      <c r="C348" s="4" t="s">
        <v>171</v>
      </c>
    </row>
    <row r="349" spans="2:3" x14ac:dyDescent="0.2">
      <c r="B349" s="1" t="s">
        <v>387</v>
      </c>
      <c r="C349" s="4" t="s">
        <v>172</v>
      </c>
    </row>
    <row r="350" spans="2:3" x14ac:dyDescent="0.2">
      <c r="B350" s="1" t="s">
        <v>388</v>
      </c>
      <c r="C350" s="4" t="s">
        <v>173</v>
      </c>
    </row>
    <row r="351" spans="2:3" x14ac:dyDescent="0.2">
      <c r="B351" s="1" t="s">
        <v>389</v>
      </c>
      <c r="C351" s="4" t="s">
        <v>174</v>
      </c>
    </row>
    <row r="352" spans="2:3" x14ac:dyDescent="0.2">
      <c r="B352" s="1" t="s">
        <v>390</v>
      </c>
      <c r="C352" s="4" t="s">
        <v>175</v>
      </c>
    </row>
    <row r="353" spans="2:3" x14ac:dyDescent="0.2">
      <c r="B353" s="1" t="s">
        <v>391</v>
      </c>
      <c r="C353" s="4" t="s">
        <v>175</v>
      </c>
    </row>
    <row r="354" spans="2:3" x14ac:dyDescent="0.2">
      <c r="B354" s="1" t="s">
        <v>392</v>
      </c>
      <c r="C354" s="4" t="s">
        <v>175</v>
      </c>
    </row>
    <row r="355" spans="2:3" x14ac:dyDescent="0.2">
      <c r="B355" s="1" t="s">
        <v>393</v>
      </c>
      <c r="C355" s="4" t="s">
        <v>176</v>
      </c>
    </row>
    <row r="356" spans="2:3" x14ac:dyDescent="0.2">
      <c r="B356" s="1" t="s">
        <v>394</v>
      </c>
      <c r="C356" s="4" t="s">
        <v>177</v>
      </c>
    </row>
    <row r="357" spans="2:3" x14ac:dyDescent="0.2">
      <c r="B357" s="1" t="s">
        <v>395</v>
      </c>
      <c r="C357" s="4" t="s">
        <v>177</v>
      </c>
    </row>
    <row r="358" spans="2:3" x14ac:dyDescent="0.2">
      <c r="B358" s="1" t="s">
        <v>396</v>
      </c>
      <c r="C358" s="4" t="s">
        <v>177</v>
      </c>
    </row>
    <row r="359" spans="2:3" x14ac:dyDescent="0.2">
      <c r="B359" s="1" t="s">
        <v>397</v>
      </c>
      <c r="C359" s="4" t="s">
        <v>178</v>
      </c>
    </row>
    <row r="360" spans="2:3" x14ac:dyDescent="0.2">
      <c r="B360" s="1" t="s">
        <v>398</v>
      </c>
      <c r="C360" s="4" t="s">
        <v>179</v>
      </c>
    </row>
    <row r="361" spans="2:3" x14ac:dyDescent="0.2">
      <c r="B361" s="1" t="s">
        <v>399</v>
      </c>
      <c r="C361" s="4" t="s">
        <v>179</v>
      </c>
    </row>
    <row r="362" spans="2:3" x14ac:dyDescent="0.2">
      <c r="B362" s="1" t="s">
        <v>400</v>
      </c>
      <c r="C362" s="4" t="s">
        <v>180</v>
      </c>
    </row>
    <row r="363" spans="2:3" x14ac:dyDescent="0.2">
      <c r="B363" s="1" t="s">
        <v>401</v>
      </c>
      <c r="C363" s="4" t="s">
        <v>180</v>
      </c>
    </row>
    <row r="364" spans="2:3" x14ac:dyDescent="0.2">
      <c r="B364" s="1" t="s">
        <v>402</v>
      </c>
      <c r="C364" s="4" t="s">
        <v>180</v>
      </c>
    </row>
    <row r="365" spans="2:3" x14ac:dyDescent="0.2">
      <c r="B365" s="1" t="s">
        <v>403</v>
      </c>
      <c r="C365" s="4" t="s">
        <v>181</v>
      </c>
    </row>
    <row r="366" spans="2:3" x14ac:dyDescent="0.2">
      <c r="B366" s="1" t="s">
        <v>404</v>
      </c>
      <c r="C366" s="4" t="s">
        <v>181</v>
      </c>
    </row>
    <row r="367" spans="2:3" x14ac:dyDescent="0.2">
      <c r="B367" s="1" t="s">
        <v>405</v>
      </c>
      <c r="C367" s="4" t="s">
        <v>181</v>
      </c>
    </row>
    <row r="368" spans="2:3" x14ac:dyDescent="0.2">
      <c r="B368" s="1" t="s">
        <v>406</v>
      </c>
      <c r="C368" s="4" t="s">
        <v>181</v>
      </c>
    </row>
    <row r="369" spans="2:3" x14ac:dyDescent="0.2">
      <c r="B369" s="1" t="s">
        <v>407</v>
      </c>
      <c r="C369" s="4" t="s">
        <v>182</v>
      </c>
    </row>
    <row r="370" spans="2:3" x14ac:dyDescent="0.2">
      <c r="B370" s="1" t="s">
        <v>408</v>
      </c>
      <c r="C370" s="4" t="s">
        <v>183</v>
      </c>
    </row>
    <row r="371" spans="2:3" x14ac:dyDescent="0.2">
      <c r="B371" s="1" t="s">
        <v>409</v>
      </c>
      <c r="C371"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2023-01-12T22:38:29Z</dcterms:modified>
</cp:coreProperties>
</file>