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codeName="ThisWorkbook" defaultThemeVersion="166925"/>
  <mc:AlternateContent xmlns:mc="http://schemas.openxmlformats.org/markup-compatibility/2006">
    <mc:Choice Requires="x15">
      <x15ac:absPath xmlns:x15ac="http://schemas.microsoft.com/office/spreadsheetml/2010/11/ac" url="/Users/JDAW/Documents/GitHub/chart_markers/Spreadsheets/"/>
    </mc:Choice>
  </mc:AlternateContent>
  <xr:revisionPtr revIDLastSave="0" documentId="8_{7135500A-91E9-F640-9CC1-38FCC055E049}" xr6:coauthVersionLast="45" xr6:coauthVersionMax="45" xr10:uidLastSave="{00000000-0000-0000-0000-000000000000}"/>
  <bookViews>
    <workbookView xWindow="3820" yWindow="440" windowWidth="25660" windowHeight="25240" activeTab="1" xr2:uid="{2942D8FC-8FE1-3E42-9E19-E1281A9E6C69}"/>
  </bookViews>
  <sheets>
    <sheet name="Test" sheetId="1" r:id="rId1"/>
    <sheet name="ChartFormats" sheetId="2" r:id="rId2"/>
  </sheets>
  <definedNames>
    <definedName name="AxisScaling.Major">ChartFormats!$AC$6:$AC$69</definedName>
    <definedName name="AxisScaling.Minor">ChartFormats!$AD$6:$AD$69</definedName>
    <definedName name="AxisScaling.RowNum">ChartFormats!$AB$6:$AB$69</definedName>
    <definedName name="ChartLines_Thicknesses.ExcelWeight">ChartFormats!$X$6:$X$9</definedName>
    <definedName name="ChartLines_Thicknesses.StrokeWidth">ChartFormats!$W$6:$W$9</definedName>
    <definedName name="ChartLines_Thicknesses.Text">ChartFormats!$V$6:$V$9</definedName>
    <definedName name="ChartLines.B">ChartFormats!$P$6:$P$347</definedName>
    <definedName name="ChartLines.G">ChartFormats!$O$6:$O$347</definedName>
    <definedName name="ChartLines.Hex6">ChartFormats!$I$6:$I$347</definedName>
    <definedName name="ChartLines.ID">ChartFormats!$H$6:$H$347</definedName>
    <definedName name="ChartLines.InstanceNum">ChartFormats!$L$6:$L$347</definedName>
    <definedName name="ChartLines.NumInstances">ChartFormats!$K$6:$K$347</definedName>
    <definedName name="ChartLines.R">ChartFormats!$N$6:$N$347</definedName>
    <definedName name="ChartLines.RowNum">ChartFormats!$Q$6:$Q$347</definedName>
    <definedName name="ChartLines.ThicknessText">ChartFormats!$M$6:$M$347</definedName>
    <definedName name="ChartMarkers.Directory">ChartFormats!$C$2</definedName>
    <definedName name="ChartMarkers.Suffix">ChartFormats!$C$3</definedName>
    <definedName name="SeriesFormatAlias.ID">ChartFormats!$C$6:$C$402</definedName>
    <definedName name="SeriesFormatAlias.SeriesName">ChartFormats!$B$6:$B$402</definedName>
    <definedName name="TestData_Labels.Good">Test!$AO$10:$AO$16</definedName>
    <definedName name="TestData_Labels.Label">Test!$AN$10:$AN$16</definedName>
    <definedName name="TestData_Labels.Left_X">Test!$AP$10:$AP$16</definedName>
    <definedName name="TestData_Labels.Left_Y">Test!$AR$10:$AR$16</definedName>
    <definedName name="TestData_Labels.Right_X">Test!$AQ$10:$AQ$16</definedName>
    <definedName name="TestData_Labels.Right_Y">Test!$AS$10:$AS$16</definedName>
    <definedName name="TestData.01Name">Test!$P$7</definedName>
    <definedName name="TestData.01X">Test!$O$10:$O$41</definedName>
    <definedName name="TestData.01Y">Test!$P$10:$P$41</definedName>
    <definedName name="TestData.02Name">Test!$S$7</definedName>
    <definedName name="TestData.02X">Test!$R$10:$R$41</definedName>
    <definedName name="TestData.02Y">Test!$S$10:$S$41</definedName>
    <definedName name="TestData.03Name">Test!$V$7</definedName>
    <definedName name="TestData.03X">Test!$U$10:$U$41</definedName>
    <definedName name="TestData.03Y">Test!$V$10:$V$41</definedName>
    <definedName name="TestData.04Name">Test!$Y$7</definedName>
    <definedName name="TestData.04X">Test!$X$10:$X$41</definedName>
    <definedName name="TestData.04Y">Test!$Y$10:$Y$41</definedName>
    <definedName name="TestData.05Name">Test!$AB$7</definedName>
    <definedName name="TestData.05X">Test!$AA$10:$AA$41</definedName>
    <definedName name="TestData.05Y">Test!$AB$10:$AB$41</definedName>
    <definedName name="TestData.06Name">Test!$AE$7</definedName>
    <definedName name="TestData.06X">Test!$AD$10:$AD$41</definedName>
    <definedName name="TestData.06Y">Test!$AE$10:$AE$41</definedName>
    <definedName name="TestData.07Name">Test!$AH$7</definedName>
    <definedName name="TestData.07X">Test!$AG$10:$AG$41</definedName>
    <definedName name="TestData.07Y">Test!$AH$10:$AH$41</definedName>
    <definedName name="TestData.AxisScalingY">Test!$M$40</definedName>
    <definedName name="TestData.ChartFormatLog">Test!$M$7</definedName>
    <definedName name="TestData.MajorX">Test!$M$31</definedName>
    <definedName name="TestData.MajorY">Test!$M$41</definedName>
    <definedName name="TestData.MaxX">Test!$M$34</definedName>
    <definedName name="TestData.MaxY">Test!$M$44</definedName>
    <definedName name="TestData.MinorX">Test!$M$32</definedName>
    <definedName name="TestData.MinorY">Test!$M$42</definedName>
    <definedName name="TestData.MinX">Test!$M$33</definedName>
    <definedName name="TestData.MinY">Test!$M$43</definedName>
    <definedName name="TestData.RawMaxX">Test!$M$30</definedName>
    <definedName name="TestData.RawMaxY">Test!$M$39</definedName>
    <definedName name="TestData.RawMinX">Test!$M$29</definedName>
    <definedName name="TestData.RawMinY">Test!$M$38</definedName>
    <definedName name="TestData.RowNum">Test!$AJ$10:$AJ$41</definedName>
    <definedName name="TestData.SeriesNameNumFirst">Test!$M$12</definedName>
    <definedName name="TestData.SeriesNameNumMax">Test!$M$11</definedName>
    <definedName name="TestData.SeriesNameNumMin">Test!$M$10</definedName>
    <definedName name="TestData.SpeedX">Test!$M$15</definedName>
    <definedName name="TestData.VerticalRandomisation">Test!$M$22</definedName>
    <definedName name="TestData.Y_0_a">Test!$M$16</definedName>
    <definedName name="TestData.Y_0_b">Test!$M$19</definedName>
    <definedName name="TestData.Y_1_a">Test!$M$17</definedName>
    <definedName name="TestData.Y_1_b">Test!$M$20</definedName>
    <definedName name="TestData.Y_2_a">Test!$M$18</definedName>
    <definedName name="TestData.Y_2_b">Test!$M$21</definedName>
    <definedName name="TestData.Z_1">Test!$M$13</definedName>
    <definedName name="TestData.Z_2">Test!$M$14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06" i="2" l="1"/>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5" i="2"/>
  <c r="B174" i="2"/>
  <c r="B173" i="2"/>
  <c r="B172" i="2"/>
  <c r="B171" i="2"/>
  <c r="B170" i="2"/>
  <c r="B169" i="2"/>
  <c r="B168" i="2"/>
  <c r="B167" i="2"/>
  <c r="B166" i="2"/>
  <c r="B165" i="2"/>
  <c r="B164" i="2"/>
  <c r="B163" i="2"/>
  <c r="B162" i="2"/>
  <c r="B161" i="2"/>
  <c r="B160" i="2"/>
  <c r="B159" i="2"/>
  <c r="B158" i="2"/>
  <c r="B157" i="2"/>
  <c r="B156" i="2"/>
  <c r="B155" i="2"/>
  <c r="B154" i="2"/>
  <c r="B153" i="2"/>
  <c r="B151" i="2"/>
  <c r="B150" i="2"/>
  <c r="C65" i="2"/>
  <c r="C66" i="2"/>
  <c r="C67" i="2"/>
  <c r="C68" i="2"/>
  <c r="C57" i="2"/>
  <c r="I162" i="2"/>
  <c r="N162" i="2" s="1"/>
  <c r="K159" i="2"/>
  <c r="N159" i="2"/>
  <c r="O159" i="2"/>
  <c r="P159" i="2"/>
  <c r="Q159" i="2" a="1"/>
  <c r="Q159" i="2" s="1"/>
  <c r="K160" i="2"/>
  <c r="N160" i="2"/>
  <c r="O160" i="2"/>
  <c r="P160" i="2"/>
  <c r="Q160" i="2" a="1"/>
  <c r="Q160" i="2" s="1"/>
  <c r="L160" i="2" s="1"/>
  <c r="K161" i="2"/>
  <c r="N161" i="2"/>
  <c r="O161" i="2"/>
  <c r="P161" i="2"/>
  <c r="Q161" i="2" a="1"/>
  <c r="Q161" i="2" s="1"/>
  <c r="K162" i="2"/>
  <c r="Q162" i="2" a="1"/>
  <c r="Q162" i="2" s="1"/>
  <c r="K163" i="2"/>
  <c r="Q163" i="2" a="1"/>
  <c r="Q163" i="2" s="1"/>
  <c r="K250" i="2"/>
  <c r="N250" i="2"/>
  <c r="O250" i="2"/>
  <c r="P250" i="2"/>
  <c r="Q250" i="2" a="1"/>
  <c r="Q250" i="2" s="1"/>
  <c r="K251" i="2"/>
  <c r="N251" i="2"/>
  <c r="O251" i="2"/>
  <c r="P251" i="2"/>
  <c r="Q251" i="2" a="1"/>
  <c r="Q251" i="2" s="1"/>
  <c r="K252" i="2"/>
  <c r="N252" i="2"/>
  <c r="O252" i="2"/>
  <c r="P252" i="2"/>
  <c r="Q252" i="2" a="1"/>
  <c r="Q252" i="2" s="1"/>
  <c r="P162" i="2" l="1"/>
  <c r="L161" i="2"/>
  <c r="M161" i="2" s="1" a="1"/>
  <c r="M161" i="2" s="1"/>
  <c r="O162" i="2"/>
  <c r="L250" i="2"/>
  <c r="M250" i="2" s="1" a="1"/>
  <c r="M250" i="2" s="1"/>
  <c r="L159" i="2"/>
  <c r="M159" i="2" s="1" a="1"/>
  <c r="M159" i="2" s="1"/>
  <c r="L162" i="2"/>
  <c r="M162" i="2" s="1" a="1"/>
  <c r="M162" i="2" s="1"/>
  <c r="M160" i="2" a="1"/>
  <c r="M160" i="2" s="1"/>
  <c r="L251" i="2"/>
  <c r="M251" i="2" s="1" a="1"/>
  <c r="M251" i="2" s="1"/>
  <c r="K281" i="2" l="1"/>
  <c r="Q281" i="2" a="1"/>
  <c r="Q281" i="2" s="1"/>
  <c r="K282" i="2"/>
  <c r="N282" i="2"/>
  <c r="O282" i="2"/>
  <c r="P282" i="2"/>
  <c r="Q282" i="2" a="1"/>
  <c r="Q282" i="2" s="1"/>
  <c r="K283" i="2"/>
  <c r="N283" i="2"/>
  <c r="O283" i="2"/>
  <c r="P283" i="2"/>
  <c r="Q283" i="2" a="1"/>
  <c r="Q283" i="2" s="1"/>
  <c r="K284" i="2"/>
  <c r="N284" i="2"/>
  <c r="O284" i="2"/>
  <c r="P284" i="2"/>
  <c r="Q284" i="2" a="1"/>
  <c r="Q284" i="2" s="1"/>
  <c r="K285" i="2"/>
  <c r="Q285" i="2" a="1"/>
  <c r="Q285" i="2" s="1"/>
  <c r="I281" i="2"/>
  <c r="N281" i="2" s="1"/>
  <c r="K275" i="2"/>
  <c r="N275" i="2"/>
  <c r="O275" i="2"/>
  <c r="P275" i="2"/>
  <c r="Q275" i="2" a="1"/>
  <c r="Q275" i="2" s="1"/>
  <c r="K276" i="2"/>
  <c r="N276" i="2"/>
  <c r="O276" i="2"/>
  <c r="P276" i="2"/>
  <c r="Q276" i="2" a="1"/>
  <c r="Q276" i="2" s="1"/>
  <c r="K277" i="2"/>
  <c r="N277" i="2"/>
  <c r="O277" i="2"/>
  <c r="P277" i="2"/>
  <c r="Q277" i="2" a="1"/>
  <c r="Q277" i="2" s="1"/>
  <c r="K209" i="2"/>
  <c r="Q209" i="2" a="1"/>
  <c r="Q209" i="2" s="1"/>
  <c r="K210" i="2"/>
  <c r="Q210" i="2" a="1"/>
  <c r="Q210" i="2" s="1"/>
  <c r="K211" i="2"/>
  <c r="Q211" i="2" a="1"/>
  <c r="Q211" i="2" s="1"/>
  <c r="K212" i="2"/>
  <c r="N212" i="2"/>
  <c r="O212" i="2"/>
  <c r="P212" i="2"/>
  <c r="Q212" i="2" a="1"/>
  <c r="Q212" i="2" s="1"/>
  <c r="K213" i="2"/>
  <c r="N213" i="2"/>
  <c r="O213" i="2"/>
  <c r="P213" i="2"/>
  <c r="Q213" i="2" a="1"/>
  <c r="Q213" i="2" s="1"/>
  <c r="K214" i="2"/>
  <c r="N214" i="2"/>
  <c r="O214" i="2"/>
  <c r="P214" i="2"/>
  <c r="Q214" i="2" a="1"/>
  <c r="Q214" i="2" s="1"/>
  <c r="I210" i="2"/>
  <c r="N210" i="2" s="1"/>
  <c r="I209" i="2"/>
  <c r="P209" i="2" s="1"/>
  <c r="I204" i="2"/>
  <c r="N204" i="2" s="1"/>
  <c r="K203" i="2"/>
  <c r="N203" i="2"/>
  <c r="O203" i="2"/>
  <c r="P203" i="2"/>
  <c r="Q203" i="2" a="1"/>
  <c r="Q203" i="2" s="1"/>
  <c r="K204" i="2"/>
  <c r="Q204" i="2" a="1"/>
  <c r="Q204" i="2" s="1"/>
  <c r="K205" i="2"/>
  <c r="N205" i="2"/>
  <c r="O205" i="2"/>
  <c r="P205" i="2"/>
  <c r="Q205" i="2" a="1"/>
  <c r="Q205" i="2" s="1"/>
  <c r="K206" i="2"/>
  <c r="Q206" i="2" a="1"/>
  <c r="Q206" i="2" s="1"/>
  <c r="K207" i="2"/>
  <c r="N207" i="2"/>
  <c r="O207" i="2"/>
  <c r="P207" i="2"/>
  <c r="Q207" i="2" a="1"/>
  <c r="Q207" i="2" s="1"/>
  <c r="K208" i="2"/>
  <c r="Q208" i="2" a="1"/>
  <c r="Q208" i="2" s="1"/>
  <c r="K196" i="2"/>
  <c r="N196" i="2"/>
  <c r="O196" i="2"/>
  <c r="P196" i="2"/>
  <c r="Q196" i="2" a="1"/>
  <c r="Q196" i="2" s="1"/>
  <c r="K197" i="2"/>
  <c r="N197" i="2"/>
  <c r="O197" i="2"/>
  <c r="P197" i="2"/>
  <c r="Q197" i="2" a="1"/>
  <c r="Q197" i="2" s="1"/>
  <c r="L197" i="2" s="1"/>
  <c r="K198" i="2"/>
  <c r="L198" i="2"/>
  <c r="N198" i="2"/>
  <c r="O198" i="2"/>
  <c r="P198" i="2"/>
  <c r="Q198" i="2" a="1"/>
  <c r="Q198" i="2" s="1"/>
  <c r="K199" i="2"/>
  <c r="Q199" i="2" a="1"/>
  <c r="Q199" i="2" s="1"/>
  <c r="K200" i="2"/>
  <c r="N200" i="2"/>
  <c r="O200" i="2"/>
  <c r="P200" i="2"/>
  <c r="Q200" i="2" a="1"/>
  <c r="Q200" i="2" s="1"/>
  <c r="K201" i="2"/>
  <c r="N201" i="2"/>
  <c r="O201" i="2"/>
  <c r="P201" i="2"/>
  <c r="Q201" i="2" a="1"/>
  <c r="Q201" i="2" s="1"/>
  <c r="K202" i="2"/>
  <c r="Q202" i="2" a="1"/>
  <c r="Q202" i="2" s="1"/>
  <c r="K178" i="2"/>
  <c r="N178" i="2"/>
  <c r="O178" i="2"/>
  <c r="P178" i="2"/>
  <c r="Q178" i="2" a="1"/>
  <c r="Q178" i="2" s="1"/>
  <c r="K179" i="2"/>
  <c r="N179" i="2"/>
  <c r="O179" i="2"/>
  <c r="P179" i="2"/>
  <c r="Q179" i="2" a="1"/>
  <c r="Q179" i="2" s="1"/>
  <c r="K180" i="2"/>
  <c r="N180" i="2"/>
  <c r="O180" i="2"/>
  <c r="P180" i="2"/>
  <c r="Q180" i="2" a="1"/>
  <c r="Q180" i="2" s="1"/>
  <c r="K181" i="2"/>
  <c r="N181" i="2"/>
  <c r="O181" i="2"/>
  <c r="P181" i="2"/>
  <c r="Q181" i="2" a="1"/>
  <c r="Q181" i="2" s="1"/>
  <c r="K164" i="2"/>
  <c r="N164" i="2"/>
  <c r="O164" i="2"/>
  <c r="P164" i="2"/>
  <c r="Q164" i="2" a="1"/>
  <c r="Q164" i="2" s="1"/>
  <c r="L163" i="2" s="1"/>
  <c r="M163" i="2" s="1" a="1"/>
  <c r="M163" i="2" s="1"/>
  <c r="K165" i="2"/>
  <c r="L165" i="2"/>
  <c r="N165" i="2"/>
  <c r="O165" i="2"/>
  <c r="P165" i="2"/>
  <c r="Q165" i="2" a="1"/>
  <c r="Q165" i="2" s="1"/>
  <c r="I163" i="2"/>
  <c r="K155" i="2"/>
  <c r="N155" i="2"/>
  <c r="O155" i="2"/>
  <c r="P155" i="2"/>
  <c r="Q155" i="2" a="1"/>
  <c r="Q155" i="2" s="1"/>
  <c r="K156" i="2"/>
  <c r="N156" i="2"/>
  <c r="O156" i="2"/>
  <c r="P156" i="2"/>
  <c r="Q156" i="2" a="1"/>
  <c r="Q156" i="2" s="1"/>
  <c r="K157" i="2"/>
  <c r="N157" i="2"/>
  <c r="O157" i="2"/>
  <c r="P157" i="2"/>
  <c r="Q157" i="2" a="1"/>
  <c r="Q157" i="2" s="1"/>
  <c r="K158" i="2"/>
  <c r="N158" i="2"/>
  <c r="O158" i="2"/>
  <c r="P158" i="2"/>
  <c r="Q158" i="2" a="1"/>
  <c r="Q158" i="2" s="1"/>
  <c r="K137" i="2"/>
  <c r="N137" i="2"/>
  <c r="O137" i="2"/>
  <c r="P137" i="2"/>
  <c r="Q137" i="2" a="1"/>
  <c r="Q137" i="2" s="1"/>
  <c r="K138" i="2"/>
  <c r="Q138" i="2" a="1"/>
  <c r="Q138" i="2" s="1"/>
  <c r="K139" i="2"/>
  <c r="N139" i="2"/>
  <c r="O139" i="2"/>
  <c r="P139" i="2"/>
  <c r="Q139" i="2" a="1"/>
  <c r="Q139" i="2" s="1"/>
  <c r="K140" i="2"/>
  <c r="N140" i="2"/>
  <c r="O140" i="2"/>
  <c r="P140" i="2"/>
  <c r="Q140" i="2" a="1"/>
  <c r="Q140" i="2" s="1"/>
  <c r="K141" i="2"/>
  <c r="N141" i="2"/>
  <c r="O141" i="2"/>
  <c r="P141" i="2"/>
  <c r="Q141" i="2" a="1"/>
  <c r="Q141" i="2" s="1"/>
  <c r="K142" i="2"/>
  <c r="N142" i="2"/>
  <c r="O142" i="2"/>
  <c r="P142" i="2"/>
  <c r="Q142" i="2" a="1"/>
  <c r="Q142" i="2" s="1"/>
  <c r="K143" i="2"/>
  <c r="N143" i="2"/>
  <c r="O143" i="2"/>
  <c r="P143" i="2"/>
  <c r="Q143" i="2" a="1"/>
  <c r="Q143" i="2" s="1"/>
  <c r="K144" i="2"/>
  <c r="N144" i="2"/>
  <c r="O144" i="2"/>
  <c r="P144" i="2"/>
  <c r="Q144" i="2" a="1"/>
  <c r="Q144" i="2" s="1"/>
  <c r="K81" i="2"/>
  <c r="N81" i="2"/>
  <c r="O81" i="2"/>
  <c r="P81" i="2"/>
  <c r="Q81" i="2" a="1"/>
  <c r="Q81" i="2" s="1"/>
  <c r="K82" i="2"/>
  <c r="N82" i="2"/>
  <c r="O82" i="2"/>
  <c r="P82" i="2"/>
  <c r="Q82" i="2" a="1"/>
  <c r="Q82" i="2" s="1"/>
  <c r="K83" i="2"/>
  <c r="N83" i="2"/>
  <c r="O83" i="2"/>
  <c r="P83" i="2"/>
  <c r="Q83" i="2" a="1"/>
  <c r="Q83" i="2" s="1"/>
  <c r="K77" i="2"/>
  <c r="N77" i="2"/>
  <c r="O77" i="2"/>
  <c r="P77" i="2"/>
  <c r="Q77" i="2" a="1"/>
  <c r="Q77" i="2" s="1"/>
  <c r="K78" i="2"/>
  <c r="N78" i="2"/>
  <c r="O78" i="2"/>
  <c r="P78" i="2"/>
  <c r="Q78" i="2" a="1"/>
  <c r="Q78" i="2" s="1"/>
  <c r="K33" i="2"/>
  <c r="Q33" i="2" a="1"/>
  <c r="Q33" i="2" s="1"/>
  <c r="K34" i="2"/>
  <c r="N34" i="2"/>
  <c r="O34" i="2"/>
  <c r="P34" i="2"/>
  <c r="Q34" i="2" a="1"/>
  <c r="Q34" i="2" s="1"/>
  <c r="K35" i="2"/>
  <c r="Q35" i="2" a="1"/>
  <c r="Q35" i="2" s="1"/>
  <c r="K36" i="2"/>
  <c r="N36" i="2"/>
  <c r="O36" i="2"/>
  <c r="P36" i="2"/>
  <c r="Q36" i="2" a="1"/>
  <c r="Q36" i="2" s="1"/>
  <c r="K37" i="2"/>
  <c r="Q37" i="2" a="1"/>
  <c r="Q37" i="2" s="1"/>
  <c r="K38" i="2"/>
  <c r="N38" i="2"/>
  <c r="O38" i="2"/>
  <c r="P38" i="2"/>
  <c r="Q38" i="2" a="1"/>
  <c r="Q38" i="2" s="1"/>
  <c r="K39" i="2"/>
  <c r="N39" i="2"/>
  <c r="O39" i="2"/>
  <c r="P39" i="2"/>
  <c r="Q39" i="2" a="1"/>
  <c r="Q39" i="2" s="1"/>
  <c r="K40" i="2"/>
  <c r="N40" i="2"/>
  <c r="O40" i="2"/>
  <c r="P40" i="2"/>
  <c r="Q40" i="2" a="1"/>
  <c r="Q40" i="2" s="1"/>
  <c r="K41" i="2"/>
  <c r="N41" i="2"/>
  <c r="O41" i="2"/>
  <c r="P41" i="2"/>
  <c r="Q41" i="2" a="1"/>
  <c r="Q41" i="2" s="1"/>
  <c r="K42" i="2"/>
  <c r="Q42" i="2" a="1"/>
  <c r="Q42" i="2" s="1"/>
  <c r="K43" i="2"/>
  <c r="N43" i="2"/>
  <c r="O43" i="2"/>
  <c r="P43" i="2"/>
  <c r="Q43" i="2" a="1"/>
  <c r="Q43" i="2" s="1"/>
  <c r="K44" i="2"/>
  <c r="N44" i="2"/>
  <c r="O44" i="2"/>
  <c r="P44" i="2"/>
  <c r="Q44" i="2" a="1"/>
  <c r="Q44" i="2" s="1"/>
  <c r="K45" i="2"/>
  <c r="N45" i="2"/>
  <c r="O45" i="2"/>
  <c r="P45" i="2"/>
  <c r="Q45" i="2" a="1"/>
  <c r="Q45" i="2" s="1"/>
  <c r="K46" i="2"/>
  <c r="Q46" i="2" a="1"/>
  <c r="Q46" i="2" s="1"/>
  <c r="K47" i="2"/>
  <c r="N47" i="2"/>
  <c r="O47" i="2"/>
  <c r="P47" i="2"/>
  <c r="Q47" i="2" a="1"/>
  <c r="Q47" i="2" s="1"/>
  <c r="K48" i="2"/>
  <c r="N48" i="2"/>
  <c r="O48" i="2"/>
  <c r="P48" i="2"/>
  <c r="Q48" i="2" a="1"/>
  <c r="Q48" i="2" s="1"/>
  <c r="K49" i="2"/>
  <c r="N49" i="2"/>
  <c r="O49" i="2"/>
  <c r="P49" i="2"/>
  <c r="Q49" i="2" a="1"/>
  <c r="Q49" i="2" s="1"/>
  <c r="K50" i="2"/>
  <c r="N50" i="2"/>
  <c r="O50" i="2"/>
  <c r="P50" i="2"/>
  <c r="Q50" i="2" a="1"/>
  <c r="Q50" i="2" s="1"/>
  <c r="K51" i="2"/>
  <c r="N51" i="2"/>
  <c r="O51" i="2"/>
  <c r="P51" i="2"/>
  <c r="Q51" i="2" a="1"/>
  <c r="Q51" i="2" s="1"/>
  <c r="K52" i="2"/>
  <c r="N52" i="2"/>
  <c r="O52" i="2"/>
  <c r="P52" i="2"/>
  <c r="Q52" i="2" a="1"/>
  <c r="Q52" i="2" s="1"/>
  <c r="K53" i="2"/>
  <c r="N53" i="2"/>
  <c r="O53" i="2"/>
  <c r="P53" i="2"/>
  <c r="Q53" i="2" a="1"/>
  <c r="Q53" i="2" s="1"/>
  <c r="K54" i="2"/>
  <c r="N54" i="2"/>
  <c r="O54" i="2"/>
  <c r="P54" i="2"/>
  <c r="Q54" i="2" a="1"/>
  <c r="Q54" i="2" s="1"/>
  <c r="K55" i="2"/>
  <c r="N55" i="2"/>
  <c r="O55" i="2"/>
  <c r="P55" i="2"/>
  <c r="Q55" i="2" a="1"/>
  <c r="Q55" i="2" s="1"/>
  <c r="K56" i="2"/>
  <c r="N56" i="2"/>
  <c r="O56" i="2"/>
  <c r="P56" i="2"/>
  <c r="Q56" i="2" a="1"/>
  <c r="Q56" i="2" s="1"/>
  <c r="K57" i="2"/>
  <c r="N57" i="2"/>
  <c r="O57" i="2"/>
  <c r="P57" i="2"/>
  <c r="Q57" i="2" a="1"/>
  <c r="Q57" i="2" s="1"/>
  <c r="K58" i="2"/>
  <c r="N58" i="2"/>
  <c r="O58" i="2"/>
  <c r="P58" i="2"/>
  <c r="Q58" i="2" a="1"/>
  <c r="Q58" i="2" s="1"/>
  <c r="K59" i="2"/>
  <c r="N59" i="2"/>
  <c r="O59" i="2"/>
  <c r="P59" i="2"/>
  <c r="Q59" i="2" a="1"/>
  <c r="Q59" i="2" s="1"/>
  <c r="K60" i="2"/>
  <c r="N60" i="2"/>
  <c r="O60" i="2"/>
  <c r="P60" i="2"/>
  <c r="Q60" i="2" a="1"/>
  <c r="Q60" i="2" s="1"/>
  <c r="K61" i="2"/>
  <c r="N61" i="2"/>
  <c r="O61" i="2"/>
  <c r="P61" i="2"/>
  <c r="Q61" i="2" a="1"/>
  <c r="Q61" i="2" s="1"/>
  <c r="K62" i="2"/>
  <c r="Q62" i="2" a="1"/>
  <c r="Q62" i="2" s="1"/>
  <c r="K63" i="2"/>
  <c r="N63" i="2"/>
  <c r="O63" i="2"/>
  <c r="P63" i="2"/>
  <c r="Q63" i="2" a="1"/>
  <c r="Q63" i="2" s="1"/>
  <c r="L63" i="2" s="1"/>
  <c r="M63" i="2" s="1" a="1"/>
  <c r="M63" i="2" s="1"/>
  <c r="K64" i="2"/>
  <c r="L64" i="2"/>
  <c r="N64" i="2"/>
  <c r="O64" i="2"/>
  <c r="P64" i="2"/>
  <c r="Q64" i="2" a="1"/>
  <c r="Q64" i="2" s="1"/>
  <c r="K65" i="2"/>
  <c r="N65" i="2"/>
  <c r="O65" i="2"/>
  <c r="P65" i="2"/>
  <c r="Q65" i="2" a="1"/>
  <c r="Q65" i="2" s="1"/>
  <c r="K66" i="2"/>
  <c r="Q66" i="2" a="1"/>
  <c r="Q66" i="2" s="1"/>
  <c r="K67" i="2"/>
  <c r="N67" i="2"/>
  <c r="O67" i="2"/>
  <c r="P67" i="2"/>
  <c r="Q67" i="2" a="1"/>
  <c r="Q67" i="2" s="1"/>
  <c r="K68" i="2"/>
  <c r="N68" i="2"/>
  <c r="O68" i="2"/>
  <c r="P68" i="2"/>
  <c r="Q68" i="2" a="1"/>
  <c r="Q68" i="2" s="1"/>
  <c r="K69" i="2"/>
  <c r="N69" i="2"/>
  <c r="O69" i="2"/>
  <c r="P69" i="2"/>
  <c r="Q69" i="2" a="1"/>
  <c r="Q69" i="2" s="1"/>
  <c r="K70" i="2"/>
  <c r="Q70" i="2" a="1"/>
  <c r="Q70" i="2" s="1"/>
  <c r="K71" i="2"/>
  <c r="N71" i="2"/>
  <c r="O71" i="2"/>
  <c r="P71" i="2"/>
  <c r="Q71" i="2" a="1"/>
  <c r="Q71" i="2" s="1"/>
  <c r="L71" i="2" s="1"/>
  <c r="M71" i="2" s="1" a="1"/>
  <c r="M71" i="2" s="1"/>
  <c r="K72" i="2"/>
  <c r="L72" i="2"/>
  <c r="N72" i="2"/>
  <c r="O72" i="2"/>
  <c r="P72" i="2"/>
  <c r="Q72" i="2" a="1"/>
  <c r="Q72" i="2" s="1"/>
  <c r="K73" i="2"/>
  <c r="N73" i="2"/>
  <c r="O73" i="2"/>
  <c r="P73" i="2"/>
  <c r="Q73" i="2" a="1"/>
  <c r="Q73" i="2" s="1"/>
  <c r="K74" i="2"/>
  <c r="Q74" i="2" a="1"/>
  <c r="Q74" i="2" s="1"/>
  <c r="K75" i="2"/>
  <c r="N75" i="2"/>
  <c r="O75" i="2"/>
  <c r="P75" i="2"/>
  <c r="Q75" i="2" a="1"/>
  <c r="Q75" i="2" s="1"/>
  <c r="I74" i="2"/>
  <c r="N74" i="2" s="1"/>
  <c r="I70" i="2"/>
  <c r="N70" i="2" s="1"/>
  <c r="I66" i="2"/>
  <c r="P66" i="2" s="1"/>
  <c r="I62" i="2"/>
  <c r="P62" i="2" s="1"/>
  <c r="I46" i="2"/>
  <c r="P46" i="2" s="1"/>
  <c r="I42" i="2"/>
  <c r="N42" i="2" s="1"/>
  <c r="I37" i="2"/>
  <c r="P37" i="2" s="1"/>
  <c r="K20" i="2"/>
  <c r="N20" i="2"/>
  <c r="O20" i="2"/>
  <c r="P20" i="2"/>
  <c r="Q20" i="2" a="1"/>
  <c r="Q20" i="2" s="1"/>
  <c r="K21" i="2"/>
  <c r="Q21" i="2" a="1"/>
  <c r="Q21" i="2" s="1"/>
  <c r="I21" i="2"/>
  <c r="O21" i="2" s="1"/>
  <c r="K16" i="2"/>
  <c r="N16" i="2"/>
  <c r="O16" i="2"/>
  <c r="P16" i="2"/>
  <c r="Q16" i="2" a="1"/>
  <c r="Q16" i="2" s="1"/>
  <c r="K17" i="2"/>
  <c r="N17" i="2"/>
  <c r="O17" i="2"/>
  <c r="P17" i="2"/>
  <c r="Q17" i="2" a="1"/>
  <c r="Q17" i="2" s="1"/>
  <c r="P163" i="2" l="1"/>
  <c r="N163" i="2"/>
  <c r="O163" i="2"/>
  <c r="L284" i="2"/>
  <c r="M284" i="2" s="1" a="1"/>
  <c r="M284" i="2" s="1"/>
  <c r="P204" i="2"/>
  <c r="L204" i="2"/>
  <c r="M197" i="2" a="1"/>
  <c r="M197" i="2" s="1"/>
  <c r="L281" i="2"/>
  <c r="M281" i="2" s="1" a="1"/>
  <c r="M281" i="2" s="1"/>
  <c r="L283" i="2"/>
  <c r="M283" i="2" s="1" a="1"/>
  <c r="M283" i="2" s="1"/>
  <c r="P281" i="2"/>
  <c r="L206" i="2"/>
  <c r="M206" i="2" s="1" a="1"/>
  <c r="M206" i="2" s="1"/>
  <c r="L210" i="2"/>
  <c r="M210" i="2" s="1" a="1"/>
  <c r="M210" i="2" s="1"/>
  <c r="L282" i="2"/>
  <c r="O281" i="2"/>
  <c r="O204" i="2"/>
  <c r="L212" i="2"/>
  <c r="M212" i="2" s="1" a="1"/>
  <c r="M212" i="2" s="1"/>
  <c r="M282" i="2" a="1"/>
  <c r="M282" i="2" s="1"/>
  <c r="L213" i="2"/>
  <c r="L276" i="2"/>
  <c r="M276" i="2" s="1" a="1"/>
  <c r="M276" i="2" s="1"/>
  <c r="L211" i="2"/>
  <c r="M211" i="2" s="1" a="1"/>
  <c r="M211" i="2" s="1"/>
  <c r="L275" i="2"/>
  <c r="M275" i="2" s="1" a="1"/>
  <c r="M275" i="2" s="1"/>
  <c r="L205" i="2"/>
  <c r="L203" i="2"/>
  <c r="M203" i="2" s="1" a="1"/>
  <c r="M203" i="2" s="1"/>
  <c r="L214" i="2"/>
  <c r="L209" i="2"/>
  <c r="M209" i="2" s="1" a="1"/>
  <c r="M209" i="2" s="1"/>
  <c r="P210" i="2"/>
  <c r="O209" i="2"/>
  <c r="L181" i="2"/>
  <c r="M181" i="2" s="1" a="1"/>
  <c r="M181" i="2" s="1"/>
  <c r="O210" i="2"/>
  <c r="N209" i="2"/>
  <c r="M213" i="2" a="1"/>
  <c r="M213" i="2" s="1"/>
  <c r="M214" i="2" a="1"/>
  <c r="M214" i="2" s="1"/>
  <c r="M204" i="2" a="1"/>
  <c r="M204" i="2" s="1"/>
  <c r="M198" i="2" a="1"/>
  <c r="M198" i="2" s="1"/>
  <c r="L208" i="2"/>
  <c r="M208" i="2" s="1" a="1"/>
  <c r="M208" i="2" s="1"/>
  <c r="L199" i="2"/>
  <c r="M199" i="2" s="1" a="1"/>
  <c r="M199" i="2" s="1"/>
  <c r="L207" i="2"/>
  <c r="M207" i="2" s="1" a="1"/>
  <c r="M207" i="2" s="1"/>
  <c r="M205" i="2" a="1"/>
  <c r="M205" i="2" s="1"/>
  <c r="L201" i="2"/>
  <c r="M201" i="2" s="1" a="1"/>
  <c r="M201" i="2" s="1"/>
  <c r="L200" i="2"/>
  <c r="M200" i="2" s="1" a="1"/>
  <c r="M200" i="2" s="1"/>
  <c r="L202" i="2"/>
  <c r="M202" i="2" s="1" a="1"/>
  <c r="M202" i="2" s="1"/>
  <c r="L178" i="2"/>
  <c r="M178" i="2" s="1" a="1"/>
  <c r="M178" i="2" s="1"/>
  <c r="L180" i="2"/>
  <c r="M180" i="2" s="1" a="1"/>
  <c r="M180" i="2" s="1"/>
  <c r="L179" i="2"/>
  <c r="M179" i="2" s="1" a="1"/>
  <c r="M179" i="2" s="1"/>
  <c r="M165" i="2" a="1"/>
  <c r="M165" i="2" s="1"/>
  <c r="L164" i="2"/>
  <c r="M164" i="2" s="1" a="1"/>
  <c r="M164" i="2" s="1"/>
  <c r="L140" i="2"/>
  <c r="M140" i="2" s="1" a="1"/>
  <c r="M140" i="2" s="1"/>
  <c r="L158" i="2"/>
  <c r="M158" i="2" s="1" a="1"/>
  <c r="M158" i="2" s="1"/>
  <c r="L156" i="2"/>
  <c r="M156" i="2" s="1" a="1"/>
  <c r="M156" i="2" s="1"/>
  <c r="L155" i="2"/>
  <c r="M155" i="2" s="1" a="1"/>
  <c r="M155" i="2" s="1"/>
  <c r="L157" i="2"/>
  <c r="M157" i="2" s="1" a="1"/>
  <c r="M157" i="2" s="1"/>
  <c r="L143" i="2"/>
  <c r="M143" i="2" s="1" a="1"/>
  <c r="M143" i="2" s="1"/>
  <c r="L137" i="2"/>
  <c r="M137" i="2" s="1" a="1"/>
  <c r="M137" i="2" s="1"/>
  <c r="L142" i="2"/>
  <c r="M142" i="2" s="1" a="1"/>
  <c r="M142" i="2" s="1"/>
  <c r="L139" i="2"/>
  <c r="M139" i="2" s="1" a="1"/>
  <c r="M139" i="2" s="1"/>
  <c r="L81" i="2"/>
  <c r="M81" i="2" s="1" a="1"/>
  <c r="M81" i="2" s="1"/>
  <c r="L141" i="2"/>
  <c r="M141" i="2" s="1" a="1"/>
  <c r="M141" i="2" s="1"/>
  <c r="L138" i="2"/>
  <c r="M138" i="2" s="1" a="1"/>
  <c r="M138" i="2" s="1"/>
  <c r="L144" i="2"/>
  <c r="M144" i="2" s="1" a="1"/>
  <c r="M144" i="2" s="1"/>
  <c r="O74" i="2"/>
  <c r="O66" i="2"/>
  <c r="L53" i="2"/>
  <c r="M53" i="2" s="1" a="1"/>
  <c r="M53" i="2" s="1"/>
  <c r="L82" i="2"/>
  <c r="M82" i="2" s="1" a="1"/>
  <c r="M82" i="2" s="1"/>
  <c r="M64" i="2" a="1"/>
  <c r="M64" i="2" s="1"/>
  <c r="L70" i="2"/>
  <c r="M70" i="2" s="1" a="1"/>
  <c r="M70" i="2" s="1"/>
  <c r="L67" i="2"/>
  <c r="M67" i="2" s="1" a="1"/>
  <c r="M67" i="2" s="1"/>
  <c r="P70" i="2"/>
  <c r="N66" i="2"/>
  <c r="L37" i="2"/>
  <c r="M37" i="2" s="1" a="1"/>
  <c r="M37" i="2" s="1"/>
  <c r="L78" i="2"/>
  <c r="M78" i="2" s="1" a="1"/>
  <c r="M78" i="2" s="1"/>
  <c r="O70" i="2"/>
  <c r="L61" i="2"/>
  <c r="L60" i="2"/>
  <c r="M60" i="2" s="1" a="1"/>
  <c r="M60" i="2" s="1"/>
  <c r="L77" i="2"/>
  <c r="M77" i="2" s="1" a="1"/>
  <c r="M77" i="2" s="1"/>
  <c r="L47" i="2"/>
  <c r="M47" i="2" s="1" a="1"/>
  <c r="M47" i="2" s="1"/>
  <c r="L33" i="2"/>
  <c r="M33" i="2" s="1" a="1"/>
  <c r="M33" i="2" s="1"/>
  <c r="L69" i="2"/>
  <c r="M69" i="2" s="1" a="1"/>
  <c r="M69" i="2" s="1"/>
  <c r="L57" i="2"/>
  <c r="M57" i="2" s="1" a="1"/>
  <c r="M57" i="2" s="1"/>
  <c r="L44" i="2"/>
  <c r="M44" i="2" s="1" a="1"/>
  <c r="M44" i="2" s="1"/>
  <c r="L41" i="2"/>
  <c r="M41" i="2" s="1" a="1"/>
  <c r="M41" i="2" s="1"/>
  <c r="M72" i="2" a="1"/>
  <c r="M72" i="2" s="1"/>
  <c r="L73" i="2"/>
  <c r="M73" i="2" s="1" a="1"/>
  <c r="M73" i="2" s="1"/>
  <c r="P74" i="2"/>
  <c r="O62" i="2"/>
  <c r="L54" i="2"/>
  <c r="M54" i="2" s="1" a="1"/>
  <c r="M54" i="2" s="1"/>
  <c r="L51" i="2"/>
  <c r="M51" i="2" s="1" a="1"/>
  <c r="M51" i="2" s="1"/>
  <c r="O46" i="2"/>
  <c r="P42" i="2"/>
  <c r="L38" i="2"/>
  <c r="M38" i="2" s="1" a="1"/>
  <c r="M38" i="2" s="1"/>
  <c r="O37" i="2"/>
  <c r="L35" i="2"/>
  <c r="M35" i="2" s="1" a="1"/>
  <c r="M35" i="2" s="1"/>
  <c r="N62" i="2"/>
  <c r="L50" i="2"/>
  <c r="M50" i="2" s="1" a="1"/>
  <c r="M50" i="2" s="1"/>
  <c r="N46" i="2"/>
  <c r="O42" i="2"/>
  <c r="N37" i="2"/>
  <c r="L34" i="2"/>
  <c r="M34" i="2" s="1" a="1"/>
  <c r="M34" i="2" s="1"/>
  <c r="L65" i="2"/>
  <c r="M65" i="2" s="1" a="1"/>
  <c r="M65" i="2" s="1"/>
  <c r="L56" i="2"/>
  <c r="M56" i="2" s="1" a="1"/>
  <c r="M56" i="2" s="1"/>
  <c r="L46" i="2"/>
  <c r="M46" i="2" s="1" a="1"/>
  <c r="M46" i="2" s="1"/>
  <c r="L40" i="2"/>
  <c r="M40" i="2" s="1" a="1"/>
  <c r="M40" i="2" s="1"/>
  <c r="L58" i="2"/>
  <c r="M58" i="2" s="1" a="1"/>
  <c r="M58" i="2" s="1"/>
  <c r="L42" i="2"/>
  <c r="M42" i="2" s="1" a="1"/>
  <c r="M42" i="2" s="1"/>
  <c r="M61" i="2" a="1"/>
  <c r="M61" i="2" s="1"/>
  <c r="L48" i="2"/>
  <c r="M48" i="2" s="1" a="1"/>
  <c r="M48" i="2" s="1"/>
  <c r="L59" i="2"/>
  <c r="M59" i="2" s="1" a="1"/>
  <c r="M59" i="2" s="1"/>
  <c r="L43" i="2"/>
  <c r="M43" i="2" s="1" a="1"/>
  <c r="M43" i="2" s="1"/>
  <c r="L49" i="2"/>
  <c r="M49" i="2" s="1" a="1"/>
  <c r="M49" i="2" s="1"/>
  <c r="L68" i="2"/>
  <c r="M68" i="2" s="1" a="1"/>
  <c r="M68" i="2" s="1"/>
  <c r="L55" i="2"/>
  <c r="M55" i="2" s="1" a="1"/>
  <c r="M55" i="2" s="1"/>
  <c r="L52" i="2"/>
  <c r="M52" i="2" s="1" a="1"/>
  <c r="M52" i="2" s="1"/>
  <c r="L45" i="2"/>
  <c r="M45" i="2" s="1" a="1"/>
  <c r="M45" i="2" s="1"/>
  <c r="L39" i="2"/>
  <c r="M39" i="2" s="1" a="1"/>
  <c r="M39" i="2" s="1"/>
  <c r="L36" i="2"/>
  <c r="M36" i="2" s="1" a="1"/>
  <c r="M36" i="2" s="1"/>
  <c r="L74" i="2"/>
  <c r="M74" i="2" s="1" a="1"/>
  <c r="M74" i="2" s="1"/>
  <c r="L66" i="2"/>
  <c r="M66" i="2" s="1" a="1"/>
  <c r="M66" i="2" s="1"/>
  <c r="L62" i="2"/>
  <c r="M62" i="2" s="1" a="1"/>
  <c r="M62" i="2" s="1"/>
  <c r="L17" i="2"/>
  <c r="M17" i="2" s="1" a="1"/>
  <c r="M17" i="2" s="1"/>
  <c r="N21" i="2"/>
  <c r="L20" i="2"/>
  <c r="M20" i="2" s="1" a="1"/>
  <c r="M20" i="2" s="1"/>
  <c r="L21" i="2"/>
  <c r="M21" i="2" s="1" a="1"/>
  <c r="M21" i="2" s="1"/>
  <c r="L16" i="2"/>
  <c r="M16" i="2" s="1" a="1"/>
  <c r="M16" i="2" s="1"/>
  <c r="P21" i="2"/>
  <c r="K295" i="2" l="1"/>
  <c r="L295" i="2"/>
  <c r="N295" i="2"/>
  <c r="O295" i="2"/>
  <c r="P295" i="2"/>
  <c r="Q295" i="2" a="1"/>
  <c r="Q295" i="2" s="1"/>
  <c r="K296" i="2"/>
  <c r="N296" i="2"/>
  <c r="O296" i="2"/>
  <c r="P296" i="2"/>
  <c r="Q296" i="2" a="1"/>
  <c r="Q296" i="2" s="1"/>
  <c r="K297" i="2"/>
  <c r="N297" i="2"/>
  <c r="O297" i="2"/>
  <c r="P297" i="2"/>
  <c r="Q297" i="2" a="1"/>
  <c r="Q297" i="2" s="1"/>
  <c r="K298" i="2"/>
  <c r="Q298" i="2" a="1"/>
  <c r="Q298" i="2" s="1"/>
  <c r="K299" i="2"/>
  <c r="N299" i="2"/>
  <c r="O299" i="2"/>
  <c r="P299" i="2"/>
  <c r="Q299" i="2" a="1"/>
  <c r="Q299" i="2" s="1"/>
  <c r="K300" i="2"/>
  <c r="N300" i="2"/>
  <c r="O300" i="2"/>
  <c r="P300" i="2"/>
  <c r="Q300" i="2" a="1"/>
  <c r="Q300" i="2" s="1"/>
  <c r="K301" i="2"/>
  <c r="N301" i="2"/>
  <c r="O301" i="2"/>
  <c r="P301" i="2"/>
  <c r="Q301" i="2" a="1"/>
  <c r="Q301" i="2" s="1"/>
  <c r="K302" i="2"/>
  <c r="N302" i="2"/>
  <c r="O302" i="2"/>
  <c r="P302" i="2"/>
  <c r="Q302" i="2" a="1"/>
  <c r="Q302" i="2" s="1"/>
  <c r="K303" i="2"/>
  <c r="N303" i="2"/>
  <c r="O303" i="2"/>
  <c r="P303" i="2"/>
  <c r="Q303" i="2" a="1"/>
  <c r="Q303" i="2" s="1"/>
  <c r="K304" i="2"/>
  <c r="N304" i="2"/>
  <c r="O304" i="2"/>
  <c r="P304" i="2"/>
  <c r="Q304" i="2" a="1"/>
  <c r="Q304" i="2" s="1"/>
  <c r="K305" i="2"/>
  <c r="N305" i="2"/>
  <c r="O305" i="2"/>
  <c r="P305" i="2"/>
  <c r="Q305" i="2" a="1"/>
  <c r="Q305" i="2" s="1"/>
  <c r="K306" i="2"/>
  <c r="L306" i="2"/>
  <c r="M306" i="2" s="1" a="1"/>
  <c r="M306" i="2" s="1"/>
  <c r="N306" i="2"/>
  <c r="O306" i="2"/>
  <c r="P306" i="2"/>
  <c r="Q306" i="2" a="1"/>
  <c r="Q306" i="2" s="1"/>
  <c r="K307" i="2"/>
  <c r="N307" i="2"/>
  <c r="O307" i="2"/>
  <c r="P307" i="2"/>
  <c r="Q307" i="2" a="1"/>
  <c r="Q307" i="2" s="1"/>
  <c r="L307" i="2" s="1"/>
  <c r="K308" i="2"/>
  <c r="Q308" i="2" a="1"/>
  <c r="Q308" i="2"/>
  <c r="I298" i="2"/>
  <c r="P298" i="2" s="1"/>
  <c r="L304" i="2" l="1"/>
  <c r="L296" i="2"/>
  <c r="L302" i="2"/>
  <c r="M302" i="2" s="1" a="1"/>
  <c r="M302" i="2" s="1"/>
  <c r="L308" i="2"/>
  <c r="M308" i="2" s="1" a="1"/>
  <c r="M308" i="2" s="1"/>
  <c r="M295" i="2" a="1"/>
  <c r="M295" i="2" s="1"/>
  <c r="L299" i="2"/>
  <c r="M299" i="2" s="1" a="1"/>
  <c r="M299" i="2" s="1"/>
  <c r="O298" i="2"/>
  <c r="L305" i="2"/>
  <c r="M305" i="2" s="1" a="1"/>
  <c r="M305" i="2" s="1"/>
  <c r="L301" i="2"/>
  <c r="M301" i="2" s="1" a="1"/>
  <c r="M301" i="2" s="1"/>
  <c r="N298" i="2"/>
  <c r="L303" i="2"/>
  <c r="M303" i="2" s="1" a="1"/>
  <c r="M303" i="2" s="1"/>
  <c r="M307" i="2" a="1"/>
  <c r="M307" i="2" s="1"/>
  <c r="L297" i="2"/>
  <c r="M297" i="2" s="1" a="1"/>
  <c r="M297" i="2" s="1"/>
  <c r="M304" i="2" a="1"/>
  <c r="M304" i="2" s="1"/>
  <c r="L298" i="2"/>
  <c r="M298" i="2" s="1" a="1"/>
  <c r="M298" i="2" s="1"/>
  <c r="M296" i="2" a="1"/>
  <c r="M296" i="2" s="1"/>
  <c r="L300" i="2"/>
  <c r="M300" i="2" s="1" a="1"/>
  <c r="M300" i="2" s="1"/>
  <c r="C125" i="2"/>
  <c r="C126" i="2"/>
  <c r="C127" i="2"/>
  <c r="C128" i="2"/>
  <c r="C129" i="2"/>
  <c r="I133" i="2" l="1"/>
  <c r="I87" i="2"/>
  <c r="C132" i="2" l="1"/>
  <c r="C135" i="2"/>
  <c r="K311" i="2"/>
  <c r="Q311" i="2" a="1"/>
  <c r="Q311" i="2" s="1"/>
  <c r="K312" i="2"/>
  <c r="N312" i="2"/>
  <c r="O312" i="2"/>
  <c r="P312" i="2"/>
  <c r="Q312" i="2" a="1"/>
  <c r="Q312" i="2" s="1"/>
  <c r="K313" i="2"/>
  <c r="Q313" i="2" a="1"/>
  <c r="Q313" i="2" s="1"/>
  <c r="K314" i="2"/>
  <c r="Q314" i="2" a="1"/>
  <c r="Q314" i="2" s="1"/>
  <c r="K315" i="2"/>
  <c r="N315" i="2"/>
  <c r="O315" i="2"/>
  <c r="P315" i="2"/>
  <c r="Q315" i="2" a="1"/>
  <c r="Q315" i="2" s="1"/>
  <c r="L315" i="2" s="1"/>
  <c r="K316" i="2"/>
  <c r="N316" i="2"/>
  <c r="O316" i="2"/>
  <c r="P316" i="2"/>
  <c r="Q316" i="2" a="1"/>
  <c r="Q316" i="2" s="1"/>
  <c r="K317" i="2"/>
  <c r="N317" i="2"/>
  <c r="O317" i="2"/>
  <c r="P317" i="2"/>
  <c r="Q317" i="2" a="1"/>
  <c r="Q317" i="2" s="1"/>
  <c r="K318" i="2"/>
  <c r="L318" i="2"/>
  <c r="N318" i="2"/>
  <c r="O318" i="2"/>
  <c r="P318" i="2"/>
  <c r="Q318" i="2" a="1"/>
  <c r="Q318" i="2" s="1"/>
  <c r="K319" i="2"/>
  <c r="N319" i="2"/>
  <c r="O319" i="2"/>
  <c r="P319" i="2"/>
  <c r="Q319" i="2" a="1"/>
  <c r="Q319" i="2" s="1"/>
  <c r="L319" i="2" s="1"/>
  <c r="K320" i="2"/>
  <c r="L320" i="2"/>
  <c r="N320" i="2"/>
  <c r="O320" i="2"/>
  <c r="P320" i="2"/>
  <c r="Q320" i="2" a="1"/>
  <c r="Q320" i="2" s="1"/>
  <c r="K321" i="2"/>
  <c r="N321" i="2"/>
  <c r="O321" i="2"/>
  <c r="P321" i="2"/>
  <c r="Q321" i="2" a="1"/>
  <c r="Q321" i="2" s="1"/>
  <c r="K322" i="2"/>
  <c r="N322" i="2"/>
  <c r="O322" i="2"/>
  <c r="P322" i="2"/>
  <c r="Q322" i="2" a="1"/>
  <c r="Q322" i="2" s="1"/>
  <c r="K323" i="2"/>
  <c r="Q323" i="2" a="1"/>
  <c r="Q323" i="2" s="1"/>
  <c r="K324" i="2"/>
  <c r="N324" i="2"/>
  <c r="O324" i="2"/>
  <c r="P324" i="2"/>
  <c r="Q324" i="2" a="1"/>
  <c r="Q324" i="2" s="1"/>
  <c r="K325" i="2"/>
  <c r="Q325" i="2" a="1"/>
  <c r="Q325" i="2" s="1"/>
  <c r="K326" i="2"/>
  <c r="Q326" i="2" a="1"/>
  <c r="Q326" i="2" s="1"/>
  <c r="K327" i="2"/>
  <c r="N327" i="2"/>
  <c r="O327" i="2"/>
  <c r="P327" i="2"/>
  <c r="Q327" i="2" a="1"/>
  <c r="Q327" i="2" s="1"/>
  <c r="I311" i="2"/>
  <c r="N311" i="2" s="1"/>
  <c r="L316" i="2" l="1"/>
  <c r="L312" i="2"/>
  <c r="L321" i="2"/>
  <c r="M321" i="2" s="1" a="1"/>
  <c r="M321" i="2" s="1"/>
  <c r="L324" i="2"/>
  <c r="M324" i="2" s="1" a="1"/>
  <c r="M324" i="2" s="1"/>
  <c r="L317" i="2"/>
  <c r="M317" i="2" s="1" a="1"/>
  <c r="M317" i="2" s="1"/>
  <c r="M318" i="2" a="1"/>
  <c r="M318" i="2" s="1"/>
  <c r="L311" i="2"/>
  <c r="M311" i="2" s="1" a="1"/>
  <c r="M311" i="2" s="1"/>
  <c r="L313" i="2"/>
  <c r="M313" i="2" s="1" a="1"/>
  <c r="M313" i="2" s="1"/>
  <c r="P311" i="2"/>
  <c r="L314" i="2"/>
  <c r="O311" i="2"/>
  <c r="L326" i="2"/>
  <c r="M326" i="2" s="1" a="1"/>
  <c r="M326" i="2" s="1"/>
  <c r="L322" i="2"/>
  <c r="M322" i="2" s="1" a="1"/>
  <c r="M322" i="2" s="1"/>
  <c r="M320" i="2" a="1"/>
  <c r="M320" i="2" s="1"/>
  <c r="L323" i="2"/>
  <c r="M323" i="2" s="1" a="1"/>
  <c r="M323" i="2" s="1"/>
  <c r="M319" i="2" a="1"/>
  <c r="M319" i="2" s="1"/>
  <c r="M315" i="2" a="1"/>
  <c r="M315" i="2" s="1"/>
  <c r="L325" i="2"/>
  <c r="M325" i="2" s="1" a="1"/>
  <c r="M325" i="2" s="1"/>
  <c r="M312" i="2" a="1"/>
  <c r="M312" i="2" s="1"/>
  <c r="M316" i="2" a="1"/>
  <c r="M316" i="2" s="1"/>
  <c r="M314" i="2" a="1"/>
  <c r="M314" i="2" s="1"/>
  <c r="C2" i="2" l="1" a="1"/>
  <c r="C2" i="2" s="1"/>
  <c r="C84" i="2" l="1"/>
  <c r="C107" i="2"/>
  <c r="K249" i="2"/>
  <c r="N249" i="2"/>
  <c r="O249" i="2"/>
  <c r="P249" i="2"/>
  <c r="Q249" i="2" a="1"/>
  <c r="Q249" i="2" s="1"/>
  <c r="K253" i="2"/>
  <c r="N253" i="2"/>
  <c r="O253" i="2"/>
  <c r="P253" i="2"/>
  <c r="Q253" i="2" a="1"/>
  <c r="Q253" i="2" s="1"/>
  <c r="L252" i="2" s="1"/>
  <c r="M252" i="2" s="1" a="1"/>
  <c r="M252" i="2" s="1"/>
  <c r="K254" i="2"/>
  <c r="L254" i="2"/>
  <c r="N254" i="2"/>
  <c r="O254" i="2"/>
  <c r="P254" i="2"/>
  <c r="Q254" i="2" a="1"/>
  <c r="Q254" i="2" s="1"/>
  <c r="K255" i="2"/>
  <c r="Q255" i="2" a="1"/>
  <c r="Q255" i="2" s="1"/>
  <c r="K256" i="2"/>
  <c r="N256" i="2"/>
  <c r="O256" i="2"/>
  <c r="P256" i="2"/>
  <c r="Q256" i="2" a="1"/>
  <c r="Q256" i="2" s="1"/>
  <c r="K257" i="2"/>
  <c r="Q257" i="2" a="1"/>
  <c r="Q257" i="2" s="1"/>
  <c r="K258" i="2"/>
  <c r="N258" i="2"/>
  <c r="O258" i="2"/>
  <c r="P258" i="2"/>
  <c r="Q258" i="2" a="1"/>
  <c r="Q258" i="2" s="1"/>
  <c r="K259" i="2"/>
  <c r="N259" i="2"/>
  <c r="O259" i="2"/>
  <c r="P259" i="2"/>
  <c r="Q259" i="2" a="1"/>
  <c r="Q259" i="2" s="1"/>
  <c r="K260" i="2"/>
  <c r="N260" i="2"/>
  <c r="O260" i="2"/>
  <c r="P260" i="2"/>
  <c r="Q260" i="2" a="1"/>
  <c r="Q260" i="2" s="1"/>
  <c r="L253" i="2" l="1"/>
  <c r="M253" i="2" s="1" a="1"/>
  <c r="M253" i="2" s="1"/>
  <c r="L259" i="2"/>
  <c r="M259" i="2" s="1" a="1"/>
  <c r="M259" i="2" s="1"/>
  <c r="L255" i="2"/>
  <c r="M255" i="2" s="1" a="1"/>
  <c r="M255" i="2" s="1"/>
  <c r="L257" i="2"/>
  <c r="M257" i="2" s="1" a="1"/>
  <c r="M257" i="2" s="1"/>
  <c r="L258" i="2"/>
  <c r="M258" i="2" s="1" a="1"/>
  <c r="M258" i="2" s="1"/>
  <c r="M254" i="2" a="1"/>
  <c r="M254" i="2" s="1"/>
  <c r="L260" i="2"/>
  <c r="M260" i="2" s="1" a="1"/>
  <c r="M260" i="2" s="1"/>
  <c r="L256" i="2"/>
  <c r="M256" i="2" s="1" a="1"/>
  <c r="M256" i="2" s="1"/>
  <c r="K261" i="2"/>
  <c r="Q261" i="2" a="1"/>
  <c r="Q261" i="2" s="1"/>
  <c r="AJ11" i="1" l="1" a="1"/>
  <c r="AJ11" i="1" s="1"/>
  <c r="AJ12" i="1" a="1"/>
  <c r="AJ12" i="1" s="1"/>
  <c r="AJ13" i="1" a="1"/>
  <c r="AJ13" i="1" s="1"/>
  <c r="AJ14" i="1" a="1"/>
  <c r="AJ14" i="1" s="1"/>
  <c r="AJ15" i="1" a="1"/>
  <c r="AJ15" i="1" s="1"/>
  <c r="AJ16" i="1" a="1"/>
  <c r="AJ16" i="1" s="1"/>
  <c r="AJ17" i="1" a="1"/>
  <c r="AJ17" i="1" s="1"/>
  <c r="AJ18" i="1" a="1"/>
  <c r="AJ18" i="1" s="1"/>
  <c r="AJ19" i="1" a="1"/>
  <c r="AJ19" i="1" s="1"/>
  <c r="AJ20" i="1" a="1"/>
  <c r="AJ20" i="1" s="1"/>
  <c r="AJ21" i="1" a="1"/>
  <c r="AJ21" i="1" s="1"/>
  <c r="AJ22" i="1" a="1"/>
  <c r="AJ22" i="1" s="1"/>
  <c r="AJ23" i="1" a="1"/>
  <c r="AJ23" i="1" s="1"/>
  <c r="AJ24" i="1" a="1"/>
  <c r="AJ24" i="1" s="1"/>
  <c r="AJ25" i="1" a="1"/>
  <c r="AJ25" i="1" s="1"/>
  <c r="AJ26" i="1" a="1"/>
  <c r="AJ26" i="1" s="1"/>
  <c r="AJ27" i="1" a="1"/>
  <c r="AJ27" i="1" s="1"/>
  <c r="AJ28" i="1" a="1"/>
  <c r="AJ28" i="1" s="1"/>
  <c r="AJ29" i="1" a="1"/>
  <c r="AJ29" i="1" s="1"/>
  <c r="AJ30" i="1" a="1"/>
  <c r="AJ30" i="1" s="1"/>
  <c r="AJ31" i="1" a="1"/>
  <c r="AJ31" i="1" s="1"/>
  <c r="AJ32" i="1" a="1"/>
  <c r="AJ32" i="1" s="1"/>
  <c r="AJ33" i="1" a="1"/>
  <c r="AJ33" i="1" s="1"/>
  <c r="AJ34" i="1" a="1"/>
  <c r="AJ34" i="1" s="1"/>
  <c r="AJ35" i="1" a="1"/>
  <c r="AJ35" i="1" s="1"/>
  <c r="AJ36" i="1" a="1"/>
  <c r="AJ36" i="1" s="1"/>
  <c r="AJ37" i="1" a="1"/>
  <c r="AJ37" i="1" s="1"/>
  <c r="AJ38" i="1" a="1"/>
  <c r="AJ38" i="1" s="1"/>
  <c r="AJ39" i="1" a="1"/>
  <c r="AJ39" i="1" s="1"/>
  <c r="AJ40" i="1" a="1"/>
  <c r="AJ40" i="1" s="1"/>
  <c r="AJ41" i="1" a="1"/>
  <c r="AJ41" i="1" s="1"/>
  <c r="AJ10" i="1" a="1"/>
  <c r="AJ10" i="1" s="1"/>
  <c r="AB69" i="2" a="1"/>
  <c r="AB69" i="2" s="1"/>
  <c r="AB68" i="2" a="1"/>
  <c r="AB68" i="2" s="1"/>
  <c r="AB67" i="2" a="1"/>
  <c r="AB67" i="2" s="1"/>
  <c r="AB66" i="2" a="1"/>
  <c r="AB66" i="2" s="1"/>
  <c r="AB65" i="2" a="1"/>
  <c r="AB65" i="2" s="1"/>
  <c r="AB64" i="2" a="1"/>
  <c r="AB64" i="2" s="1"/>
  <c r="AB63" i="2" a="1"/>
  <c r="AB63" i="2" s="1"/>
  <c r="AB62" i="2" a="1"/>
  <c r="AB62" i="2" s="1"/>
  <c r="AB61" i="2" a="1"/>
  <c r="AB61" i="2" s="1"/>
  <c r="AB60" i="2" a="1"/>
  <c r="AB60" i="2" s="1"/>
  <c r="AB59" i="2" a="1"/>
  <c r="AB59" i="2" s="1"/>
  <c r="AB58" i="2" a="1"/>
  <c r="AB58" i="2" s="1"/>
  <c r="AB57" i="2" a="1"/>
  <c r="AB57" i="2" s="1"/>
  <c r="AB56" i="2" a="1"/>
  <c r="AB56" i="2" s="1"/>
  <c r="AB55" i="2" a="1"/>
  <c r="AB55" i="2" s="1"/>
  <c r="AB54" i="2" a="1"/>
  <c r="AB54" i="2" s="1"/>
  <c r="AB53" i="2" a="1"/>
  <c r="AB53" i="2" s="1"/>
  <c r="AB52" i="2" a="1"/>
  <c r="AB52" i="2" s="1"/>
  <c r="AB51" i="2" a="1"/>
  <c r="AB51" i="2" s="1"/>
  <c r="AB50" i="2" a="1"/>
  <c r="AB50" i="2" s="1"/>
  <c r="AB49" i="2" a="1"/>
  <c r="AB49" i="2" s="1"/>
  <c r="AB48" i="2" a="1"/>
  <c r="AB48" i="2" s="1"/>
  <c r="AB47" i="2" a="1"/>
  <c r="AB47" i="2" s="1"/>
  <c r="AB46" i="2" a="1"/>
  <c r="AB46" i="2" s="1"/>
  <c r="AB45" i="2" a="1"/>
  <c r="AB45" i="2" s="1"/>
  <c r="AB44" i="2" a="1"/>
  <c r="AB44" i="2" s="1"/>
  <c r="AB43" i="2" a="1"/>
  <c r="AB43" i="2" s="1"/>
  <c r="AB42" i="2" a="1"/>
  <c r="AB42" i="2" s="1"/>
  <c r="AB41" i="2" a="1"/>
  <c r="AB41" i="2" s="1"/>
  <c r="AB40" i="2" a="1"/>
  <c r="AB40" i="2" s="1"/>
  <c r="AB39" i="2" a="1"/>
  <c r="AB39" i="2" s="1"/>
  <c r="AB38" i="2" a="1"/>
  <c r="AB38" i="2" s="1"/>
  <c r="AB37" i="2" a="1"/>
  <c r="AB37" i="2" s="1"/>
  <c r="AB36" i="2" a="1"/>
  <c r="AB36" i="2" s="1"/>
  <c r="AB35" i="2" a="1"/>
  <c r="AB35" i="2" s="1"/>
  <c r="AB34" i="2" a="1"/>
  <c r="AB34" i="2" s="1"/>
  <c r="AB33" i="2" a="1"/>
  <c r="AB33" i="2" s="1"/>
  <c r="AB32" i="2" a="1"/>
  <c r="AB32" i="2" s="1"/>
  <c r="AB31" i="2" a="1"/>
  <c r="AB31" i="2" s="1"/>
  <c r="AB30" i="2" a="1"/>
  <c r="AB30" i="2" s="1"/>
  <c r="AB29" i="2" a="1"/>
  <c r="AB29" i="2" s="1"/>
  <c r="AB28" i="2" a="1"/>
  <c r="AB28" i="2" s="1"/>
  <c r="AB27" i="2" a="1"/>
  <c r="AB27" i="2" s="1"/>
  <c r="AB26" i="2" a="1"/>
  <c r="AB26" i="2" s="1"/>
  <c r="AB25" i="2" a="1"/>
  <c r="AB25" i="2" s="1"/>
  <c r="AB24" i="2" a="1"/>
  <c r="AB24" i="2" s="1"/>
  <c r="AB23" i="2" a="1"/>
  <c r="AB23" i="2" s="1"/>
  <c r="AB22" i="2" a="1"/>
  <c r="AB22" i="2" s="1"/>
  <c r="AB21" i="2" a="1"/>
  <c r="AB21" i="2" s="1"/>
  <c r="AB20" i="2" a="1"/>
  <c r="AB20" i="2" s="1"/>
  <c r="AB19" i="2" a="1"/>
  <c r="AB19" i="2" s="1"/>
  <c r="AB18" i="2" a="1"/>
  <c r="AB18" i="2" s="1"/>
  <c r="AB17" i="2" a="1"/>
  <c r="AB17" i="2" s="1"/>
  <c r="AB16" i="2" a="1"/>
  <c r="AB16" i="2" s="1"/>
  <c r="AB15" i="2" a="1"/>
  <c r="AB15" i="2" s="1"/>
  <c r="AB14" i="2" a="1"/>
  <c r="AB14" i="2" s="1"/>
  <c r="AB13" i="2" a="1"/>
  <c r="AB13" i="2" s="1"/>
  <c r="AB12" i="2" a="1"/>
  <c r="AB12" i="2" s="1"/>
  <c r="AB11" i="2" a="1"/>
  <c r="AB11" i="2" s="1"/>
  <c r="AB10" i="2" a="1"/>
  <c r="AB10" i="2" s="1"/>
  <c r="AB9" i="2" a="1"/>
  <c r="AB9" i="2" s="1"/>
  <c r="X9" i="2"/>
  <c r="AB8" i="2" a="1"/>
  <c r="AB8" i="2" s="1"/>
  <c r="X8" i="2"/>
  <c r="W8" i="2"/>
  <c r="W9" i="2" s="1"/>
  <c r="AB7" i="2" a="1"/>
  <c r="AB7" i="2" s="1"/>
  <c r="AB6" i="2" a="1"/>
  <c r="AB6" i="2" s="1"/>
  <c r="Q347" i="2" a="1"/>
  <c r="Q347" i="2" s="1"/>
  <c r="L347" i="2" s="1"/>
  <c r="P347" i="2"/>
  <c r="O347" i="2"/>
  <c r="N347" i="2"/>
  <c r="K347" i="2"/>
  <c r="Q346" i="2" a="1"/>
  <c r="Q346" i="2" s="1"/>
  <c r="P346" i="2"/>
  <c r="O346" i="2"/>
  <c r="N346" i="2"/>
  <c r="K346" i="2"/>
  <c r="Q345" i="2" a="1"/>
  <c r="Q345" i="2" s="1"/>
  <c r="K345" i="2"/>
  <c r="I345" i="2"/>
  <c r="N345" i="2" s="1"/>
  <c r="Q344" i="2" a="1"/>
  <c r="Q344" i="2" s="1"/>
  <c r="L344" i="2" s="1"/>
  <c r="P344" i="2"/>
  <c r="O344" i="2"/>
  <c r="N344" i="2"/>
  <c r="K344" i="2"/>
  <c r="Q343" i="2" a="1"/>
  <c r="Q343" i="2" s="1"/>
  <c r="K343" i="2"/>
  <c r="I343" i="2"/>
  <c r="N343" i="2" s="1"/>
  <c r="Q342" i="2" a="1"/>
  <c r="Q342" i="2" s="1"/>
  <c r="K342" i="2"/>
  <c r="I342" i="2"/>
  <c r="P342" i="2" s="1"/>
  <c r="Q341" i="2" a="1"/>
  <c r="Q341" i="2" s="1"/>
  <c r="P341" i="2"/>
  <c r="O341" i="2"/>
  <c r="N341" i="2"/>
  <c r="L341" i="2"/>
  <c r="K341" i="2"/>
  <c r="Q340" i="2" a="1"/>
  <c r="Q340" i="2" s="1"/>
  <c r="P340" i="2"/>
  <c r="O340" i="2"/>
  <c r="N340" i="2"/>
  <c r="L340" i="2"/>
  <c r="K340" i="2"/>
  <c r="Q339" i="2" a="1"/>
  <c r="Q339" i="2" s="1"/>
  <c r="L339" i="2" s="1"/>
  <c r="P339" i="2"/>
  <c r="O339" i="2"/>
  <c r="N339" i="2"/>
  <c r="K339" i="2"/>
  <c r="Q338" i="2" a="1"/>
  <c r="Q338" i="2" s="1"/>
  <c r="P338" i="2"/>
  <c r="O338" i="2"/>
  <c r="N338" i="2"/>
  <c r="K338" i="2"/>
  <c r="Q337" i="2" a="1"/>
  <c r="Q337" i="2" s="1"/>
  <c r="L337" i="2" s="1"/>
  <c r="K337" i="2"/>
  <c r="I337" i="2"/>
  <c r="P337" i="2" s="1"/>
  <c r="Q336" i="2" a="1"/>
  <c r="Q336" i="2" s="1"/>
  <c r="P336" i="2"/>
  <c r="O336" i="2"/>
  <c r="N336" i="2"/>
  <c r="K336" i="2"/>
  <c r="Q335" i="2" a="1"/>
  <c r="Q335" i="2" s="1"/>
  <c r="L335" i="2" s="1"/>
  <c r="K335" i="2"/>
  <c r="I335" i="2"/>
  <c r="P335" i="2" s="1"/>
  <c r="Q334" i="2" a="1"/>
  <c r="Q334" i="2" s="1"/>
  <c r="P334" i="2"/>
  <c r="O334" i="2"/>
  <c r="N334" i="2"/>
  <c r="K334" i="2"/>
  <c r="Q333" i="2" a="1"/>
  <c r="Q333" i="2" s="1"/>
  <c r="P333" i="2"/>
  <c r="O333" i="2"/>
  <c r="N333" i="2"/>
  <c r="K333" i="2"/>
  <c r="Q332" i="2" a="1"/>
  <c r="Q332" i="2" s="1"/>
  <c r="P332" i="2"/>
  <c r="O332" i="2"/>
  <c r="N332" i="2"/>
  <c r="K332" i="2"/>
  <c r="Q331" i="2" a="1"/>
  <c r="Q331" i="2" s="1"/>
  <c r="P331" i="2"/>
  <c r="O331" i="2"/>
  <c r="N331" i="2"/>
  <c r="K331" i="2"/>
  <c r="Q330" i="2" a="1"/>
  <c r="Q330" i="2" s="1"/>
  <c r="P330" i="2"/>
  <c r="O330" i="2"/>
  <c r="N330" i="2"/>
  <c r="K330" i="2"/>
  <c r="Q329" i="2" a="1"/>
  <c r="Q329" i="2" s="1"/>
  <c r="K329" i="2"/>
  <c r="I329" i="2"/>
  <c r="P329" i="2" s="1"/>
  <c r="Q328" i="2" a="1"/>
  <c r="Q328" i="2" s="1"/>
  <c r="L327" i="2" s="1"/>
  <c r="M327" i="2" s="1" a="1"/>
  <c r="M327" i="2" s="1"/>
  <c r="P328" i="2"/>
  <c r="O328" i="2"/>
  <c r="N328" i="2"/>
  <c r="K328" i="2"/>
  <c r="I326" i="2"/>
  <c r="I325" i="2"/>
  <c r="I323" i="2"/>
  <c r="I314" i="2"/>
  <c r="I313" i="2"/>
  <c r="Q310" i="2" a="1"/>
  <c r="Q310" i="2" s="1"/>
  <c r="P310" i="2"/>
  <c r="O310" i="2"/>
  <c r="N310" i="2"/>
  <c r="K310" i="2"/>
  <c r="Q309" i="2" a="1"/>
  <c r="Q309" i="2" s="1"/>
  <c r="K309" i="2"/>
  <c r="I309" i="2"/>
  <c r="P309" i="2" s="1"/>
  <c r="I308" i="2"/>
  <c r="Q294" i="2" a="1"/>
  <c r="Q294" i="2" s="1"/>
  <c r="K294" i="2"/>
  <c r="I294" i="2"/>
  <c r="N294" i="2" s="1"/>
  <c r="Q293" i="2" a="1"/>
  <c r="Q293" i="2" s="1"/>
  <c r="P293" i="2"/>
  <c r="O293" i="2"/>
  <c r="N293" i="2"/>
  <c r="K293" i="2"/>
  <c r="Q292" i="2" a="1"/>
  <c r="Q292" i="2" s="1"/>
  <c r="K292" i="2"/>
  <c r="I292" i="2"/>
  <c r="Q291" i="2" a="1"/>
  <c r="Q291" i="2" s="1"/>
  <c r="K291" i="2"/>
  <c r="I291" i="2"/>
  <c r="P291" i="2" s="1"/>
  <c r="Q290" i="2" a="1"/>
  <c r="Q290" i="2" s="1"/>
  <c r="K290" i="2"/>
  <c r="I290" i="2"/>
  <c r="Q289" i="2" a="1"/>
  <c r="Q289" i="2" s="1"/>
  <c r="K289" i="2"/>
  <c r="I289" i="2"/>
  <c r="P289" i="2" s="1"/>
  <c r="Q288" i="2" a="1"/>
  <c r="Q288" i="2" s="1"/>
  <c r="P288" i="2"/>
  <c r="O288" i="2"/>
  <c r="N288" i="2"/>
  <c r="K288" i="2"/>
  <c r="Q287" i="2" a="1"/>
  <c r="Q287" i="2" s="1"/>
  <c r="K287" i="2"/>
  <c r="I287" i="2"/>
  <c r="N287" i="2" s="1"/>
  <c r="Q286" i="2" a="1"/>
  <c r="Q286" i="2" s="1"/>
  <c r="L285" i="2" s="1"/>
  <c r="M285" i="2" s="1" a="1"/>
  <c r="M285" i="2" s="1"/>
  <c r="P286" i="2"/>
  <c r="O286" i="2"/>
  <c r="N286" i="2"/>
  <c r="K286" i="2"/>
  <c r="I285" i="2"/>
  <c r="Q280" i="2" a="1"/>
  <c r="Q280" i="2" s="1"/>
  <c r="P280" i="2"/>
  <c r="O280" i="2"/>
  <c r="N280" i="2"/>
  <c r="K280" i="2"/>
  <c r="Q279" i="2" a="1"/>
  <c r="Q279" i="2" s="1"/>
  <c r="P279" i="2"/>
  <c r="O279" i="2"/>
  <c r="N279" i="2"/>
  <c r="K279" i="2"/>
  <c r="Q278" i="2" a="1"/>
  <c r="Q278" i="2" s="1"/>
  <c r="L277" i="2" s="1"/>
  <c r="M277" i="2" s="1" a="1"/>
  <c r="M277" i="2" s="1"/>
  <c r="P278" i="2"/>
  <c r="O278" i="2"/>
  <c r="N278" i="2"/>
  <c r="K278" i="2"/>
  <c r="Q274" i="2" a="1"/>
  <c r="Q274" i="2" s="1"/>
  <c r="P274" i="2"/>
  <c r="O274" i="2"/>
  <c r="N274" i="2"/>
  <c r="K274" i="2"/>
  <c r="Q273" i="2" a="1"/>
  <c r="Q273" i="2" s="1"/>
  <c r="P273" i="2"/>
  <c r="O273" i="2"/>
  <c r="N273" i="2"/>
  <c r="K273" i="2"/>
  <c r="Q272" i="2" a="1"/>
  <c r="Q272" i="2" s="1"/>
  <c r="P272" i="2"/>
  <c r="O272" i="2"/>
  <c r="N272" i="2"/>
  <c r="K272" i="2"/>
  <c r="Q271" i="2" a="1"/>
  <c r="Q271" i="2" s="1"/>
  <c r="P271" i="2"/>
  <c r="O271" i="2"/>
  <c r="N271" i="2"/>
  <c r="K271" i="2"/>
  <c r="Q270" i="2" a="1"/>
  <c r="Q270" i="2" s="1"/>
  <c r="P270" i="2"/>
  <c r="O270" i="2"/>
  <c r="N270" i="2"/>
  <c r="K270" i="2"/>
  <c r="Q269" i="2" a="1"/>
  <c r="Q269" i="2" s="1"/>
  <c r="K269" i="2"/>
  <c r="I269" i="2"/>
  <c r="N269" i="2" s="1"/>
  <c r="Q268" i="2" a="1"/>
  <c r="Q268" i="2" s="1"/>
  <c r="P268" i="2"/>
  <c r="O268" i="2"/>
  <c r="N268" i="2"/>
  <c r="K268" i="2"/>
  <c r="Q267" i="2" a="1"/>
  <c r="Q267" i="2" s="1"/>
  <c r="P267" i="2"/>
  <c r="O267" i="2"/>
  <c r="N267" i="2"/>
  <c r="K267" i="2"/>
  <c r="Q266" i="2" a="1"/>
  <c r="Q266" i="2" s="1"/>
  <c r="P266" i="2"/>
  <c r="O266" i="2"/>
  <c r="N266" i="2"/>
  <c r="K266" i="2"/>
  <c r="Q265" i="2" a="1"/>
  <c r="Q265" i="2" s="1"/>
  <c r="K265" i="2"/>
  <c r="N265" i="2"/>
  <c r="Q264" i="2" a="1"/>
  <c r="Q264" i="2" s="1"/>
  <c r="P264" i="2"/>
  <c r="O264" i="2"/>
  <c r="N264" i="2"/>
  <c r="K264" i="2"/>
  <c r="Q263" i="2" a="1"/>
  <c r="Q263" i="2" s="1"/>
  <c r="P263" i="2"/>
  <c r="O263" i="2"/>
  <c r="N263" i="2"/>
  <c r="K263" i="2"/>
  <c r="Q262" i="2" a="1"/>
  <c r="Q262" i="2" s="1"/>
  <c r="L261" i="2" s="1"/>
  <c r="M261" i="2" s="1" a="1"/>
  <c r="M261" i="2" s="1"/>
  <c r="P262" i="2"/>
  <c r="O262" i="2"/>
  <c r="N262" i="2"/>
  <c r="K262" i="2"/>
  <c r="I261" i="2"/>
  <c r="I257" i="2"/>
  <c r="I255" i="2"/>
  <c r="Q248" i="2" a="1"/>
  <c r="Q248" i="2" s="1"/>
  <c r="L249" i="2" s="1"/>
  <c r="M249" i="2" s="1" a="1"/>
  <c r="M249" i="2" s="1"/>
  <c r="P248" i="2"/>
  <c r="O248" i="2"/>
  <c r="N248" i="2"/>
  <c r="K248" i="2"/>
  <c r="Q247" i="2" a="1"/>
  <c r="Q247" i="2" s="1"/>
  <c r="K247" i="2"/>
  <c r="I247" i="2"/>
  <c r="O247" i="2" s="1"/>
  <c r="Q246" i="2" a="1"/>
  <c r="Q246" i="2" s="1"/>
  <c r="P246" i="2"/>
  <c r="O246" i="2"/>
  <c r="N246" i="2"/>
  <c r="K246" i="2"/>
  <c r="Q245" i="2" a="1"/>
  <c r="Q245" i="2" s="1"/>
  <c r="P245" i="2"/>
  <c r="O245" i="2"/>
  <c r="N245" i="2"/>
  <c r="K245" i="2"/>
  <c r="Q244" i="2" a="1"/>
  <c r="Q244" i="2" s="1"/>
  <c r="P244" i="2"/>
  <c r="O244" i="2"/>
  <c r="N244" i="2"/>
  <c r="K244" i="2"/>
  <c r="Q243" i="2" a="1"/>
  <c r="Q243" i="2" s="1"/>
  <c r="P243" i="2"/>
  <c r="O243" i="2"/>
  <c r="N243" i="2"/>
  <c r="K243" i="2"/>
  <c r="Q242" i="2" a="1"/>
  <c r="Q242" i="2" s="1"/>
  <c r="K242" i="2"/>
  <c r="I242" i="2"/>
  <c r="P242" i="2" s="1"/>
  <c r="Q241" i="2" a="1"/>
  <c r="Q241" i="2" s="1"/>
  <c r="P241" i="2"/>
  <c r="O241" i="2"/>
  <c r="N241" i="2"/>
  <c r="K241" i="2"/>
  <c r="Q240" i="2" a="1"/>
  <c r="Q240" i="2" s="1"/>
  <c r="K240" i="2"/>
  <c r="I240" i="2"/>
  <c r="Q239" i="2" a="1"/>
  <c r="Q239" i="2" s="1"/>
  <c r="P239" i="2"/>
  <c r="O239" i="2"/>
  <c r="N239" i="2"/>
  <c r="K239" i="2"/>
  <c r="Q238" i="2" a="1"/>
  <c r="Q238" i="2" s="1"/>
  <c r="K238" i="2"/>
  <c r="I238" i="2"/>
  <c r="O238" i="2" s="1"/>
  <c r="Q237" i="2" a="1"/>
  <c r="Q237" i="2" s="1"/>
  <c r="K237" i="2"/>
  <c r="I237" i="2"/>
  <c r="P237" i="2" s="1"/>
  <c r="Q236" i="2" a="1"/>
  <c r="Q236" i="2" s="1"/>
  <c r="P236" i="2"/>
  <c r="O236" i="2"/>
  <c r="N236" i="2"/>
  <c r="K236" i="2"/>
  <c r="Q235" i="2" a="1"/>
  <c r="Q235" i="2" s="1"/>
  <c r="K235" i="2"/>
  <c r="I235" i="2"/>
  <c r="N235" i="2" s="1"/>
  <c r="Q234" i="2" a="1"/>
  <c r="Q234" i="2" s="1"/>
  <c r="P234" i="2"/>
  <c r="O234" i="2"/>
  <c r="N234" i="2"/>
  <c r="K234" i="2"/>
  <c r="Q233" i="2" a="1"/>
  <c r="Q233" i="2" s="1"/>
  <c r="P233" i="2"/>
  <c r="O233" i="2"/>
  <c r="N233" i="2"/>
  <c r="K233" i="2"/>
  <c r="Q232" i="2" a="1"/>
  <c r="Q232" i="2" s="1"/>
  <c r="K232" i="2"/>
  <c r="I232" i="2"/>
  <c r="Q231" i="2" a="1"/>
  <c r="Q231" i="2" s="1"/>
  <c r="P231" i="2"/>
  <c r="O231" i="2"/>
  <c r="N231" i="2"/>
  <c r="K231" i="2"/>
  <c r="Q230" i="2" a="1"/>
  <c r="Q230" i="2" s="1"/>
  <c r="K230" i="2"/>
  <c r="I230" i="2"/>
  <c r="Q229" i="2" a="1"/>
  <c r="Q229" i="2" s="1"/>
  <c r="P229" i="2"/>
  <c r="O229" i="2"/>
  <c r="N229" i="2"/>
  <c r="K229" i="2"/>
  <c r="Q228" i="2" a="1"/>
  <c r="Q228" i="2" s="1"/>
  <c r="K228" i="2"/>
  <c r="I228" i="2"/>
  <c r="N228" i="2" s="1"/>
  <c r="Q227" i="2" a="1"/>
  <c r="Q227" i="2" s="1"/>
  <c r="K227" i="2"/>
  <c r="I227" i="2"/>
  <c r="Q226" i="2" a="1"/>
  <c r="Q226" i="2" s="1"/>
  <c r="K226" i="2"/>
  <c r="I226" i="2"/>
  <c r="P226" i="2" s="1"/>
  <c r="Q225" i="2" a="1"/>
  <c r="Q225" i="2" s="1"/>
  <c r="P225" i="2"/>
  <c r="O225" i="2"/>
  <c r="N225" i="2"/>
  <c r="L225" i="2"/>
  <c r="K225" i="2"/>
  <c r="Q224" i="2" a="1"/>
  <c r="Q224" i="2" s="1"/>
  <c r="P224" i="2"/>
  <c r="O224" i="2"/>
  <c r="N224" i="2"/>
  <c r="K224" i="2"/>
  <c r="Q223" i="2" a="1"/>
  <c r="Q223" i="2" s="1"/>
  <c r="P223" i="2"/>
  <c r="O223" i="2"/>
  <c r="N223" i="2"/>
  <c r="K223" i="2"/>
  <c r="Q222" i="2" a="1"/>
  <c r="Q222" i="2" s="1"/>
  <c r="P222" i="2"/>
  <c r="O222" i="2"/>
  <c r="N222" i="2"/>
  <c r="K222" i="2"/>
  <c r="Q221" i="2" a="1"/>
  <c r="Q221" i="2" s="1"/>
  <c r="K221" i="2"/>
  <c r="I221" i="2"/>
  <c r="N221" i="2" s="1"/>
  <c r="Q220" i="2" a="1"/>
  <c r="Q220" i="2" s="1"/>
  <c r="P220" i="2"/>
  <c r="O220" i="2"/>
  <c r="N220" i="2"/>
  <c r="K220" i="2"/>
  <c r="Q219" i="2" a="1"/>
  <c r="Q219" i="2" s="1"/>
  <c r="P219" i="2"/>
  <c r="O219" i="2"/>
  <c r="N219" i="2"/>
  <c r="K219" i="2"/>
  <c r="Q218" i="2" a="1"/>
  <c r="Q218" i="2" s="1"/>
  <c r="P218" i="2"/>
  <c r="O218" i="2"/>
  <c r="N218" i="2"/>
  <c r="K218" i="2"/>
  <c r="Q217" i="2" a="1"/>
  <c r="Q217" i="2" s="1"/>
  <c r="K217" i="2"/>
  <c r="I217" i="2"/>
  <c r="P217" i="2" s="1"/>
  <c r="Q216" i="2" a="1"/>
  <c r="Q216" i="2" s="1"/>
  <c r="P216" i="2"/>
  <c r="O216" i="2"/>
  <c r="N216" i="2"/>
  <c r="K216" i="2"/>
  <c r="Q215" i="2" a="1"/>
  <c r="Q215" i="2" s="1"/>
  <c r="K215" i="2"/>
  <c r="I215" i="2"/>
  <c r="N215" i="2" s="1"/>
  <c r="I211" i="2"/>
  <c r="I208" i="2"/>
  <c r="I206" i="2"/>
  <c r="I202" i="2"/>
  <c r="I199" i="2"/>
  <c r="Q195" i="2" a="1"/>
  <c r="Q195" i="2" s="1"/>
  <c r="L196" i="2" s="1"/>
  <c r="M196" i="2" s="1" a="1"/>
  <c r="M196" i="2" s="1"/>
  <c r="P195" i="2"/>
  <c r="O195" i="2"/>
  <c r="N195" i="2"/>
  <c r="K195" i="2"/>
  <c r="Q194" i="2" a="1"/>
  <c r="Q194" i="2" s="1"/>
  <c r="P194" i="2"/>
  <c r="O194" i="2"/>
  <c r="N194" i="2"/>
  <c r="K194" i="2"/>
  <c r="Q193" i="2" a="1"/>
  <c r="Q193" i="2" s="1"/>
  <c r="P193" i="2"/>
  <c r="O193" i="2"/>
  <c r="N193" i="2"/>
  <c r="K193" i="2"/>
  <c r="Q192" i="2" a="1"/>
  <c r="Q192" i="2" s="1"/>
  <c r="P192" i="2"/>
  <c r="O192" i="2"/>
  <c r="N192" i="2"/>
  <c r="K192" i="2"/>
  <c r="Q191" i="2" a="1"/>
  <c r="Q191" i="2" s="1"/>
  <c r="K191" i="2"/>
  <c r="I191" i="2"/>
  <c r="N191" i="2" s="1"/>
  <c r="Q190" i="2" a="1"/>
  <c r="Q190" i="2" s="1"/>
  <c r="P190" i="2"/>
  <c r="O190" i="2"/>
  <c r="N190" i="2"/>
  <c r="K190" i="2"/>
  <c r="Q189" i="2" a="1"/>
  <c r="Q189" i="2" s="1"/>
  <c r="K189" i="2"/>
  <c r="I189" i="2"/>
  <c r="N189" i="2" s="1"/>
  <c r="Q188" i="2" a="1"/>
  <c r="Q188" i="2" s="1"/>
  <c r="P188" i="2"/>
  <c r="O188" i="2"/>
  <c r="N188" i="2"/>
  <c r="L188" i="2"/>
  <c r="K188" i="2"/>
  <c r="Q187" i="2" a="1"/>
  <c r="Q187" i="2" s="1"/>
  <c r="L187" i="2" s="1"/>
  <c r="P187" i="2"/>
  <c r="O187" i="2"/>
  <c r="N187" i="2"/>
  <c r="K187" i="2"/>
  <c r="Q186" i="2" a="1"/>
  <c r="Q186" i="2" s="1"/>
  <c r="P186" i="2"/>
  <c r="O186" i="2"/>
  <c r="N186" i="2"/>
  <c r="L186" i="2"/>
  <c r="K186" i="2"/>
  <c r="Q185" i="2" a="1"/>
  <c r="Q185" i="2" s="1"/>
  <c r="P185" i="2"/>
  <c r="O185" i="2"/>
  <c r="N185" i="2"/>
  <c r="K185" i="2"/>
  <c r="Q184" i="2" a="1"/>
  <c r="Q184" i="2" s="1"/>
  <c r="P184" i="2"/>
  <c r="O184" i="2"/>
  <c r="N184" i="2"/>
  <c r="K184" i="2"/>
  <c r="Q183" i="2" a="1"/>
  <c r="Q183" i="2" s="1"/>
  <c r="P183" i="2"/>
  <c r="O183" i="2"/>
  <c r="N183" i="2"/>
  <c r="K183" i="2"/>
  <c r="Q182" i="2" a="1"/>
  <c r="Q182" i="2" s="1"/>
  <c r="P182" i="2"/>
  <c r="O182" i="2"/>
  <c r="N182" i="2"/>
  <c r="K182" i="2"/>
  <c r="Q177" i="2" a="1"/>
  <c r="Q177" i="2" s="1"/>
  <c r="P177" i="2"/>
  <c r="O177" i="2"/>
  <c r="N177" i="2"/>
  <c r="K177" i="2"/>
  <c r="Q176" i="2" a="1"/>
  <c r="Q176" i="2" s="1"/>
  <c r="P176" i="2"/>
  <c r="O176" i="2"/>
  <c r="N176" i="2"/>
  <c r="K176" i="2"/>
  <c r="Q175" i="2" a="1"/>
  <c r="Q175" i="2" s="1"/>
  <c r="P175" i="2"/>
  <c r="O175" i="2"/>
  <c r="N175" i="2"/>
  <c r="K175" i="2"/>
  <c r="Q174" i="2" a="1"/>
  <c r="Q174" i="2" s="1"/>
  <c r="P174" i="2"/>
  <c r="O174" i="2"/>
  <c r="N174" i="2"/>
  <c r="K174" i="2"/>
  <c r="Q173" i="2" a="1"/>
  <c r="Q173" i="2" s="1"/>
  <c r="P173" i="2"/>
  <c r="O173" i="2"/>
  <c r="N173" i="2"/>
  <c r="K173" i="2"/>
  <c r="Q172" i="2" a="1"/>
  <c r="Q172" i="2" s="1"/>
  <c r="P172" i="2"/>
  <c r="O172" i="2"/>
  <c r="N172" i="2"/>
  <c r="K172" i="2"/>
  <c r="Q171" i="2" a="1"/>
  <c r="Q171" i="2" s="1"/>
  <c r="P171" i="2"/>
  <c r="O171" i="2"/>
  <c r="N171" i="2"/>
  <c r="K171" i="2"/>
  <c r="Q170" i="2" a="1"/>
  <c r="Q170" i="2" s="1"/>
  <c r="P170" i="2"/>
  <c r="O170" i="2"/>
  <c r="N170" i="2"/>
  <c r="K170" i="2"/>
  <c r="Q169" i="2" a="1"/>
  <c r="Q169" i="2" s="1"/>
  <c r="P169" i="2"/>
  <c r="O169" i="2"/>
  <c r="N169" i="2"/>
  <c r="K169" i="2"/>
  <c r="Q168" i="2" a="1"/>
  <c r="Q168" i="2" s="1"/>
  <c r="K168" i="2"/>
  <c r="I168" i="2"/>
  <c r="N168" i="2" s="1"/>
  <c r="Q167" i="2" a="1"/>
  <c r="Q167" i="2" s="1"/>
  <c r="P167" i="2"/>
  <c r="O167" i="2"/>
  <c r="N167" i="2"/>
  <c r="K167" i="2"/>
  <c r="Q166" i="2" a="1"/>
  <c r="Q166" i="2" s="1"/>
  <c r="P166" i="2"/>
  <c r="O166" i="2"/>
  <c r="N166" i="2"/>
  <c r="K166" i="2"/>
  <c r="Q154" i="2" a="1"/>
  <c r="Q154" i="2" s="1"/>
  <c r="P154" i="2"/>
  <c r="O154" i="2"/>
  <c r="N154" i="2"/>
  <c r="K154" i="2"/>
  <c r="Q153" i="2" a="1"/>
  <c r="Q153" i="2" s="1"/>
  <c r="P153" i="2"/>
  <c r="O153" i="2"/>
  <c r="N153" i="2"/>
  <c r="K153" i="2"/>
  <c r="Q152" i="2" a="1"/>
  <c r="Q152" i="2" s="1"/>
  <c r="P152" i="2"/>
  <c r="O152" i="2"/>
  <c r="N152" i="2"/>
  <c r="K152" i="2"/>
  <c r="Q151" i="2" a="1"/>
  <c r="Q151" i="2" s="1"/>
  <c r="P151" i="2"/>
  <c r="O151" i="2"/>
  <c r="N151" i="2"/>
  <c r="K151" i="2"/>
  <c r="Q150" i="2" a="1"/>
  <c r="Q150" i="2" s="1"/>
  <c r="P150" i="2"/>
  <c r="O150" i="2"/>
  <c r="N150" i="2"/>
  <c r="K150" i="2"/>
  <c r="Q149" i="2" a="1"/>
  <c r="Q149" i="2" s="1"/>
  <c r="P149" i="2"/>
  <c r="O149" i="2"/>
  <c r="N149" i="2"/>
  <c r="K149" i="2"/>
  <c r="Q148" i="2" a="1"/>
  <c r="Q148" i="2" s="1"/>
  <c r="P148" i="2"/>
  <c r="O148" i="2"/>
  <c r="N148" i="2"/>
  <c r="K148" i="2"/>
  <c r="Q147" i="2" a="1"/>
  <c r="Q147" i="2" s="1"/>
  <c r="P147" i="2"/>
  <c r="O147" i="2"/>
  <c r="N147" i="2"/>
  <c r="K147" i="2"/>
  <c r="Q146" i="2" a="1"/>
  <c r="Q146" i="2" s="1"/>
  <c r="P146" i="2"/>
  <c r="O146" i="2"/>
  <c r="N146" i="2"/>
  <c r="K146" i="2"/>
  <c r="Q145" i="2" a="1"/>
  <c r="Q145" i="2" s="1"/>
  <c r="K145" i="2"/>
  <c r="I145" i="2"/>
  <c r="N145" i="2" s="1"/>
  <c r="I138" i="2"/>
  <c r="Q136" i="2" a="1"/>
  <c r="Q136" i="2" s="1"/>
  <c r="P136" i="2"/>
  <c r="O136" i="2"/>
  <c r="N136" i="2"/>
  <c r="K136" i="2"/>
  <c r="Q135" i="2" a="1"/>
  <c r="Q135" i="2" s="1"/>
  <c r="P135" i="2"/>
  <c r="O135" i="2"/>
  <c r="N135" i="2"/>
  <c r="K135" i="2"/>
  <c r="Q134" i="2" a="1"/>
  <c r="Q134" i="2" s="1"/>
  <c r="K134" i="2"/>
  <c r="P134" i="2"/>
  <c r="Q133" i="2" a="1"/>
  <c r="Q133" i="2" s="1"/>
  <c r="P133" i="2"/>
  <c r="O133" i="2"/>
  <c r="N133" i="2"/>
  <c r="K133" i="2"/>
  <c r="Q132" i="2" a="1"/>
  <c r="Q132" i="2" s="1"/>
  <c r="P132" i="2"/>
  <c r="O132" i="2"/>
  <c r="N132" i="2"/>
  <c r="L132" i="2"/>
  <c r="K132" i="2"/>
  <c r="Q131" i="2" a="1"/>
  <c r="Q131" i="2" s="1"/>
  <c r="L131" i="2" s="1"/>
  <c r="P131" i="2"/>
  <c r="O131" i="2"/>
  <c r="N131" i="2"/>
  <c r="K131" i="2"/>
  <c r="Q130" i="2" a="1"/>
  <c r="Q130" i="2" s="1"/>
  <c r="P130" i="2"/>
  <c r="O130" i="2"/>
  <c r="N130" i="2"/>
  <c r="K130" i="2"/>
  <c r="Q129" i="2" a="1"/>
  <c r="Q129" i="2" s="1"/>
  <c r="P129" i="2"/>
  <c r="O129" i="2"/>
  <c r="N129" i="2"/>
  <c r="K129" i="2"/>
  <c r="Q128" i="2" a="1"/>
  <c r="Q128" i="2" s="1"/>
  <c r="P128" i="2"/>
  <c r="O128" i="2"/>
  <c r="N128" i="2"/>
  <c r="K128" i="2"/>
  <c r="Q127" i="2" a="1"/>
  <c r="Q127" i="2" s="1"/>
  <c r="P127" i="2"/>
  <c r="O127" i="2"/>
  <c r="N127" i="2"/>
  <c r="K127" i="2"/>
  <c r="Q126" i="2" a="1"/>
  <c r="Q126" i="2" s="1"/>
  <c r="P126" i="2"/>
  <c r="O126" i="2"/>
  <c r="N126" i="2"/>
  <c r="L126" i="2"/>
  <c r="K126" i="2"/>
  <c r="Q125" i="2" a="1"/>
  <c r="Q125" i="2" s="1"/>
  <c r="L125" i="2" s="1"/>
  <c r="P125" i="2"/>
  <c r="O125" i="2"/>
  <c r="N125" i="2"/>
  <c r="K125" i="2"/>
  <c r="Q124" i="2" a="1"/>
  <c r="Q124" i="2" s="1"/>
  <c r="P124" i="2"/>
  <c r="O124" i="2"/>
  <c r="N124" i="2"/>
  <c r="K124" i="2"/>
  <c r="Q123" i="2" a="1"/>
  <c r="Q123" i="2" s="1"/>
  <c r="P123" i="2"/>
  <c r="O123" i="2"/>
  <c r="N123" i="2"/>
  <c r="K123" i="2"/>
  <c r="Q122" i="2" a="1"/>
  <c r="Q122" i="2" s="1"/>
  <c r="P122" i="2"/>
  <c r="O122" i="2"/>
  <c r="N122" i="2"/>
  <c r="L122" i="2"/>
  <c r="K122" i="2"/>
  <c r="Q121" i="2" a="1"/>
  <c r="Q121" i="2" s="1"/>
  <c r="P121" i="2"/>
  <c r="O121" i="2"/>
  <c r="N121" i="2"/>
  <c r="K121" i="2"/>
  <c r="Q120" i="2" a="1"/>
  <c r="Q120" i="2" s="1"/>
  <c r="P120" i="2"/>
  <c r="O120" i="2"/>
  <c r="N120" i="2"/>
  <c r="K120" i="2"/>
  <c r="Q119" i="2" a="1"/>
  <c r="Q119" i="2" s="1"/>
  <c r="P119" i="2"/>
  <c r="O119" i="2"/>
  <c r="N119" i="2"/>
  <c r="K119" i="2"/>
  <c r="Q118" i="2" a="1"/>
  <c r="Q118" i="2" s="1"/>
  <c r="P118" i="2"/>
  <c r="O118" i="2"/>
  <c r="N118" i="2"/>
  <c r="K118" i="2"/>
  <c r="Q117" i="2" a="1"/>
  <c r="Q117" i="2" s="1"/>
  <c r="P117" i="2"/>
  <c r="O117" i="2"/>
  <c r="N117" i="2"/>
  <c r="K117" i="2"/>
  <c r="Q116" i="2" a="1"/>
  <c r="Q116" i="2" s="1"/>
  <c r="P116" i="2"/>
  <c r="O116" i="2"/>
  <c r="N116" i="2"/>
  <c r="K116" i="2"/>
  <c r="Q115" i="2" a="1"/>
  <c r="Q115" i="2" s="1"/>
  <c r="P115" i="2"/>
  <c r="O115" i="2"/>
  <c r="N115" i="2"/>
  <c r="K115" i="2"/>
  <c r="Q114" i="2" a="1"/>
  <c r="Q114" i="2" s="1"/>
  <c r="P114" i="2"/>
  <c r="O114" i="2"/>
  <c r="N114" i="2"/>
  <c r="K114" i="2"/>
  <c r="Q113" i="2" a="1"/>
  <c r="Q113" i="2" s="1"/>
  <c r="P113" i="2"/>
  <c r="O113" i="2"/>
  <c r="N113" i="2"/>
  <c r="L113" i="2"/>
  <c r="K113" i="2"/>
  <c r="Q112" i="2" a="1"/>
  <c r="Q112" i="2" s="1"/>
  <c r="L112" i="2" s="1"/>
  <c r="P112" i="2"/>
  <c r="O112" i="2"/>
  <c r="N112" i="2"/>
  <c r="K112" i="2"/>
  <c r="Q111" i="2" a="1"/>
  <c r="Q111" i="2" s="1"/>
  <c r="P111" i="2"/>
  <c r="O111" i="2"/>
  <c r="N111" i="2"/>
  <c r="K111" i="2"/>
  <c r="Q110" i="2" a="1"/>
  <c r="Q110" i="2" s="1"/>
  <c r="P110" i="2"/>
  <c r="O110" i="2"/>
  <c r="N110" i="2"/>
  <c r="K110" i="2"/>
  <c r="Q109" i="2" a="1"/>
  <c r="Q109" i="2" s="1"/>
  <c r="P109" i="2"/>
  <c r="O109" i="2"/>
  <c r="N109" i="2"/>
  <c r="K109" i="2"/>
  <c r="Q108" i="2" a="1"/>
  <c r="Q108" i="2" s="1"/>
  <c r="P108" i="2"/>
  <c r="O108" i="2"/>
  <c r="N108" i="2"/>
  <c r="K108" i="2"/>
  <c r="Q107" i="2" a="1"/>
  <c r="Q107" i="2" s="1"/>
  <c r="P107" i="2"/>
  <c r="O107" i="2"/>
  <c r="N107" i="2"/>
  <c r="L107" i="2"/>
  <c r="K107" i="2"/>
  <c r="Q106" i="2" a="1"/>
  <c r="Q106" i="2" s="1"/>
  <c r="P106" i="2"/>
  <c r="O106" i="2"/>
  <c r="N106" i="2"/>
  <c r="K106" i="2"/>
  <c r="Q105" i="2" a="1"/>
  <c r="Q105" i="2" s="1"/>
  <c r="P105" i="2"/>
  <c r="O105" i="2"/>
  <c r="N105" i="2"/>
  <c r="K105" i="2"/>
  <c r="Q104" i="2" a="1"/>
  <c r="Q104" i="2" s="1"/>
  <c r="K104" i="2"/>
  <c r="I104" i="2"/>
  <c r="P104" i="2" s="1"/>
  <c r="Q103" i="2" a="1"/>
  <c r="Q103" i="2" s="1"/>
  <c r="P103" i="2"/>
  <c r="O103" i="2"/>
  <c r="N103" i="2"/>
  <c r="K103" i="2"/>
  <c r="Q102" i="2" a="1"/>
  <c r="Q102" i="2" s="1"/>
  <c r="P102" i="2"/>
  <c r="O102" i="2"/>
  <c r="N102" i="2"/>
  <c r="K102" i="2"/>
  <c r="Q101" i="2" a="1"/>
  <c r="Q101" i="2" s="1"/>
  <c r="K101" i="2"/>
  <c r="I101" i="2"/>
  <c r="P101" i="2" s="1"/>
  <c r="Q100" i="2" a="1"/>
  <c r="Q100" i="2" s="1"/>
  <c r="P100" i="2"/>
  <c r="O100" i="2"/>
  <c r="N100" i="2"/>
  <c r="K100" i="2"/>
  <c r="Q99" i="2" a="1"/>
  <c r="Q99" i="2" s="1"/>
  <c r="P99" i="2"/>
  <c r="O99" i="2"/>
  <c r="N99" i="2"/>
  <c r="K99" i="2"/>
  <c r="Q98" i="2" a="1"/>
  <c r="Q98" i="2" s="1"/>
  <c r="P98" i="2"/>
  <c r="O98" i="2"/>
  <c r="N98" i="2"/>
  <c r="K98" i="2"/>
  <c r="Q97" i="2" a="1"/>
  <c r="Q97" i="2" s="1"/>
  <c r="P97" i="2"/>
  <c r="O97" i="2"/>
  <c r="N97" i="2"/>
  <c r="K97" i="2"/>
  <c r="Q96" i="2" a="1"/>
  <c r="Q96" i="2" s="1"/>
  <c r="P96" i="2"/>
  <c r="O96" i="2"/>
  <c r="N96" i="2"/>
  <c r="K96" i="2"/>
  <c r="Q95" i="2" a="1"/>
  <c r="Q95" i="2" s="1"/>
  <c r="P95" i="2"/>
  <c r="O95" i="2"/>
  <c r="N95" i="2"/>
  <c r="K95" i="2"/>
  <c r="Q94" i="2" a="1"/>
  <c r="Q94" i="2" s="1"/>
  <c r="K94" i="2"/>
  <c r="I94" i="2"/>
  <c r="P94" i="2" s="1"/>
  <c r="Q93" i="2" a="1"/>
  <c r="Q93" i="2" s="1"/>
  <c r="P93" i="2"/>
  <c r="O93" i="2"/>
  <c r="N93" i="2"/>
  <c r="K93" i="2"/>
  <c r="Q92" i="2" a="1"/>
  <c r="Q92" i="2" s="1"/>
  <c r="P92" i="2"/>
  <c r="O92" i="2"/>
  <c r="N92" i="2"/>
  <c r="K92" i="2"/>
  <c r="Q91" i="2" a="1"/>
  <c r="Q91" i="2" s="1"/>
  <c r="P91" i="2"/>
  <c r="O91" i="2"/>
  <c r="N91" i="2"/>
  <c r="K91" i="2"/>
  <c r="Q90" i="2" a="1"/>
  <c r="Q90" i="2" s="1"/>
  <c r="P90" i="2"/>
  <c r="O90" i="2"/>
  <c r="N90" i="2"/>
  <c r="K90" i="2"/>
  <c r="Q89" i="2" a="1"/>
  <c r="Q89" i="2" s="1"/>
  <c r="P89" i="2"/>
  <c r="O89" i="2"/>
  <c r="N89" i="2"/>
  <c r="K89" i="2"/>
  <c r="Q88" i="2" a="1"/>
  <c r="Q88" i="2" s="1"/>
  <c r="K88" i="2"/>
  <c r="P88" i="2"/>
  <c r="Q87" i="2" a="1"/>
  <c r="Q87" i="2" s="1"/>
  <c r="P87" i="2"/>
  <c r="O87" i="2"/>
  <c r="N87" i="2"/>
  <c r="K87" i="2"/>
  <c r="Q86" i="2" a="1"/>
  <c r="Q86" i="2" s="1"/>
  <c r="P86" i="2"/>
  <c r="O86" i="2"/>
  <c r="N86" i="2"/>
  <c r="K86" i="2"/>
  <c r="Q85" i="2" a="1"/>
  <c r="Q85" i="2" s="1"/>
  <c r="P85" i="2"/>
  <c r="O85" i="2"/>
  <c r="N85" i="2"/>
  <c r="K85" i="2"/>
  <c r="Q84" i="2" a="1"/>
  <c r="Q84" i="2" s="1"/>
  <c r="L83" i="2" s="1"/>
  <c r="M83" i="2" s="1" a="1"/>
  <c r="M83" i="2" s="1"/>
  <c r="P84" i="2"/>
  <c r="O84" i="2"/>
  <c r="N84" i="2"/>
  <c r="K84" i="2"/>
  <c r="Q80" i="2" a="1"/>
  <c r="Q80" i="2" s="1"/>
  <c r="P80" i="2"/>
  <c r="O80" i="2"/>
  <c r="N80" i="2"/>
  <c r="K80" i="2"/>
  <c r="Q79" i="2" a="1"/>
  <c r="Q79" i="2" s="1"/>
  <c r="P79" i="2"/>
  <c r="O79" i="2"/>
  <c r="N79" i="2"/>
  <c r="K79" i="2"/>
  <c r="Q76" i="2" a="1"/>
  <c r="Q76" i="2" s="1"/>
  <c r="L75" i="2" s="1"/>
  <c r="M75" i="2" s="1" a="1"/>
  <c r="M75" i="2" s="1"/>
  <c r="P76" i="2"/>
  <c r="O76" i="2"/>
  <c r="N76" i="2"/>
  <c r="K76" i="2"/>
  <c r="I35" i="2"/>
  <c r="I33" i="2"/>
  <c r="Q32" i="2" a="1"/>
  <c r="Q32" i="2" s="1"/>
  <c r="P32" i="2"/>
  <c r="O32" i="2"/>
  <c r="N32" i="2"/>
  <c r="K32" i="2"/>
  <c r="Q31" i="2" a="1"/>
  <c r="Q31" i="2" s="1"/>
  <c r="P31" i="2"/>
  <c r="O31" i="2"/>
  <c r="N31" i="2"/>
  <c r="K31" i="2"/>
  <c r="Q30" i="2" a="1"/>
  <c r="Q30" i="2" s="1"/>
  <c r="P30" i="2"/>
  <c r="O30" i="2"/>
  <c r="N30" i="2"/>
  <c r="L30" i="2"/>
  <c r="K30" i="2"/>
  <c r="Q29" i="2" a="1"/>
  <c r="Q29" i="2" s="1"/>
  <c r="P29" i="2"/>
  <c r="O29" i="2"/>
  <c r="N29" i="2"/>
  <c r="K29" i="2"/>
  <c r="Q28" i="2" a="1"/>
  <c r="Q28" i="2" s="1"/>
  <c r="P28" i="2"/>
  <c r="O28" i="2"/>
  <c r="N28" i="2"/>
  <c r="K28" i="2"/>
  <c r="Q27" i="2" a="1"/>
  <c r="Q27" i="2" s="1"/>
  <c r="P27" i="2"/>
  <c r="O27" i="2"/>
  <c r="N27" i="2"/>
  <c r="K27" i="2"/>
  <c r="Q26" i="2" a="1"/>
  <c r="Q26" i="2" s="1"/>
  <c r="K26" i="2"/>
  <c r="I26" i="2"/>
  <c r="P26" i="2" s="1"/>
  <c r="Q25" i="2" a="1"/>
  <c r="Q25" i="2" s="1"/>
  <c r="P25" i="2"/>
  <c r="O25" i="2"/>
  <c r="N25" i="2"/>
  <c r="K25" i="2"/>
  <c r="Q24" i="2" a="1"/>
  <c r="Q24" i="2" s="1"/>
  <c r="K24" i="2"/>
  <c r="I24" i="2"/>
  <c r="P24" i="2" s="1"/>
  <c r="Q23" i="2" a="1"/>
  <c r="Q23" i="2" s="1"/>
  <c r="P23" i="2"/>
  <c r="O23" i="2"/>
  <c r="N23" i="2"/>
  <c r="K23" i="2"/>
  <c r="Q22" i="2" a="1"/>
  <c r="Q22" i="2" s="1"/>
  <c r="P22" i="2"/>
  <c r="O22" i="2"/>
  <c r="N22" i="2"/>
  <c r="K22" i="2"/>
  <c r="Q19" i="2" a="1"/>
  <c r="Q19" i="2" s="1"/>
  <c r="K19" i="2"/>
  <c r="I19" i="2"/>
  <c r="P19" i="2" s="1"/>
  <c r="Q18" i="2" a="1"/>
  <c r="Q18" i="2" s="1"/>
  <c r="P18" i="2"/>
  <c r="O18" i="2"/>
  <c r="N18" i="2"/>
  <c r="K18" i="2"/>
  <c r="Q15" i="2" a="1"/>
  <c r="Q15" i="2" s="1"/>
  <c r="P15" i="2"/>
  <c r="O15" i="2"/>
  <c r="N15" i="2"/>
  <c r="K15" i="2"/>
  <c r="Q14" i="2" a="1"/>
  <c r="Q14" i="2" s="1"/>
  <c r="P14" i="2"/>
  <c r="O14" i="2"/>
  <c r="N14" i="2"/>
  <c r="K14" i="2"/>
  <c r="Q13" i="2" a="1"/>
  <c r="Q13" i="2" s="1"/>
  <c r="P13" i="2"/>
  <c r="O13" i="2"/>
  <c r="N13" i="2"/>
  <c r="L13" i="2"/>
  <c r="K13" i="2"/>
  <c r="Q12" i="2" a="1"/>
  <c r="Q12" i="2" s="1"/>
  <c r="L12" i="2" s="1"/>
  <c r="P12" i="2"/>
  <c r="O12" i="2"/>
  <c r="N12" i="2"/>
  <c r="K12" i="2"/>
  <c r="Q11" i="2" a="1"/>
  <c r="Q11" i="2" s="1"/>
  <c r="P11" i="2"/>
  <c r="O11" i="2"/>
  <c r="N11" i="2"/>
  <c r="L11" i="2"/>
  <c r="K11" i="2"/>
  <c r="Q10" i="2" a="1"/>
  <c r="Q10" i="2" s="1"/>
  <c r="L10" i="2" s="1"/>
  <c r="K10" i="2"/>
  <c r="I10" i="2"/>
  <c r="P10" i="2" s="1"/>
  <c r="Q9" i="2" a="1"/>
  <c r="Q9" i="2" s="1"/>
  <c r="P9" i="2"/>
  <c r="O9" i="2"/>
  <c r="N9" i="2"/>
  <c r="L9" i="2"/>
  <c r="K9" i="2"/>
  <c r="Q8" i="2" a="1"/>
  <c r="Q8" i="2" s="1"/>
  <c r="L8" i="2" s="1"/>
  <c r="P8" i="2"/>
  <c r="O8" i="2"/>
  <c r="N8" i="2"/>
  <c r="K8" i="2"/>
  <c r="Q7" i="2" a="1"/>
  <c r="Q7" i="2" s="1"/>
  <c r="P7" i="2"/>
  <c r="O7" i="2"/>
  <c r="N7" i="2"/>
  <c r="L7" i="2"/>
  <c r="K7" i="2"/>
  <c r="Q6" i="2" a="1"/>
  <c r="Q6" i="2" s="1"/>
  <c r="L6" i="2" s="1"/>
  <c r="K6" i="2"/>
  <c r="I6" i="2"/>
  <c r="N6" i="2" s="1"/>
  <c r="C149" i="2"/>
  <c r="C148" i="2"/>
  <c r="C147" i="2"/>
  <c r="C146" i="2"/>
  <c r="C145" i="2"/>
  <c r="C144" i="2"/>
  <c r="C143" i="2"/>
  <c r="C142" i="2"/>
  <c r="C141" i="2"/>
  <c r="C140" i="2"/>
  <c r="C139" i="2"/>
  <c r="C138" i="2"/>
  <c r="C137" i="2"/>
  <c r="C136" i="2"/>
  <c r="C134" i="2"/>
  <c r="C133" i="2"/>
  <c r="C131" i="2"/>
  <c r="C130" i="2"/>
  <c r="C124" i="2"/>
  <c r="C123" i="2"/>
  <c r="C122" i="2"/>
  <c r="C121" i="2"/>
  <c r="C120" i="2"/>
  <c r="C119" i="2"/>
  <c r="C118" i="2"/>
  <c r="C117" i="2"/>
  <c r="C116" i="2"/>
  <c r="C115" i="2"/>
  <c r="C114" i="2"/>
  <c r="C113" i="2"/>
  <c r="C112" i="2"/>
  <c r="C111" i="2"/>
  <c r="C110" i="2"/>
  <c r="C109" i="2"/>
  <c r="C108" i="2"/>
  <c r="C105" i="2"/>
  <c r="C104" i="2"/>
  <c r="C103" i="2"/>
  <c r="C102" i="2"/>
  <c r="C101" i="2"/>
  <c r="C100" i="2"/>
  <c r="C99" i="2"/>
  <c r="C98" i="2"/>
  <c r="C97" i="2"/>
  <c r="C96" i="2"/>
  <c r="C95" i="2"/>
  <c r="C94" i="2"/>
  <c r="C93" i="2"/>
  <c r="C92" i="2"/>
  <c r="C91" i="2"/>
  <c r="C90" i="2"/>
  <c r="C89" i="2"/>
  <c r="C88" i="2"/>
  <c r="C87" i="2"/>
  <c r="C86" i="2"/>
  <c r="C85" i="2"/>
  <c r="C83" i="2"/>
  <c r="C82" i="2"/>
  <c r="C81" i="2"/>
  <c r="C80" i="2"/>
  <c r="C79" i="2"/>
  <c r="C78" i="2"/>
  <c r="C77" i="2"/>
  <c r="C76" i="2"/>
  <c r="C75" i="2"/>
  <c r="C74" i="2"/>
  <c r="C73" i="2"/>
  <c r="C72" i="2"/>
  <c r="C71" i="2"/>
  <c r="C70" i="2"/>
  <c r="C69" i="2"/>
  <c r="C64" i="2"/>
  <c r="C63" i="2"/>
  <c r="C62" i="2"/>
  <c r="C61" i="2"/>
  <c r="C60" i="2"/>
  <c r="C59" i="2"/>
  <c r="C58"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R6" i="2" l="1" a="1"/>
  <c r="R6" i="2" s="1"/>
  <c r="D6" i="2" a="1"/>
  <c r="D6" i="2" s="1"/>
  <c r="P285" i="2"/>
  <c r="N285" i="2"/>
  <c r="O285" i="2"/>
  <c r="N211" i="2"/>
  <c r="O211" i="2"/>
  <c r="P211" i="2"/>
  <c r="N206" i="2"/>
  <c r="O206" i="2"/>
  <c r="P206" i="2"/>
  <c r="O208" i="2"/>
  <c r="P208" i="2"/>
  <c r="N208" i="2"/>
  <c r="N199" i="2"/>
  <c r="O199" i="2"/>
  <c r="P199" i="2"/>
  <c r="N202" i="2"/>
  <c r="O202" i="2"/>
  <c r="P202" i="2"/>
  <c r="M339" i="2" a="1"/>
  <c r="M339" i="2" s="1"/>
  <c r="M347" i="2" a="1"/>
  <c r="M347" i="2" s="1"/>
  <c r="O138" i="2"/>
  <c r="P138" i="2"/>
  <c r="N138" i="2"/>
  <c r="N35" i="2"/>
  <c r="O35" i="2"/>
  <c r="P35" i="2"/>
  <c r="N33" i="2"/>
  <c r="O33" i="2"/>
  <c r="P33" i="2"/>
  <c r="L246" i="2"/>
  <c r="O308" i="2"/>
  <c r="P308" i="2"/>
  <c r="N308" i="2"/>
  <c r="O226" i="2"/>
  <c r="N237" i="2"/>
  <c r="P238" i="2"/>
  <c r="O26" i="2"/>
  <c r="O323" i="2"/>
  <c r="P323" i="2"/>
  <c r="N323" i="2"/>
  <c r="P325" i="2"/>
  <c r="N325" i="2"/>
  <c r="O325" i="2"/>
  <c r="N313" i="2"/>
  <c r="O313" i="2"/>
  <c r="P313" i="2"/>
  <c r="O326" i="2"/>
  <c r="N326" i="2"/>
  <c r="P326" i="2"/>
  <c r="P314" i="2"/>
  <c r="N314" i="2"/>
  <c r="O314" i="2"/>
  <c r="L232" i="2"/>
  <c r="O168" i="2"/>
  <c r="P145" i="2"/>
  <c r="N26" i="2"/>
  <c r="N104" i="2"/>
  <c r="O94" i="2"/>
  <c r="O345" i="2"/>
  <c r="O269" i="2"/>
  <c r="L224" i="2"/>
  <c r="L289" i="2"/>
  <c r="M289" i="2" s="1" a="1"/>
  <c r="M289" i="2" s="1"/>
  <c r="N94" i="2"/>
  <c r="O101" i="2"/>
  <c r="N134" i="2"/>
  <c r="N217" i="2"/>
  <c r="N226" i="2"/>
  <c r="O228" i="2"/>
  <c r="N255" i="2"/>
  <c r="O255" i="2"/>
  <c r="P255" i="2"/>
  <c r="O309" i="2"/>
  <c r="N257" i="2"/>
  <c r="O257" i="2"/>
  <c r="P257" i="2"/>
  <c r="L338" i="2"/>
  <c r="M338" i="2" s="1" a="1"/>
  <c r="M338" i="2" s="1"/>
  <c r="P345" i="2"/>
  <c r="N337" i="2"/>
  <c r="O6" i="2"/>
  <c r="O19" i="2"/>
  <c r="N101" i="2"/>
  <c r="N309" i="2"/>
  <c r="O337" i="2"/>
  <c r="L346" i="2"/>
  <c r="M346" i="2" s="1" a="1"/>
  <c r="M346" i="2" s="1"/>
  <c r="L342" i="2"/>
  <c r="M342" i="2" s="1" a="1"/>
  <c r="M342" i="2" s="1"/>
  <c r="L26" i="2"/>
  <c r="L31" i="2"/>
  <c r="M31" i="2" s="1" a="1"/>
  <c r="M31" i="2" s="1"/>
  <c r="L169" i="2"/>
  <c r="M169" i="2" s="1" a="1"/>
  <c r="M169" i="2" s="1"/>
  <c r="AC6" i="2" a="1"/>
  <c r="AC6" i="2" s="1"/>
  <c r="AD6" i="2" s="1" a="1"/>
  <c r="AD6" i="2" s="1"/>
  <c r="L172" i="2"/>
  <c r="M172" i="2" s="1" a="1"/>
  <c r="M172" i="2" s="1"/>
  <c r="L92" i="2"/>
  <c r="M92" i="2" s="1" a="1"/>
  <c r="M92" i="2" s="1"/>
  <c r="L89" i="2"/>
  <c r="M89" i="2" s="1" a="1"/>
  <c r="M89" i="2" s="1"/>
  <c r="L334" i="2"/>
  <c r="M334" i="2" s="1" a="1"/>
  <c r="M334" i="2" s="1"/>
  <c r="M340" i="2" a="1"/>
  <c r="M340" i="2" s="1"/>
  <c r="P6" i="2"/>
  <c r="O104" i="2"/>
  <c r="O134" i="2"/>
  <c r="P168" i="2"/>
  <c r="O217" i="2"/>
  <c r="L220" i="2"/>
  <c r="M220" i="2" s="1" a="1"/>
  <c r="M220" i="2" s="1"/>
  <c r="P228" i="2"/>
  <c r="O237" i="2"/>
  <c r="P269" i="2"/>
  <c r="N10" i="2"/>
  <c r="N24" i="2"/>
  <c r="N88" i="2"/>
  <c r="N242" i="2"/>
  <c r="N289" i="2"/>
  <c r="N291" i="2"/>
  <c r="O10" i="2"/>
  <c r="N19" i="2"/>
  <c r="O24" i="2"/>
  <c r="O88" i="2"/>
  <c r="L128" i="2"/>
  <c r="O145" i="2"/>
  <c r="O242" i="2"/>
  <c r="P247" i="2"/>
  <c r="N261" i="2"/>
  <c r="O261" i="2"/>
  <c r="P261" i="2"/>
  <c r="O289" i="2"/>
  <c r="O291" i="2"/>
  <c r="N335" i="2"/>
  <c r="O343" i="2"/>
  <c r="L95" i="2"/>
  <c r="L99" i="2"/>
  <c r="L105" i="2"/>
  <c r="M105" i="2" s="1" a="1"/>
  <c r="M105" i="2" s="1"/>
  <c r="L146" i="2"/>
  <c r="M146" i="2" s="1" a="1"/>
  <c r="M146" i="2" s="1"/>
  <c r="L291" i="2"/>
  <c r="L176" i="2"/>
  <c r="M176" i="2" s="1" a="1"/>
  <c r="M176" i="2" s="1"/>
  <c r="L263" i="2"/>
  <c r="M263" i="2" s="1" a="1"/>
  <c r="M263" i="2" s="1"/>
  <c r="L274" i="2"/>
  <c r="M274" i="2" s="1" a="1"/>
  <c r="M274" i="2" s="1"/>
  <c r="L86" i="2"/>
  <c r="M107" i="2" a="1"/>
  <c r="M107" i="2" s="1"/>
  <c r="L150" i="2"/>
  <c r="M150" i="2" s="1" a="1"/>
  <c r="M150" i="2" s="1"/>
  <c r="L154" i="2"/>
  <c r="M154" i="2" s="1" a="1"/>
  <c r="M154" i="2" s="1"/>
  <c r="L184" i="2"/>
  <c r="L229" i="2"/>
  <c r="M229" i="2" s="1" a="1"/>
  <c r="M229" i="2" s="1"/>
  <c r="L266" i="2"/>
  <c r="M266" i="2" s="1" a="1"/>
  <c r="M266" i="2" s="1"/>
  <c r="L269" i="2"/>
  <c r="M269" i="2" s="1" a="1"/>
  <c r="M269" i="2" s="1"/>
  <c r="L147" i="2"/>
  <c r="L151" i="2"/>
  <c r="L267" i="2"/>
  <c r="M267" i="2" s="1" a="1"/>
  <c r="M267" i="2" s="1"/>
  <c r="L96" i="2"/>
  <c r="M96" i="2" s="1" a="1"/>
  <c r="M96" i="2" s="1"/>
  <c r="L100" i="2"/>
  <c r="L127" i="2"/>
  <c r="M127" i="2" s="1" a="1"/>
  <c r="M127" i="2" s="1"/>
  <c r="L182" i="2"/>
  <c r="L194" i="2"/>
  <c r="M194" i="2" s="1" a="1"/>
  <c r="M194" i="2" s="1"/>
  <c r="L237" i="2"/>
  <c r="M237" i="2" s="1" a="1"/>
  <c r="M237" i="2" s="1"/>
  <c r="L240" i="2"/>
  <c r="L280" i="2"/>
  <c r="M280" i="2" s="1" a="1"/>
  <c r="M280" i="2" s="1"/>
  <c r="L310" i="2"/>
  <c r="M310" i="2" s="1" a="1"/>
  <c r="M310" i="2" s="1"/>
  <c r="M8" i="2" a="1"/>
  <c r="M8" i="2" s="1"/>
  <c r="L101" i="2"/>
  <c r="M101" i="2" s="1" a="1"/>
  <c r="M101" i="2" s="1"/>
  <c r="L189" i="2"/>
  <c r="M189" i="2" s="1" a="1"/>
  <c r="M189" i="2" s="1"/>
  <c r="L223" i="2"/>
  <c r="M223" i="2" s="1" a="1"/>
  <c r="M223" i="2" s="1"/>
  <c r="L80" i="2"/>
  <c r="M80" i="2" s="1" a="1"/>
  <c r="M80" i="2" s="1"/>
  <c r="L91" i="2"/>
  <c r="M91" i="2" s="1" a="1"/>
  <c r="M91" i="2" s="1"/>
  <c r="L114" i="2"/>
  <c r="M114" i="2" s="1" a="1"/>
  <c r="M114" i="2" s="1"/>
  <c r="L174" i="2"/>
  <c r="M174" i="2" s="1" a="1"/>
  <c r="M174" i="2" s="1"/>
  <c r="L191" i="2"/>
  <c r="L195" i="2"/>
  <c r="M195" i="2" s="1" a="1"/>
  <c r="M195" i="2" s="1"/>
  <c r="L221" i="2"/>
  <c r="M221" i="2" s="1" a="1"/>
  <c r="M221" i="2" s="1"/>
  <c r="L231" i="2"/>
  <c r="M231" i="2" s="1" a="1"/>
  <c r="M231" i="2" s="1"/>
  <c r="L329" i="2"/>
  <c r="M329" i="2" s="1" a="1"/>
  <c r="M329" i="2" s="1"/>
  <c r="L121" i="2"/>
  <c r="L166" i="2"/>
  <c r="M166" i="2" s="1" a="1"/>
  <c r="M166" i="2" s="1"/>
  <c r="L242" i="2"/>
  <c r="M242" i="2" s="1" a="1"/>
  <c r="M242" i="2" s="1"/>
  <c r="L264" i="2"/>
  <c r="M264" i="2" s="1" a="1"/>
  <c r="M264" i="2" s="1"/>
  <c r="L271" i="2"/>
  <c r="M271" i="2" s="1" a="1"/>
  <c r="M271" i="2" s="1"/>
  <c r="L333" i="2"/>
  <c r="M333" i="2" s="1" a="1"/>
  <c r="M333" i="2" s="1"/>
  <c r="L228" i="2"/>
  <c r="M228" i="2" s="1" a="1"/>
  <c r="M228" i="2" s="1"/>
  <c r="L331" i="2"/>
  <c r="M331" i="2" s="1" a="1"/>
  <c r="M331" i="2" s="1"/>
  <c r="M112" i="2" a="1"/>
  <c r="M112" i="2" s="1"/>
  <c r="M182" i="2" a="1"/>
  <c r="M182" i="2" s="1"/>
  <c r="M186" i="2" a="1"/>
  <c r="M186" i="2" s="1"/>
  <c r="M122" i="2" a="1"/>
  <c r="M122" i="2" s="1"/>
  <c r="M6" i="2" a="1"/>
  <c r="M6" i="2" s="1"/>
  <c r="M126" i="2" a="1"/>
  <c r="M126" i="2" s="1"/>
  <c r="M26" i="2" a="1"/>
  <c r="M26" i="2" s="1"/>
  <c r="M7" i="2" a="1"/>
  <c r="M7" i="2" s="1"/>
  <c r="M9" i="2" a="1"/>
  <c r="M9" i="2" s="1"/>
  <c r="M125" i="2" a="1"/>
  <c r="M125" i="2" s="1"/>
  <c r="L129" i="2"/>
  <c r="M129" i="2" s="1" a="1"/>
  <c r="M129" i="2" s="1"/>
  <c r="L130" i="2"/>
  <c r="M130" i="2" s="1" a="1"/>
  <c r="M130" i="2" s="1"/>
  <c r="L167" i="2"/>
  <c r="L262" i="2"/>
  <c r="M262" i="2" s="1" a="1"/>
  <c r="M262" i="2" s="1"/>
  <c r="L109" i="2"/>
  <c r="M109" i="2" s="1" a="1"/>
  <c r="M109" i="2" s="1"/>
  <c r="L108" i="2"/>
  <c r="M108" i="2" s="1" a="1"/>
  <c r="M108" i="2" s="1"/>
  <c r="M10" i="2" a="1"/>
  <c r="M10" i="2" s="1"/>
  <c r="L27" i="2"/>
  <c r="M27" i="2" s="1" a="1"/>
  <c r="M27" i="2" s="1"/>
  <c r="L79" i="2"/>
  <c r="M79" i="2" s="1" a="1"/>
  <c r="M79" i="2" s="1"/>
  <c r="L18" i="2"/>
  <c r="M18" i="2" s="1" a="1"/>
  <c r="M18" i="2" s="1"/>
  <c r="L85" i="2"/>
  <c r="M85" i="2" s="1" a="1"/>
  <c r="M85" i="2" s="1"/>
  <c r="L102" i="2"/>
  <c r="M102" i="2" s="1" a="1"/>
  <c r="M102" i="2" s="1"/>
  <c r="L117" i="2"/>
  <c r="M117" i="2" s="1" a="1"/>
  <c r="M117" i="2" s="1"/>
  <c r="L116" i="2"/>
  <c r="M116" i="2" s="1" a="1"/>
  <c r="M116" i="2" s="1"/>
  <c r="L120" i="2"/>
  <c r="M120" i="2" s="1" a="1"/>
  <c r="M120" i="2" s="1"/>
  <c r="L248" i="2"/>
  <c r="M248" i="2" s="1" a="1"/>
  <c r="M248" i="2" s="1"/>
  <c r="L309" i="2"/>
  <c r="M309" i="2" s="1" a="1"/>
  <c r="M309" i="2" s="1"/>
  <c r="M12" i="2" a="1"/>
  <c r="M12" i="2" s="1"/>
  <c r="M30" i="2" a="1"/>
  <c r="M30" i="2" s="1"/>
  <c r="L32" i="2"/>
  <c r="M32" i="2" s="1" a="1"/>
  <c r="M32" i="2" s="1"/>
  <c r="L90" i="2"/>
  <c r="M90" i="2" s="1" a="1"/>
  <c r="M90" i="2" s="1"/>
  <c r="L145" i="2"/>
  <c r="M145" i="2" s="1" a="1"/>
  <c r="M145" i="2" s="1"/>
  <c r="M188" i="2" a="1"/>
  <c r="M188" i="2" s="1"/>
  <c r="L219" i="2"/>
  <c r="M219" i="2" s="1" a="1"/>
  <c r="M219" i="2" s="1"/>
  <c r="M225" i="2" a="1"/>
  <c r="M225" i="2" s="1"/>
  <c r="L238" i="2"/>
  <c r="M238" i="2" s="1" a="1"/>
  <c r="M238" i="2" s="1"/>
  <c r="L278" i="2"/>
  <c r="M278" i="2" s="1" a="1"/>
  <c r="M278" i="2" s="1"/>
  <c r="L292" i="2"/>
  <c r="M292" i="2" s="1" a="1"/>
  <c r="M292" i="2" s="1"/>
  <c r="L330" i="2"/>
  <c r="M330" i="2" s="1" a="1"/>
  <c r="M330" i="2" s="1"/>
  <c r="M86" i="2" a="1"/>
  <c r="M86" i="2" s="1"/>
  <c r="L93" i="2"/>
  <c r="M93" i="2" s="1" a="1"/>
  <c r="M93" i="2" s="1"/>
  <c r="M95" i="2" a="1"/>
  <c r="M95" i="2" s="1"/>
  <c r="M99" i="2" a="1"/>
  <c r="M99" i="2" s="1"/>
  <c r="L111" i="2"/>
  <c r="M111" i="2" s="1" a="1"/>
  <c r="M111" i="2" s="1"/>
  <c r="L119" i="2"/>
  <c r="M119" i="2" s="1" a="1"/>
  <c r="M119" i="2" s="1"/>
  <c r="L134" i="2"/>
  <c r="M134" i="2" s="1" a="1"/>
  <c r="M134" i="2" s="1"/>
  <c r="M224" i="2" a="1"/>
  <c r="M224" i="2" s="1"/>
  <c r="L243" i="2"/>
  <c r="M243" i="2" s="1" a="1"/>
  <c r="M243" i="2" s="1"/>
  <c r="L265" i="2"/>
  <c r="M265" i="2" s="1" a="1"/>
  <c r="M265" i="2" s="1"/>
  <c r="L272" i="2"/>
  <c r="M272" i="2" s="1" a="1"/>
  <c r="M272" i="2" s="1"/>
  <c r="L332" i="2"/>
  <c r="M332" i="2" s="1" a="1"/>
  <c r="M332" i="2" s="1"/>
  <c r="L336" i="2"/>
  <c r="M336" i="2" s="1" a="1"/>
  <c r="M336" i="2" s="1"/>
  <c r="M341" i="2" a="1"/>
  <c r="M341" i="2" s="1"/>
  <c r="L345" i="2"/>
  <c r="M345" i="2" s="1" a="1"/>
  <c r="M345" i="2" s="1"/>
  <c r="M11" i="2" a="1"/>
  <c r="M11" i="2" s="1"/>
  <c r="M13" i="2" a="1"/>
  <c r="M13" i="2" s="1"/>
  <c r="L15" i="2"/>
  <c r="M15" i="2" s="1" a="1"/>
  <c r="M15" i="2" s="1"/>
  <c r="L22" i="2"/>
  <c r="M22" i="2" s="1" a="1"/>
  <c r="M22" i="2" s="1"/>
  <c r="L25" i="2"/>
  <c r="M25" i="2" s="1" a="1"/>
  <c r="M25" i="2" s="1"/>
  <c r="L29" i="2"/>
  <c r="M29" i="2" s="1" a="1"/>
  <c r="M29" i="2" s="1"/>
  <c r="M113" i="2" a="1"/>
  <c r="M113" i="2" s="1"/>
  <c r="M121" i="2" a="1"/>
  <c r="M121" i="2" s="1"/>
  <c r="L153" i="2"/>
  <c r="M153" i="2" s="1" a="1"/>
  <c r="M153" i="2" s="1"/>
  <c r="L170" i="2"/>
  <c r="M170" i="2" s="1" a="1"/>
  <c r="M170" i="2" s="1"/>
  <c r="L215" i="2"/>
  <c r="M215" i="2" s="1" a="1"/>
  <c r="M215" i="2" s="1"/>
  <c r="L247" i="2"/>
  <c r="M247" i="2" s="1" a="1"/>
  <c r="M247" i="2" s="1"/>
  <c r="L270" i="2"/>
  <c r="M270" i="2" s="1" a="1"/>
  <c r="M270" i="2" s="1"/>
  <c r="L279" i="2"/>
  <c r="M279" i="2" s="1" a="1"/>
  <c r="M279" i="2" s="1"/>
  <c r="L287" i="2"/>
  <c r="M287" i="2" s="1" a="1"/>
  <c r="M287" i="2" s="1"/>
  <c r="L103" i="2"/>
  <c r="M103" i="2" s="1" a="1"/>
  <c r="M103" i="2" s="1"/>
  <c r="L106" i="2"/>
  <c r="M106" i="2" s="1" a="1"/>
  <c r="M106" i="2" s="1"/>
  <c r="L115" i="2"/>
  <c r="M115" i="2" s="1" a="1"/>
  <c r="M115" i="2" s="1"/>
  <c r="M131" i="2" a="1"/>
  <c r="M131" i="2" s="1"/>
  <c r="L135" i="2"/>
  <c r="M135" i="2" s="1" a="1"/>
  <c r="M135" i="2" s="1"/>
  <c r="L149" i="2"/>
  <c r="M149" i="2" s="1" a="1"/>
  <c r="M149" i="2" s="1"/>
  <c r="L168" i="2"/>
  <c r="M168" i="2" s="1" a="1"/>
  <c r="M168" i="2" s="1"/>
  <c r="L173" i="2"/>
  <c r="M173" i="2" s="1" a="1"/>
  <c r="M173" i="2" s="1"/>
  <c r="L190" i="2"/>
  <c r="M190" i="2" s="1" a="1"/>
  <c r="M190" i="2" s="1"/>
  <c r="L230" i="2"/>
  <c r="M230" i="2" s="1" a="1"/>
  <c r="M230" i="2" s="1"/>
  <c r="L273" i="2"/>
  <c r="M273" i="2" s="1" a="1"/>
  <c r="M273" i="2" s="1"/>
  <c r="M291" i="2" a="1"/>
  <c r="M291" i="2" s="1"/>
  <c r="M337" i="2" a="1"/>
  <c r="M337" i="2" s="1"/>
  <c r="L23" i="2"/>
  <c r="M23" i="2" s="1" a="1"/>
  <c r="M23" i="2" s="1"/>
  <c r="M100" i="2" a="1"/>
  <c r="M100" i="2" s="1"/>
  <c r="L110" i="2"/>
  <c r="M110" i="2" s="1" a="1"/>
  <c r="M110" i="2" s="1"/>
  <c r="L118" i="2"/>
  <c r="M118" i="2" s="1" a="1"/>
  <c r="M118" i="2" s="1"/>
  <c r="L123" i="2"/>
  <c r="M123" i="2" s="1" a="1"/>
  <c r="M123" i="2" s="1"/>
  <c r="L124" i="2"/>
  <c r="M124" i="2" s="1" a="1"/>
  <c r="M124" i="2" s="1"/>
  <c r="L14" i="2"/>
  <c r="M14" i="2" s="1" a="1"/>
  <c r="M14" i="2" s="1"/>
  <c r="L19" i="2"/>
  <c r="M19" i="2" s="1" a="1"/>
  <c r="M19" i="2" s="1"/>
  <c r="L24" i="2"/>
  <c r="M24" i="2" s="1" a="1"/>
  <c r="M24" i="2" s="1"/>
  <c r="L28" i="2"/>
  <c r="M28" i="2" s="1" a="1"/>
  <c r="M28" i="2" s="1"/>
  <c r="L97" i="2"/>
  <c r="M97" i="2" s="1" a="1"/>
  <c r="M97" i="2" s="1"/>
  <c r="L98" i="2"/>
  <c r="M98" i="2" s="1" a="1"/>
  <c r="M98" i="2" s="1"/>
  <c r="L76" i="2"/>
  <c r="M76" i="2" s="1" a="1"/>
  <c r="M76" i="2" s="1"/>
  <c r="L84" i="2"/>
  <c r="M84" i="2" s="1" a="1"/>
  <c r="M84" i="2" s="1"/>
  <c r="L87" i="2"/>
  <c r="M87" i="2" s="1" a="1"/>
  <c r="M87" i="2" s="1"/>
  <c r="L88" i="2"/>
  <c r="M88" i="2" s="1" a="1"/>
  <c r="M88" i="2" s="1"/>
  <c r="L94" i="2"/>
  <c r="M94" i="2" s="1" a="1"/>
  <c r="M94" i="2" s="1"/>
  <c r="L104" i="2"/>
  <c r="M104" i="2" s="1" a="1"/>
  <c r="M104" i="2" s="1"/>
  <c r="M128" i="2" a="1"/>
  <c r="M128" i="2" s="1"/>
  <c r="M132" i="2" a="1"/>
  <c r="M132" i="2" s="1"/>
  <c r="L136" i="2"/>
  <c r="M136" i="2" s="1" a="1"/>
  <c r="M136" i="2" s="1"/>
  <c r="L148" i="2"/>
  <c r="M148" i="2" s="1" a="1"/>
  <c r="M148" i="2" s="1"/>
  <c r="L152" i="2"/>
  <c r="M152" i="2" s="1" a="1"/>
  <c r="M152" i="2" s="1"/>
  <c r="M184" i="2" a="1"/>
  <c r="M184" i="2" s="1"/>
  <c r="L227" i="2"/>
  <c r="M227" i="2" s="1" a="1"/>
  <c r="M227" i="2" s="1"/>
  <c r="L226" i="2"/>
  <c r="M226" i="2" s="1" a="1"/>
  <c r="M226" i="2" s="1"/>
  <c r="L235" i="2"/>
  <c r="M235" i="2" s="1" a="1"/>
  <c r="M235" i="2" s="1"/>
  <c r="L234" i="2"/>
  <c r="M234" i="2" s="1" a="1"/>
  <c r="M234" i="2" s="1"/>
  <c r="L171" i="2"/>
  <c r="M171" i="2" s="1" a="1"/>
  <c r="M171" i="2" s="1"/>
  <c r="M187" i="2" a="1"/>
  <c r="M187" i="2" s="1"/>
  <c r="L218" i="2"/>
  <c r="M218" i="2" s="1" a="1"/>
  <c r="M218" i="2" s="1"/>
  <c r="L217" i="2"/>
  <c r="M217" i="2" s="1" a="1"/>
  <c r="M217" i="2" s="1"/>
  <c r="L133" i="2"/>
  <c r="M133" i="2" s="1" a="1"/>
  <c r="M133" i="2" s="1"/>
  <c r="M147" i="2" a="1"/>
  <c r="M147" i="2" s="1"/>
  <c r="M151" i="2" a="1"/>
  <c r="M151" i="2" s="1"/>
  <c r="M167" i="2" a="1"/>
  <c r="M167" i="2" s="1"/>
  <c r="L175" i="2"/>
  <c r="M175" i="2" s="1" a="1"/>
  <c r="M175" i="2" s="1"/>
  <c r="L177" i="2"/>
  <c r="M177" i="2" s="1" a="1"/>
  <c r="M177" i="2" s="1"/>
  <c r="L183" i="2"/>
  <c r="M183" i="2" s="1" a="1"/>
  <c r="M183" i="2" s="1"/>
  <c r="L185" i="2"/>
  <c r="M185" i="2" s="1" a="1"/>
  <c r="M185" i="2" s="1"/>
  <c r="P227" i="2"/>
  <c r="O227" i="2"/>
  <c r="P232" i="2"/>
  <c r="O232" i="2"/>
  <c r="L233" i="2"/>
  <c r="M233" i="2" s="1" a="1"/>
  <c r="M233" i="2" s="1"/>
  <c r="P191" i="2"/>
  <c r="O191" i="2"/>
  <c r="L192" i="2"/>
  <c r="M192" i="2" s="1" a="1"/>
  <c r="M192" i="2" s="1"/>
  <c r="P215" i="2"/>
  <c r="O215" i="2"/>
  <c r="L216" i="2"/>
  <c r="M216" i="2" s="1" a="1"/>
  <c r="M216" i="2" s="1"/>
  <c r="M232" i="2" a="1"/>
  <c r="M232" i="2" s="1"/>
  <c r="P235" i="2"/>
  <c r="O235" i="2"/>
  <c r="L236" i="2"/>
  <c r="M236" i="2" s="1" a="1"/>
  <c r="M236" i="2" s="1"/>
  <c r="P240" i="2"/>
  <c r="O240" i="2"/>
  <c r="N240" i="2"/>
  <c r="M246" i="2" a="1"/>
  <c r="M246" i="2" s="1"/>
  <c r="L294" i="2"/>
  <c r="M294" i="2" s="1" a="1"/>
  <c r="M294" i="2" s="1"/>
  <c r="L293" i="2"/>
  <c r="M293" i="2" s="1" a="1"/>
  <c r="M293" i="2" s="1"/>
  <c r="O189" i="2"/>
  <c r="M191" i="2" a="1"/>
  <c r="M191" i="2" s="1"/>
  <c r="O230" i="2"/>
  <c r="N230" i="2"/>
  <c r="P230" i="2"/>
  <c r="M240" i="2" a="1"/>
  <c r="M240" i="2" s="1"/>
  <c r="L241" i="2"/>
  <c r="M241" i="2" s="1" a="1"/>
  <c r="M241" i="2" s="1"/>
  <c r="L245" i="2"/>
  <c r="M245" i="2" s="1" a="1"/>
  <c r="M245" i="2" s="1"/>
  <c r="L244" i="2"/>
  <c r="M244" i="2" s="1" a="1"/>
  <c r="M244" i="2" s="1"/>
  <c r="P189" i="2"/>
  <c r="L193" i="2"/>
  <c r="M193" i="2" s="1" a="1"/>
  <c r="M193" i="2" s="1"/>
  <c r="P221" i="2"/>
  <c r="O221" i="2"/>
  <c r="L222" i="2"/>
  <c r="M222" i="2" s="1" a="1"/>
  <c r="M222" i="2" s="1"/>
  <c r="N227" i="2"/>
  <c r="N232" i="2"/>
  <c r="L239" i="2"/>
  <c r="M239" i="2" s="1" a="1"/>
  <c r="M239" i="2" s="1"/>
  <c r="O265" i="2"/>
  <c r="P287" i="2"/>
  <c r="O287" i="2"/>
  <c r="L288" i="2"/>
  <c r="M288" i="2" s="1" a="1"/>
  <c r="M288" i="2" s="1"/>
  <c r="O290" i="2"/>
  <c r="N290" i="2"/>
  <c r="P290" i="2"/>
  <c r="N238" i="2"/>
  <c r="N247" i="2"/>
  <c r="P265" i="2"/>
  <c r="L286" i="2"/>
  <c r="M286" i="2" s="1" a="1"/>
  <c r="M286" i="2" s="1"/>
  <c r="L290" i="2"/>
  <c r="M290" i="2" s="1" a="1"/>
  <c r="M290" i="2" s="1"/>
  <c r="O292" i="2"/>
  <c r="N292" i="2"/>
  <c r="P292" i="2"/>
  <c r="M335" i="2" a="1"/>
  <c r="M335" i="2" s="1"/>
  <c r="L268" i="2"/>
  <c r="M268" i="2" s="1" a="1"/>
  <c r="M268" i="2" s="1"/>
  <c r="L328" i="2"/>
  <c r="M328" i="2" s="1" a="1"/>
  <c r="M328" i="2" s="1"/>
  <c r="L343" i="2"/>
  <c r="M343" i="2" s="1" a="1"/>
  <c r="M343" i="2" s="1"/>
  <c r="P294" i="2"/>
  <c r="O294" i="2"/>
  <c r="M344" i="2" a="1"/>
  <c r="M344" i="2" s="1"/>
  <c r="N329" i="2"/>
  <c r="O335" i="2"/>
  <c r="N342" i="2"/>
  <c r="P343" i="2"/>
  <c r="O329" i="2"/>
  <c r="O342" i="2"/>
  <c r="N45" i="1" l="1"/>
  <c r="N35" i="1"/>
  <c r="AG11" i="1"/>
  <c r="AG12" i="1" s="1"/>
  <c r="AG13" i="1" s="1"/>
  <c r="AG14" i="1" s="1"/>
  <c r="AG15" i="1" s="1"/>
  <c r="AG16" i="1" s="1"/>
  <c r="AG17" i="1" s="1"/>
  <c r="AG18" i="1" s="1"/>
  <c r="AG19" i="1" s="1"/>
  <c r="AG20" i="1" s="1"/>
  <c r="AG21" i="1" s="1"/>
  <c r="AG22" i="1" s="1"/>
  <c r="AG23" i="1" s="1"/>
  <c r="AG24" i="1" s="1"/>
  <c r="AG25" i="1" s="1"/>
  <c r="AG26" i="1" s="1"/>
  <c r="AG27" i="1" s="1"/>
  <c r="AG28" i="1" s="1"/>
  <c r="AG29" i="1" s="1"/>
  <c r="AG30" i="1" s="1"/>
  <c r="AG31" i="1" s="1"/>
  <c r="AG32" i="1" s="1"/>
  <c r="AG33" i="1" s="1"/>
  <c r="AG34" i="1" s="1"/>
  <c r="AG35" i="1" s="1"/>
  <c r="AG36" i="1" s="1"/>
  <c r="AG37" i="1" s="1"/>
  <c r="AG38" i="1" s="1"/>
  <c r="AG39" i="1" s="1"/>
  <c r="AG40" i="1" s="1"/>
  <c r="AG41" i="1" s="1"/>
  <c r="AD11" i="1"/>
  <c r="AD12" i="1" s="1"/>
  <c r="AD13" i="1" s="1"/>
  <c r="AA11" i="1"/>
  <c r="AA12" i="1" s="1"/>
  <c r="AA13" i="1" s="1"/>
  <c r="AA14" i="1" s="1"/>
  <c r="AA15" i="1" s="1"/>
  <c r="AA16" i="1" s="1"/>
  <c r="AA17" i="1" s="1"/>
  <c r="AA18" i="1" s="1"/>
  <c r="AA19" i="1" s="1"/>
  <c r="AA20" i="1" s="1"/>
  <c r="AA21" i="1" s="1"/>
  <c r="AA22" i="1" s="1"/>
  <c r="AA23" i="1" s="1"/>
  <c r="AA24" i="1" s="1"/>
  <c r="AA25" i="1" s="1"/>
  <c r="AA26" i="1" s="1"/>
  <c r="AA27" i="1" s="1"/>
  <c r="AA28" i="1" s="1"/>
  <c r="AA29" i="1" s="1"/>
  <c r="AA30" i="1" s="1"/>
  <c r="AA31" i="1" s="1"/>
  <c r="AA32" i="1" s="1"/>
  <c r="AA33" i="1" s="1"/>
  <c r="AA34" i="1" s="1"/>
  <c r="AA35" i="1" s="1"/>
  <c r="AA36" i="1" s="1"/>
  <c r="AA37" i="1" s="1"/>
  <c r="AA38" i="1" s="1"/>
  <c r="AA39" i="1" s="1"/>
  <c r="AA40" i="1" s="1"/>
  <c r="AA41" i="1" s="1"/>
  <c r="X11" i="1"/>
  <c r="X12" i="1" s="1"/>
  <c r="X13" i="1" s="1"/>
  <c r="X14" i="1" s="1"/>
  <c r="X15" i="1" s="1"/>
  <c r="X16" i="1" s="1"/>
  <c r="X17" i="1" s="1"/>
  <c r="X18" i="1" s="1"/>
  <c r="X19" i="1" s="1"/>
  <c r="X20" i="1" s="1"/>
  <c r="X21" i="1" s="1"/>
  <c r="X22" i="1" s="1"/>
  <c r="X23" i="1" s="1"/>
  <c r="X24" i="1" s="1"/>
  <c r="X25" i="1" s="1"/>
  <c r="X26" i="1" s="1"/>
  <c r="X27" i="1" s="1"/>
  <c r="X28" i="1" s="1"/>
  <c r="X29" i="1" s="1"/>
  <c r="X30" i="1" s="1"/>
  <c r="X31" i="1" s="1"/>
  <c r="X32" i="1" s="1"/>
  <c r="X33" i="1" s="1"/>
  <c r="X34" i="1" s="1"/>
  <c r="X35" i="1" s="1"/>
  <c r="X36" i="1" s="1"/>
  <c r="X37" i="1" s="1"/>
  <c r="X38" i="1" s="1"/>
  <c r="X39" i="1" s="1"/>
  <c r="X40" i="1" s="1"/>
  <c r="X41" i="1" s="1"/>
  <c r="U11" i="1"/>
  <c r="U12" i="1" s="1"/>
  <c r="U13" i="1" s="1"/>
  <c r="U14" i="1" s="1"/>
  <c r="U15" i="1" s="1"/>
  <c r="U16" i="1" s="1"/>
  <c r="U17" i="1" s="1"/>
  <c r="U18" i="1" s="1"/>
  <c r="U19" i="1" s="1"/>
  <c r="U20" i="1" s="1"/>
  <c r="U21" i="1" s="1"/>
  <c r="U22" i="1" s="1"/>
  <c r="U23" i="1" s="1"/>
  <c r="U24" i="1" s="1"/>
  <c r="U25" i="1" s="1"/>
  <c r="U26" i="1" s="1"/>
  <c r="U27" i="1" s="1"/>
  <c r="U28" i="1" s="1"/>
  <c r="U29" i="1" s="1"/>
  <c r="U30" i="1" s="1"/>
  <c r="U31" i="1" s="1"/>
  <c r="U32" i="1" s="1"/>
  <c r="U33" i="1" s="1"/>
  <c r="U34" i="1" s="1"/>
  <c r="U35" i="1" s="1"/>
  <c r="U36" i="1" s="1"/>
  <c r="U37" i="1" s="1"/>
  <c r="U38" i="1" s="1"/>
  <c r="U39" i="1" s="1"/>
  <c r="U40" i="1" s="1"/>
  <c r="U41" i="1" s="1"/>
  <c r="R11" i="1"/>
  <c r="R12" i="1" s="1"/>
  <c r="R13" i="1" s="1"/>
  <c r="O11" i="1"/>
  <c r="M11" i="1"/>
  <c r="M10" i="1"/>
  <c r="M12" i="1" s="1"/>
  <c r="AH4" i="1"/>
  <c r="AE4" i="1"/>
  <c r="AB4" i="1"/>
  <c r="Y4" i="1"/>
  <c r="V4" i="1"/>
  <c r="S4" i="1"/>
  <c r="P4" i="1"/>
  <c r="AH3" i="1"/>
  <c r="AE3" i="1"/>
  <c r="AB3" i="1"/>
  <c r="Y3" i="1"/>
  <c r="V3" i="1"/>
  <c r="S3" i="1"/>
  <c r="P3" i="1"/>
  <c r="AH2" i="1"/>
  <c r="AE2" i="1"/>
  <c r="AB2" i="1"/>
  <c r="Y2" i="1"/>
  <c r="V2" i="1"/>
  <c r="S2" i="1"/>
  <c r="P2" i="1"/>
  <c r="AH11" i="1" l="1"/>
  <c r="AH15" i="1"/>
  <c r="AH19" i="1"/>
  <c r="AH23" i="1"/>
  <c r="AH27" i="1"/>
  <c r="AH31" i="1"/>
  <c r="AH35" i="1"/>
  <c r="AH39" i="1"/>
  <c r="AH12" i="1"/>
  <c r="AH16" i="1"/>
  <c r="AH20" i="1"/>
  <c r="AH24" i="1"/>
  <c r="AH28" i="1"/>
  <c r="AH32" i="1"/>
  <c r="AH36" i="1"/>
  <c r="AH40" i="1"/>
  <c r="AH13" i="1"/>
  <c r="AH17" i="1"/>
  <c r="AH21" i="1"/>
  <c r="AH25" i="1"/>
  <c r="AH29" i="1"/>
  <c r="AH33" i="1"/>
  <c r="AH37" i="1"/>
  <c r="AH41" i="1"/>
  <c r="AH14" i="1"/>
  <c r="AH18" i="1"/>
  <c r="AH22" i="1"/>
  <c r="AH26" i="1"/>
  <c r="AH30" i="1"/>
  <c r="AH34" i="1"/>
  <c r="AH38" i="1"/>
  <c r="AH10" i="1"/>
  <c r="AB12" i="1"/>
  <c r="Y14" i="1"/>
  <c r="AD14" i="1"/>
  <c r="AD15" i="1" s="1"/>
  <c r="AD16" i="1" s="1"/>
  <c r="AD17" i="1" s="1"/>
  <c r="AD18" i="1" s="1"/>
  <c r="AD19" i="1" s="1"/>
  <c r="AD20" i="1" s="1"/>
  <c r="AD21" i="1" s="1"/>
  <c r="AE13" i="1"/>
  <c r="R14" i="1"/>
  <c r="R15" i="1" s="1"/>
  <c r="R16" i="1" s="1"/>
  <c r="R17" i="1" s="1"/>
  <c r="R18" i="1" s="1"/>
  <c r="R19" i="1" s="1"/>
  <c r="R20" i="1" s="1"/>
  <c r="R21" i="1" s="1"/>
  <c r="R22" i="1" s="1"/>
  <c r="R23" i="1" s="1"/>
  <c r="R24" i="1" s="1"/>
  <c r="R25" i="1" s="1"/>
  <c r="R26" i="1" s="1"/>
  <c r="R27" i="1" s="1"/>
  <c r="R28" i="1" s="1"/>
  <c r="R29" i="1" s="1"/>
  <c r="R30" i="1" s="1"/>
  <c r="R31" i="1" s="1"/>
  <c r="R32" i="1" s="1"/>
  <c r="R33" i="1" s="1"/>
  <c r="R34" i="1" s="1"/>
  <c r="R35" i="1" s="1"/>
  <c r="R36" i="1" s="1"/>
  <c r="R37" i="1" s="1"/>
  <c r="R38" i="1" s="1"/>
  <c r="R39" i="1" s="1"/>
  <c r="R40" i="1" s="1"/>
  <c r="R41" i="1" s="1"/>
  <c r="S41" i="1" s="1"/>
  <c r="S13" i="1"/>
  <c r="AB20" i="1"/>
  <c r="V41" i="1"/>
  <c r="V40" i="1"/>
  <c r="V32" i="1"/>
  <c r="V37" i="1"/>
  <c r="V35" i="1"/>
  <c r="V33" i="1"/>
  <c r="V38" i="1"/>
  <c r="V34" i="1"/>
  <c r="V30" i="1"/>
  <c r="V27" i="1"/>
  <c r="V25" i="1"/>
  <c r="V23" i="1"/>
  <c r="V21" i="1"/>
  <c r="V19" i="1"/>
  <c r="V24" i="1"/>
  <c r="V17" i="1"/>
  <c r="V13" i="1"/>
  <c r="V22" i="1"/>
  <c r="V14" i="1"/>
  <c r="V36" i="1"/>
  <c r="V31" i="1"/>
  <c r="V28" i="1"/>
  <c r="V20" i="1"/>
  <c r="V18" i="1"/>
  <c r="V15" i="1"/>
  <c r="V39" i="1"/>
  <c r="V29" i="1"/>
  <c r="V26" i="1"/>
  <c r="AH7" i="1" a="1"/>
  <c r="AH7" i="1" s="1"/>
  <c r="AN16" i="1" s="1"/>
  <c r="AB7" i="1" a="1"/>
  <c r="AB7" i="1" s="1"/>
  <c r="V7" i="1" a="1"/>
  <c r="V7" i="1" s="1"/>
  <c r="P7" i="1" a="1"/>
  <c r="P7" i="1" s="1"/>
  <c r="V11" i="1"/>
  <c r="V12" i="1"/>
  <c r="V10" i="1"/>
  <c r="P11" i="1"/>
  <c r="P10" i="1"/>
  <c r="S7" i="1" a="1"/>
  <c r="S7" i="1" s="1"/>
  <c r="Y38" i="1"/>
  <c r="Y34" i="1"/>
  <c r="Y30" i="1"/>
  <c r="Y39" i="1"/>
  <c r="Y36" i="1"/>
  <c r="Y31" i="1"/>
  <c r="Y41" i="1"/>
  <c r="Y40" i="1"/>
  <c r="Y32" i="1"/>
  <c r="Y28" i="1"/>
  <c r="Y26" i="1"/>
  <c r="Y24" i="1"/>
  <c r="Y22" i="1"/>
  <c r="Y20" i="1"/>
  <c r="Y25" i="1"/>
  <c r="Y18" i="1"/>
  <c r="Y15" i="1"/>
  <c r="Y35" i="1"/>
  <c r="Y29" i="1"/>
  <c r="Y23" i="1"/>
  <c r="Y16" i="1"/>
  <c r="Y12" i="1"/>
  <c r="Y11" i="1"/>
  <c r="Y37" i="1"/>
  <c r="Y33" i="1"/>
  <c r="Y21" i="1"/>
  <c r="Y17" i="1"/>
  <c r="Y27" i="1"/>
  <c r="AB41" i="1"/>
  <c r="AB40" i="1"/>
  <c r="AB32" i="1"/>
  <c r="AB37" i="1"/>
  <c r="AB35" i="1"/>
  <c r="AB33" i="1"/>
  <c r="AB38" i="1"/>
  <c r="AB34" i="1"/>
  <c r="AB30" i="1"/>
  <c r="AB27" i="1"/>
  <c r="AB25" i="1"/>
  <c r="AB23" i="1"/>
  <c r="AB21" i="1"/>
  <c r="AB19" i="1"/>
  <c r="AB29" i="1"/>
  <c r="AB26" i="1"/>
  <c r="AB17" i="1"/>
  <c r="AB13" i="1"/>
  <c r="AB10" i="1"/>
  <c r="AB36" i="1"/>
  <c r="AB31" i="1"/>
  <c r="AB24" i="1"/>
  <c r="AB14" i="1"/>
  <c r="AB39" i="1"/>
  <c r="AB22" i="1"/>
  <c r="AB18" i="1"/>
  <c r="AB15" i="1"/>
  <c r="AB28" i="1"/>
  <c r="AE7" i="1" a="1"/>
  <c r="AE7" i="1" s="1"/>
  <c r="AN15" i="1" s="1"/>
  <c r="Y10" i="1"/>
  <c r="V16" i="1"/>
  <c r="Y19" i="1"/>
  <c r="Y7" i="1" a="1"/>
  <c r="Y7" i="1" s="1"/>
  <c r="AB11" i="1"/>
  <c r="Y13" i="1"/>
  <c r="AB16" i="1"/>
  <c r="S17" i="1"/>
  <c r="S19" i="1"/>
  <c r="S11" i="1"/>
  <c r="AE11" i="1"/>
  <c r="S12" i="1"/>
  <c r="AE12" i="1"/>
  <c r="S16" i="1"/>
  <c r="S40" i="1"/>
  <c r="S32" i="1"/>
  <c r="S24" i="1"/>
  <c r="S22" i="1"/>
  <c r="S20" i="1"/>
  <c r="S10" i="1"/>
  <c r="AE10" i="1"/>
  <c r="O12" i="1"/>
  <c r="P12" i="1" s="1"/>
  <c r="S15" i="1"/>
  <c r="S18" i="1"/>
  <c r="S23" i="1"/>
  <c r="S29" i="1"/>
  <c r="S36" i="1" l="1"/>
  <c r="S28" i="1"/>
  <c r="S39" i="1"/>
  <c r="S21" i="1"/>
  <c r="S26" i="1"/>
  <c r="S30" i="1"/>
  <c r="S35" i="1"/>
  <c r="S33" i="1"/>
  <c r="S31" i="1"/>
  <c r="S34" i="1"/>
  <c r="S27" i="1"/>
  <c r="S25" i="1"/>
  <c r="S38" i="1"/>
  <c r="AN14" i="1"/>
  <c r="AN13" i="1"/>
  <c r="AN12" i="1"/>
  <c r="AN11" i="1"/>
  <c r="AN10" i="1"/>
  <c r="AE16" i="1"/>
  <c r="AE15" i="1"/>
  <c r="S37" i="1"/>
  <c r="AE20" i="1"/>
  <c r="AE17" i="1"/>
  <c r="AE18" i="1"/>
  <c r="AE19" i="1"/>
  <c r="AE14" i="1"/>
  <c r="S14" i="1"/>
  <c r="O13" i="1"/>
  <c r="AD22" i="1"/>
  <c r="AE21" i="1"/>
  <c r="O14" i="1" l="1"/>
  <c r="P13" i="1"/>
  <c r="AD23" i="1"/>
  <c r="AE22" i="1"/>
  <c r="AD24" i="1" l="1"/>
  <c r="AE23" i="1"/>
  <c r="O15" i="1"/>
  <c r="P14" i="1"/>
  <c r="O16" i="1" l="1"/>
  <c r="P15" i="1"/>
  <c r="AD25" i="1"/>
  <c r="AE24" i="1"/>
  <c r="AD26" i="1" l="1"/>
  <c r="AE25" i="1"/>
  <c r="O17" i="1"/>
  <c r="P16" i="1"/>
  <c r="O18" i="1" l="1"/>
  <c r="P17" i="1"/>
  <c r="AD27" i="1"/>
  <c r="AE26" i="1"/>
  <c r="O19" i="1" l="1"/>
  <c r="P18" i="1"/>
  <c r="AD28" i="1"/>
  <c r="AE27" i="1"/>
  <c r="O20" i="1" l="1"/>
  <c r="P19" i="1"/>
  <c r="AD29" i="1"/>
  <c r="AE28" i="1"/>
  <c r="AD30" i="1" l="1"/>
  <c r="AE29" i="1"/>
  <c r="O21" i="1"/>
  <c r="P20" i="1"/>
  <c r="O22" i="1" l="1"/>
  <c r="P21" i="1"/>
  <c r="AD31" i="1"/>
  <c r="AE30" i="1"/>
  <c r="AD32" i="1" l="1"/>
  <c r="AE31" i="1"/>
  <c r="O23" i="1"/>
  <c r="P22" i="1"/>
  <c r="O24" i="1" l="1"/>
  <c r="P23" i="1"/>
  <c r="AD33" i="1"/>
  <c r="AE32" i="1"/>
  <c r="AD34" i="1" l="1"/>
  <c r="AE33" i="1"/>
  <c r="O25" i="1"/>
  <c r="P24" i="1"/>
  <c r="O26" i="1" l="1"/>
  <c r="P25" i="1"/>
  <c r="AD35" i="1"/>
  <c r="AE34" i="1"/>
  <c r="AD36" i="1" l="1"/>
  <c r="AE35" i="1"/>
  <c r="O27" i="1"/>
  <c r="P26" i="1"/>
  <c r="O28" i="1" l="1"/>
  <c r="P27" i="1"/>
  <c r="AD37" i="1"/>
  <c r="AE36" i="1"/>
  <c r="AD38" i="1" l="1"/>
  <c r="AE37" i="1"/>
  <c r="O29" i="1"/>
  <c r="P28" i="1"/>
  <c r="O30" i="1" l="1"/>
  <c r="P29" i="1"/>
  <c r="AD39" i="1"/>
  <c r="AE38" i="1"/>
  <c r="AD40" i="1" l="1"/>
  <c r="AE39" i="1"/>
  <c r="O31" i="1"/>
  <c r="P30" i="1"/>
  <c r="O32" i="1" l="1"/>
  <c r="P31" i="1"/>
  <c r="AD41" i="1"/>
  <c r="AE41" i="1" s="1"/>
  <c r="AE40" i="1"/>
  <c r="O33" i="1" l="1"/>
  <c r="P32" i="1"/>
  <c r="O34" i="1" l="1"/>
  <c r="P33" i="1"/>
  <c r="O35" i="1" l="1"/>
  <c r="P34" i="1"/>
  <c r="O36" i="1" l="1"/>
  <c r="P35" i="1"/>
  <c r="O37" i="1" l="1"/>
  <c r="P36" i="1"/>
  <c r="O38" i="1" l="1"/>
  <c r="P37" i="1"/>
  <c r="O39" i="1" l="1"/>
  <c r="P38" i="1"/>
  <c r="O40" i="1" l="1"/>
  <c r="P39" i="1"/>
  <c r="O41" i="1" l="1"/>
  <c r="M29" i="1" s="1"/>
  <c r="P40" i="1"/>
  <c r="P41" i="1" l="1"/>
  <c r="M30" i="1"/>
  <c r="M38" i="1" l="1"/>
  <c r="M39" i="1"/>
  <c r="M31" i="1"/>
  <c r="M32" i="1" s="1"/>
  <c r="M34" i="1" l="1"/>
  <c r="M33" i="1"/>
  <c r="M40" i="1"/>
  <c r="M35" i="1" a="1"/>
  <c r="M35" i="1" l="1"/>
  <c r="M42" i="1" a="1"/>
  <c r="M42" i="1" s="1"/>
  <c r="M41" i="1" a="1"/>
  <c r="M41" i="1" s="1"/>
  <c r="M43" i="1" s="1"/>
  <c r="M44" i="1" l="1"/>
  <c r="M45" i="1" a="1"/>
  <c r="M45" i="1" l="1"/>
  <c r="AO10" i="1"/>
  <c r="AQ10" i="1" s="1"/>
  <c r="AO16" i="1"/>
  <c r="AO15" i="1"/>
  <c r="AO14" i="1"/>
  <c r="AO13" i="1"/>
  <c r="AO12" i="1"/>
  <c r="AO11" i="1"/>
  <c r="AP10" i="1" l="1"/>
  <c r="AR10" i="1" s="1" a="1"/>
  <c r="AR10" i="1" s="1"/>
  <c r="AQ16" i="1"/>
  <c r="AP16" i="1"/>
  <c r="AR16" i="1" s="1" a="1"/>
  <c r="AR16" i="1" s="1"/>
  <c r="AQ15" i="1"/>
  <c r="AP15" i="1"/>
  <c r="AR15" i="1" s="1" a="1"/>
  <c r="AR15" i="1" s="1"/>
  <c r="AQ14" i="1"/>
  <c r="AP14" i="1"/>
  <c r="AR14" i="1" s="1" a="1"/>
  <c r="AR14" i="1" s="1"/>
  <c r="AQ13" i="1"/>
  <c r="AP13" i="1"/>
  <c r="AR13" i="1" s="1" a="1"/>
  <c r="AR13" i="1" s="1"/>
  <c r="AQ12" i="1"/>
  <c r="AP12" i="1"/>
  <c r="AR12" i="1" s="1" a="1"/>
  <c r="AR12" i="1" s="1"/>
  <c r="AQ11" i="1"/>
  <c r="AP11" i="1"/>
  <c r="AR11" i="1" s="1" a="1"/>
  <c r="AR11" i="1" s="1"/>
  <c r="AS12" i="1" l="1" a="1"/>
  <c r="AS12" i="1" s="1"/>
  <c r="AS14" i="1" a="1"/>
  <c r="AS14" i="1" s="1"/>
  <c r="AS16" i="1" a="1"/>
  <c r="AS16" i="1" s="1"/>
  <c r="AS11" i="1" a="1"/>
  <c r="AS11" i="1" s="1"/>
  <c r="AS13" i="1" a="1"/>
  <c r="AS13" i="1" s="1"/>
  <c r="AS15" i="1" a="1"/>
  <c r="AS15" i="1" s="1"/>
  <c r="AS10" i="1" a="1"/>
  <c r="AS10"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<sst xmlns="http://schemas.openxmlformats.org/spreadsheetml/2006/main" count="1221" uniqueCount="560">
  <si>
    <t>TestData.01Name</t>
  </si>
  <si>
    <t>TestData.02Name</t>
  </si>
  <si>
    <t>TestData.03Name</t>
  </si>
  <si>
    <t>TestData.04Name</t>
  </si>
  <si>
    <t>TestData.05Name</t>
  </si>
  <si>
    <t>TestData.06Name</t>
  </si>
  <si>
    <t>TestData.07Name</t>
  </si>
  <si>
    <t>TestData.01X</t>
  </si>
  <si>
    <t>TestData.01Y</t>
  </si>
  <si>
    <t>TestData.02X</t>
  </si>
  <si>
    <t>TestData.02Y</t>
  </si>
  <si>
    <t>TestData.03X</t>
  </si>
  <si>
    <t>TestData.03Y</t>
  </si>
  <si>
    <t>TestData.04X</t>
  </si>
  <si>
    <t>TestData.04Y</t>
  </si>
  <si>
    <t>TestData.05X</t>
  </si>
  <si>
    <t>TestData.05Y</t>
  </si>
  <si>
    <t>TestData.06X</t>
  </si>
  <si>
    <t>TestData.06Y</t>
  </si>
  <si>
    <t>TestData.07X</t>
  </si>
  <si>
    <t>TestData.07Y</t>
  </si>
  <si>
    <t>TestData_Labels.Label</t>
  </si>
  <si>
    <t>TestData_Labels.Left_X</t>
  </si>
  <si>
    <t>TestData_Labels.Right_X</t>
  </si>
  <si>
    <t>TestData_Labels.Left_Y</t>
  </si>
  <si>
    <t>TestData_Labels.Right_Y</t>
  </si>
  <si>
    <t>TestData.SeriesNameNumMin</t>
  </si>
  <si>
    <t>TestData.SeriesNameNumMax</t>
  </si>
  <si>
    <t>TestData.SeriesNameNumFirst</t>
  </si>
  <si>
    <t>TestData.Z_1</t>
  </si>
  <si>
    <t>TestData.Z_2</t>
  </si>
  <si>
    <t>TestData.SpeedX</t>
  </si>
  <si>
    <t>TestData.Y_0_a</t>
  </si>
  <si>
    <t>TestData.Y_1_a</t>
  </si>
  <si>
    <t>TestData.Y_2_a</t>
  </si>
  <si>
    <t>TestData.Y_0_b</t>
  </si>
  <si>
    <t>TestData.Y_1_b</t>
  </si>
  <si>
    <t>TestData.Y_2_b</t>
  </si>
  <si>
    <t>TestData.VerticalRandomisation</t>
  </si>
  <si>
    <t>↓ X axis scaling ↓</t>
  </si>
  <si>
    <t>TestData.RawMinX</t>
  </si>
  <si>
    <t>TestData.RawMaxX</t>
  </si>
  <si>
    <t>TestData.MajorX</t>
  </si>
  <si>
    <t>TestData.MinorX</t>
  </si>
  <si>
    <t>TestData.MinX</t>
  </si>
  <si>
    <t>TestData.MaxX</t>
  </si>
  <si>
    <t>↓ Y axis scaling ↓</t>
  </si>
  <si>
    <t>TestData.RawMinY</t>
  </si>
  <si>
    <t>TestData.RawMaxY</t>
  </si>
  <si>
    <t>TestData.AxisScalingY</t>
  </si>
  <si>
    <t>TestData.MajorY</t>
  </si>
  <si>
    <t>TestData.MinorY</t>
  </si>
  <si>
    <t>TestData.MinY</t>
  </si>
  <si>
    <t>TestData.MaxY</t>
  </si>
  <si>
    <t>DE</t>
  </si>
  <si>
    <t>FR</t>
  </si>
  <si>
    <t>IT</t>
  </si>
  <si>
    <t>SK</t>
  </si>
  <si>
    <t>ChartMarkers.Directory</t>
  </si>
  <si>
    <t>SeriesFormatAlias.SeriesName</t>
  </si>
  <si>
    <t>SeriesFormatAlias.ID</t>
  </si>
  <si>
    <t>USD</t>
  </si>
  <si>
    <t>EUR</t>
  </si>
  <si>
    <t>GBP</t>
  </si>
  <si>
    <t>JPY</t>
  </si>
  <si>
    <t>CHF</t>
  </si>
  <si>
    <t>CAD</t>
  </si>
  <si>
    <t>AUD</t>
  </si>
  <si>
    <t>NZD</t>
  </si>
  <si>
    <t>SEK</t>
  </si>
  <si>
    <t>NOK</t>
  </si>
  <si>
    <t>EU</t>
  </si>
  <si>
    <t>_ECB</t>
  </si>
  <si>
    <t>ES</t>
  </si>
  <si>
    <t>NL</t>
  </si>
  <si>
    <t>BE</t>
  </si>
  <si>
    <t>AT</t>
  </si>
  <si>
    <t>FI</t>
  </si>
  <si>
    <t>GR</t>
  </si>
  <si>
    <t>PT</t>
  </si>
  <si>
    <t>IE</t>
  </si>
  <si>
    <t>SI</t>
  </si>
  <si>
    <t>LU</t>
  </si>
  <si>
    <t>HR</t>
  </si>
  <si>
    <t>LT</t>
  </si>
  <si>
    <t>LV</t>
  </si>
  <si>
    <t>EE</t>
  </si>
  <si>
    <t>CY</t>
  </si>
  <si>
    <t>MT</t>
  </si>
  <si>
    <t>ME</t>
  </si>
  <si>
    <t>XK</t>
  </si>
  <si>
    <t>_ESM</t>
  </si>
  <si>
    <t>_EFSF</t>
  </si>
  <si>
    <t>DKK</t>
  </si>
  <si>
    <t>ISK</t>
  </si>
  <si>
    <t>PLN</t>
  </si>
  <si>
    <t>CZK</t>
  </si>
  <si>
    <t>HUF</t>
  </si>
  <si>
    <t>RON</t>
  </si>
  <si>
    <t>BGN</t>
  </si>
  <si>
    <t>CNY</t>
  </si>
  <si>
    <t>HKD</t>
  </si>
  <si>
    <t>TWD</t>
  </si>
  <si>
    <t>KRW</t>
  </si>
  <si>
    <t>SGD</t>
  </si>
  <si>
    <t>MYR</t>
  </si>
  <si>
    <t>IDR</t>
  </si>
  <si>
    <t>THB</t>
  </si>
  <si>
    <t>PHP</t>
  </si>
  <si>
    <t>VND</t>
  </si>
  <si>
    <t>INR</t>
  </si>
  <si>
    <t>PKR</t>
  </si>
  <si>
    <t>BDT</t>
  </si>
  <si>
    <t>LKR</t>
  </si>
  <si>
    <t>KZT</t>
  </si>
  <si>
    <t>MNT</t>
  </si>
  <si>
    <t>RSD</t>
  </si>
  <si>
    <t>ALL</t>
  </si>
  <si>
    <t>MKD</t>
  </si>
  <si>
    <t>MDL</t>
  </si>
  <si>
    <t>RUB</t>
  </si>
  <si>
    <t>UAH</t>
  </si>
  <si>
    <t>GEL</t>
  </si>
  <si>
    <t>TRY</t>
  </si>
  <si>
    <t>SAR</t>
  </si>
  <si>
    <t>AED</t>
  </si>
  <si>
    <t>QAR</t>
  </si>
  <si>
    <t>OMR</t>
  </si>
  <si>
    <t>KWD</t>
  </si>
  <si>
    <t>JOD</t>
  </si>
  <si>
    <t>LBP</t>
  </si>
  <si>
    <t>EGP</t>
  </si>
  <si>
    <t>TND</t>
  </si>
  <si>
    <t>MAD</t>
  </si>
  <si>
    <t>DZD</t>
  </si>
  <si>
    <t>IRR</t>
  </si>
  <si>
    <t>IQD</t>
  </si>
  <si>
    <t>ILS</t>
  </si>
  <si>
    <t>ZAR</t>
  </si>
  <si>
    <t>NGN</t>
  </si>
  <si>
    <t>ETB</t>
  </si>
  <si>
    <t>SDG</t>
  </si>
  <si>
    <t>KYS</t>
  </si>
  <si>
    <t>TZS</t>
  </si>
  <si>
    <t>UGX</t>
  </si>
  <si>
    <t>CDF</t>
  </si>
  <si>
    <t>GHS</t>
  </si>
  <si>
    <t>SN</t>
  </si>
  <si>
    <t>GA</t>
  </si>
  <si>
    <t>CI</t>
  </si>
  <si>
    <t>MXN</t>
  </si>
  <si>
    <t>BRL</t>
  </si>
  <si>
    <t>CLP</t>
  </si>
  <si>
    <t>COP</t>
  </si>
  <si>
    <t>PEN</t>
  </si>
  <si>
    <t>UYU</t>
  </si>
  <si>
    <t>ARS</t>
  </si>
  <si>
    <t>BOB</t>
  </si>
  <si>
    <t>BZD</t>
  </si>
  <si>
    <t>EC</t>
  </si>
  <si>
    <t>SV</t>
  </si>
  <si>
    <t>PAB</t>
  </si>
  <si>
    <t>DOP</t>
  </si>
  <si>
    <t>TTD</t>
  </si>
  <si>
    <t>JMD</t>
  </si>
  <si>
    <t>BSD</t>
  </si>
  <si>
    <t>_EIB</t>
  </si>
  <si>
    <t>_EBRD</t>
  </si>
  <si>
    <t>_NIB</t>
  </si>
  <si>
    <t>_KfW</t>
  </si>
  <si>
    <t>_ADB</t>
  </si>
  <si>
    <t>_AIIB</t>
  </si>
  <si>
    <t>_IsDB</t>
  </si>
  <si>
    <t>_AfDB</t>
  </si>
  <si>
    <t>_AfExIm</t>
  </si>
  <si>
    <t>_IADB</t>
  </si>
  <si>
    <t>_BCIE</t>
  </si>
  <si>
    <t>_CDB</t>
  </si>
  <si>
    <t>_NDB</t>
  </si>
  <si>
    <t>_IBRD</t>
  </si>
  <si>
    <t>XDR</t>
  </si>
  <si>
    <t>XAU</t>
  </si>
  <si>
    <t>XAG</t>
  </si>
  <si>
    <t>XPT</t>
  </si>
  <si>
    <t>UK</t>
  </si>
  <si>
    <t>United States</t>
  </si>
  <si>
    <t>Euro</t>
  </si>
  <si>
    <t>United Kingdom</t>
  </si>
  <si>
    <t>The United Kingdom</t>
  </si>
  <si>
    <t>Japan</t>
  </si>
  <si>
    <t>Switzerland</t>
  </si>
  <si>
    <t>Canada</t>
  </si>
  <si>
    <t>Australia</t>
  </si>
  <si>
    <t>New Zealand</t>
  </si>
  <si>
    <t>Sweden</t>
  </si>
  <si>
    <t>Norway</t>
  </si>
  <si>
    <t>European Central Bank</t>
  </si>
  <si>
    <t>Germany</t>
  </si>
  <si>
    <t>France</t>
  </si>
  <si>
    <t>Italy</t>
  </si>
  <si>
    <t>Spain</t>
  </si>
  <si>
    <t>Netherlands</t>
  </si>
  <si>
    <t>Belgium</t>
  </si>
  <si>
    <t>Austria</t>
  </si>
  <si>
    <t>Finland</t>
  </si>
  <si>
    <t>Greece</t>
  </si>
  <si>
    <t>Portugal</t>
  </si>
  <si>
    <t>Ireland</t>
  </si>
  <si>
    <t>Slovakia</t>
  </si>
  <si>
    <t>Slovenia</t>
  </si>
  <si>
    <t>Luxembourg</t>
  </si>
  <si>
    <t>Croatia</t>
  </si>
  <si>
    <t>Lithuania</t>
  </si>
  <si>
    <t>Latvia</t>
  </si>
  <si>
    <t>Estonia</t>
  </si>
  <si>
    <t>Cyprus</t>
  </si>
  <si>
    <t>Malta</t>
  </si>
  <si>
    <t>Montenegro</t>
  </si>
  <si>
    <t>Kosovo</t>
  </si>
  <si>
    <t>European Stability Mechanism</t>
  </si>
  <si>
    <t>European Financial Stability Facility</t>
  </si>
  <si>
    <t>Denmark</t>
  </si>
  <si>
    <t>Iceland</t>
  </si>
  <si>
    <t>Poland</t>
  </si>
  <si>
    <t>Czechia</t>
  </si>
  <si>
    <t>Hungary</t>
  </si>
  <si>
    <t>Romania</t>
  </si>
  <si>
    <t>Bulgaria</t>
  </si>
  <si>
    <t>China</t>
  </si>
  <si>
    <t>Hong Kong</t>
  </si>
  <si>
    <t>Taiwan</t>
  </si>
  <si>
    <t>Korea</t>
  </si>
  <si>
    <t>Singapore</t>
  </si>
  <si>
    <t>Malaysia</t>
  </si>
  <si>
    <t>Indonesia</t>
  </si>
  <si>
    <t>Thailand</t>
  </si>
  <si>
    <t>Philippines</t>
  </si>
  <si>
    <t>Vietnam</t>
  </si>
  <si>
    <t>India</t>
  </si>
  <si>
    <t>Pakistan</t>
  </si>
  <si>
    <t>Bangladesh</t>
  </si>
  <si>
    <t>Sri Lanka</t>
  </si>
  <si>
    <t>Kazakhstan</t>
  </si>
  <si>
    <t>Mongolia</t>
  </si>
  <si>
    <t>Serbia</t>
  </si>
  <si>
    <t>Albania</t>
  </si>
  <si>
    <t>Macedonia</t>
  </si>
  <si>
    <t>Moldova</t>
  </si>
  <si>
    <t>Russia</t>
  </si>
  <si>
    <t>Belarus</t>
  </si>
  <si>
    <t>Ukraine</t>
  </si>
  <si>
    <t>Georgia</t>
  </si>
  <si>
    <t>Turkey</t>
  </si>
  <si>
    <t>Türkiye</t>
  </si>
  <si>
    <t>Saudi Arabia</t>
  </si>
  <si>
    <t>United Arab Emirates</t>
  </si>
  <si>
    <t>Qatar</t>
  </si>
  <si>
    <t>Oman</t>
  </si>
  <si>
    <t>Kuwait</t>
  </si>
  <si>
    <t>Jordan</t>
  </si>
  <si>
    <t>Lebanon</t>
  </si>
  <si>
    <t>Egypt</t>
  </si>
  <si>
    <t>Tunisia</t>
  </si>
  <si>
    <t>Morocco</t>
  </si>
  <si>
    <t>Algeria</t>
  </si>
  <si>
    <t>Iran</t>
  </si>
  <si>
    <t>Iraq</t>
  </si>
  <si>
    <t>Israel</t>
  </si>
  <si>
    <t>South Africa</t>
  </si>
  <si>
    <t>Nigeria</t>
  </si>
  <si>
    <t>Ethiopia</t>
  </si>
  <si>
    <t>Sudan</t>
  </si>
  <si>
    <t>Kenya</t>
  </si>
  <si>
    <t>Tanzania</t>
  </si>
  <si>
    <t>Uganda</t>
  </si>
  <si>
    <t>Democratic Republic of the Congo</t>
  </si>
  <si>
    <t>Congo</t>
  </si>
  <si>
    <t>Ghana</t>
  </si>
  <si>
    <t>Senegal</t>
  </si>
  <si>
    <t>Gambia</t>
  </si>
  <si>
    <t>Côte d'Ivoire</t>
  </si>
  <si>
    <t>Côte d’Ivoire</t>
  </si>
  <si>
    <t>Cote d'Ivoire</t>
  </si>
  <si>
    <t>Cote d’Ivoire</t>
  </si>
  <si>
    <t>Ivory Coast</t>
  </si>
  <si>
    <t>Mexico</t>
  </si>
  <si>
    <t>Brazil</t>
  </si>
  <si>
    <t>Chile</t>
  </si>
  <si>
    <t>Colombia</t>
  </si>
  <si>
    <t>Peru</t>
  </si>
  <si>
    <t>Uruguay</t>
  </si>
  <si>
    <t>Argentina</t>
  </si>
  <si>
    <t>Bolivia</t>
  </si>
  <si>
    <t>Belize</t>
  </si>
  <si>
    <t>Ecuador</t>
  </si>
  <si>
    <t>Venezuela</t>
  </si>
  <si>
    <t>El Salvador</t>
  </si>
  <si>
    <t>Panama</t>
  </si>
  <si>
    <t>Dominica</t>
  </si>
  <si>
    <t>Trinidad and Tobago</t>
  </si>
  <si>
    <t>Trinidad &amp; Tobago</t>
  </si>
  <si>
    <t>Jamaica</t>
  </si>
  <si>
    <t>Bahamas</t>
  </si>
  <si>
    <t>The Bahamas</t>
  </si>
  <si>
    <t>European Investment Bank</t>
  </si>
  <si>
    <t>European Bank for Reconstruction and Development</t>
  </si>
  <si>
    <t>European Bank for Reconstruction &amp; Development</t>
  </si>
  <si>
    <t>Nordic Investment Bank</t>
  </si>
  <si>
    <t>Asian Development Bank</t>
  </si>
  <si>
    <t>Asian Infrastructure Investment Bank</t>
  </si>
  <si>
    <t>Islamic Development Bank</t>
  </si>
  <si>
    <t>African Development Bank</t>
  </si>
  <si>
    <t>Afeximbank</t>
  </si>
  <si>
    <t>Africa Export-Import Bank</t>
  </si>
  <si>
    <t>Africa Export Import Bank</t>
  </si>
  <si>
    <t>Inter-American Development Bank</t>
  </si>
  <si>
    <t>Banco Centroamericano de Integración Económica</t>
  </si>
  <si>
    <t>Banco Centroamericano de Integracion Economica</t>
  </si>
  <si>
    <t>Central American Bank for Economic Integration</t>
  </si>
  <si>
    <t>Caribbean Development Bank</t>
  </si>
  <si>
    <t>New Development Bank</t>
  </si>
  <si>
    <t>BRICS Development Bank</t>
  </si>
  <si>
    <t>International Bank for Reconstruction and Development</t>
  </si>
  <si>
    <t>International Bank for Reconstruction &amp; Development</t>
  </si>
  <si>
    <t>World Bank</t>
  </si>
  <si>
    <t>Special Drawing Right</t>
  </si>
  <si>
    <t>Special Drawing Rights</t>
  </si>
  <si>
    <t>IMF</t>
  </si>
  <si>
    <t>International Monetary Fund</t>
  </si>
  <si>
    <t>Gold</t>
  </si>
  <si>
    <t>Silver</t>
  </si>
  <si>
    <t>Platinum</t>
  </si>
  <si>
    <t>ChartLines.ID</t>
  </si>
  <si>
    <t>ChartLines.Hex6</t>
  </si>
  <si>
    <t>ChartLines.NumInstances</t>
  </si>
  <si>
    <t>ChartLines.InstanceNum</t>
  </si>
  <si>
    <t>ChartLines.ThicknessText</t>
  </si>
  <si>
    <t>ChartLines.R</t>
  </si>
  <si>
    <t>ChartLines.G</t>
  </si>
  <si>
    <t>ChartLines.B</t>
  </si>
  <si>
    <t>ChartLines.RowNum</t>
  </si>
  <si>
    <t>Unused</t>
  </si>
  <si>
    <t>FF33FF</t>
  </si>
  <si>
    <t>EF3340</t>
  </si>
  <si>
    <t>FF0000</t>
  </si>
  <si>
    <t>FFFFFF</t>
  </si>
  <si>
    <t>00843D</t>
  </si>
  <si>
    <t>FFCD00</t>
  </si>
  <si>
    <t>C8102E</t>
  </si>
  <si>
    <t>FFD100</t>
  </si>
  <si>
    <t>BA0C2F</t>
  </si>
  <si>
    <t>00205B</t>
  </si>
  <si>
    <t>0055A4</t>
  </si>
  <si>
    <t>EF4135</t>
  </si>
  <si>
    <t>008C45</t>
  </si>
  <si>
    <t>CD212A</t>
  </si>
  <si>
    <t>003DA5</t>
  </si>
  <si>
    <t>FA9B1E</t>
  </si>
  <si>
    <t>FFCC33</t>
  </si>
  <si>
    <t>002F6C</t>
  </si>
  <si>
    <t>004C98</t>
  </si>
  <si>
    <t>DA291C</t>
  </si>
  <si>
    <t>FF883E</t>
  </si>
  <si>
    <t>169B62</t>
  </si>
  <si>
    <t>034DA3</t>
  </si>
  <si>
    <t>FFE600</t>
  </si>
  <si>
    <t>00A3E0</t>
  </si>
  <si>
    <t>006A44</t>
  </si>
  <si>
    <t>FDB913</t>
  </si>
  <si>
    <t>9D2235</t>
  </si>
  <si>
    <t>0072CE</t>
  </si>
  <si>
    <t>D57800</t>
  </si>
  <si>
    <t>4E5B31</t>
  </si>
  <si>
    <t>CF142B</t>
  </si>
  <si>
    <t>215F8F</t>
  </si>
  <si>
    <t>D3AE45</t>
  </si>
  <si>
    <t>D0A650</t>
  </si>
  <si>
    <t>FFD500</t>
  </si>
  <si>
    <t>02529C</t>
  </si>
  <si>
    <t>DC1E35</t>
  </si>
  <si>
    <t>D22630</t>
  </si>
  <si>
    <t>11457E</t>
  </si>
  <si>
    <t>D7141A</t>
  </si>
  <si>
    <t>CE2939</t>
  </si>
  <si>
    <t>002B7F</t>
  </si>
  <si>
    <t>FCD116</t>
  </si>
  <si>
    <t>00AF66</t>
  </si>
  <si>
    <t>DE2910</t>
  </si>
  <si>
    <t>FFDE00</t>
  </si>
  <si>
    <t>0029CC</t>
  </si>
  <si>
    <t>CD2E3A</t>
  </si>
  <si>
    <t>0047A0</t>
  </si>
  <si>
    <t>A78337</t>
  </si>
  <si>
    <t>00326A</t>
  </si>
  <si>
    <t>FE0000</t>
  </si>
  <si>
    <t>0038A8</t>
  </si>
  <si>
    <t>FFFF00</t>
  </si>
  <si>
    <t>DA251D</t>
  </si>
  <si>
    <t>01411C</t>
  </si>
  <si>
    <t>006A4E</t>
  </si>
  <si>
    <t>F42A41</t>
  </si>
  <si>
    <t>79052C</t>
  </si>
  <si>
    <t>FDB221</t>
  </si>
  <si>
    <t>00AEC7</t>
  </si>
  <si>
    <t>F6E500</t>
  </si>
  <si>
    <t>0066B3</t>
  </si>
  <si>
    <t>DA2032</t>
  </si>
  <si>
    <t>C7363D</t>
  </si>
  <si>
    <t>0C4077</t>
  </si>
  <si>
    <t>CE2028</t>
  </si>
  <si>
    <t>F9D616</t>
  </si>
  <si>
    <t>FFD200</t>
  </si>
  <si>
    <t>CC092F</t>
  </si>
  <si>
    <t>0057B7</t>
  </si>
  <si>
    <t>FFD700</t>
  </si>
  <si>
    <t>CF101A</t>
  </si>
  <si>
    <t>6A571B</t>
  </si>
  <si>
    <t>D4AF37</t>
  </si>
  <si>
    <t>E30A17</t>
  </si>
  <si>
    <t>6C1D45</t>
  </si>
  <si>
    <t>CE1126</t>
  </si>
  <si>
    <t>YER</t>
  </si>
  <si>
    <t>C49C5B</t>
  </si>
  <si>
    <t>E70013</t>
  </si>
  <si>
    <t>FB0F0C</t>
  </si>
  <si>
    <t>239F40</t>
  </si>
  <si>
    <t>E3B329</t>
  </si>
  <si>
    <t>005EB8</t>
  </si>
  <si>
    <t>FCDD09</t>
  </si>
  <si>
    <t>BB0000</t>
  </si>
  <si>
    <t>D90000</t>
  </si>
  <si>
    <t>F7D618</t>
  </si>
  <si>
    <t>1D6233</t>
  </si>
  <si>
    <t>FDEF42</t>
  </si>
  <si>
    <t>EA7600</t>
  </si>
  <si>
    <t>009A44</t>
  </si>
  <si>
    <t>FEDD00</t>
  </si>
  <si>
    <t>D52B1E</t>
  </si>
  <si>
    <t>0033A0</t>
  </si>
  <si>
    <t>6CACE4</t>
  </si>
  <si>
    <t>1D428A</t>
  </si>
  <si>
    <t>FCE300</t>
  </si>
  <si>
    <t>DA121A</t>
  </si>
  <si>
    <t>FFC72C</t>
  </si>
  <si>
    <t>08528C</t>
  </si>
  <si>
    <t>1B618C</t>
  </si>
  <si>
    <t>1C3060</t>
  </si>
  <si>
    <t>860C14</t>
  </si>
  <si>
    <t>198D66</t>
  </si>
  <si>
    <t>FCB90E</t>
  </si>
  <si>
    <t>2BCE75</t>
  </si>
  <si>
    <t>0046C2</t>
  </si>
  <si>
    <t>EFBE20</t>
  </si>
  <si>
    <t>0B5CAE</t>
  </si>
  <si>
    <t>BED62F</t>
  </si>
  <si>
    <t>004C97</t>
  </si>
  <si>
    <t>5C5C5C</t>
  </si>
  <si>
    <t>D95B14</t>
  </si>
  <si>
    <t>C7C7C7</t>
  </si>
  <si>
    <t>ChartLines_Thicknesses.Text</t>
  </si>
  <si>
    <t>ChartLines_Thicknesses.StrokeWidth</t>
  </si>
  <si>
    <t>ChartLines_Thicknesses.ExcelWeight</t>
  </si>
  <si>
    <t>AxisScaling.RowNum</t>
  </si>
  <si>
    <t>AxisScaling.Major</t>
  </si>
  <si>
    <t>AxisScaling.Minor</t>
  </si>
  <si>
    <t>Outer</t>
  </si>
  <si>
    <t>Inner</t>
  </si>
  <si>
    <t>SoleOrdinary</t>
  </si>
  <si>
    <t>SoleBig</t>
  </si>
  <si>
    <t>TestData.RowNum</t>
  </si>
  <si>
    <t>TestData_Labels.Good</t>
  </si>
  <si>
    <t>↑ For this specific example, so ignorable ↑</t>
  </si>
  <si>
    <t>↓ These, mutatis mutandis, re-usable. ↓</t>
  </si>
  <si>
    <t>AD1519</t>
  </si>
  <si>
    <t>FABD00</t>
  </si>
  <si>
    <t>AOA</t>
  </si>
  <si>
    <t>Angola</t>
  </si>
  <si>
    <t>Yemen</t>
  </si>
  <si>
    <t>BYN</t>
  </si>
  <si>
    <t>Turkiye</t>
  </si>
  <si>
    <t>TestData.ChartFormatLog</t>
  </si>
  <si>
    <t>ChartMarkers.Suffix</t>
  </si>
  <si>
    <t>_Excel.svg</t>
  </si>
  <si>
    <t>KfW</t>
  </si>
  <si>
    <t>Kreditanstalt für Wiederaufbau</t>
  </si>
  <si>
    <t>KFW</t>
  </si>
  <si>
    <t>Kreditanstalt fur Wiederaufbau</t>
  </si>
  <si>
    <t>Error: missing file '/Users/JDAW/Documents/GitHub/chart_markers/Spreadsheets/ChartMarkers_Excel/GR_Excel.svg'.</t>
  </si>
  <si>
    <t>C0C0C0</t>
  </si>
  <si>
    <t>7B3F00</t>
  </si>
  <si>
    <t>0060FF</t>
  </si>
  <si>
    <t>_CADES</t>
  </si>
  <si>
    <t>E20613</t>
  </si>
  <si>
    <t>_CoEDB</t>
  </si>
  <si>
    <t>Caisse d’Amortissement de la Dette Sociale</t>
  </si>
  <si>
    <t>CADES</t>
  </si>
  <si>
    <t>Council of Europe Development Bank</t>
  </si>
  <si>
    <t>00B140</t>
  </si>
  <si>
    <t>GB_ENG</t>
  </si>
  <si>
    <t>GB_SCT</t>
  </si>
  <si>
    <t>GB_WLS</t>
  </si>
  <si>
    <t>GB_NIR</t>
  </si>
  <si>
    <t>GB_EAW</t>
  </si>
  <si>
    <t>CHF_2</t>
  </si>
  <si>
    <t>66CC66</t>
  </si>
  <si>
    <t>CAD_2</t>
  </si>
  <si>
    <t>DE_2</t>
  </si>
  <si>
    <t>FR_2</t>
  </si>
  <si>
    <t>IT_2</t>
  </si>
  <si>
    <t>ES_2</t>
  </si>
  <si>
    <t>NL_2</t>
  </si>
  <si>
    <t>AD1D25</t>
  </si>
  <si>
    <t>BE_2</t>
  </si>
  <si>
    <t>AT_2</t>
  </si>
  <si>
    <t>FI_2</t>
  </si>
  <si>
    <t>GR_2</t>
  </si>
  <si>
    <t>PT_2</t>
  </si>
  <si>
    <t>IE_2</t>
  </si>
  <si>
    <t>SK_2</t>
  </si>
  <si>
    <t>MMK</t>
  </si>
  <si>
    <t>34B233</t>
  </si>
  <si>
    <t>FECB00</t>
  </si>
  <si>
    <t>UZS</t>
  </si>
  <si>
    <t>1EB53A</t>
  </si>
  <si>
    <t>0099B5</t>
  </si>
  <si>
    <t>TMT</t>
  </si>
  <si>
    <t>00853A</t>
  </si>
  <si>
    <t>KPW</t>
  </si>
  <si>
    <t>ED1C27</t>
  </si>
  <si>
    <t>AZN</t>
  </si>
  <si>
    <t>0098C3</t>
  </si>
  <si>
    <t>AMD</t>
  </si>
  <si>
    <t>F2A800</t>
  </si>
  <si>
    <t>BHD</t>
  </si>
  <si>
    <t>SYP</t>
  </si>
  <si>
    <t>007A3D</t>
  </si>
  <si>
    <t>PS</t>
  </si>
  <si>
    <t>VED</t>
  </si>
  <si>
    <t>GYD</t>
  </si>
  <si>
    <t>2A936A</t>
  </si>
  <si>
    <t>BE1E2D</t>
  </si>
  <si>
    <t>CRC</t>
  </si>
  <si>
    <t>GTQ</t>
  </si>
  <si>
    <t>4997D0</t>
  </si>
  <si>
    <t>Armenia</t>
  </si>
  <si>
    <t>Azerbaijan</t>
  </si>
  <si>
    <t>Guyana</t>
  </si>
  <si>
    <t>Uzbekistan</t>
  </si>
  <si>
    <t>Turkmenistan</t>
  </si>
  <si>
    <t>Syria</t>
  </si>
  <si>
    <t>Costa Rica</t>
  </si>
  <si>
    <t>Guatemala</t>
  </si>
  <si>
    <t>Myanmar</t>
  </si>
  <si>
    <t>Bahrain</t>
  </si>
  <si>
    <t>CM</t>
  </si>
  <si>
    <t>NPR</t>
  </si>
  <si>
    <t>DC143C</t>
  </si>
  <si>
    <t>Nepal</t>
  </si>
  <si>
    <t>North Korea</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</si>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</sst>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5">
    <fill>
      <patternFill patternType="none"/>
    </fill>
    <fill>
      <patternFill patternType="gray125"/>
    </fill>
    <fill>
      <patternFill patternType="solid">
        <fgColor theme="0" tint="-0.14996795556505021"/>
        <bgColor indexed="64"/>
      </patternFill>
    </fill>
    <fill>
      <patternFill patternType="solid">
        <fgColor rgb="FF009900"/>
        <bgColor indexed="64"/>
      </patternFill>
    </fill>
    <fill>
      <patternFill patternType="solid">
        <fgColor theme="0" tint="-0.34998626667073579"/>
        <bgColor indexed="64"/>
      </patternFill>
    </fill>
  </fills>
  <borders count="3">
    <border>
      <left/>
      <right/>
      <top/>
      <bottom/>
      <diagonal/>
    </border>
    <border>
      <left/>
      <right/>
      <top/>
      <bottom style="medium">
        <color auto="1"/>
      </bottom>
      <diagonal/>
    </border>
    <border>
      <left/>
      <right style="medium">
        <color auto="1"/>
      </right>
      <top/>
      <bottom/>
      <diagonal/>
    </border>
  </borders>
  <cellStyleXfs count="1">
    <xf numFmtId="0" fontId="0" fillId="0" borderId="0"/>
  </cellStyleXfs>
  <cellXfs count="14">
    <xf numFmtId="0" fontId="0" fillId="0" borderId="0" xfId="0"/>
    <xf numFmtId="0" fontId="0" fillId="0" borderId="0" xfId="0" applyAlignment="1">
      <alignment horizontal="right"/>
    </xf>
    <xf numFmtId="0" fontId="0" fillId="0" borderId="1" xfId="0" applyBorder="1" applyAlignment="1">
      <alignment horizontal="right"/>
    </xf>
    <xf numFmtId="0" fontId="0" fillId="0" borderId="2" xfId="0" applyBorder="1" applyAlignment="1">
      <alignment horizontal="right"/>
    </xf>
    <xf numFmtId="0" fontId="0" fillId="2" borderId="0" xfId="0" applyFill="1" applyAlignment="1">
      <alignment horizontal="right"/>
    </xf>
    <xf numFmtId="0" fontId="1" fillId="0" borderId="0" xfId="0" applyFont="1" applyAlignment="1">
      <alignment horizontal="right"/>
    </xf>
    <xf numFmtId="0" fontId="0" fillId="0" borderId="0" xfId="0" applyAlignment="1">
      <alignment horizontal="left"/>
    </xf>
    <xf numFmtId="0" fontId="0" fillId="0" borderId="0" xfId="0" quotePrefix="1" applyAlignment="1">
      <alignment horizontal="right"/>
    </xf>
    <xf numFmtId="4" fontId="0" fillId="0" borderId="0" xfId="0" applyNumberFormat="1" applyAlignment="1">
      <alignment horizontal="right"/>
    </xf>
    <xf numFmtId="0" fontId="0" fillId="3" borderId="0" xfId="0" applyFill="1" applyAlignment="1">
      <alignment horizontal="right"/>
    </xf>
    <xf numFmtId="4" fontId="0" fillId="3" borderId="0" xfId="0" applyNumberFormat="1" applyFill="1" applyAlignment="1">
      <alignment horizontal="right"/>
    </xf>
    <xf numFmtId="0" fontId="2" fillId="0" borderId="0" xfId="0" quotePrefix="1" applyFont="1" applyAlignment="1">
      <alignment horizontal="right"/>
    </xf>
    <xf numFmtId="0" fontId="0" fillId="0" borderId="0" xfId="0" applyBorder="1" applyAlignment="1">
      <alignment horizontal="right"/>
    </xf>
    <xf numFmtId="4" fontId="0" fillId="4" borderId="0" xfId="0" applyNumberFormat="1" applyFill="1" applyAlignment="1">
      <alignment horizontal="right"/>
    </xf>
  </cellXfs>
  <cellStyles count="1">
    <cellStyle name="Normal" xfId="0" builtinId="0"/>
  </cellStyles>
  <dxfs count="0"/>
  <tableStyles count="0" defaultTableStyle="TableStyleMedium2" defaultPivotStyle="PivotStyleLight16"/>
  <colors>
    <mruColors>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062048423722314E-2"/>
          <c:y val="1.2205599300087489E-2"/>
          <c:w val="0.93616267067740133"/>
          <c:h val="0.94735380577427819"/>
        </c:manualLayout>
      </c:layout>
      <c:scatterChart>
        <c:scatterStyle val="lineMarker"/>
        <c:varyColors val="0"/>
        <c:ser>
          <c:idx val="0"/>
          <c:order val="0"/>
          <c:tx>
            <c:strRef>
              <c:f>[0]!TestData.01Name</c:f>
              <c:strCache>
                <c:ptCount val="1"/>
                <c:pt idx="0">
                  <c:v>LT</c:v>
                </c:pt>
              </c:strCache>
            </c:strRef>
          </c:tx>
          <c:spPr>
            <a:ln w="38100" cap="rnd" cmpd="sng" algn="ctr">
              <a:solidFill>
                <a:srgbClr val="004C98"/>
              </a:solidFill>
              <a:prstDash val="solid"/>
              <a:round/>
              <a:headEnd type="none" w="med" len="med"/>
              <a:tailEnd type="none" w="med" len="med"/>
            </a:ln>
            <a:effectLst/>
          </c:spPr>
          <c:marker>
            <c:symbol val="none"/>
          </c:marker>
          <c:xVal>
            <c:numRef>
              <c:f>[0]!TestData.01X</c:f>
              <c:numCache>
                <c:formatCode>General</c:formatCode>
                <c:ptCount val="32"/>
                <c:pt idx="0">
                  <c:v>1</c:v>
                </c:pt>
                <c:pt idx="1">
                  <c:v>1.2498006531532748</c:v>
                </c:pt>
                <c:pt idx="2">
                  <c:v>1.4905439974402503</c:v>
                </c:pt>
                <c:pt idx="3">
                  <c:v>1.7505176898693218</c:v>
                </c:pt>
                <c:pt idx="4">
                  <c:v>2.0811758492812236</c:v>
                </c:pt>
                <c:pt idx="5">
                  <c:v>2.5993821287892263</c:v>
                </c:pt>
                <c:pt idx="6">
                  <c:v>3.199100691269102</c:v>
                </c:pt>
                <c:pt idx="7">
                  <c:v>3.4808335074140819</c:v>
                </c:pt>
                <c:pt idx="8">
                  <c:v>3.6948374199291245</c:v>
                </c:pt>
                <c:pt idx="9">
                  <c:v>4.2145878926820828</c:v>
                </c:pt>
                <c:pt idx="10">
                  <c:v>5.0726134415572464</c:v>
                </c:pt>
                <c:pt idx="11">
                  <c:v>6.0722220032006549</c:v>
                </c:pt>
                <c:pt idx="12">
                  <c:v>6.9271936187029617</c:v>
                </c:pt>
                <c:pt idx="13">
                  <c:v>8.2458044312447143</c:v>
                </c:pt>
                <c:pt idx="14">
                  <c:v>9.2536056800060678</c:v>
                </c:pt>
                <c:pt idx="15">
                  <c:v>9.5889633391203457</c:v>
                </c:pt>
                <c:pt idx="16">
                  <c:v>10.291837850552776</c:v>
                </c:pt>
                <c:pt idx="17">
                  <c:v>10.737835176238006</c:v>
                </c:pt>
                <c:pt idx="18">
                  <c:v>11.077501643786862</c:v>
                </c:pt>
                <c:pt idx="19">
                  <c:v>12.284003177393938</c:v>
                </c:pt>
                <c:pt idx="20">
                  <c:v>12.506340822321947</c:v>
                </c:pt>
                <c:pt idx="21">
                  <c:v>13.564312166554096</c:v>
                </c:pt>
                <c:pt idx="22">
                  <c:v>14.311944549162369</c:v>
                </c:pt>
                <c:pt idx="23">
                  <c:v>14.657223040639606</c:v>
                </c:pt>
                <c:pt idx="24">
                  <c:v>15.637150277183295</c:v>
                </c:pt>
                <c:pt idx="25">
                  <c:v>17.450043385720427</c:v>
                </c:pt>
                <c:pt idx="26">
                  <c:v>19.633672038370378</c:v>
                </c:pt>
                <c:pt idx="27">
                  <c:v>22.924054344690223</c:v>
                </c:pt>
                <c:pt idx="28">
                  <c:v>26.612169346460135</c:v>
                </c:pt>
                <c:pt idx="29">
                  <c:v>30.633353886442066</c:v>
                </c:pt>
                <c:pt idx="30">
                  <c:v>32.834961415782949</c:v>
                </c:pt>
                <c:pt idx="31">
                  <c:v>35.169783543732301</c:v>
                </c:pt>
              </c:numCache>
            </c:numRef>
          </c:xVal>
          <c:yVal>
            <c:numRef>
              <c:f>[0]!TestData.01Y</c:f>
              <c:numCache>
                <c:formatCode>General</c:formatCode>
                <c:ptCount val="32"/>
                <c:pt idx="0">
                  <c:v>159.17911379487072</c:v>
                </c:pt>
                <c:pt idx="1">
                  <c:v>161.00819739934357</c:v>
                </c:pt>
                <c:pt idx="2">
                  <c:v>164.15704517741381</c:v>
                </c:pt>
                <c:pt idx="3">
                  <c:v>166.82371370421808</c:v>
                </c:pt>
                <c:pt idx="4">
                  <c:v>171.8567299994024</c:v>
                </c:pt>
                <c:pt idx="5">
                  <c:v>173.31664514707913</c:v>
                </c:pt>
                <c:pt idx="6">
                  <c:v>178.02366306068225</c:v>
                </c:pt>
                <c:pt idx="7">
                  <c:v>181.01196543414281</c:v>
                </c:pt>
                <c:pt idx="8">
                  <c:v>182.24113082535587</c:v>
                </c:pt>
                <c:pt idx="9">
                  <c:v>184.75653290988788</c:v>
                </c:pt>
                <c:pt idx="10">
                  <c:v>187.62785634320161</c:v>
                </c:pt>
                <c:pt idx="11">
                  <c:v>190.78203510335007</c:v>
                </c:pt>
                <c:pt idx="12">
                  <c:v>193.70291991118017</c:v>
                </c:pt>
                <c:pt idx="13">
                  <c:v>198.55867073389987</c:v>
                </c:pt>
                <c:pt idx="14">
                  <c:v>201.06481508215279</c:v>
                </c:pt>
                <c:pt idx="15">
                  <c:v>200.35450505077219</c:v>
                </c:pt>
                <c:pt idx="16">
                  <c:v>202.82255588791782</c:v>
                </c:pt>
                <c:pt idx="17">
                  <c:v>201.88568819373634</c:v>
                </c:pt>
                <c:pt idx="18">
                  <c:v>204.17905230055732</c:v>
                </c:pt>
                <c:pt idx="19">
                  <c:v>202.86585598414405</c:v>
                </c:pt>
                <c:pt idx="20">
                  <c:v>202.67868121695096</c:v>
                </c:pt>
                <c:pt idx="21">
                  <c:v>204.57837005206068</c:v>
                </c:pt>
                <c:pt idx="22">
                  <c:v>206.61279122242547</c:v>
                </c:pt>
                <c:pt idx="23">
                  <c:v>205.96434938519562</c:v>
                </c:pt>
                <c:pt idx="24">
                  <c:v>205.94605527996245</c:v>
                </c:pt>
                <c:pt idx="25">
                  <c:v>206.40199652071246</c:v>
                </c:pt>
                <c:pt idx="26">
                  <c:v>204.30116729645974</c:v>
                </c:pt>
                <c:pt idx="27">
                  <c:v>200.89347620501272</c:v>
                </c:pt>
                <c:pt idx="28">
                  <c:v>199.90171349844604</c:v>
                </c:pt>
                <c:pt idx="29">
                  <c:v>197.51322169250494</c:v>
                </c:pt>
                <c:pt idx="30">
                  <c:v>196.9382117021579</c:v>
                </c:pt>
                <c:pt idx="31">
                  <c:v>197.43003052305943</c:v>
                </c:pt>
              </c:numCache>
            </c:numRef>
          </c:yVal>
          <c:smooth val="0"/>
          <c:extLst>
            <c:ext xmlns:c16="http://schemas.microsoft.com/office/drawing/2014/chart" uri="{C3380CC4-5D6E-409C-BE32-E72D297353CC}">
              <c16:uniqueId val="{00000000-9FB1-8244-BD3F-4EB6DF646F07}"/>
            </c:ext>
          </c:extLst>
        </c:ser>
        <c:ser>
          <c:idx val="2"/>
          <c:order val="1"/>
          <c:tx>
            <c:strRef>
              <c:f>[0]!TestData.01Name</c:f>
              <c:strCache>
                <c:ptCount val="1"/>
                <c:pt idx="0">
                  <c:v>LT</c:v>
                </c:pt>
              </c:strCache>
            </c:strRef>
          </c:tx>
          <c:spPr>
            <a:ln w="12700" cap="rnd" cmpd="sng" algn="ctr">
              <a:solidFill>
                <a:srgbClr val="FFFFFF"/>
              </a:solidFill>
              <a:prstDash val="solid"/>
              <a:round/>
              <a:headEnd type="none" w="med" len="med"/>
              <a:tailEnd type="none" w="med" len="med"/>
            </a:ln>
            <a:effectLst/>
          </c:spPr>
          <c:marker>
            <c:symbol val="none"/>
          </c:marker>
          <c:xVal>
            <c:numRef>
              <c:f>[0]!TestData.01X</c:f>
              <c:numCache>
                <c:formatCode>General</c:formatCode>
                <c:ptCount val="32"/>
                <c:pt idx="0">
                  <c:v>1</c:v>
                </c:pt>
                <c:pt idx="1">
                  <c:v>1.2498006531532748</c:v>
                </c:pt>
                <c:pt idx="2">
                  <c:v>1.4905439974402503</c:v>
                </c:pt>
                <c:pt idx="3">
                  <c:v>1.7505176898693218</c:v>
                </c:pt>
                <c:pt idx="4">
                  <c:v>2.0811758492812236</c:v>
                </c:pt>
                <c:pt idx="5">
                  <c:v>2.5993821287892263</c:v>
                </c:pt>
                <c:pt idx="6">
                  <c:v>3.199100691269102</c:v>
                </c:pt>
                <c:pt idx="7">
                  <c:v>3.4808335074140819</c:v>
                </c:pt>
                <c:pt idx="8">
                  <c:v>3.6948374199291245</c:v>
                </c:pt>
                <c:pt idx="9">
                  <c:v>4.2145878926820828</c:v>
                </c:pt>
                <c:pt idx="10">
                  <c:v>5.0726134415572464</c:v>
                </c:pt>
                <c:pt idx="11">
                  <c:v>6.0722220032006549</c:v>
                </c:pt>
                <c:pt idx="12">
                  <c:v>6.9271936187029617</c:v>
                </c:pt>
                <c:pt idx="13">
                  <c:v>8.2458044312447143</c:v>
                </c:pt>
                <c:pt idx="14">
                  <c:v>9.2536056800060678</c:v>
                </c:pt>
                <c:pt idx="15">
                  <c:v>9.5889633391203457</c:v>
                </c:pt>
                <c:pt idx="16">
                  <c:v>10.291837850552776</c:v>
                </c:pt>
                <c:pt idx="17">
                  <c:v>10.737835176238006</c:v>
                </c:pt>
                <c:pt idx="18">
                  <c:v>11.077501643786862</c:v>
                </c:pt>
                <c:pt idx="19">
                  <c:v>12.284003177393938</c:v>
                </c:pt>
                <c:pt idx="20">
                  <c:v>12.506340822321947</c:v>
                </c:pt>
                <c:pt idx="21">
                  <c:v>13.564312166554096</c:v>
                </c:pt>
                <c:pt idx="22">
                  <c:v>14.311944549162369</c:v>
                </c:pt>
                <c:pt idx="23">
                  <c:v>14.657223040639606</c:v>
                </c:pt>
                <c:pt idx="24">
                  <c:v>15.637150277183295</c:v>
                </c:pt>
                <c:pt idx="25">
                  <c:v>17.450043385720427</c:v>
                </c:pt>
                <c:pt idx="26">
                  <c:v>19.633672038370378</c:v>
                </c:pt>
                <c:pt idx="27">
                  <c:v>22.924054344690223</c:v>
                </c:pt>
                <c:pt idx="28">
                  <c:v>26.612169346460135</c:v>
                </c:pt>
                <c:pt idx="29">
                  <c:v>30.633353886442066</c:v>
                </c:pt>
                <c:pt idx="30">
                  <c:v>32.834961415782949</c:v>
                </c:pt>
                <c:pt idx="31">
                  <c:v>35.169783543732301</c:v>
                </c:pt>
              </c:numCache>
            </c:numRef>
          </c:xVal>
          <c:yVal>
            <c:numRef>
              <c:f>[0]!TestData.01Y</c:f>
              <c:numCache>
                <c:formatCode>General</c:formatCode>
                <c:ptCount val="32"/>
                <c:pt idx="0">
                  <c:v>159.17911379487072</c:v>
                </c:pt>
                <c:pt idx="1">
                  <c:v>161.00819739934357</c:v>
                </c:pt>
                <c:pt idx="2">
                  <c:v>164.15704517741381</c:v>
                </c:pt>
                <c:pt idx="3">
                  <c:v>166.82371370421808</c:v>
                </c:pt>
                <c:pt idx="4">
                  <c:v>171.8567299994024</c:v>
                </c:pt>
                <c:pt idx="5">
                  <c:v>173.31664514707913</c:v>
                </c:pt>
                <c:pt idx="6">
                  <c:v>178.02366306068225</c:v>
                </c:pt>
                <c:pt idx="7">
                  <c:v>181.01196543414281</c:v>
                </c:pt>
                <c:pt idx="8">
                  <c:v>182.24113082535587</c:v>
                </c:pt>
                <c:pt idx="9">
                  <c:v>184.75653290988788</c:v>
                </c:pt>
                <c:pt idx="10">
                  <c:v>187.62785634320161</c:v>
                </c:pt>
                <c:pt idx="11">
                  <c:v>190.78203510335007</c:v>
                </c:pt>
                <c:pt idx="12">
                  <c:v>193.70291991118017</c:v>
                </c:pt>
                <c:pt idx="13">
                  <c:v>198.55867073389987</c:v>
                </c:pt>
                <c:pt idx="14">
                  <c:v>201.06481508215279</c:v>
                </c:pt>
                <c:pt idx="15">
                  <c:v>200.35450505077219</c:v>
                </c:pt>
                <c:pt idx="16">
                  <c:v>202.82255588791782</c:v>
                </c:pt>
                <c:pt idx="17">
                  <c:v>201.88568819373634</c:v>
                </c:pt>
                <c:pt idx="18">
                  <c:v>204.17905230055732</c:v>
                </c:pt>
                <c:pt idx="19">
                  <c:v>202.86585598414405</c:v>
                </c:pt>
                <c:pt idx="20">
                  <c:v>202.67868121695096</c:v>
                </c:pt>
                <c:pt idx="21">
                  <c:v>204.57837005206068</c:v>
                </c:pt>
                <c:pt idx="22">
                  <c:v>206.61279122242547</c:v>
                </c:pt>
                <c:pt idx="23">
                  <c:v>205.96434938519562</c:v>
                </c:pt>
                <c:pt idx="24">
                  <c:v>205.94605527996245</c:v>
                </c:pt>
                <c:pt idx="25">
                  <c:v>206.40199652071246</c:v>
                </c:pt>
                <c:pt idx="26">
                  <c:v>204.30116729645974</c:v>
                </c:pt>
                <c:pt idx="27">
                  <c:v>200.89347620501272</c:v>
                </c:pt>
                <c:pt idx="28">
                  <c:v>199.90171349844604</c:v>
                </c:pt>
                <c:pt idx="29">
                  <c:v>197.51322169250494</c:v>
                </c:pt>
                <c:pt idx="30">
                  <c:v>196.9382117021579</c:v>
                </c:pt>
                <c:pt idx="31">
                  <c:v>197.43003052305943</c:v>
                </c:pt>
              </c:numCache>
            </c:numRef>
          </c:yVal>
          <c:smooth val="0"/>
          <c:extLst>
            <c:ext xmlns:c16="http://schemas.microsoft.com/office/drawing/2014/chart" uri="{C3380CC4-5D6E-409C-BE32-E72D297353CC}">
              <c16:uniqueId val="{00000003-9FB1-8244-BD3F-4EB6DF646F07}"/>
            </c:ext>
          </c:extLst>
        </c:ser>
        <c:ser>
          <c:idx val="1"/>
          <c:order val="2"/>
          <c:tx>
            <c:strRef>
              <c:f>[0]!TestData.01Name</c:f>
              <c:strCache>
                <c:ptCount val="1"/>
                <c:pt idx="0">
                  <c:v>LT</c:v>
                </c:pt>
              </c:strCache>
            </c:strRef>
          </c:tx>
          <c:spPr>
            <a:ln w="0" cap="rnd" cmpd="sng" algn="ctr">
              <a:solidFill>
                <a:srgbClr val="FABD00">
                  <a:alpha val="0"/>
                </a:srgbClr>
              </a:solidFill>
              <a:prstDash val="solid"/>
              <a:round/>
              <a:headEnd type="none" w="med" len="med"/>
              <a:tailEnd type="none" w="med" len="med"/>
            </a:ln>
            <a:effectLst/>
          </c:spPr>
          <c:marker>
            <c:symbol val="picture"/>
            <c:spPr>
              <a:blipFill>
                <a:blip xmlns:r="http://schemas.openxmlformats.org/officeDocument/2006/relationships" r:embed="rId1">
                  <a:extLst>
                    <a:ext uri="{96DAC541-7B7A-43D3-8B79-37D633B846F1}">
                      <asvg:svgBlip xmlns:asvg="http://schemas.microsoft.com/office/drawing/2016/SVG/main" r:embed="rId2"/>
                    </a:ext>
                  </a:extLst>
                </a:blip>
                <a:stretch>
                  <a:fillRect/>
                </a:stretch>
              </a:blipFill>
              <a:ln w="0" cap="rnd" cmpd="sng" algn="ctr">
                <a:solidFill>
                  <a:srgbClr val="FABD00">
                    <a:alpha val="0"/>
                  </a:srgbClr>
                </a:solidFill>
                <a:prstDash val="solid"/>
                <a:round/>
                <a:headEnd type="none" w="med" len="med"/>
                <a:tailEnd type="none" w="med" len="med"/>
              </a:ln>
            </c:spPr>
          </c:marker>
          <c:xVal>
            <c:numRef>
              <c:f>[0]!TestData.01X</c:f>
              <c:numCache>
                <c:formatCode>General</c:formatCode>
                <c:ptCount val="32"/>
                <c:pt idx="0">
                  <c:v>1</c:v>
                </c:pt>
                <c:pt idx="1">
                  <c:v>1.2498006531532748</c:v>
                </c:pt>
                <c:pt idx="2">
                  <c:v>1.4905439974402503</c:v>
                </c:pt>
                <c:pt idx="3">
                  <c:v>1.7505176898693218</c:v>
                </c:pt>
                <c:pt idx="4">
                  <c:v>2.0811758492812236</c:v>
                </c:pt>
                <c:pt idx="5">
                  <c:v>2.5993821287892263</c:v>
                </c:pt>
                <c:pt idx="6">
                  <c:v>3.199100691269102</c:v>
                </c:pt>
                <c:pt idx="7">
                  <c:v>3.4808335074140819</c:v>
                </c:pt>
                <c:pt idx="8">
                  <c:v>3.6948374199291245</c:v>
                </c:pt>
                <c:pt idx="9">
                  <c:v>4.2145878926820828</c:v>
                </c:pt>
                <c:pt idx="10">
                  <c:v>5.0726134415572464</c:v>
                </c:pt>
                <c:pt idx="11">
                  <c:v>6.0722220032006549</c:v>
                </c:pt>
                <c:pt idx="12">
                  <c:v>6.9271936187029617</c:v>
                </c:pt>
                <c:pt idx="13">
                  <c:v>8.2458044312447143</c:v>
                </c:pt>
                <c:pt idx="14">
                  <c:v>9.2536056800060678</c:v>
                </c:pt>
                <c:pt idx="15">
                  <c:v>9.5889633391203457</c:v>
                </c:pt>
                <c:pt idx="16">
                  <c:v>10.291837850552776</c:v>
                </c:pt>
                <c:pt idx="17">
                  <c:v>10.737835176238006</c:v>
                </c:pt>
                <c:pt idx="18">
                  <c:v>11.077501643786862</c:v>
                </c:pt>
                <c:pt idx="19">
                  <c:v>12.284003177393938</c:v>
                </c:pt>
                <c:pt idx="20">
                  <c:v>12.506340822321947</c:v>
                </c:pt>
                <c:pt idx="21">
                  <c:v>13.564312166554096</c:v>
                </c:pt>
                <c:pt idx="22">
                  <c:v>14.311944549162369</c:v>
                </c:pt>
                <c:pt idx="23">
                  <c:v>14.657223040639606</c:v>
                </c:pt>
                <c:pt idx="24">
                  <c:v>15.637150277183295</c:v>
                </c:pt>
                <c:pt idx="25">
                  <c:v>17.450043385720427</c:v>
                </c:pt>
                <c:pt idx="26">
                  <c:v>19.633672038370378</c:v>
                </c:pt>
                <c:pt idx="27">
                  <c:v>22.924054344690223</c:v>
                </c:pt>
                <c:pt idx="28">
                  <c:v>26.612169346460135</c:v>
                </c:pt>
                <c:pt idx="29">
                  <c:v>30.633353886442066</c:v>
                </c:pt>
                <c:pt idx="30">
                  <c:v>32.834961415782949</c:v>
                </c:pt>
                <c:pt idx="31">
                  <c:v>35.169783543732301</c:v>
                </c:pt>
              </c:numCache>
            </c:numRef>
          </c:xVal>
          <c:yVal>
            <c:numRef>
              <c:f>[0]!TestData.01Y</c:f>
              <c:numCache>
                <c:formatCode>General</c:formatCode>
                <c:ptCount val="32"/>
                <c:pt idx="0">
                  <c:v>159.17911379487072</c:v>
                </c:pt>
                <c:pt idx="1">
                  <c:v>161.00819739934357</c:v>
                </c:pt>
                <c:pt idx="2">
                  <c:v>164.15704517741381</c:v>
                </c:pt>
                <c:pt idx="3">
                  <c:v>166.82371370421808</c:v>
                </c:pt>
                <c:pt idx="4">
                  <c:v>171.8567299994024</c:v>
                </c:pt>
                <c:pt idx="5">
                  <c:v>173.31664514707913</c:v>
                </c:pt>
                <c:pt idx="6">
                  <c:v>178.02366306068225</c:v>
                </c:pt>
                <c:pt idx="7">
                  <c:v>181.01196543414281</c:v>
                </c:pt>
                <c:pt idx="8">
                  <c:v>182.24113082535587</c:v>
                </c:pt>
                <c:pt idx="9">
                  <c:v>184.75653290988788</c:v>
                </c:pt>
                <c:pt idx="10">
                  <c:v>187.62785634320161</c:v>
                </c:pt>
                <c:pt idx="11">
                  <c:v>190.78203510335007</c:v>
                </c:pt>
                <c:pt idx="12">
                  <c:v>193.70291991118017</c:v>
                </c:pt>
                <c:pt idx="13">
                  <c:v>198.55867073389987</c:v>
                </c:pt>
                <c:pt idx="14">
                  <c:v>201.06481508215279</c:v>
                </c:pt>
                <c:pt idx="15">
                  <c:v>200.35450505077219</c:v>
                </c:pt>
                <c:pt idx="16">
                  <c:v>202.82255588791782</c:v>
                </c:pt>
                <c:pt idx="17">
                  <c:v>201.88568819373634</c:v>
                </c:pt>
                <c:pt idx="18">
                  <c:v>204.17905230055732</c:v>
                </c:pt>
                <c:pt idx="19">
                  <c:v>202.86585598414405</c:v>
                </c:pt>
                <c:pt idx="20">
                  <c:v>202.67868121695096</c:v>
                </c:pt>
                <c:pt idx="21">
                  <c:v>204.57837005206068</c:v>
                </c:pt>
                <c:pt idx="22">
                  <c:v>206.61279122242547</c:v>
                </c:pt>
                <c:pt idx="23">
                  <c:v>205.96434938519562</c:v>
                </c:pt>
                <c:pt idx="24">
                  <c:v>205.94605527996245</c:v>
                </c:pt>
                <c:pt idx="25">
                  <c:v>206.40199652071246</c:v>
                </c:pt>
                <c:pt idx="26">
                  <c:v>204.30116729645974</c:v>
                </c:pt>
                <c:pt idx="27">
                  <c:v>200.89347620501272</c:v>
                </c:pt>
                <c:pt idx="28">
                  <c:v>199.90171349844604</c:v>
                </c:pt>
                <c:pt idx="29">
                  <c:v>197.51322169250494</c:v>
                </c:pt>
                <c:pt idx="30">
                  <c:v>196.9382117021579</c:v>
                </c:pt>
                <c:pt idx="31">
                  <c:v>197.43003052305943</c:v>
                </c:pt>
              </c:numCache>
            </c:numRef>
          </c:yVal>
          <c:smooth val="0"/>
          <c:extLst>
            <c:ext xmlns:c16="http://schemas.microsoft.com/office/drawing/2014/chart" uri="{C3380CC4-5D6E-409C-BE32-E72D297353CC}">
              <c16:uniqueId val="{00000002-9FB1-8244-BD3F-4EB6DF646F07}"/>
            </c:ext>
          </c:extLst>
        </c:ser>
        <c:ser>
          <c:idx val="3"/>
          <c:order val="3"/>
          <c:tx>
            <c:strRef>
              <c:f>[0]!TestData.02Name</c:f>
              <c:strCache>
                <c:ptCount val="1"/>
                <c:pt idx="0">
                  <c:v>LV</c:v>
                </c:pt>
              </c:strCache>
            </c:strRef>
          </c:tx>
          <c:spPr>
            <a:ln w="38100" cap="rnd" cmpd="sng" algn="ctr">
              <a:solidFill>
                <a:srgbClr val="D57800"/>
              </a:solidFill>
              <a:prstDash val="solid"/>
              <a:round/>
              <a:headEnd type="none" w="med" len="med"/>
              <a:tailEnd type="none" w="med" len="med"/>
            </a:ln>
            <a:effectLst/>
          </c:spPr>
          <c:marker>
            <c:symbol val="none"/>
          </c:marker>
          <c:xVal>
            <c:numRef>
              <c:f>[0]!TestData.02X</c:f>
              <c:numCache>
                <c:formatCode>General</c:formatCode>
                <c:ptCount val="32"/>
                <c:pt idx="0">
                  <c:v>1</c:v>
                </c:pt>
                <c:pt idx="1">
                  <c:v>1.2519475403081355</c:v>
                </c:pt>
                <c:pt idx="2">
                  <c:v>1.4814596845848131</c:v>
                </c:pt>
                <c:pt idx="3">
                  <c:v>1.7562056648088991</c:v>
                </c:pt>
                <c:pt idx="4">
                  <c:v>1.9770621174153713</c:v>
                </c:pt>
                <c:pt idx="5">
                  <c:v>2.2947750282499042</c:v>
                </c:pt>
                <c:pt idx="6">
                  <c:v>2.8652720959453966</c:v>
                </c:pt>
                <c:pt idx="7">
                  <c:v>3.4171704576739361</c:v>
                </c:pt>
                <c:pt idx="8">
                  <c:v>3.9549525371210605</c:v>
                </c:pt>
                <c:pt idx="9">
                  <c:v>4.1407125186849303</c:v>
                </c:pt>
                <c:pt idx="10">
                  <c:v>4.7220261491897357</c:v>
                </c:pt>
                <c:pt idx="11">
                  <c:v>5.4348226570968974</c:v>
                </c:pt>
                <c:pt idx="12">
                  <c:v>6.3548032138520707</c:v>
                </c:pt>
                <c:pt idx="13">
                  <c:v>7.0706296176055607</c:v>
                </c:pt>
                <c:pt idx="14">
                  <c:v>7.3481350152194977</c:v>
                </c:pt>
                <c:pt idx="15">
                  <c:v>7.576605450416821</c:v>
                </c:pt>
                <c:pt idx="16">
                  <c:v>8.7157039722983018</c:v>
                </c:pt>
                <c:pt idx="17">
                  <c:v>9.9007289630011179</c:v>
                </c:pt>
                <c:pt idx="18">
                  <c:v>11.129878399135178</c:v>
                </c:pt>
                <c:pt idx="19">
                  <c:v>11.612573375294424</c:v>
                </c:pt>
                <c:pt idx="20">
                  <c:v>12.157181434512674</c:v>
                </c:pt>
                <c:pt idx="21">
                  <c:v>12.995450040131924</c:v>
                </c:pt>
                <c:pt idx="22">
                  <c:v>13.930886998505789</c:v>
                </c:pt>
                <c:pt idx="23">
                  <c:v>15.841125742564989</c:v>
                </c:pt>
                <c:pt idx="24">
                  <c:v>17.806721670738423</c:v>
                </c:pt>
                <c:pt idx="25">
                  <c:v>18.887239364992105</c:v>
                </c:pt>
                <c:pt idx="26">
                  <c:v>20.574529191382837</c:v>
                </c:pt>
                <c:pt idx="27">
                  <c:v>24.052356735899526</c:v>
                </c:pt>
                <c:pt idx="28">
                  <c:v>25.171473804360975</c:v>
                </c:pt>
                <c:pt idx="29">
                  <c:v>29.690147605637527</c:v>
                </c:pt>
                <c:pt idx="30">
                  <c:v>31.013920983497538</c:v>
                </c:pt>
                <c:pt idx="31">
                  <c:v>32.409480180734526</c:v>
                </c:pt>
              </c:numCache>
            </c:numRef>
          </c:xVal>
          <c:yVal>
            <c:numRef>
              <c:f>[0]!TestData.02Y</c:f>
              <c:numCache>
                <c:formatCode>General</c:formatCode>
                <c:ptCount val="32"/>
                <c:pt idx="0">
                  <c:v>215.51079565827041</c:v>
                </c:pt>
                <c:pt idx="1">
                  <c:v>219.44132664856843</c:v>
                </c:pt>
                <c:pt idx="2">
                  <c:v>222.54201852428707</c:v>
                </c:pt>
                <c:pt idx="3">
                  <c:v>223.96009867210805</c:v>
                </c:pt>
                <c:pt idx="4">
                  <c:v>227.03825178500639</c:v>
                </c:pt>
                <c:pt idx="5">
                  <c:v>226.01795370918049</c:v>
                </c:pt>
                <c:pt idx="6">
                  <c:v>232.93691423523518</c:v>
                </c:pt>
                <c:pt idx="7">
                  <c:v>235.79197848148627</c:v>
                </c:pt>
                <c:pt idx="8">
                  <c:v>236.45435494575005</c:v>
                </c:pt>
                <c:pt idx="9">
                  <c:v>240.06218113525046</c:v>
                </c:pt>
                <c:pt idx="10">
                  <c:v>241.51614141978965</c:v>
                </c:pt>
                <c:pt idx="11">
                  <c:v>241.54066088591173</c:v>
                </c:pt>
                <c:pt idx="12">
                  <c:v>246.13137252143727</c:v>
                </c:pt>
                <c:pt idx="13">
                  <c:v>248.99029958172866</c:v>
                </c:pt>
                <c:pt idx="14">
                  <c:v>248.2830706584345</c:v>
                </c:pt>
                <c:pt idx="15">
                  <c:v>247.40348530122131</c:v>
                </c:pt>
                <c:pt idx="16">
                  <c:v>248.36171316320758</c:v>
                </c:pt>
                <c:pt idx="17">
                  <c:v>251.0697466542552</c:v>
                </c:pt>
                <c:pt idx="18">
                  <c:v>249.35477486524059</c:v>
                </c:pt>
                <c:pt idx="19">
                  <c:v>249.00381839511422</c:v>
                </c:pt>
                <c:pt idx="20">
                  <c:v>251.31786048014851</c:v>
                </c:pt>
                <c:pt idx="21">
                  <c:v>250.7603771742414</c:v>
                </c:pt>
                <c:pt idx="22">
                  <c:v>249.21726981075079</c:v>
                </c:pt>
                <c:pt idx="23">
                  <c:v>247.12073709191472</c:v>
                </c:pt>
                <c:pt idx="24">
                  <c:v>245.94993602461511</c:v>
                </c:pt>
                <c:pt idx="25">
                  <c:v>248.08287010209585</c:v>
                </c:pt>
                <c:pt idx="26">
                  <c:v>244.77470595898308</c:v>
                </c:pt>
                <c:pt idx="27">
                  <c:v>239.4847123584122</c:v>
                </c:pt>
                <c:pt idx="28">
                  <c:v>239.25871151642269</c:v>
                </c:pt>
                <c:pt idx="29">
                  <c:v>233.55524656229218</c:v>
                </c:pt>
                <c:pt idx="30">
                  <c:v>234.19819027412618</c:v>
                </c:pt>
                <c:pt idx="31">
                  <c:v>232.35548649205245</c:v>
                </c:pt>
              </c:numCache>
            </c:numRef>
          </c:yVal>
          <c:smooth val="0"/>
          <c:extLst>
            <c:ext xmlns:c16="http://schemas.microsoft.com/office/drawing/2014/chart" uri="{C3380CC4-5D6E-409C-BE32-E72D297353CC}">
              <c16:uniqueId val="{00000004-9FB1-8244-BD3F-4EB6DF646F07}"/>
            </c:ext>
          </c:extLst>
        </c:ser>
        <c:ser>
          <c:idx val="5"/>
          <c:order val="4"/>
          <c:tx>
            <c:strRef>
              <c:f>[0]!TestData.02Name</c:f>
              <c:strCache>
                <c:ptCount val="1"/>
                <c:pt idx="0">
                  <c:v>LV</c:v>
                </c:pt>
              </c:strCache>
            </c:strRef>
          </c:tx>
          <c:spPr>
            <a:ln w="12700" cap="rnd" cmpd="sng" algn="ctr">
              <a:solidFill>
                <a:srgbClr val="4E5B31"/>
              </a:solidFill>
              <a:prstDash val="solid"/>
              <a:round/>
              <a:headEnd type="none" w="med" len="med"/>
              <a:tailEnd type="none" w="med" len="med"/>
            </a:ln>
            <a:effectLst/>
          </c:spPr>
          <c:marker>
            <c:symbol val="none"/>
          </c:marker>
          <c:xVal>
            <c:numRef>
              <c:f>[0]!TestData.02X</c:f>
              <c:numCache>
                <c:formatCode>General</c:formatCode>
                <c:ptCount val="32"/>
                <c:pt idx="0">
                  <c:v>1</c:v>
                </c:pt>
                <c:pt idx="1">
                  <c:v>1.2519475403081355</c:v>
                </c:pt>
                <c:pt idx="2">
                  <c:v>1.4814596845848131</c:v>
                </c:pt>
                <c:pt idx="3">
                  <c:v>1.7562056648088991</c:v>
                </c:pt>
                <c:pt idx="4">
                  <c:v>1.9770621174153713</c:v>
                </c:pt>
                <c:pt idx="5">
                  <c:v>2.2947750282499042</c:v>
                </c:pt>
                <c:pt idx="6">
                  <c:v>2.8652720959453966</c:v>
                </c:pt>
                <c:pt idx="7">
                  <c:v>3.4171704576739361</c:v>
                </c:pt>
                <c:pt idx="8">
                  <c:v>3.9549525371210605</c:v>
                </c:pt>
                <c:pt idx="9">
                  <c:v>4.1407125186849303</c:v>
                </c:pt>
                <c:pt idx="10">
                  <c:v>4.7220261491897357</c:v>
                </c:pt>
                <c:pt idx="11">
                  <c:v>5.4348226570968974</c:v>
                </c:pt>
                <c:pt idx="12">
                  <c:v>6.3548032138520707</c:v>
                </c:pt>
                <c:pt idx="13">
                  <c:v>7.0706296176055607</c:v>
                </c:pt>
                <c:pt idx="14">
                  <c:v>7.3481350152194977</c:v>
                </c:pt>
                <c:pt idx="15">
                  <c:v>7.576605450416821</c:v>
                </c:pt>
                <c:pt idx="16">
                  <c:v>8.7157039722983018</c:v>
                </c:pt>
                <c:pt idx="17">
                  <c:v>9.9007289630011179</c:v>
                </c:pt>
                <c:pt idx="18">
                  <c:v>11.129878399135178</c:v>
                </c:pt>
                <c:pt idx="19">
                  <c:v>11.612573375294424</c:v>
                </c:pt>
                <c:pt idx="20">
                  <c:v>12.157181434512674</c:v>
                </c:pt>
                <c:pt idx="21">
                  <c:v>12.995450040131924</c:v>
                </c:pt>
                <c:pt idx="22">
                  <c:v>13.930886998505789</c:v>
                </c:pt>
                <c:pt idx="23">
                  <c:v>15.841125742564989</c:v>
                </c:pt>
                <c:pt idx="24">
                  <c:v>17.806721670738423</c:v>
                </c:pt>
                <c:pt idx="25">
                  <c:v>18.887239364992105</c:v>
                </c:pt>
                <c:pt idx="26">
                  <c:v>20.574529191382837</c:v>
                </c:pt>
                <c:pt idx="27">
                  <c:v>24.052356735899526</c:v>
                </c:pt>
                <c:pt idx="28">
                  <c:v>25.171473804360975</c:v>
                </c:pt>
                <c:pt idx="29">
                  <c:v>29.690147605637527</c:v>
                </c:pt>
                <c:pt idx="30">
                  <c:v>31.013920983497538</c:v>
                </c:pt>
                <c:pt idx="31">
                  <c:v>32.409480180734526</c:v>
                </c:pt>
              </c:numCache>
            </c:numRef>
          </c:xVal>
          <c:yVal>
            <c:numRef>
              <c:f>[0]!TestData.02Y</c:f>
              <c:numCache>
                <c:formatCode>General</c:formatCode>
                <c:ptCount val="32"/>
                <c:pt idx="0">
                  <c:v>215.51079565827041</c:v>
                </c:pt>
                <c:pt idx="1">
                  <c:v>219.44132664856843</c:v>
                </c:pt>
                <c:pt idx="2">
                  <c:v>222.54201852428707</c:v>
                </c:pt>
                <c:pt idx="3">
                  <c:v>223.96009867210805</c:v>
                </c:pt>
                <c:pt idx="4">
                  <c:v>227.03825178500639</c:v>
                </c:pt>
                <c:pt idx="5">
                  <c:v>226.01795370918049</c:v>
                </c:pt>
                <c:pt idx="6">
                  <c:v>232.93691423523518</c:v>
                </c:pt>
                <c:pt idx="7">
                  <c:v>235.79197848148627</c:v>
                </c:pt>
                <c:pt idx="8">
                  <c:v>236.45435494575005</c:v>
                </c:pt>
                <c:pt idx="9">
                  <c:v>240.06218113525046</c:v>
                </c:pt>
                <c:pt idx="10">
                  <c:v>241.51614141978965</c:v>
                </c:pt>
                <c:pt idx="11">
                  <c:v>241.54066088591173</c:v>
                </c:pt>
                <c:pt idx="12">
                  <c:v>246.13137252143727</c:v>
                </c:pt>
                <c:pt idx="13">
                  <c:v>248.99029958172866</c:v>
                </c:pt>
                <c:pt idx="14">
                  <c:v>248.2830706584345</c:v>
                </c:pt>
                <c:pt idx="15">
                  <c:v>247.40348530122131</c:v>
                </c:pt>
                <c:pt idx="16">
                  <c:v>248.36171316320758</c:v>
                </c:pt>
                <c:pt idx="17">
                  <c:v>251.0697466542552</c:v>
                </c:pt>
                <c:pt idx="18">
                  <c:v>249.35477486524059</c:v>
                </c:pt>
                <c:pt idx="19">
                  <c:v>249.00381839511422</c:v>
                </c:pt>
                <c:pt idx="20">
                  <c:v>251.31786048014851</c:v>
                </c:pt>
                <c:pt idx="21">
                  <c:v>250.7603771742414</c:v>
                </c:pt>
                <c:pt idx="22">
                  <c:v>249.21726981075079</c:v>
                </c:pt>
                <c:pt idx="23">
                  <c:v>247.12073709191472</c:v>
                </c:pt>
                <c:pt idx="24">
                  <c:v>245.94993602461511</c:v>
                </c:pt>
                <c:pt idx="25">
                  <c:v>248.08287010209585</c:v>
                </c:pt>
                <c:pt idx="26">
                  <c:v>244.77470595898308</c:v>
                </c:pt>
                <c:pt idx="27">
                  <c:v>239.4847123584122</c:v>
                </c:pt>
                <c:pt idx="28">
                  <c:v>239.25871151642269</c:v>
                </c:pt>
                <c:pt idx="29">
                  <c:v>233.55524656229218</c:v>
                </c:pt>
                <c:pt idx="30">
                  <c:v>234.19819027412618</c:v>
                </c:pt>
                <c:pt idx="31">
                  <c:v>232.35548649205245</c:v>
                </c:pt>
              </c:numCache>
            </c:numRef>
          </c:yVal>
          <c:smooth val="0"/>
          <c:extLst>
            <c:ext xmlns:c16="http://schemas.microsoft.com/office/drawing/2014/chart" uri="{C3380CC4-5D6E-409C-BE32-E72D297353CC}">
              <c16:uniqueId val="{00000006-9FB1-8244-BD3F-4EB6DF646F07}"/>
            </c:ext>
          </c:extLst>
        </c:ser>
        <c:ser>
          <c:idx val="4"/>
          <c:order val="5"/>
          <c:tx>
            <c:strRef>
              <c:f>[0]!TestData.02Name</c:f>
              <c:strCache>
                <c:ptCount val="1"/>
                <c:pt idx="0">
                  <c:v>LV</c:v>
                </c:pt>
              </c:strCache>
            </c:strRef>
          </c:tx>
          <c:spPr>
            <a:ln w="0" cap="rnd" cmpd="sng" algn="ctr">
              <a:solidFill>
                <a:srgbClr val="046A38">
                  <a:alpha val="0"/>
                </a:srgbClr>
              </a:solidFill>
              <a:prstDash val="solid"/>
              <a:round/>
              <a:headEnd type="none" w="med" len="med"/>
              <a:tailEnd type="none" w="med" len="med"/>
            </a:ln>
            <a:effectLst/>
          </c:spPr>
          <c:marker>
            <c:symbol val="picture"/>
            <c:spPr>
              <a:blipFill>
                <a:blip xmlns:r="http://schemas.openxmlformats.org/officeDocument/2006/relationships" r:embed="rId3">
                  <a:extLst>
                    <a:ext uri="{96DAC541-7B7A-43D3-8B79-37D633B846F1}">
                      <asvg:svgBlip xmlns:asvg="http://schemas.microsoft.com/office/drawing/2016/SVG/main" r:embed="rId4"/>
                    </a:ext>
                  </a:extLst>
                </a:blip>
                <a:stretch>
                  <a:fillRect/>
                </a:stretch>
              </a:blipFill>
              <a:ln w="0" cap="rnd" cmpd="sng" algn="ctr">
                <a:solidFill>
                  <a:srgbClr val="046A38">
                    <a:alpha val="0"/>
                  </a:srgbClr>
                </a:solidFill>
                <a:prstDash val="solid"/>
                <a:round/>
                <a:headEnd type="none" w="med" len="med"/>
                <a:tailEnd type="none" w="med" len="med"/>
              </a:ln>
            </c:spPr>
          </c:marker>
          <c:xVal>
            <c:numRef>
              <c:f>[0]!TestData.02X</c:f>
              <c:numCache>
                <c:formatCode>General</c:formatCode>
                <c:ptCount val="32"/>
                <c:pt idx="0">
                  <c:v>1</c:v>
                </c:pt>
                <c:pt idx="1">
                  <c:v>1.2519475403081355</c:v>
                </c:pt>
                <c:pt idx="2">
                  <c:v>1.4814596845848131</c:v>
                </c:pt>
                <c:pt idx="3">
                  <c:v>1.7562056648088991</c:v>
                </c:pt>
                <c:pt idx="4">
                  <c:v>1.9770621174153713</c:v>
                </c:pt>
                <c:pt idx="5">
                  <c:v>2.2947750282499042</c:v>
                </c:pt>
                <c:pt idx="6">
                  <c:v>2.8652720959453966</c:v>
                </c:pt>
                <c:pt idx="7">
                  <c:v>3.4171704576739361</c:v>
                </c:pt>
                <c:pt idx="8">
                  <c:v>3.9549525371210605</c:v>
                </c:pt>
                <c:pt idx="9">
                  <c:v>4.1407125186849303</c:v>
                </c:pt>
                <c:pt idx="10">
                  <c:v>4.7220261491897357</c:v>
                </c:pt>
                <c:pt idx="11">
                  <c:v>5.4348226570968974</c:v>
                </c:pt>
                <c:pt idx="12">
                  <c:v>6.3548032138520707</c:v>
                </c:pt>
                <c:pt idx="13">
                  <c:v>7.0706296176055607</c:v>
                </c:pt>
                <c:pt idx="14">
                  <c:v>7.3481350152194977</c:v>
                </c:pt>
                <c:pt idx="15">
                  <c:v>7.576605450416821</c:v>
                </c:pt>
                <c:pt idx="16">
                  <c:v>8.7157039722983018</c:v>
                </c:pt>
                <c:pt idx="17">
                  <c:v>9.9007289630011179</c:v>
                </c:pt>
                <c:pt idx="18">
                  <c:v>11.129878399135178</c:v>
                </c:pt>
                <c:pt idx="19">
                  <c:v>11.612573375294424</c:v>
                </c:pt>
                <c:pt idx="20">
                  <c:v>12.157181434512674</c:v>
                </c:pt>
                <c:pt idx="21">
                  <c:v>12.995450040131924</c:v>
                </c:pt>
                <c:pt idx="22">
                  <c:v>13.930886998505789</c:v>
                </c:pt>
                <c:pt idx="23">
                  <c:v>15.841125742564989</c:v>
                </c:pt>
                <c:pt idx="24">
                  <c:v>17.806721670738423</c:v>
                </c:pt>
                <c:pt idx="25">
                  <c:v>18.887239364992105</c:v>
                </c:pt>
                <c:pt idx="26">
                  <c:v>20.574529191382837</c:v>
                </c:pt>
                <c:pt idx="27">
                  <c:v>24.052356735899526</c:v>
                </c:pt>
                <c:pt idx="28">
                  <c:v>25.171473804360975</c:v>
                </c:pt>
                <c:pt idx="29">
                  <c:v>29.690147605637527</c:v>
                </c:pt>
                <c:pt idx="30">
                  <c:v>31.013920983497538</c:v>
                </c:pt>
                <c:pt idx="31">
                  <c:v>32.409480180734526</c:v>
                </c:pt>
              </c:numCache>
            </c:numRef>
          </c:xVal>
          <c:yVal>
            <c:numRef>
              <c:f>[0]!TestData.02Y</c:f>
              <c:numCache>
                <c:formatCode>General</c:formatCode>
                <c:ptCount val="32"/>
                <c:pt idx="0">
                  <c:v>215.51079565827041</c:v>
                </c:pt>
                <c:pt idx="1">
                  <c:v>219.44132664856843</c:v>
                </c:pt>
                <c:pt idx="2">
                  <c:v>222.54201852428707</c:v>
                </c:pt>
                <c:pt idx="3">
                  <c:v>223.96009867210805</c:v>
                </c:pt>
                <c:pt idx="4">
                  <c:v>227.03825178500639</c:v>
                </c:pt>
                <c:pt idx="5">
                  <c:v>226.01795370918049</c:v>
                </c:pt>
                <c:pt idx="6">
                  <c:v>232.93691423523518</c:v>
                </c:pt>
                <c:pt idx="7">
                  <c:v>235.79197848148627</c:v>
                </c:pt>
                <c:pt idx="8">
                  <c:v>236.45435494575005</c:v>
                </c:pt>
                <c:pt idx="9">
                  <c:v>240.06218113525046</c:v>
                </c:pt>
                <c:pt idx="10">
                  <c:v>241.51614141978965</c:v>
                </c:pt>
                <c:pt idx="11">
                  <c:v>241.54066088591173</c:v>
                </c:pt>
                <c:pt idx="12">
                  <c:v>246.13137252143727</c:v>
                </c:pt>
                <c:pt idx="13">
                  <c:v>248.99029958172866</c:v>
                </c:pt>
                <c:pt idx="14">
                  <c:v>248.2830706584345</c:v>
                </c:pt>
                <c:pt idx="15">
                  <c:v>247.40348530122131</c:v>
                </c:pt>
                <c:pt idx="16">
                  <c:v>248.36171316320758</c:v>
                </c:pt>
                <c:pt idx="17">
                  <c:v>251.0697466542552</c:v>
                </c:pt>
                <c:pt idx="18">
                  <c:v>249.35477486524059</c:v>
                </c:pt>
                <c:pt idx="19">
                  <c:v>249.00381839511422</c:v>
                </c:pt>
                <c:pt idx="20">
                  <c:v>251.31786048014851</c:v>
                </c:pt>
                <c:pt idx="21">
                  <c:v>250.7603771742414</c:v>
                </c:pt>
                <c:pt idx="22">
                  <c:v>249.21726981075079</c:v>
                </c:pt>
                <c:pt idx="23">
                  <c:v>247.12073709191472</c:v>
                </c:pt>
                <c:pt idx="24">
                  <c:v>245.94993602461511</c:v>
                </c:pt>
                <c:pt idx="25">
                  <c:v>248.08287010209585</c:v>
                </c:pt>
                <c:pt idx="26">
                  <c:v>244.77470595898308</c:v>
                </c:pt>
                <c:pt idx="27">
                  <c:v>239.4847123584122</c:v>
                </c:pt>
                <c:pt idx="28">
                  <c:v>239.25871151642269</c:v>
                </c:pt>
                <c:pt idx="29">
                  <c:v>233.55524656229218</c:v>
                </c:pt>
                <c:pt idx="30">
                  <c:v>234.19819027412618</c:v>
                </c:pt>
                <c:pt idx="31">
                  <c:v>232.35548649205245</c:v>
                </c:pt>
              </c:numCache>
            </c:numRef>
          </c:yVal>
          <c:smooth val="0"/>
          <c:extLst>
            <c:ext xmlns:c16="http://schemas.microsoft.com/office/drawing/2014/chart" uri="{C3380CC4-5D6E-409C-BE32-E72D297353CC}">
              <c16:uniqueId val="{00000005-9FB1-8244-BD3F-4EB6DF646F07}"/>
            </c:ext>
          </c:extLst>
        </c:ser>
        <c:ser>
          <c:idx val="6"/>
          <c:order val="6"/>
          <c:tx>
            <c:strRef>
              <c:f>[0]!TestData.03Name</c:f>
              <c:strCache>
                <c:ptCount val="1"/>
                <c:pt idx="0">
                  <c:v>EE</c:v>
                </c:pt>
              </c:strCache>
            </c:strRef>
          </c:tx>
          <c:spPr>
            <a:ln w="38100" cap="rnd" cmpd="sng" algn="ctr">
              <a:solidFill>
                <a:srgbClr val="CF142B"/>
              </a:solidFill>
              <a:prstDash val="solid"/>
              <a:round/>
              <a:headEnd type="none" w="med" len="med"/>
              <a:tailEnd type="none" w="med" len="med"/>
            </a:ln>
            <a:effectLst/>
          </c:spPr>
          <c:marker>
            <c:symbol val="none"/>
          </c:marker>
          <c:xVal>
            <c:numRef>
              <c:f>[0]!TestData.03X</c:f>
              <c:numCache>
                <c:formatCode>General</c:formatCode>
                <c:ptCount val="32"/>
                <c:pt idx="0">
                  <c:v>1</c:v>
                </c:pt>
                <c:pt idx="1">
                  <c:v>1.3232074552478108</c:v>
                </c:pt>
                <c:pt idx="2">
                  <c:v>1.5968941663149292</c:v>
                </c:pt>
                <c:pt idx="3">
                  <c:v>2.0374310682281815</c:v>
                </c:pt>
                <c:pt idx="4">
                  <c:v>2.3661242424290498</c:v>
                </c:pt>
                <c:pt idx="5">
                  <c:v>2.5524191009223887</c:v>
                </c:pt>
                <c:pt idx="6">
                  <c:v>3.0876113338290998</c:v>
                </c:pt>
                <c:pt idx="7">
                  <c:v>3.7129005069320238</c:v>
                </c:pt>
                <c:pt idx="8">
                  <c:v>3.8984784128452774</c:v>
                </c:pt>
                <c:pt idx="9">
                  <c:v>4.6167964320750112</c:v>
                </c:pt>
                <c:pt idx="10">
                  <c:v>5.0779883107828265</c:v>
                </c:pt>
                <c:pt idx="11">
                  <c:v>5.4884037543255069</c:v>
                </c:pt>
                <c:pt idx="12">
                  <c:v>6.4563168216808586</c:v>
                </c:pt>
                <c:pt idx="13">
                  <c:v>7.7498851326930094</c:v>
                </c:pt>
                <c:pt idx="14">
                  <c:v>9.1607743089625764</c:v>
                </c:pt>
                <c:pt idx="15">
                  <c:v>9.3465569865496594</c:v>
                </c:pt>
                <c:pt idx="16">
                  <c:v>10.329716406194438</c:v>
                </c:pt>
                <c:pt idx="17">
                  <c:v>11.022976541065779</c:v>
                </c:pt>
                <c:pt idx="18">
                  <c:v>11.331105036831294</c:v>
                </c:pt>
                <c:pt idx="19">
                  <c:v>12.306054175082409</c:v>
                </c:pt>
                <c:pt idx="20">
                  <c:v>12.596991587066837</c:v>
                </c:pt>
                <c:pt idx="21">
                  <c:v>13.456472777705969</c:v>
                </c:pt>
                <c:pt idx="22">
                  <c:v>15.948644628633296</c:v>
                </c:pt>
                <c:pt idx="23">
                  <c:v>18.64020396602653</c:v>
                </c:pt>
                <c:pt idx="24">
                  <c:v>20.109482360596239</c:v>
                </c:pt>
                <c:pt idx="25">
                  <c:v>23.352355731045375</c:v>
                </c:pt>
                <c:pt idx="26">
                  <c:v>23.648939353031768</c:v>
                </c:pt>
                <c:pt idx="27">
                  <c:v>27.526462904347564</c:v>
                </c:pt>
                <c:pt idx="28">
                  <c:v>32.428601525482684</c:v>
                </c:pt>
                <c:pt idx="29">
                  <c:v>33.400219859721716</c:v>
                </c:pt>
                <c:pt idx="30">
                  <c:v>38.505942944281024</c:v>
                </c:pt>
                <c:pt idx="31">
                  <c:v>39.251324116083509</c:v>
                </c:pt>
              </c:numCache>
            </c:numRef>
          </c:xVal>
          <c:yVal>
            <c:numRef>
              <c:f>[0]!TestData.03Y</c:f>
              <c:numCache>
                <c:formatCode>General</c:formatCode>
                <c:ptCount val="32"/>
                <c:pt idx="0">
                  <c:v>192.19674521880873</c:v>
                </c:pt>
                <c:pt idx="1">
                  <c:v>193.56435833371424</c:v>
                </c:pt>
                <c:pt idx="2">
                  <c:v>197.24228019590424</c:v>
                </c:pt>
                <c:pt idx="3">
                  <c:v>201.07067357095889</c:v>
                </c:pt>
                <c:pt idx="4">
                  <c:v>203.4287492337717</c:v>
                </c:pt>
                <c:pt idx="5">
                  <c:v>205.28624276804013</c:v>
                </c:pt>
                <c:pt idx="6">
                  <c:v>208.48900037135735</c:v>
                </c:pt>
                <c:pt idx="7">
                  <c:v>215.73247023940306</c:v>
                </c:pt>
                <c:pt idx="8">
                  <c:v>213.38494192874211</c:v>
                </c:pt>
                <c:pt idx="9">
                  <c:v>219.53087033792067</c:v>
                </c:pt>
                <c:pt idx="10">
                  <c:v>220.68645472893664</c:v>
                </c:pt>
                <c:pt idx="11">
                  <c:v>222.32232032150773</c:v>
                </c:pt>
                <c:pt idx="12">
                  <c:v>224.69842776304705</c:v>
                </c:pt>
                <c:pt idx="13">
                  <c:v>231.03247137741829</c:v>
                </c:pt>
                <c:pt idx="14">
                  <c:v>230.7534341634701</c:v>
                </c:pt>
                <c:pt idx="15">
                  <c:v>233.83718965739931</c:v>
                </c:pt>
                <c:pt idx="16">
                  <c:v>234.94889001461914</c:v>
                </c:pt>
                <c:pt idx="17">
                  <c:v>235.04939612245911</c:v>
                </c:pt>
                <c:pt idx="18">
                  <c:v>235.49938286717952</c:v>
                </c:pt>
                <c:pt idx="19">
                  <c:v>236.03150115755352</c:v>
                </c:pt>
                <c:pt idx="20">
                  <c:v>235.97510826953453</c:v>
                </c:pt>
                <c:pt idx="21">
                  <c:v>233.9232218854695</c:v>
                </c:pt>
                <c:pt idx="22">
                  <c:v>234.04223464772863</c:v>
                </c:pt>
                <c:pt idx="23">
                  <c:v>233.04711957265076</c:v>
                </c:pt>
                <c:pt idx="24">
                  <c:v>228.96800114908717</c:v>
                </c:pt>
                <c:pt idx="25">
                  <c:v>227.46727655413576</c:v>
                </c:pt>
                <c:pt idx="26">
                  <c:v>227.04711980488463</c:v>
                </c:pt>
                <c:pt idx="27">
                  <c:v>222.36824293395358</c:v>
                </c:pt>
                <c:pt idx="28">
                  <c:v>219.45157269022187</c:v>
                </c:pt>
                <c:pt idx="29">
                  <c:v>216.43438195414814</c:v>
                </c:pt>
                <c:pt idx="30">
                  <c:v>214.60927663782937</c:v>
                </c:pt>
                <c:pt idx="31">
                  <c:v>214.69733099448169</c:v>
                </c:pt>
              </c:numCache>
            </c:numRef>
          </c:yVal>
          <c:smooth val="0"/>
          <c:extLst>
            <c:ext xmlns:c16="http://schemas.microsoft.com/office/drawing/2014/chart" uri="{C3380CC4-5D6E-409C-BE32-E72D297353CC}">
              <c16:uniqueId val="{00000007-9FB1-8244-BD3F-4EB6DF646F07}"/>
            </c:ext>
          </c:extLst>
        </c:ser>
        <c:ser>
          <c:idx val="7"/>
          <c:order val="7"/>
          <c:tx>
            <c:strRef>
              <c:f>[0]!TestData.03Name</c:f>
              <c:strCache>
                <c:ptCount val="1"/>
                <c:pt idx="0">
                  <c:v>EE</c:v>
                </c:pt>
              </c:strCache>
            </c:strRef>
          </c:tx>
          <c:spPr>
            <a:ln w="12700" cap="rnd" cmpd="sng" algn="ctr">
              <a:solidFill>
                <a:srgbClr val="FFFFFF"/>
              </a:solidFill>
              <a:prstDash val="solid"/>
              <a:round/>
              <a:headEnd type="none" w="med" len="med"/>
              <a:tailEnd type="none" w="med" len="med"/>
            </a:ln>
            <a:effectLst/>
          </c:spPr>
          <c:marker>
            <c:symbol val="none"/>
          </c:marker>
          <c:xVal>
            <c:numRef>
              <c:f>[0]!TestData.03X</c:f>
              <c:numCache>
                <c:formatCode>General</c:formatCode>
                <c:ptCount val="32"/>
                <c:pt idx="0">
                  <c:v>1</c:v>
                </c:pt>
                <c:pt idx="1">
                  <c:v>1.3232074552478108</c:v>
                </c:pt>
                <c:pt idx="2">
                  <c:v>1.5968941663149292</c:v>
                </c:pt>
                <c:pt idx="3">
                  <c:v>2.0374310682281815</c:v>
                </c:pt>
                <c:pt idx="4">
                  <c:v>2.3661242424290498</c:v>
                </c:pt>
                <c:pt idx="5">
                  <c:v>2.5524191009223887</c:v>
                </c:pt>
                <c:pt idx="6">
                  <c:v>3.0876113338290998</c:v>
                </c:pt>
                <c:pt idx="7">
                  <c:v>3.7129005069320238</c:v>
                </c:pt>
                <c:pt idx="8">
                  <c:v>3.8984784128452774</c:v>
                </c:pt>
                <c:pt idx="9">
                  <c:v>4.6167964320750112</c:v>
                </c:pt>
                <c:pt idx="10">
                  <c:v>5.0779883107828265</c:v>
                </c:pt>
                <c:pt idx="11">
                  <c:v>5.4884037543255069</c:v>
                </c:pt>
                <c:pt idx="12">
                  <c:v>6.4563168216808586</c:v>
                </c:pt>
                <c:pt idx="13">
                  <c:v>7.7498851326930094</c:v>
                </c:pt>
                <c:pt idx="14">
                  <c:v>9.1607743089625764</c:v>
                </c:pt>
                <c:pt idx="15">
                  <c:v>9.3465569865496594</c:v>
                </c:pt>
                <c:pt idx="16">
                  <c:v>10.329716406194438</c:v>
                </c:pt>
                <c:pt idx="17">
                  <c:v>11.022976541065779</c:v>
                </c:pt>
                <c:pt idx="18">
                  <c:v>11.331105036831294</c:v>
                </c:pt>
                <c:pt idx="19">
                  <c:v>12.306054175082409</c:v>
                </c:pt>
                <c:pt idx="20">
                  <c:v>12.596991587066837</c:v>
                </c:pt>
                <c:pt idx="21">
                  <c:v>13.456472777705969</c:v>
                </c:pt>
                <c:pt idx="22">
                  <c:v>15.948644628633296</c:v>
                </c:pt>
                <c:pt idx="23">
                  <c:v>18.64020396602653</c:v>
                </c:pt>
                <c:pt idx="24">
                  <c:v>20.109482360596239</c:v>
                </c:pt>
                <c:pt idx="25">
                  <c:v>23.352355731045375</c:v>
                </c:pt>
                <c:pt idx="26">
                  <c:v>23.648939353031768</c:v>
                </c:pt>
                <c:pt idx="27">
                  <c:v>27.526462904347564</c:v>
                </c:pt>
                <c:pt idx="28">
                  <c:v>32.428601525482684</c:v>
                </c:pt>
                <c:pt idx="29">
                  <c:v>33.400219859721716</c:v>
                </c:pt>
                <c:pt idx="30">
                  <c:v>38.505942944281024</c:v>
                </c:pt>
                <c:pt idx="31">
                  <c:v>39.251324116083509</c:v>
                </c:pt>
              </c:numCache>
            </c:numRef>
          </c:xVal>
          <c:yVal>
            <c:numRef>
              <c:f>[0]!TestData.03Y</c:f>
              <c:numCache>
                <c:formatCode>General</c:formatCode>
                <c:ptCount val="32"/>
                <c:pt idx="0">
                  <c:v>192.19674521880873</c:v>
                </c:pt>
                <c:pt idx="1">
                  <c:v>193.56435833371424</c:v>
                </c:pt>
                <c:pt idx="2">
                  <c:v>197.24228019590424</c:v>
                </c:pt>
                <c:pt idx="3">
                  <c:v>201.07067357095889</c:v>
                </c:pt>
                <c:pt idx="4">
                  <c:v>203.4287492337717</c:v>
                </c:pt>
                <c:pt idx="5">
                  <c:v>205.28624276804013</c:v>
                </c:pt>
                <c:pt idx="6">
                  <c:v>208.48900037135735</c:v>
                </c:pt>
                <c:pt idx="7">
                  <c:v>215.73247023940306</c:v>
                </c:pt>
                <c:pt idx="8">
                  <c:v>213.38494192874211</c:v>
                </c:pt>
                <c:pt idx="9">
                  <c:v>219.53087033792067</c:v>
                </c:pt>
                <c:pt idx="10">
                  <c:v>220.68645472893664</c:v>
                </c:pt>
                <c:pt idx="11">
                  <c:v>222.32232032150773</c:v>
                </c:pt>
                <c:pt idx="12">
                  <c:v>224.69842776304705</c:v>
                </c:pt>
                <c:pt idx="13">
                  <c:v>231.03247137741829</c:v>
                </c:pt>
                <c:pt idx="14">
                  <c:v>230.7534341634701</c:v>
                </c:pt>
                <c:pt idx="15">
                  <c:v>233.83718965739931</c:v>
                </c:pt>
                <c:pt idx="16">
                  <c:v>234.94889001461914</c:v>
                </c:pt>
                <c:pt idx="17">
                  <c:v>235.04939612245911</c:v>
                </c:pt>
                <c:pt idx="18">
                  <c:v>235.49938286717952</c:v>
                </c:pt>
                <c:pt idx="19">
                  <c:v>236.03150115755352</c:v>
                </c:pt>
                <c:pt idx="20">
                  <c:v>235.97510826953453</c:v>
                </c:pt>
                <c:pt idx="21">
                  <c:v>233.9232218854695</c:v>
                </c:pt>
                <c:pt idx="22">
                  <c:v>234.04223464772863</c:v>
                </c:pt>
                <c:pt idx="23">
                  <c:v>233.04711957265076</c:v>
                </c:pt>
                <c:pt idx="24">
                  <c:v>228.96800114908717</c:v>
                </c:pt>
                <c:pt idx="25">
                  <c:v>227.46727655413576</c:v>
                </c:pt>
                <c:pt idx="26">
                  <c:v>227.04711980488463</c:v>
                </c:pt>
                <c:pt idx="27">
                  <c:v>222.36824293395358</c:v>
                </c:pt>
                <c:pt idx="28">
                  <c:v>219.45157269022187</c:v>
                </c:pt>
                <c:pt idx="29">
                  <c:v>216.43438195414814</c:v>
                </c:pt>
                <c:pt idx="30">
                  <c:v>214.60927663782937</c:v>
                </c:pt>
                <c:pt idx="31">
                  <c:v>214.69733099448169</c:v>
                </c:pt>
              </c:numCache>
            </c:numRef>
          </c:yVal>
          <c:smooth val="0"/>
          <c:extLst>
            <c:ext xmlns:c16="http://schemas.microsoft.com/office/drawing/2014/chart" uri="{C3380CC4-5D6E-409C-BE32-E72D297353CC}">
              <c16:uniqueId val="{00000008-9FB1-8244-BD3F-4EB6DF646F07}"/>
            </c:ext>
          </c:extLst>
        </c:ser>
        <c:ser>
          <c:idx val="8"/>
          <c:order val="8"/>
          <c:tx>
            <c:strRef>
              <c:f>[0]!TestData.03Name</c:f>
              <c:strCache>
                <c:ptCount val="1"/>
                <c:pt idx="0">
                  <c:v>EE</c:v>
                </c:pt>
              </c:strCache>
            </c:strRef>
          </c:tx>
          <c:spPr>
            <a:ln w="0" cap="rnd" cmpd="sng" algn="ctr">
              <a:solidFill>
                <a:srgbClr val="A5A5A5">
                  <a:lumMod val="60000"/>
                  <a:alpha val="0"/>
                </a:srgbClr>
              </a:solidFill>
              <a:prstDash val="solid"/>
              <a:round/>
              <a:headEnd type="none" w="med" len="med"/>
              <a:tailEnd type="none" w="med" len="med"/>
            </a:ln>
            <a:effectLst/>
          </c:spPr>
          <c:marker>
            <c:symbol val="picture"/>
            <c:spPr>
              <a:blipFill>
                <a:blip xmlns:r="http://schemas.openxmlformats.org/officeDocument/2006/relationships" r:embed="rId5">
                  <a:extLst>
                    <a:ext uri="{96DAC541-7B7A-43D3-8B79-37D633B846F1}">
                      <asvg:svgBlip xmlns:asvg="http://schemas.microsoft.com/office/drawing/2016/SVG/main" r:embed="rId6"/>
                    </a:ext>
                  </a:extLst>
                </a:blip>
                <a:stretch>
                  <a:fillRect/>
                </a:stretch>
              </a:blipFill>
              <a:ln w="0" cap="rnd" cmpd="sng" algn="ctr">
                <a:solidFill>
                  <a:srgbClr val="A5A5A5">
                    <a:lumMod val="60000"/>
                    <a:alpha val="0"/>
                  </a:srgbClr>
                </a:solidFill>
                <a:prstDash val="solid"/>
                <a:round/>
                <a:headEnd type="none" w="med" len="med"/>
                <a:tailEnd type="none" w="med" len="med"/>
              </a:ln>
            </c:spPr>
          </c:marker>
          <c:xVal>
            <c:numRef>
              <c:f>[0]!TestData.03X</c:f>
              <c:numCache>
                <c:formatCode>General</c:formatCode>
                <c:ptCount val="32"/>
                <c:pt idx="0">
                  <c:v>1</c:v>
                </c:pt>
                <c:pt idx="1">
                  <c:v>1.3232074552478108</c:v>
                </c:pt>
                <c:pt idx="2">
                  <c:v>1.5968941663149292</c:v>
                </c:pt>
                <c:pt idx="3">
                  <c:v>2.0374310682281815</c:v>
                </c:pt>
                <c:pt idx="4">
                  <c:v>2.3661242424290498</c:v>
                </c:pt>
                <c:pt idx="5">
                  <c:v>2.5524191009223887</c:v>
                </c:pt>
                <c:pt idx="6">
                  <c:v>3.0876113338290998</c:v>
                </c:pt>
                <c:pt idx="7">
                  <c:v>3.7129005069320238</c:v>
                </c:pt>
                <c:pt idx="8">
                  <c:v>3.8984784128452774</c:v>
                </c:pt>
                <c:pt idx="9">
                  <c:v>4.6167964320750112</c:v>
                </c:pt>
                <c:pt idx="10">
                  <c:v>5.0779883107828265</c:v>
                </c:pt>
                <c:pt idx="11">
                  <c:v>5.4884037543255069</c:v>
                </c:pt>
                <c:pt idx="12">
                  <c:v>6.4563168216808586</c:v>
                </c:pt>
                <c:pt idx="13">
                  <c:v>7.7498851326930094</c:v>
                </c:pt>
                <c:pt idx="14">
                  <c:v>9.1607743089625764</c:v>
                </c:pt>
                <c:pt idx="15">
                  <c:v>9.3465569865496594</c:v>
                </c:pt>
                <c:pt idx="16">
                  <c:v>10.329716406194438</c:v>
                </c:pt>
                <c:pt idx="17">
                  <c:v>11.022976541065779</c:v>
                </c:pt>
                <c:pt idx="18">
                  <c:v>11.331105036831294</c:v>
                </c:pt>
                <c:pt idx="19">
                  <c:v>12.306054175082409</c:v>
                </c:pt>
                <c:pt idx="20">
                  <c:v>12.596991587066837</c:v>
                </c:pt>
                <c:pt idx="21">
                  <c:v>13.456472777705969</c:v>
                </c:pt>
                <c:pt idx="22">
                  <c:v>15.948644628633296</c:v>
                </c:pt>
                <c:pt idx="23">
                  <c:v>18.64020396602653</c:v>
                </c:pt>
                <c:pt idx="24">
                  <c:v>20.109482360596239</c:v>
                </c:pt>
                <c:pt idx="25">
                  <c:v>23.352355731045375</c:v>
                </c:pt>
                <c:pt idx="26">
                  <c:v>23.648939353031768</c:v>
                </c:pt>
                <c:pt idx="27">
                  <c:v>27.526462904347564</c:v>
                </c:pt>
                <c:pt idx="28">
                  <c:v>32.428601525482684</c:v>
                </c:pt>
                <c:pt idx="29">
                  <c:v>33.400219859721716</c:v>
                </c:pt>
                <c:pt idx="30">
                  <c:v>38.505942944281024</c:v>
                </c:pt>
                <c:pt idx="31">
                  <c:v>39.251324116083509</c:v>
                </c:pt>
              </c:numCache>
            </c:numRef>
          </c:xVal>
          <c:yVal>
            <c:numRef>
              <c:f>[0]!TestData.03Y</c:f>
              <c:numCache>
                <c:formatCode>General</c:formatCode>
                <c:ptCount val="32"/>
                <c:pt idx="0">
                  <c:v>192.19674521880873</c:v>
                </c:pt>
                <c:pt idx="1">
                  <c:v>193.56435833371424</c:v>
                </c:pt>
                <c:pt idx="2">
                  <c:v>197.24228019590424</c:v>
                </c:pt>
                <c:pt idx="3">
                  <c:v>201.07067357095889</c:v>
                </c:pt>
                <c:pt idx="4">
                  <c:v>203.4287492337717</c:v>
                </c:pt>
                <c:pt idx="5">
                  <c:v>205.28624276804013</c:v>
                </c:pt>
                <c:pt idx="6">
                  <c:v>208.48900037135735</c:v>
                </c:pt>
                <c:pt idx="7">
                  <c:v>215.73247023940306</c:v>
                </c:pt>
                <c:pt idx="8">
                  <c:v>213.38494192874211</c:v>
                </c:pt>
                <c:pt idx="9">
                  <c:v>219.53087033792067</c:v>
                </c:pt>
                <c:pt idx="10">
                  <c:v>220.68645472893664</c:v>
                </c:pt>
                <c:pt idx="11">
                  <c:v>222.32232032150773</c:v>
                </c:pt>
                <c:pt idx="12">
                  <c:v>224.69842776304705</c:v>
                </c:pt>
                <c:pt idx="13">
                  <c:v>231.03247137741829</c:v>
                </c:pt>
                <c:pt idx="14">
                  <c:v>230.7534341634701</c:v>
                </c:pt>
                <c:pt idx="15">
                  <c:v>233.83718965739931</c:v>
                </c:pt>
                <c:pt idx="16">
                  <c:v>234.94889001461914</c:v>
                </c:pt>
                <c:pt idx="17">
                  <c:v>235.04939612245911</c:v>
                </c:pt>
                <c:pt idx="18">
                  <c:v>235.49938286717952</c:v>
                </c:pt>
                <c:pt idx="19">
                  <c:v>236.03150115755352</c:v>
                </c:pt>
                <c:pt idx="20">
                  <c:v>235.97510826953453</c:v>
                </c:pt>
                <c:pt idx="21">
                  <c:v>233.9232218854695</c:v>
                </c:pt>
                <c:pt idx="22">
                  <c:v>234.04223464772863</c:v>
                </c:pt>
                <c:pt idx="23">
                  <c:v>233.04711957265076</c:v>
                </c:pt>
                <c:pt idx="24">
                  <c:v>228.96800114908717</c:v>
                </c:pt>
                <c:pt idx="25">
                  <c:v>227.46727655413576</c:v>
                </c:pt>
                <c:pt idx="26">
                  <c:v>227.04711980488463</c:v>
                </c:pt>
                <c:pt idx="27">
                  <c:v>222.36824293395358</c:v>
                </c:pt>
                <c:pt idx="28">
                  <c:v>219.45157269022187</c:v>
                </c:pt>
                <c:pt idx="29">
                  <c:v>216.43438195414814</c:v>
                </c:pt>
                <c:pt idx="30">
                  <c:v>214.60927663782937</c:v>
                </c:pt>
                <c:pt idx="31">
                  <c:v>214.69733099448169</c:v>
                </c:pt>
              </c:numCache>
            </c:numRef>
          </c:yVal>
          <c:smooth val="0"/>
          <c:extLst>
            <c:ext xmlns:c16="http://schemas.microsoft.com/office/drawing/2014/chart" uri="{C3380CC4-5D6E-409C-BE32-E72D297353CC}">
              <c16:uniqueId val="{00000009-9FB1-8244-BD3F-4EB6DF646F07}"/>
            </c:ext>
          </c:extLst>
        </c:ser>
        <c:ser>
          <c:idx val="9"/>
          <c:order val="9"/>
          <c:tx>
            <c:strRef>
              <c:f>[0]!TestData.04Name</c:f>
              <c:strCache>
                <c:ptCount val="1"/>
                <c:pt idx="0">
                  <c:v>CY</c:v>
                </c:pt>
              </c:strCache>
            </c:strRef>
          </c:tx>
          <c:spPr>
            <a:ln w="38100" cap="rnd" cmpd="sng" algn="ctr">
              <a:solidFill>
                <a:srgbClr val="215F8F"/>
              </a:solidFill>
              <a:prstDash val="solid"/>
              <a:round/>
              <a:headEnd type="none" w="med" len="med"/>
              <a:tailEnd type="none" w="med" len="med"/>
            </a:ln>
            <a:effectLst/>
          </c:spPr>
          <c:marker>
            <c:symbol val="none"/>
          </c:marker>
          <c:xVal>
            <c:numRef>
              <c:f>[0]!TestData.04X</c:f>
              <c:numCache>
                <c:formatCode>General</c:formatCode>
                <c:ptCount val="32"/>
                <c:pt idx="0">
                  <c:v>1</c:v>
                </c:pt>
                <c:pt idx="1">
                  <c:v>1.3066069969135545</c:v>
                </c:pt>
                <c:pt idx="2">
                  <c:v>1.5942867347476257</c:v>
                </c:pt>
                <c:pt idx="3">
                  <c:v>1.8001899319090602</c:v>
                </c:pt>
                <c:pt idx="4">
                  <c:v>2.071630898297073</c:v>
                </c:pt>
                <c:pt idx="5">
                  <c:v>2.2756327246802428</c:v>
                </c:pt>
                <c:pt idx="6">
                  <c:v>2.4679159914646043</c:v>
                </c:pt>
                <c:pt idx="7">
                  <c:v>2.9074826493184514</c:v>
                </c:pt>
                <c:pt idx="8">
                  <c:v>3.2273953783229152</c:v>
                </c:pt>
                <c:pt idx="9">
                  <c:v>3.866480378889833</c:v>
                </c:pt>
                <c:pt idx="10">
                  <c:v>4.6861527891217873</c:v>
                </c:pt>
                <c:pt idx="11">
                  <c:v>5.4877827682834939</c:v>
                </c:pt>
                <c:pt idx="12">
                  <c:v>6.3723156947139108</c:v>
                </c:pt>
                <c:pt idx="13">
                  <c:v>7.2394438295316075</c:v>
                </c:pt>
                <c:pt idx="14">
                  <c:v>7.6122680848112054</c:v>
                </c:pt>
                <c:pt idx="15">
                  <c:v>8.6743663108778559</c:v>
                </c:pt>
                <c:pt idx="16">
                  <c:v>10.188950323643008</c:v>
                </c:pt>
                <c:pt idx="17">
                  <c:v>10.905597641842439</c:v>
                </c:pt>
                <c:pt idx="18">
                  <c:v>11.581113412896162</c:v>
                </c:pt>
                <c:pt idx="19">
                  <c:v>11.911866184988051</c:v>
                </c:pt>
                <c:pt idx="20">
                  <c:v>12.79332794239431</c:v>
                </c:pt>
                <c:pt idx="21">
                  <c:v>14.918010259677425</c:v>
                </c:pt>
                <c:pt idx="22">
                  <c:v>17.330943890361777</c:v>
                </c:pt>
                <c:pt idx="23">
                  <c:v>20.209632565621757</c:v>
                </c:pt>
                <c:pt idx="24">
                  <c:v>23.47552686404206</c:v>
                </c:pt>
                <c:pt idx="25">
                  <c:v>26.146575982887686</c:v>
                </c:pt>
                <c:pt idx="26">
                  <c:v>28.806302153436629</c:v>
                </c:pt>
                <c:pt idx="27">
                  <c:v>32.790089483552286</c:v>
                </c:pt>
                <c:pt idx="28">
                  <c:v>36.807975046322412</c:v>
                </c:pt>
                <c:pt idx="29">
                  <c:v>42.162016959279725</c:v>
                </c:pt>
                <c:pt idx="30">
                  <c:v>46.803314075981277</c:v>
                </c:pt>
                <c:pt idx="31">
                  <c:v>52.422008532181856</c:v>
                </c:pt>
              </c:numCache>
            </c:numRef>
          </c:xVal>
          <c:yVal>
            <c:numRef>
              <c:f>[0]!TestData.04Y</c:f>
              <c:numCache>
                <c:formatCode>General</c:formatCode>
                <c:ptCount val="32"/>
                <c:pt idx="0">
                  <c:v>169.58713720990167</c:v>
                </c:pt>
                <c:pt idx="1">
                  <c:v>172.88839154851698</c:v>
                </c:pt>
                <c:pt idx="2">
                  <c:v>175.82483862421469</c:v>
                </c:pt>
                <c:pt idx="3">
                  <c:v>180.73382617213372</c:v>
                </c:pt>
                <c:pt idx="4">
                  <c:v>181.55886316407177</c:v>
                </c:pt>
                <c:pt idx="5">
                  <c:v>184.90433958470086</c:v>
                </c:pt>
                <c:pt idx="6">
                  <c:v>185.80151659875631</c:v>
                </c:pt>
                <c:pt idx="7">
                  <c:v>190.32656665812266</c:v>
                </c:pt>
                <c:pt idx="8">
                  <c:v>191.24383296381262</c:v>
                </c:pt>
                <c:pt idx="9">
                  <c:v>195.53040628472866</c:v>
                </c:pt>
                <c:pt idx="10">
                  <c:v>203.98782067116917</c:v>
                </c:pt>
                <c:pt idx="11">
                  <c:v>207.5469071644261</c:v>
                </c:pt>
                <c:pt idx="12">
                  <c:v>210.53214294280227</c:v>
                </c:pt>
                <c:pt idx="13">
                  <c:v>215.31147891552493</c:v>
                </c:pt>
                <c:pt idx="14">
                  <c:v>216.11297055704986</c:v>
                </c:pt>
                <c:pt idx="15">
                  <c:v>218.50225764915515</c:v>
                </c:pt>
                <c:pt idx="16">
                  <c:v>218.9591323870045</c:v>
                </c:pt>
                <c:pt idx="17">
                  <c:v>221.8267557033428</c:v>
                </c:pt>
                <c:pt idx="18">
                  <c:v>219.37513960923997</c:v>
                </c:pt>
                <c:pt idx="19">
                  <c:v>222.54505406852331</c:v>
                </c:pt>
                <c:pt idx="20">
                  <c:v>220.54825317711627</c:v>
                </c:pt>
                <c:pt idx="21">
                  <c:v>221.73458013827457</c:v>
                </c:pt>
                <c:pt idx="22">
                  <c:v>222.0101994185658</c:v>
                </c:pt>
                <c:pt idx="23">
                  <c:v>217.1054485782935</c:v>
                </c:pt>
                <c:pt idx="24">
                  <c:v>217.36129224549219</c:v>
                </c:pt>
                <c:pt idx="25">
                  <c:v>214.96584469501735</c:v>
                </c:pt>
                <c:pt idx="26">
                  <c:v>210.00297714842114</c:v>
                </c:pt>
                <c:pt idx="27">
                  <c:v>209.95028238107795</c:v>
                </c:pt>
                <c:pt idx="28">
                  <c:v>207.56797582877968</c:v>
                </c:pt>
                <c:pt idx="29">
                  <c:v>201.53557657176484</c:v>
                </c:pt>
                <c:pt idx="30">
                  <c:v>201.92079253401093</c:v>
                </c:pt>
                <c:pt idx="31">
                  <c:v>200.02737105249506</c:v>
                </c:pt>
              </c:numCache>
            </c:numRef>
          </c:yVal>
          <c:smooth val="0"/>
          <c:extLst>
            <c:ext xmlns:c16="http://schemas.microsoft.com/office/drawing/2014/chart" uri="{C3380CC4-5D6E-409C-BE32-E72D297353CC}">
              <c16:uniqueId val="{0000000A-9FB1-8244-BD3F-4EB6DF646F07}"/>
            </c:ext>
          </c:extLst>
        </c:ser>
        <c:ser>
          <c:idx val="10"/>
          <c:order val="10"/>
          <c:tx>
            <c:strRef>
              <c:f>[0]!TestData.04Name</c:f>
              <c:strCache>
                <c:ptCount val="1"/>
                <c:pt idx="0">
                  <c:v>CY</c:v>
                </c:pt>
              </c:strCache>
            </c:strRef>
          </c:tx>
          <c:spPr>
            <a:ln w="12700" cap="rnd" cmpd="sng" algn="ctr">
              <a:solidFill>
                <a:srgbClr val="D3AE45"/>
              </a:solidFill>
              <a:prstDash val="solid"/>
              <a:round/>
              <a:headEnd type="none" w="med" len="med"/>
              <a:tailEnd type="none" w="med" len="med"/>
            </a:ln>
            <a:effectLst/>
          </c:spPr>
          <c:marker>
            <c:symbol val="none"/>
          </c:marker>
          <c:xVal>
            <c:numRef>
              <c:f>[0]!TestData.04X</c:f>
              <c:numCache>
                <c:formatCode>General</c:formatCode>
                <c:ptCount val="32"/>
                <c:pt idx="0">
                  <c:v>1</c:v>
                </c:pt>
                <c:pt idx="1">
                  <c:v>1.3066069969135545</c:v>
                </c:pt>
                <c:pt idx="2">
                  <c:v>1.5942867347476257</c:v>
                </c:pt>
                <c:pt idx="3">
                  <c:v>1.8001899319090602</c:v>
                </c:pt>
                <c:pt idx="4">
                  <c:v>2.071630898297073</c:v>
                </c:pt>
                <c:pt idx="5">
                  <c:v>2.2756327246802428</c:v>
                </c:pt>
                <c:pt idx="6">
                  <c:v>2.4679159914646043</c:v>
                </c:pt>
                <c:pt idx="7">
                  <c:v>2.9074826493184514</c:v>
                </c:pt>
                <c:pt idx="8">
                  <c:v>3.2273953783229152</c:v>
                </c:pt>
                <c:pt idx="9">
                  <c:v>3.866480378889833</c:v>
                </c:pt>
                <c:pt idx="10">
                  <c:v>4.6861527891217873</c:v>
                </c:pt>
                <c:pt idx="11">
                  <c:v>5.4877827682834939</c:v>
                </c:pt>
                <c:pt idx="12">
                  <c:v>6.3723156947139108</c:v>
                </c:pt>
                <c:pt idx="13">
                  <c:v>7.2394438295316075</c:v>
                </c:pt>
                <c:pt idx="14">
                  <c:v>7.6122680848112054</c:v>
                </c:pt>
                <c:pt idx="15">
                  <c:v>8.6743663108778559</c:v>
                </c:pt>
                <c:pt idx="16">
                  <c:v>10.188950323643008</c:v>
                </c:pt>
                <c:pt idx="17">
                  <c:v>10.905597641842439</c:v>
                </c:pt>
                <c:pt idx="18">
                  <c:v>11.581113412896162</c:v>
                </c:pt>
                <c:pt idx="19">
                  <c:v>11.911866184988051</c:v>
                </c:pt>
                <c:pt idx="20">
                  <c:v>12.79332794239431</c:v>
                </c:pt>
                <c:pt idx="21">
                  <c:v>14.918010259677425</c:v>
                </c:pt>
                <c:pt idx="22">
                  <c:v>17.330943890361777</c:v>
                </c:pt>
                <c:pt idx="23">
                  <c:v>20.209632565621757</c:v>
                </c:pt>
                <c:pt idx="24">
                  <c:v>23.47552686404206</c:v>
                </c:pt>
                <c:pt idx="25">
                  <c:v>26.146575982887686</c:v>
                </c:pt>
                <c:pt idx="26">
                  <c:v>28.806302153436629</c:v>
                </c:pt>
                <c:pt idx="27">
                  <c:v>32.790089483552286</c:v>
                </c:pt>
                <c:pt idx="28">
                  <c:v>36.807975046322412</c:v>
                </c:pt>
                <c:pt idx="29">
                  <c:v>42.162016959279725</c:v>
                </c:pt>
                <c:pt idx="30">
                  <c:v>46.803314075981277</c:v>
                </c:pt>
                <c:pt idx="31">
                  <c:v>52.422008532181856</c:v>
                </c:pt>
              </c:numCache>
            </c:numRef>
          </c:xVal>
          <c:yVal>
            <c:numRef>
              <c:f>[0]!TestData.04Y</c:f>
              <c:numCache>
                <c:formatCode>General</c:formatCode>
                <c:ptCount val="32"/>
                <c:pt idx="0">
                  <c:v>169.58713720990167</c:v>
                </c:pt>
                <c:pt idx="1">
                  <c:v>172.88839154851698</c:v>
                </c:pt>
                <c:pt idx="2">
                  <c:v>175.82483862421469</c:v>
                </c:pt>
                <c:pt idx="3">
                  <c:v>180.73382617213372</c:v>
                </c:pt>
                <c:pt idx="4">
                  <c:v>181.55886316407177</c:v>
                </c:pt>
                <c:pt idx="5">
                  <c:v>184.90433958470086</c:v>
                </c:pt>
                <c:pt idx="6">
                  <c:v>185.80151659875631</c:v>
                </c:pt>
                <c:pt idx="7">
                  <c:v>190.32656665812266</c:v>
                </c:pt>
                <c:pt idx="8">
                  <c:v>191.24383296381262</c:v>
                </c:pt>
                <c:pt idx="9">
                  <c:v>195.53040628472866</c:v>
                </c:pt>
                <c:pt idx="10">
                  <c:v>203.98782067116917</c:v>
                </c:pt>
                <c:pt idx="11">
                  <c:v>207.5469071644261</c:v>
                </c:pt>
                <c:pt idx="12">
                  <c:v>210.53214294280227</c:v>
                </c:pt>
                <c:pt idx="13">
                  <c:v>215.31147891552493</c:v>
                </c:pt>
                <c:pt idx="14">
                  <c:v>216.11297055704986</c:v>
                </c:pt>
                <c:pt idx="15">
                  <c:v>218.50225764915515</c:v>
                </c:pt>
                <c:pt idx="16">
                  <c:v>218.9591323870045</c:v>
                </c:pt>
                <c:pt idx="17">
                  <c:v>221.8267557033428</c:v>
                </c:pt>
                <c:pt idx="18">
                  <c:v>219.37513960923997</c:v>
                </c:pt>
                <c:pt idx="19">
                  <c:v>222.54505406852331</c:v>
                </c:pt>
                <c:pt idx="20">
                  <c:v>220.54825317711627</c:v>
                </c:pt>
                <c:pt idx="21">
                  <c:v>221.73458013827457</c:v>
                </c:pt>
                <c:pt idx="22">
                  <c:v>222.0101994185658</c:v>
                </c:pt>
                <c:pt idx="23">
                  <c:v>217.1054485782935</c:v>
                </c:pt>
                <c:pt idx="24">
                  <c:v>217.36129224549219</c:v>
                </c:pt>
                <c:pt idx="25">
                  <c:v>214.96584469501735</c:v>
                </c:pt>
                <c:pt idx="26">
                  <c:v>210.00297714842114</c:v>
                </c:pt>
                <c:pt idx="27">
                  <c:v>209.95028238107795</c:v>
                </c:pt>
                <c:pt idx="28">
                  <c:v>207.56797582877968</c:v>
                </c:pt>
                <c:pt idx="29">
                  <c:v>201.53557657176484</c:v>
                </c:pt>
                <c:pt idx="30">
                  <c:v>201.92079253401093</c:v>
                </c:pt>
                <c:pt idx="31">
                  <c:v>200.02737105249506</c:v>
                </c:pt>
              </c:numCache>
            </c:numRef>
          </c:yVal>
          <c:smooth val="0"/>
          <c:extLst>
            <c:ext xmlns:c16="http://schemas.microsoft.com/office/drawing/2014/chart" uri="{C3380CC4-5D6E-409C-BE32-E72D297353CC}">
              <c16:uniqueId val="{0000000B-9FB1-8244-BD3F-4EB6DF646F07}"/>
            </c:ext>
          </c:extLst>
        </c:ser>
        <c:ser>
          <c:idx val="11"/>
          <c:order val="11"/>
          <c:tx>
            <c:strRef>
              <c:f>[0]!TestData.04Name</c:f>
              <c:strCache>
                <c:ptCount val="1"/>
                <c:pt idx="0">
                  <c:v>CY</c:v>
                </c:pt>
              </c:strCache>
            </c:strRef>
          </c:tx>
          <c:spPr>
            <a:ln w="0" cap="rnd" cmpd="sng" algn="ctr">
              <a:solidFill>
                <a:srgbClr val="70AD47">
                  <a:lumMod val="60000"/>
                  <a:alpha val="0"/>
                </a:srgbClr>
              </a:solidFill>
              <a:prstDash val="solid"/>
              <a:round/>
              <a:headEnd type="none" w="med" len="med"/>
              <a:tailEnd type="none" w="med" len="med"/>
            </a:ln>
            <a:effectLst/>
          </c:spPr>
          <c:marker>
            <c:symbol val="picture"/>
            <c:spPr>
              <a:blipFill>
                <a:blip xmlns:r="http://schemas.openxmlformats.org/officeDocument/2006/relationships" r:embed="rId7">
                  <a:extLst>
                    <a:ext uri="{96DAC541-7B7A-43D3-8B79-37D633B846F1}">
                      <asvg:svgBlip xmlns:asvg="http://schemas.microsoft.com/office/drawing/2016/SVG/main" r:embed="rId8"/>
                    </a:ext>
                  </a:extLst>
                </a:blip>
                <a:stretch>
                  <a:fillRect/>
                </a:stretch>
              </a:blipFill>
              <a:ln w="0" cap="rnd" cmpd="sng" algn="ctr">
                <a:solidFill>
                  <a:srgbClr val="70AD47">
                    <a:lumMod val="60000"/>
                    <a:alpha val="0"/>
                  </a:srgbClr>
                </a:solidFill>
                <a:prstDash val="solid"/>
                <a:round/>
                <a:headEnd type="none" w="med" len="med"/>
                <a:tailEnd type="none" w="med" len="med"/>
              </a:ln>
            </c:spPr>
          </c:marker>
          <c:xVal>
            <c:numRef>
              <c:f>[0]!TestData.04X</c:f>
              <c:numCache>
                <c:formatCode>General</c:formatCode>
                <c:ptCount val="32"/>
                <c:pt idx="0">
                  <c:v>1</c:v>
                </c:pt>
                <c:pt idx="1">
                  <c:v>1.3066069969135545</c:v>
                </c:pt>
                <c:pt idx="2">
                  <c:v>1.5942867347476257</c:v>
                </c:pt>
                <c:pt idx="3">
                  <c:v>1.8001899319090602</c:v>
                </c:pt>
                <c:pt idx="4">
                  <c:v>2.071630898297073</c:v>
                </c:pt>
                <c:pt idx="5">
                  <c:v>2.2756327246802428</c:v>
                </c:pt>
                <c:pt idx="6">
                  <c:v>2.4679159914646043</c:v>
                </c:pt>
                <c:pt idx="7">
                  <c:v>2.9074826493184514</c:v>
                </c:pt>
                <c:pt idx="8">
                  <c:v>3.2273953783229152</c:v>
                </c:pt>
                <c:pt idx="9">
                  <c:v>3.866480378889833</c:v>
                </c:pt>
                <c:pt idx="10">
                  <c:v>4.6861527891217873</c:v>
                </c:pt>
                <c:pt idx="11">
                  <c:v>5.4877827682834939</c:v>
                </c:pt>
                <c:pt idx="12">
                  <c:v>6.3723156947139108</c:v>
                </c:pt>
                <c:pt idx="13">
                  <c:v>7.2394438295316075</c:v>
                </c:pt>
                <c:pt idx="14">
                  <c:v>7.6122680848112054</c:v>
                </c:pt>
                <c:pt idx="15">
                  <c:v>8.6743663108778559</c:v>
                </c:pt>
                <c:pt idx="16">
                  <c:v>10.188950323643008</c:v>
                </c:pt>
                <c:pt idx="17">
                  <c:v>10.905597641842439</c:v>
                </c:pt>
                <c:pt idx="18">
                  <c:v>11.581113412896162</c:v>
                </c:pt>
                <c:pt idx="19">
                  <c:v>11.911866184988051</c:v>
                </c:pt>
                <c:pt idx="20">
                  <c:v>12.79332794239431</c:v>
                </c:pt>
                <c:pt idx="21">
                  <c:v>14.918010259677425</c:v>
                </c:pt>
                <c:pt idx="22">
                  <c:v>17.330943890361777</c:v>
                </c:pt>
                <c:pt idx="23">
                  <c:v>20.209632565621757</c:v>
                </c:pt>
                <c:pt idx="24">
                  <c:v>23.47552686404206</c:v>
                </c:pt>
                <c:pt idx="25">
                  <c:v>26.146575982887686</c:v>
                </c:pt>
                <c:pt idx="26">
                  <c:v>28.806302153436629</c:v>
                </c:pt>
                <c:pt idx="27">
                  <c:v>32.790089483552286</c:v>
                </c:pt>
                <c:pt idx="28">
                  <c:v>36.807975046322412</c:v>
                </c:pt>
                <c:pt idx="29">
                  <c:v>42.162016959279725</c:v>
                </c:pt>
                <c:pt idx="30">
                  <c:v>46.803314075981277</c:v>
                </c:pt>
                <c:pt idx="31">
                  <c:v>52.422008532181856</c:v>
                </c:pt>
              </c:numCache>
            </c:numRef>
          </c:xVal>
          <c:yVal>
            <c:numRef>
              <c:f>[0]!TestData.04Y</c:f>
              <c:numCache>
                <c:formatCode>General</c:formatCode>
                <c:ptCount val="32"/>
                <c:pt idx="0">
                  <c:v>169.58713720990167</c:v>
                </c:pt>
                <c:pt idx="1">
                  <c:v>172.88839154851698</c:v>
                </c:pt>
                <c:pt idx="2">
                  <c:v>175.82483862421469</c:v>
                </c:pt>
                <c:pt idx="3">
                  <c:v>180.73382617213372</c:v>
                </c:pt>
                <c:pt idx="4">
                  <c:v>181.55886316407177</c:v>
                </c:pt>
                <c:pt idx="5">
                  <c:v>184.90433958470086</c:v>
                </c:pt>
                <c:pt idx="6">
                  <c:v>185.80151659875631</c:v>
                </c:pt>
                <c:pt idx="7">
                  <c:v>190.32656665812266</c:v>
                </c:pt>
                <c:pt idx="8">
                  <c:v>191.24383296381262</c:v>
                </c:pt>
                <c:pt idx="9">
                  <c:v>195.53040628472866</c:v>
                </c:pt>
                <c:pt idx="10">
                  <c:v>203.98782067116917</c:v>
                </c:pt>
                <c:pt idx="11">
                  <c:v>207.5469071644261</c:v>
                </c:pt>
                <c:pt idx="12">
                  <c:v>210.53214294280227</c:v>
                </c:pt>
                <c:pt idx="13">
                  <c:v>215.31147891552493</c:v>
                </c:pt>
                <c:pt idx="14">
                  <c:v>216.11297055704986</c:v>
                </c:pt>
                <c:pt idx="15">
                  <c:v>218.50225764915515</c:v>
                </c:pt>
                <c:pt idx="16">
                  <c:v>218.9591323870045</c:v>
                </c:pt>
                <c:pt idx="17">
                  <c:v>221.8267557033428</c:v>
                </c:pt>
                <c:pt idx="18">
                  <c:v>219.37513960923997</c:v>
                </c:pt>
                <c:pt idx="19">
                  <c:v>222.54505406852331</c:v>
                </c:pt>
                <c:pt idx="20">
                  <c:v>220.54825317711627</c:v>
                </c:pt>
                <c:pt idx="21">
                  <c:v>221.73458013827457</c:v>
                </c:pt>
                <c:pt idx="22">
                  <c:v>222.0101994185658</c:v>
                </c:pt>
                <c:pt idx="23">
                  <c:v>217.1054485782935</c:v>
                </c:pt>
                <c:pt idx="24">
                  <c:v>217.36129224549219</c:v>
                </c:pt>
                <c:pt idx="25">
                  <c:v>214.96584469501735</c:v>
                </c:pt>
                <c:pt idx="26">
                  <c:v>210.00297714842114</c:v>
                </c:pt>
                <c:pt idx="27">
                  <c:v>209.95028238107795</c:v>
                </c:pt>
                <c:pt idx="28">
                  <c:v>207.56797582877968</c:v>
                </c:pt>
                <c:pt idx="29">
                  <c:v>201.53557657176484</c:v>
                </c:pt>
                <c:pt idx="30">
                  <c:v>201.92079253401093</c:v>
                </c:pt>
                <c:pt idx="31">
                  <c:v>200.02737105249506</c:v>
                </c:pt>
              </c:numCache>
            </c:numRef>
          </c:yVal>
          <c:smooth val="0"/>
          <c:extLst>
            <c:ext xmlns:c16="http://schemas.microsoft.com/office/drawing/2014/chart" uri="{C3380CC4-5D6E-409C-BE32-E72D297353CC}">
              <c16:uniqueId val="{0000000C-9FB1-8244-BD3F-4EB6DF646F07}"/>
            </c:ext>
          </c:extLst>
        </c:ser>
        <c:ser>
          <c:idx val="13"/>
          <c:order val="12"/>
          <c:tx>
            <c:strRef>
              <c:f>[0]!TestData.05Name</c:f>
              <c:strCache>
                <c:ptCount val="1"/>
                <c:pt idx="0">
                  <c:v>MT</c:v>
                </c:pt>
              </c:strCache>
            </c:strRef>
          </c:tx>
          <c:spPr>
            <a:ln w="38100" cap="rnd" cmpd="sng" algn="ctr">
              <a:solidFill>
                <a:srgbClr val="000000"/>
              </a:solidFill>
              <a:prstDash val="solid"/>
              <a:round/>
              <a:headEnd type="none" w="med" len="med"/>
              <a:tailEnd type="none" w="med" len="med"/>
            </a:ln>
            <a:effectLst/>
          </c:spPr>
          <c:marker>
            <c:symbol val="none"/>
          </c:marker>
          <c:xVal>
            <c:numRef>
              <c:f>[0]!TestData.05X</c:f>
              <c:numCache>
                <c:formatCode>General</c:formatCode>
                <c:ptCount val="32"/>
                <c:pt idx="0">
                  <c:v>1</c:v>
                </c:pt>
                <c:pt idx="1">
                  <c:v>1.3344890080521934</c:v>
                </c:pt>
                <c:pt idx="2">
                  <c:v>1.7030474058188003</c:v>
                </c:pt>
                <c:pt idx="3">
                  <c:v>2.0573904540890018</c:v>
                </c:pt>
                <c:pt idx="4">
                  <c:v>2.2458302037972069</c:v>
                </c:pt>
                <c:pt idx="5">
                  <c:v>2.6292815316076852</c:v>
                </c:pt>
                <c:pt idx="6">
                  <c:v>3.1446709405059212</c:v>
                </c:pt>
                <c:pt idx="7">
                  <c:v>3.3999198745064714</c:v>
                </c:pt>
                <c:pt idx="8">
                  <c:v>3.9256259869468351</c:v>
                </c:pt>
                <c:pt idx="9">
                  <c:v>4.6530997437670667</c:v>
                </c:pt>
                <c:pt idx="10">
                  <c:v>4.8880929603085468</c:v>
                </c:pt>
                <c:pt idx="11">
                  <c:v>5.664892223184415</c:v>
                </c:pt>
                <c:pt idx="12">
                  <c:v>6.0515794350618712</c:v>
                </c:pt>
                <c:pt idx="13">
                  <c:v>7.0002621908624905</c:v>
                </c:pt>
                <c:pt idx="14">
                  <c:v>8.1331280238597685</c:v>
                </c:pt>
                <c:pt idx="15">
                  <c:v>9.5565267891695118</c:v>
                </c:pt>
                <c:pt idx="16">
                  <c:v>10.634932080445957</c:v>
                </c:pt>
                <c:pt idx="17">
                  <c:v>11.666463536036519</c:v>
                </c:pt>
                <c:pt idx="18">
                  <c:v>12.23955500031566</c:v>
                </c:pt>
                <c:pt idx="19">
                  <c:v>12.6257237749053</c:v>
                </c:pt>
                <c:pt idx="20">
                  <c:v>14.766570008568372</c:v>
                </c:pt>
                <c:pt idx="21">
                  <c:v>15.355241979122615</c:v>
                </c:pt>
                <c:pt idx="22">
                  <c:v>18.098605483543952</c:v>
                </c:pt>
                <c:pt idx="23">
                  <c:v>18.779750563621295</c:v>
                </c:pt>
                <c:pt idx="24">
                  <c:v>19.316609791754832</c:v>
                </c:pt>
                <c:pt idx="25">
                  <c:v>19.662076111000257</c:v>
                </c:pt>
                <c:pt idx="26">
                  <c:v>21.392583340136902</c:v>
                </c:pt>
                <c:pt idx="27">
                  <c:v>23.48382435838861</c:v>
                </c:pt>
                <c:pt idx="28">
                  <c:v>26.28779417044414</c:v>
                </c:pt>
                <c:pt idx="29">
                  <c:v>27.974048396150984</c:v>
                </c:pt>
                <c:pt idx="30">
                  <c:v>28.862913792761329</c:v>
                </c:pt>
                <c:pt idx="31">
                  <c:v>34.05951642602227</c:v>
                </c:pt>
              </c:numCache>
            </c:numRef>
          </c:xVal>
          <c:yVal>
            <c:numRef>
              <c:f>[0]!TestData.05Y</c:f>
              <c:numCache>
                <c:formatCode>General</c:formatCode>
                <c:ptCount val="32"/>
                <c:pt idx="0">
                  <c:v>240.75061606633741</c:v>
                </c:pt>
                <c:pt idx="1">
                  <c:v>246.52284482516748</c:v>
                </c:pt>
                <c:pt idx="2">
                  <c:v>248.93386085871629</c:v>
                </c:pt>
                <c:pt idx="3">
                  <c:v>249.47458126839138</c:v>
                </c:pt>
                <c:pt idx="4">
                  <c:v>251.31880879751043</c:v>
                </c:pt>
                <c:pt idx="5">
                  <c:v>253.54175349253634</c:v>
                </c:pt>
                <c:pt idx="6">
                  <c:v>256.11508555456231</c:v>
                </c:pt>
                <c:pt idx="7">
                  <c:v>259.20699107766626</c:v>
                </c:pt>
                <c:pt idx="8">
                  <c:v>260.60234978887701</c:v>
                </c:pt>
                <c:pt idx="9">
                  <c:v>265.31555746662963</c:v>
                </c:pt>
                <c:pt idx="10">
                  <c:v>264.66769286742544</c:v>
                </c:pt>
                <c:pt idx="11">
                  <c:v>266.37564377637932</c:v>
                </c:pt>
                <c:pt idx="12">
                  <c:v>266.40732347760797</c:v>
                </c:pt>
                <c:pt idx="13">
                  <c:v>267.65661398176013</c:v>
                </c:pt>
                <c:pt idx="14">
                  <c:v>272.44289339314616</c:v>
                </c:pt>
                <c:pt idx="15">
                  <c:v>271.85575619436116</c:v>
                </c:pt>
                <c:pt idx="16">
                  <c:v>273.63817763064355</c:v>
                </c:pt>
                <c:pt idx="17">
                  <c:v>272.5244879423139</c:v>
                </c:pt>
                <c:pt idx="18">
                  <c:v>269.82056250234496</c:v>
                </c:pt>
                <c:pt idx="19">
                  <c:v>270.60524166991604</c:v>
                </c:pt>
                <c:pt idx="20">
                  <c:v>269.33727415927706</c:v>
                </c:pt>
                <c:pt idx="21">
                  <c:v>270.46600615910148</c:v>
                </c:pt>
                <c:pt idx="22">
                  <c:v>265.73129736213428</c:v>
                </c:pt>
                <c:pt idx="23">
                  <c:v>266.04008799654343</c:v>
                </c:pt>
                <c:pt idx="24">
                  <c:v>264.65019735406804</c:v>
                </c:pt>
                <c:pt idx="25">
                  <c:v>263.61312806060016</c:v>
                </c:pt>
                <c:pt idx="26">
                  <c:v>262.36368283587012</c:v>
                </c:pt>
                <c:pt idx="27">
                  <c:v>259.301464292768</c:v>
                </c:pt>
                <c:pt idx="28">
                  <c:v>256.89919773565731</c:v>
                </c:pt>
                <c:pt idx="29">
                  <c:v>253.11582286162724</c:v>
                </c:pt>
                <c:pt idx="30">
                  <c:v>253.96992159846235</c:v>
                </c:pt>
                <c:pt idx="31">
                  <c:v>247.36552278963231</c:v>
                </c:pt>
              </c:numCache>
            </c:numRef>
          </c:yVal>
          <c:smooth val="0"/>
          <c:extLst>
            <c:ext xmlns:c16="http://schemas.microsoft.com/office/drawing/2014/chart" uri="{C3380CC4-5D6E-409C-BE32-E72D297353CC}">
              <c16:uniqueId val="{0000000E-9FB1-8244-BD3F-4EB6DF646F07}"/>
            </c:ext>
          </c:extLst>
        </c:ser>
        <c:ser>
          <c:idx val="12"/>
          <c:order val="13"/>
          <c:tx>
            <c:strRef>
              <c:f>[0]!TestData.05Name</c:f>
              <c:strCache>
                <c:ptCount val="1"/>
                <c:pt idx="0">
                  <c:v>MT</c:v>
                </c:pt>
              </c:strCache>
            </c:strRef>
          </c:tx>
          <c:spPr>
            <a:ln w="12700" cap="rnd" cmpd="sng" algn="ctr">
              <a:solidFill>
                <a:srgbClr val="D0A650"/>
              </a:solidFill>
              <a:prstDash val="solid"/>
              <a:round/>
              <a:headEnd type="none" w="med" len="med"/>
              <a:tailEnd type="none" w="med" len="med"/>
            </a:ln>
            <a:effectLst/>
          </c:spPr>
          <c:marker>
            <c:symbol val="none"/>
          </c:marker>
          <c:xVal>
            <c:numRef>
              <c:f>[0]!TestData.05X</c:f>
              <c:numCache>
                <c:formatCode>General</c:formatCode>
                <c:ptCount val="32"/>
                <c:pt idx="0">
                  <c:v>1</c:v>
                </c:pt>
                <c:pt idx="1">
                  <c:v>1.3344890080521934</c:v>
                </c:pt>
                <c:pt idx="2">
                  <c:v>1.7030474058188003</c:v>
                </c:pt>
                <c:pt idx="3">
                  <c:v>2.0573904540890018</c:v>
                </c:pt>
                <c:pt idx="4">
                  <c:v>2.2458302037972069</c:v>
                </c:pt>
                <c:pt idx="5">
                  <c:v>2.6292815316076852</c:v>
                </c:pt>
                <c:pt idx="6">
                  <c:v>3.1446709405059212</c:v>
                </c:pt>
                <c:pt idx="7">
                  <c:v>3.3999198745064714</c:v>
                </c:pt>
                <c:pt idx="8">
                  <c:v>3.9256259869468351</c:v>
                </c:pt>
                <c:pt idx="9">
                  <c:v>4.6530997437670667</c:v>
                </c:pt>
                <c:pt idx="10">
                  <c:v>4.8880929603085468</c:v>
                </c:pt>
                <c:pt idx="11">
                  <c:v>5.664892223184415</c:v>
                </c:pt>
                <c:pt idx="12">
                  <c:v>6.0515794350618712</c:v>
                </c:pt>
                <c:pt idx="13">
                  <c:v>7.0002621908624905</c:v>
                </c:pt>
                <c:pt idx="14">
                  <c:v>8.1331280238597685</c:v>
                </c:pt>
                <c:pt idx="15">
                  <c:v>9.5565267891695118</c:v>
                </c:pt>
                <c:pt idx="16">
                  <c:v>10.634932080445957</c:v>
                </c:pt>
                <c:pt idx="17">
                  <c:v>11.666463536036519</c:v>
                </c:pt>
                <c:pt idx="18">
                  <c:v>12.23955500031566</c:v>
                </c:pt>
                <c:pt idx="19">
                  <c:v>12.6257237749053</c:v>
                </c:pt>
                <c:pt idx="20">
                  <c:v>14.766570008568372</c:v>
                </c:pt>
                <c:pt idx="21">
                  <c:v>15.355241979122615</c:v>
                </c:pt>
                <c:pt idx="22">
                  <c:v>18.098605483543952</c:v>
                </c:pt>
                <c:pt idx="23">
                  <c:v>18.779750563621295</c:v>
                </c:pt>
                <c:pt idx="24">
                  <c:v>19.316609791754832</c:v>
                </c:pt>
                <c:pt idx="25">
                  <c:v>19.662076111000257</c:v>
                </c:pt>
                <c:pt idx="26">
                  <c:v>21.392583340136902</c:v>
                </c:pt>
                <c:pt idx="27">
                  <c:v>23.48382435838861</c:v>
                </c:pt>
                <c:pt idx="28">
                  <c:v>26.28779417044414</c:v>
                </c:pt>
                <c:pt idx="29">
                  <c:v>27.974048396150984</c:v>
                </c:pt>
                <c:pt idx="30">
                  <c:v>28.862913792761329</c:v>
                </c:pt>
                <c:pt idx="31">
                  <c:v>34.05951642602227</c:v>
                </c:pt>
              </c:numCache>
            </c:numRef>
          </c:xVal>
          <c:yVal>
            <c:numRef>
              <c:f>[0]!TestData.05Y</c:f>
              <c:numCache>
                <c:formatCode>General</c:formatCode>
                <c:ptCount val="32"/>
                <c:pt idx="0">
                  <c:v>240.75061606633741</c:v>
                </c:pt>
                <c:pt idx="1">
                  <c:v>246.52284482516748</c:v>
                </c:pt>
                <c:pt idx="2">
                  <c:v>248.93386085871629</c:v>
                </c:pt>
                <c:pt idx="3">
                  <c:v>249.47458126839138</c:v>
                </c:pt>
                <c:pt idx="4">
                  <c:v>251.31880879751043</c:v>
                </c:pt>
                <c:pt idx="5">
                  <c:v>253.54175349253634</c:v>
                </c:pt>
                <c:pt idx="6">
                  <c:v>256.11508555456231</c:v>
                </c:pt>
                <c:pt idx="7">
                  <c:v>259.20699107766626</c:v>
                </c:pt>
                <c:pt idx="8">
                  <c:v>260.60234978887701</c:v>
                </c:pt>
                <c:pt idx="9">
                  <c:v>265.31555746662963</c:v>
                </c:pt>
                <c:pt idx="10">
                  <c:v>264.66769286742544</c:v>
                </c:pt>
                <c:pt idx="11">
                  <c:v>266.37564377637932</c:v>
                </c:pt>
                <c:pt idx="12">
                  <c:v>266.40732347760797</c:v>
                </c:pt>
                <c:pt idx="13">
                  <c:v>267.65661398176013</c:v>
                </c:pt>
                <c:pt idx="14">
                  <c:v>272.44289339314616</c:v>
                </c:pt>
                <c:pt idx="15">
                  <c:v>271.85575619436116</c:v>
                </c:pt>
                <c:pt idx="16">
                  <c:v>273.63817763064355</c:v>
                </c:pt>
                <c:pt idx="17">
                  <c:v>272.5244879423139</c:v>
                </c:pt>
                <c:pt idx="18">
                  <c:v>269.82056250234496</c:v>
                </c:pt>
                <c:pt idx="19">
                  <c:v>270.60524166991604</c:v>
                </c:pt>
                <c:pt idx="20">
                  <c:v>269.33727415927706</c:v>
                </c:pt>
                <c:pt idx="21">
                  <c:v>270.46600615910148</c:v>
                </c:pt>
                <c:pt idx="22">
                  <c:v>265.73129736213428</c:v>
                </c:pt>
                <c:pt idx="23">
                  <c:v>266.04008799654343</c:v>
                </c:pt>
                <c:pt idx="24">
                  <c:v>264.65019735406804</c:v>
                </c:pt>
                <c:pt idx="25">
                  <c:v>263.61312806060016</c:v>
                </c:pt>
                <c:pt idx="26">
                  <c:v>262.36368283587012</c:v>
                </c:pt>
                <c:pt idx="27">
                  <c:v>259.301464292768</c:v>
                </c:pt>
                <c:pt idx="28">
                  <c:v>256.89919773565731</c:v>
                </c:pt>
                <c:pt idx="29">
                  <c:v>253.11582286162724</c:v>
                </c:pt>
                <c:pt idx="30">
                  <c:v>253.96992159846235</c:v>
                </c:pt>
                <c:pt idx="31">
                  <c:v>247.36552278963231</c:v>
                </c:pt>
              </c:numCache>
            </c:numRef>
          </c:yVal>
          <c:smooth val="0"/>
          <c:extLst>
            <c:ext xmlns:c16="http://schemas.microsoft.com/office/drawing/2014/chart" uri="{C3380CC4-5D6E-409C-BE32-E72D297353CC}">
              <c16:uniqueId val="{0000000D-9FB1-8244-BD3F-4EB6DF646F07}"/>
            </c:ext>
          </c:extLst>
        </c:ser>
        <c:ser>
          <c:idx val="14"/>
          <c:order val="14"/>
          <c:tx>
            <c:strRef>
              <c:f>[0]!TestData.05Name</c:f>
              <c:strCache>
                <c:ptCount val="1"/>
                <c:pt idx="0">
                  <c:v>MT</c:v>
                </c:pt>
              </c:strCache>
            </c:strRef>
          </c:tx>
          <c:spPr>
            <a:ln w="0" cap="rnd" cmpd="sng" algn="ctr">
              <a:solidFill>
                <a:srgbClr val="A5A5A5">
                  <a:lumMod val="80000"/>
                  <a:lumOff val="20000"/>
                  <a:alpha val="0"/>
                </a:srgbClr>
              </a:solidFill>
              <a:prstDash val="solid"/>
              <a:round/>
              <a:headEnd type="none" w="med" len="med"/>
              <a:tailEnd type="none" w="med" len="med"/>
            </a:ln>
            <a:effectLst/>
          </c:spPr>
          <c:marker>
            <c:symbol val="picture"/>
            <c:spPr>
              <a:blipFill>
                <a:blip xmlns:r="http://schemas.openxmlformats.org/officeDocument/2006/relationships" r:embed="rId9">
                  <a:extLst>
                    <a:ext uri="{96DAC541-7B7A-43D3-8B79-37D633B846F1}">
                      <asvg:svgBlip xmlns:asvg="http://schemas.microsoft.com/office/drawing/2016/SVG/main" r:embed="rId10"/>
                    </a:ext>
                  </a:extLst>
                </a:blip>
                <a:stretch>
                  <a:fillRect/>
                </a:stretch>
              </a:blipFill>
              <a:ln w="0" cap="rnd" cmpd="sng" algn="ctr">
                <a:solidFill>
                  <a:srgbClr val="A5A5A5">
                    <a:lumMod val="80000"/>
                    <a:lumOff val="20000"/>
                    <a:alpha val="0"/>
                  </a:srgbClr>
                </a:solidFill>
                <a:prstDash val="solid"/>
                <a:round/>
                <a:headEnd type="none" w="med" len="med"/>
                <a:tailEnd type="none" w="med" len="med"/>
              </a:ln>
            </c:spPr>
          </c:marker>
          <c:xVal>
            <c:numRef>
              <c:f>[0]!TestData.05X</c:f>
              <c:numCache>
                <c:formatCode>General</c:formatCode>
                <c:ptCount val="32"/>
                <c:pt idx="0">
                  <c:v>1</c:v>
                </c:pt>
                <c:pt idx="1">
                  <c:v>1.3344890080521934</c:v>
                </c:pt>
                <c:pt idx="2">
                  <c:v>1.7030474058188003</c:v>
                </c:pt>
                <c:pt idx="3">
                  <c:v>2.0573904540890018</c:v>
                </c:pt>
                <c:pt idx="4">
                  <c:v>2.2458302037972069</c:v>
                </c:pt>
                <c:pt idx="5">
                  <c:v>2.6292815316076852</c:v>
                </c:pt>
                <c:pt idx="6">
                  <c:v>3.1446709405059212</c:v>
                </c:pt>
                <c:pt idx="7">
                  <c:v>3.3999198745064714</c:v>
                </c:pt>
                <c:pt idx="8">
                  <c:v>3.9256259869468351</c:v>
                </c:pt>
                <c:pt idx="9">
                  <c:v>4.6530997437670667</c:v>
                </c:pt>
                <c:pt idx="10">
                  <c:v>4.8880929603085468</c:v>
                </c:pt>
                <c:pt idx="11">
                  <c:v>5.664892223184415</c:v>
                </c:pt>
                <c:pt idx="12">
                  <c:v>6.0515794350618712</c:v>
                </c:pt>
                <c:pt idx="13">
                  <c:v>7.0002621908624905</c:v>
                </c:pt>
                <c:pt idx="14">
                  <c:v>8.1331280238597685</c:v>
                </c:pt>
                <c:pt idx="15">
                  <c:v>9.5565267891695118</c:v>
                </c:pt>
                <c:pt idx="16">
                  <c:v>10.634932080445957</c:v>
                </c:pt>
                <c:pt idx="17">
                  <c:v>11.666463536036519</c:v>
                </c:pt>
                <c:pt idx="18">
                  <c:v>12.23955500031566</c:v>
                </c:pt>
                <c:pt idx="19">
                  <c:v>12.6257237749053</c:v>
                </c:pt>
                <c:pt idx="20">
                  <c:v>14.766570008568372</c:v>
                </c:pt>
                <c:pt idx="21">
                  <c:v>15.355241979122615</c:v>
                </c:pt>
                <c:pt idx="22">
                  <c:v>18.098605483543952</c:v>
                </c:pt>
                <c:pt idx="23">
                  <c:v>18.779750563621295</c:v>
                </c:pt>
                <c:pt idx="24">
                  <c:v>19.316609791754832</c:v>
                </c:pt>
                <c:pt idx="25">
                  <c:v>19.662076111000257</c:v>
                </c:pt>
                <c:pt idx="26">
                  <c:v>21.392583340136902</c:v>
                </c:pt>
                <c:pt idx="27">
                  <c:v>23.48382435838861</c:v>
                </c:pt>
                <c:pt idx="28">
                  <c:v>26.28779417044414</c:v>
                </c:pt>
                <c:pt idx="29">
                  <c:v>27.974048396150984</c:v>
                </c:pt>
                <c:pt idx="30">
                  <c:v>28.862913792761329</c:v>
                </c:pt>
                <c:pt idx="31">
                  <c:v>34.05951642602227</c:v>
                </c:pt>
              </c:numCache>
            </c:numRef>
          </c:xVal>
          <c:yVal>
            <c:numRef>
              <c:f>[0]!TestData.05Y</c:f>
              <c:numCache>
                <c:formatCode>General</c:formatCode>
                <c:ptCount val="32"/>
                <c:pt idx="0">
                  <c:v>240.75061606633741</c:v>
                </c:pt>
                <c:pt idx="1">
                  <c:v>246.52284482516748</c:v>
                </c:pt>
                <c:pt idx="2">
                  <c:v>248.93386085871629</c:v>
                </c:pt>
                <c:pt idx="3">
                  <c:v>249.47458126839138</c:v>
                </c:pt>
                <c:pt idx="4">
                  <c:v>251.31880879751043</c:v>
                </c:pt>
                <c:pt idx="5">
                  <c:v>253.54175349253634</c:v>
                </c:pt>
                <c:pt idx="6">
                  <c:v>256.11508555456231</c:v>
                </c:pt>
                <c:pt idx="7">
                  <c:v>259.20699107766626</c:v>
                </c:pt>
                <c:pt idx="8">
                  <c:v>260.60234978887701</c:v>
                </c:pt>
                <c:pt idx="9">
                  <c:v>265.31555746662963</c:v>
                </c:pt>
                <c:pt idx="10">
                  <c:v>264.66769286742544</c:v>
                </c:pt>
                <c:pt idx="11">
                  <c:v>266.37564377637932</c:v>
                </c:pt>
                <c:pt idx="12">
                  <c:v>266.40732347760797</c:v>
                </c:pt>
                <c:pt idx="13">
                  <c:v>267.65661398176013</c:v>
                </c:pt>
                <c:pt idx="14">
                  <c:v>272.44289339314616</c:v>
                </c:pt>
                <c:pt idx="15">
                  <c:v>271.85575619436116</c:v>
                </c:pt>
                <c:pt idx="16">
                  <c:v>273.63817763064355</c:v>
                </c:pt>
                <c:pt idx="17">
                  <c:v>272.5244879423139</c:v>
                </c:pt>
                <c:pt idx="18">
                  <c:v>269.82056250234496</c:v>
                </c:pt>
                <c:pt idx="19">
                  <c:v>270.60524166991604</c:v>
                </c:pt>
                <c:pt idx="20">
                  <c:v>269.33727415927706</c:v>
                </c:pt>
                <c:pt idx="21">
                  <c:v>270.46600615910148</c:v>
                </c:pt>
                <c:pt idx="22">
                  <c:v>265.73129736213428</c:v>
                </c:pt>
                <c:pt idx="23">
                  <c:v>266.04008799654343</c:v>
                </c:pt>
                <c:pt idx="24">
                  <c:v>264.65019735406804</c:v>
                </c:pt>
                <c:pt idx="25">
                  <c:v>263.61312806060016</c:v>
                </c:pt>
                <c:pt idx="26">
                  <c:v>262.36368283587012</c:v>
                </c:pt>
                <c:pt idx="27">
                  <c:v>259.301464292768</c:v>
                </c:pt>
                <c:pt idx="28">
                  <c:v>256.89919773565731</c:v>
                </c:pt>
                <c:pt idx="29">
                  <c:v>253.11582286162724</c:v>
                </c:pt>
                <c:pt idx="30">
                  <c:v>253.96992159846235</c:v>
                </c:pt>
                <c:pt idx="31">
                  <c:v>247.36552278963231</c:v>
                </c:pt>
              </c:numCache>
            </c:numRef>
          </c:yVal>
          <c:smooth val="0"/>
          <c:extLst>
            <c:ext xmlns:c16="http://schemas.microsoft.com/office/drawing/2014/chart" uri="{C3380CC4-5D6E-409C-BE32-E72D297353CC}">
              <c16:uniqueId val="{0000000F-9FB1-8244-BD3F-4EB6DF646F07}"/>
            </c:ext>
          </c:extLst>
        </c:ser>
        <c:ser>
          <c:idx val="15"/>
          <c:order val="15"/>
          <c:tx>
            <c:strRef>
              <c:f>[0]!TestData.06Name</c:f>
              <c:strCache>
                <c:ptCount val="1"/>
                <c:pt idx="0">
                  <c:v>ME</c:v>
                </c:pt>
              </c:strCache>
            </c:strRef>
          </c:tx>
          <c:spPr>
            <a:ln w="38100" cap="rnd" cmpd="sng" algn="ctr">
              <a:solidFill>
                <a:srgbClr val="000000"/>
              </a:solidFill>
              <a:prstDash val="solid"/>
              <a:round/>
              <a:headEnd type="none" w="med" len="med"/>
              <a:tailEnd type="none" w="med" len="med"/>
            </a:ln>
            <a:effectLst/>
          </c:spPr>
          <c:marker>
            <c:symbol val="none"/>
          </c:marker>
          <c:xVal>
            <c:numRef>
              <c:f>[0]!TestData.06X</c:f>
              <c:numCache>
                <c:formatCode>General</c:formatCode>
                <c:ptCount val="32"/>
                <c:pt idx="0">
                  <c:v>1</c:v>
                </c:pt>
                <c:pt idx="1">
                  <c:v>1.2901189675860354</c:v>
                </c:pt>
                <c:pt idx="2">
                  <c:v>1.5213063207081958</c:v>
                </c:pt>
                <c:pt idx="3">
                  <c:v>1.939888902203875</c:v>
                </c:pt>
                <c:pt idx="4">
                  <c:v>2.1570370444734102</c:v>
                </c:pt>
                <c:pt idx="5">
                  <c:v>2.5496814037485493</c:v>
                </c:pt>
                <c:pt idx="6">
                  <c:v>3.0657187208133174</c:v>
                </c:pt>
                <c:pt idx="7">
                  <c:v>3.3318943560142502</c:v>
                </c:pt>
                <c:pt idx="8">
                  <c:v>3.6910781004355666</c:v>
                </c:pt>
                <c:pt idx="9">
                  <c:v>4.3917691998321846</c:v>
                </c:pt>
                <c:pt idx="10">
                  <c:v>4.8914436008633437</c:v>
                </c:pt>
                <c:pt idx="11">
                  <c:v>5.1725585420772271</c:v>
                </c:pt>
                <c:pt idx="12">
                  <c:v>5.9742619001161996</c:v>
                </c:pt>
                <c:pt idx="13">
                  <c:v>6.7835542126645318</c:v>
                </c:pt>
                <c:pt idx="14">
                  <c:v>7.5859393468677734</c:v>
                </c:pt>
                <c:pt idx="15">
                  <c:v>8.8931077841727699</c:v>
                </c:pt>
                <c:pt idx="16">
                  <c:v>9.2863797272715374</c:v>
                </c:pt>
                <c:pt idx="17">
                  <c:v>9.6667633895329992</c:v>
                </c:pt>
                <c:pt idx="18">
                  <c:v>11.260462707988445</c:v>
                </c:pt>
                <c:pt idx="19">
                  <c:v>11.676050741039068</c:v>
                </c:pt>
                <c:pt idx="20">
                  <c:v>12.211594854627311</c:v>
                </c:pt>
                <c:pt idx="21">
                  <c:v>12.700730985757993</c:v>
                </c:pt>
                <c:pt idx="22">
                  <c:v>14.806241124684114</c:v>
                </c:pt>
                <c:pt idx="23">
                  <c:v>16.025835080195076</c:v>
                </c:pt>
                <c:pt idx="24">
                  <c:v>18.344571259966269</c:v>
                </c:pt>
                <c:pt idx="25">
                  <c:v>20.648687197570567</c:v>
                </c:pt>
                <c:pt idx="26">
                  <c:v>22.279665946390814</c:v>
                </c:pt>
                <c:pt idx="27">
                  <c:v>25.394986646267959</c:v>
                </c:pt>
                <c:pt idx="28">
                  <c:v>29.52531783879024</c:v>
                </c:pt>
                <c:pt idx="29">
                  <c:v>31.609313925644226</c:v>
                </c:pt>
                <c:pt idx="30">
                  <c:v>34.720614868506196</c:v>
                </c:pt>
                <c:pt idx="31">
                  <c:v>36.917088196145542</c:v>
                </c:pt>
              </c:numCache>
            </c:numRef>
          </c:xVal>
          <c:yVal>
            <c:numRef>
              <c:f>[0]!TestData.06Y</c:f>
              <c:numCache>
                <c:formatCode>General</c:formatCode>
                <c:ptCount val="32"/>
                <c:pt idx="0">
                  <c:v>189.73815110351501</c:v>
                </c:pt>
                <c:pt idx="1">
                  <c:v>192.57407679767147</c:v>
                </c:pt>
                <c:pt idx="2">
                  <c:v>194.39470203913791</c:v>
                </c:pt>
                <c:pt idx="3">
                  <c:v>195.5795336236817</c:v>
                </c:pt>
                <c:pt idx="4">
                  <c:v>198.93239113678882</c:v>
                </c:pt>
                <c:pt idx="5">
                  <c:v>200.14150360159027</c:v>
                </c:pt>
                <c:pt idx="6">
                  <c:v>204.39361971080169</c:v>
                </c:pt>
                <c:pt idx="7">
                  <c:v>207.1988511195938</c:v>
                </c:pt>
                <c:pt idx="8">
                  <c:v>209.4674613688814</c:v>
                </c:pt>
                <c:pt idx="9">
                  <c:v>212.0180693989974</c:v>
                </c:pt>
                <c:pt idx="10">
                  <c:v>215.41541510040258</c:v>
                </c:pt>
                <c:pt idx="11">
                  <c:v>215.23340287325809</c:v>
                </c:pt>
                <c:pt idx="12">
                  <c:v>220.1907730296129</c:v>
                </c:pt>
                <c:pt idx="13">
                  <c:v>218.93328970139436</c:v>
                </c:pt>
                <c:pt idx="14">
                  <c:v>221.4127463975542</c:v>
                </c:pt>
                <c:pt idx="15">
                  <c:v>222.9675836158282</c:v>
                </c:pt>
                <c:pt idx="16">
                  <c:v>223.12941355007717</c:v>
                </c:pt>
                <c:pt idx="17">
                  <c:v>224.10459262995164</c:v>
                </c:pt>
                <c:pt idx="18">
                  <c:v>226.92239296607713</c:v>
                </c:pt>
                <c:pt idx="19">
                  <c:v>227.05917000997545</c:v>
                </c:pt>
                <c:pt idx="20">
                  <c:v>224.42250422710816</c:v>
                </c:pt>
                <c:pt idx="21">
                  <c:v>227.53753165736887</c:v>
                </c:pt>
                <c:pt idx="22">
                  <c:v>224.21883571871047</c:v>
                </c:pt>
                <c:pt idx="23">
                  <c:v>223.00809490302973</c:v>
                </c:pt>
                <c:pt idx="24">
                  <c:v>221.18103494783654</c:v>
                </c:pt>
                <c:pt idx="25">
                  <c:v>221.21875787612791</c:v>
                </c:pt>
                <c:pt idx="26">
                  <c:v>219.30877235756606</c:v>
                </c:pt>
                <c:pt idx="27">
                  <c:v>217.47684531689109</c:v>
                </c:pt>
                <c:pt idx="28">
                  <c:v>212.86165909007181</c:v>
                </c:pt>
                <c:pt idx="29">
                  <c:v>210.63406714163906</c:v>
                </c:pt>
                <c:pt idx="30">
                  <c:v>206.72535896484823</c:v>
                </c:pt>
                <c:pt idx="31">
                  <c:v>204.41602523419218</c:v>
                </c:pt>
              </c:numCache>
            </c:numRef>
          </c:yVal>
          <c:smooth val="0"/>
          <c:extLst>
            <c:ext xmlns:c16="http://schemas.microsoft.com/office/drawing/2014/chart" uri="{C3380CC4-5D6E-409C-BE32-E72D297353CC}">
              <c16:uniqueId val="{00000010-9FB1-8244-BD3F-4EB6DF646F07}"/>
            </c:ext>
          </c:extLst>
        </c:ser>
        <c:ser>
          <c:idx val="16"/>
          <c:order val="16"/>
          <c:tx>
            <c:strRef>
              <c:f>[0]!TestData.06Name</c:f>
              <c:strCache>
                <c:ptCount val="1"/>
                <c:pt idx="0">
                  <c:v>ME</c:v>
                </c:pt>
              </c:strCache>
            </c:strRef>
          </c:tx>
          <c:spPr>
            <a:ln w="12700" cap="rnd" cmpd="sng" algn="ctr">
              <a:solidFill>
                <a:srgbClr val="FFFFFF"/>
              </a:solidFill>
              <a:prstDash val="solid"/>
              <a:round/>
              <a:headEnd type="none" w="med" len="med"/>
              <a:tailEnd type="none" w="med" len="med"/>
            </a:ln>
            <a:effectLst/>
          </c:spPr>
          <c:marker>
            <c:symbol val="none"/>
          </c:marker>
          <c:xVal>
            <c:numRef>
              <c:f>[0]!TestData.06X</c:f>
              <c:numCache>
                <c:formatCode>General</c:formatCode>
                <c:ptCount val="32"/>
                <c:pt idx="0">
                  <c:v>1</c:v>
                </c:pt>
                <c:pt idx="1">
                  <c:v>1.2901189675860354</c:v>
                </c:pt>
                <c:pt idx="2">
                  <c:v>1.5213063207081958</c:v>
                </c:pt>
                <c:pt idx="3">
                  <c:v>1.939888902203875</c:v>
                </c:pt>
                <c:pt idx="4">
                  <c:v>2.1570370444734102</c:v>
                </c:pt>
                <c:pt idx="5">
                  <c:v>2.5496814037485493</c:v>
                </c:pt>
                <c:pt idx="6">
                  <c:v>3.0657187208133174</c:v>
                </c:pt>
                <c:pt idx="7">
                  <c:v>3.3318943560142502</c:v>
                </c:pt>
                <c:pt idx="8">
                  <c:v>3.6910781004355666</c:v>
                </c:pt>
                <c:pt idx="9">
                  <c:v>4.3917691998321846</c:v>
                </c:pt>
                <c:pt idx="10">
                  <c:v>4.8914436008633437</c:v>
                </c:pt>
                <c:pt idx="11">
                  <c:v>5.1725585420772271</c:v>
                </c:pt>
                <c:pt idx="12">
                  <c:v>5.9742619001161996</c:v>
                </c:pt>
                <c:pt idx="13">
                  <c:v>6.7835542126645318</c:v>
                </c:pt>
                <c:pt idx="14">
                  <c:v>7.5859393468677734</c:v>
                </c:pt>
                <c:pt idx="15">
                  <c:v>8.8931077841727699</c:v>
                </c:pt>
                <c:pt idx="16">
                  <c:v>9.2863797272715374</c:v>
                </c:pt>
                <c:pt idx="17">
                  <c:v>9.6667633895329992</c:v>
                </c:pt>
                <c:pt idx="18">
                  <c:v>11.260462707988445</c:v>
                </c:pt>
                <c:pt idx="19">
                  <c:v>11.676050741039068</c:v>
                </c:pt>
                <c:pt idx="20">
                  <c:v>12.211594854627311</c:v>
                </c:pt>
                <c:pt idx="21">
                  <c:v>12.700730985757993</c:v>
                </c:pt>
                <c:pt idx="22">
                  <c:v>14.806241124684114</c:v>
                </c:pt>
                <c:pt idx="23">
                  <c:v>16.025835080195076</c:v>
                </c:pt>
                <c:pt idx="24">
                  <c:v>18.344571259966269</c:v>
                </c:pt>
                <c:pt idx="25">
                  <c:v>20.648687197570567</c:v>
                </c:pt>
                <c:pt idx="26">
                  <c:v>22.279665946390814</c:v>
                </c:pt>
                <c:pt idx="27">
                  <c:v>25.394986646267959</c:v>
                </c:pt>
                <c:pt idx="28">
                  <c:v>29.52531783879024</c:v>
                </c:pt>
                <c:pt idx="29">
                  <c:v>31.609313925644226</c:v>
                </c:pt>
                <c:pt idx="30">
                  <c:v>34.720614868506196</c:v>
                </c:pt>
                <c:pt idx="31">
                  <c:v>36.917088196145542</c:v>
                </c:pt>
              </c:numCache>
            </c:numRef>
          </c:xVal>
          <c:yVal>
            <c:numRef>
              <c:f>[0]!TestData.06Y</c:f>
              <c:numCache>
                <c:formatCode>General</c:formatCode>
                <c:ptCount val="32"/>
                <c:pt idx="0">
                  <c:v>189.73815110351501</c:v>
                </c:pt>
                <c:pt idx="1">
                  <c:v>192.57407679767147</c:v>
                </c:pt>
                <c:pt idx="2">
                  <c:v>194.39470203913791</c:v>
                </c:pt>
                <c:pt idx="3">
                  <c:v>195.5795336236817</c:v>
                </c:pt>
                <c:pt idx="4">
                  <c:v>198.93239113678882</c:v>
                </c:pt>
                <c:pt idx="5">
                  <c:v>200.14150360159027</c:v>
                </c:pt>
                <c:pt idx="6">
                  <c:v>204.39361971080169</c:v>
                </c:pt>
                <c:pt idx="7">
                  <c:v>207.1988511195938</c:v>
                </c:pt>
                <c:pt idx="8">
                  <c:v>209.4674613688814</c:v>
                </c:pt>
                <c:pt idx="9">
                  <c:v>212.0180693989974</c:v>
                </c:pt>
                <c:pt idx="10">
                  <c:v>215.41541510040258</c:v>
                </c:pt>
                <c:pt idx="11">
                  <c:v>215.23340287325809</c:v>
                </c:pt>
                <c:pt idx="12">
                  <c:v>220.1907730296129</c:v>
                </c:pt>
                <c:pt idx="13">
                  <c:v>218.93328970139436</c:v>
                </c:pt>
                <c:pt idx="14">
                  <c:v>221.4127463975542</c:v>
                </c:pt>
                <c:pt idx="15">
                  <c:v>222.9675836158282</c:v>
                </c:pt>
                <c:pt idx="16">
                  <c:v>223.12941355007717</c:v>
                </c:pt>
                <c:pt idx="17">
                  <c:v>224.10459262995164</c:v>
                </c:pt>
                <c:pt idx="18">
                  <c:v>226.92239296607713</c:v>
                </c:pt>
                <c:pt idx="19">
                  <c:v>227.05917000997545</c:v>
                </c:pt>
                <c:pt idx="20">
                  <c:v>224.42250422710816</c:v>
                </c:pt>
                <c:pt idx="21">
                  <c:v>227.53753165736887</c:v>
                </c:pt>
                <c:pt idx="22">
                  <c:v>224.21883571871047</c:v>
                </c:pt>
                <c:pt idx="23">
                  <c:v>223.00809490302973</c:v>
                </c:pt>
                <c:pt idx="24">
                  <c:v>221.18103494783654</c:v>
                </c:pt>
                <c:pt idx="25">
                  <c:v>221.21875787612791</c:v>
                </c:pt>
                <c:pt idx="26">
                  <c:v>219.30877235756606</c:v>
                </c:pt>
                <c:pt idx="27">
                  <c:v>217.47684531689109</c:v>
                </c:pt>
                <c:pt idx="28">
                  <c:v>212.86165909007181</c:v>
                </c:pt>
                <c:pt idx="29">
                  <c:v>210.63406714163906</c:v>
                </c:pt>
                <c:pt idx="30">
                  <c:v>206.72535896484823</c:v>
                </c:pt>
                <c:pt idx="31">
                  <c:v>204.41602523419218</c:v>
                </c:pt>
              </c:numCache>
            </c:numRef>
          </c:yVal>
          <c:smooth val="0"/>
          <c:extLst>
            <c:ext xmlns:c16="http://schemas.microsoft.com/office/drawing/2014/chart" uri="{C3380CC4-5D6E-409C-BE32-E72D297353CC}">
              <c16:uniqueId val="{00000011-9FB1-8244-BD3F-4EB6DF646F07}"/>
            </c:ext>
          </c:extLst>
        </c:ser>
        <c:ser>
          <c:idx val="17"/>
          <c:order val="17"/>
          <c:tx>
            <c:strRef>
              <c:f>[0]!TestData.06Name</c:f>
              <c:strCache>
                <c:ptCount val="1"/>
                <c:pt idx="0">
                  <c:v>ME</c:v>
                </c:pt>
              </c:strCache>
            </c:strRef>
          </c:tx>
          <c:spPr>
            <a:ln w="0" cap="rnd" cmpd="sng" algn="ctr">
              <a:solidFill>
                <a:srgbClr val="70AD47">
                  <a:lumMod val="80000"/>
                  <a:lumOff val="20000"/>
                  <a:alpha val="0"/>
                </a:srgbClr>
              </a:solidFill>
              <a:prstDash val="solid"/>
              <a:round/>
              <a:headEnd type="none" w="med" len="med"/>
              <a:tailEnd type="none" w="med" len="med"/>
            </a:ln>
            <a:effectLst/>
          </c:spPr>
          <c:marker>
            <c:symbol val="picture"/>
            <c:spPr>
              <a:blipFill>
                <a:blip xmlns:r="http://schemas.openxmlformats.org/officeDocument/2006/relationships" r:embed="rId11">
                  <a:extLst>
                    <a:ext uri="{96DAC541-7B7A-43D3-8B79-37D633B846F1}">
                      <asvg:svgBlip xmlns:asvg="http://schemas.microsoft.com/office/drawing/2016/SVG/main" r:embed="rId12"/>
                    </a:ext>
                  </a:extLst>
                </a:blip>
                <a:stretch>
                  <a:fillRect/>
                </a:stretch>
              </a:blipFill>
              <a:ln w="0" cap="rnd" cmpd="sng" algn="ctr">
                <a:solidFill>
                  <a:srgbClr val="70AD47">
                    <a:lumMod val="80000"/>
                    <a:lumOff val="20000"/>
                    <a:alpha val="0"/>
                  </a:srgbClr>
                </a:solidFill>
                <a:prstDash val="solid"/>
                <a:round/>
                <a:headEnd type="none" w="med" len="med"/>
                <a:tailEnd type="none" w="med" len="med"/>
              </a:ln>
            </c:spPr>
          </c:marker>
          <c:xVal>
            <c:numRef>
              <c:f>[0]!TestData.06X</c:f>
              <c:numCache>
                <c:formatCode>General</c:formatCode>
                <c:ptCount val="32"/>
                <c:pt idx="0">
                  <c:v>1</c:v>
                </c:pt>
                <c:pt idx="1">
                  <c:v>1.2901189675860354</c:v>
                </c:pt>
                <c:pt idx="2">
                  <c:v>1.5213063207081958</c:v>
                </c:pt>
                <c:pt idx="3">
                  <c:v>1.939888902203875</c:v>
                </c:pt>
                <c:pt idx="4">
                  <c:v>2.1570370444734102</c:v>
                </c:pt>
                <c:pt idx="5">
                  <c:v>2.5496814037485493</c:v>
                </c:pt>
                <c:pt idx="6">
                  <c:v>3.0657187208133174</c:v>
                </c:pt>
                <c:pt idx="7">
                  <c:v>3.3318943560142502</c:v>
                </c:pt>
                <c:pt idx="8">
                  <c:v>3.6910781004355666</c:v>
                </c:pt>
                <c:pt idx="9">
                  <c:v>4.3917691998321846</c:v>
                </c:pt>
                <c:pt idx="10">
                  <c:v>4.8914436008633437</c:v>
                </c:pt>
                <c:pt idx="11">
                  <c:v>5.1725585420772271</c:v>
                </c:pt>
                <c:pt idx="12">
                  <c:v>5.9742619001161996</c:v>
                </c:pt>
                <c:pt idx="13">
                  <c:v>6.7835542126645318</c:v>
                </c:pt>
                <c:pt idx="14">
                  <c:v>7.5859393468677734</c:v>
                </c:pt>
                <c:pt idx="15">
                  <c:v>8.8931077841727699</c:v>
                </c:pt>
                <c:pt idx="16">
                  <c:v>9.2863797272715374</c:v>
                </c:pt>
                <c:pt idx="17">
                  <c:v>9.6667633895329992</c:v>
                </c:pt>
                <c:pt idx="18">
                  <c:v>11.260462707988445</c:v>
                </c:pt>
                <c:pt idx="19">
                  <c:v>11.676050741039068</c:v>
                </c:pt>
                <c:pt idx="20">
                  <c:v>12.211594854627311</c:v>
                </c:pt>
                <c:pt idx="21">
                  <c:v>12.700730985757993</c:v>
                </c:pt>
                <c:pt idx="22">
                  <c:v>14.806241124684114</c:v>
                </c:pt>
                <c:pt idx="23">
                  <c:v>16.025835080195076</c:v>
                </c:pt>
                <c:pt idx="24">
                  <c:v>18.344571259966269</c:v>
                </c:pt>
                <c:pt idx="25">
                  <c:v>20.648687197570567</c:v>
                </c:pt>
                <c:pt idx="26">
                  <c:v>22.279665946390814</c:v>
                </c:pt>
                <c:pt idx="27">
                  <c:v>25.394986646267959</c:v>
                </c:pt>
                <c:pt idx="28">
                  <c:v>29.52531783879024</c:v>
                </c:pt>
                <c:pt idx="29">
                  <c:v>31.609313925644226</c:v>
                </c:pt>
                <c:pt idx="30">
                  <c:v>34.720614868506196</c:v>
                </c:pt>
                <c:pt idx="31">
                  <c:v>36.917088196145542</c:v>
                </c:pt>
              </c:numCache>
            </c:numRef>
          </c:xVal>
          <c:yVal>
            <c:numRef>
              <c:f>[0]!TestData.06Y</c:f>
              <c:numCache>
                <c:formatCode>General</c:formatCode>
                <c:ptCount val="32"/>
                <c:pt idx="0">
                  <c:v>189.73815110351501</c:v>
                </c:pt>
                <c:pt idx="1">
                  <c:v>192.57407679767147</c:v>
                </c:pt>
                <c:pt idx="2">
                  <c:v>194.39470203913791</c:v>
                </c:pt>
                <c:pt idx="3">
                  <c:v>195.5795336236817</c:v>
                </c:pt>
                <c:pt idx="4">
                  <c:v>198.93239113678882</c:v>
                </c:pt>
                <c:pt idx="5">
                  <c:v>200.14150360159027</c:v>
                </c:pt>
                <c:pt idx="6">
                  <c:v>204.39361971080169</c:v>
                </c:pt>
                <c:pt idx="7">
                  <c:v>207.1988511195938</c:v>
                </c:pt>
                <c:pt idx="8">
                  <c:v>209.4674613688814</c:v>
                </c:pt>
                <c:pt idx="9">
                  <c:v>212.0180693989974</c:v>
                </c:pt>
                <c:pt idx="10">
                  <c:v>215.41541510040258</c:v>
                </c:pt>
                <c:pt idx="11">
                  <c:v>215.23340287325809</c:v>
                </c:pt>
                <c:pt idx="12">
                  <c:v>220.1907730296129</c:v>
                </c:pt>
                <c:pt idx="13">
                  <c:v>218.93328970139436</c:v>
                </c:pt>
                <c:pt idx="14">
                  <c:v>221.4127463975542</c:v>
                </c:pt>
                <c:pt idx="15">
                  <c:v>222.9675836158282</c:v>
                </c:pt>
                <c:pt idx="16">
                  <c:v>223.12941355007717</c:v>
                </c:pt>
                <c:pt idx="17">
                  <c:v>224.10459262995164</c:v>
                </c:pt>
                <c:pt idx="18">
                  <c:v>226.92239296607713</c:v>
                </c:pt>
                <c:pt idx="19">
                  <c:v>227.05917000997545</c:v>
                </c:pt>
                <c:pt idx="20">
                  <c:v>224.42250422710816</c:v>
                </c:pt>
                <c:pt idx="21">
                  <c:v>227.53753165736887</c:v>
                </c:pt>
                <c:pt idx="22">
                  <c:v>224.21883571871047</c:v>
                </c:pt>
                <c:pt idx="23">
                  <c:v>223.00809490302973</c:v>
                </c:pt>
                <c:pt idx="24">
                  <c:v>221.18103494783654</c:v>
                </c:pt>
                <c:pt idx="25">
                  <c:v>221.21875787612791</c:v>
                </c:pt>
                <c:pt idx="26">
                  <c:v>219.30877235756606</c:v>
                </c:pt>
                <c:pt idx="27">
                  <c:v>217.47684531689109</c:v>
                </c:pt>
                <c:pt idx="28">
                  <c:v>212.86165909007181</c:v>
                </c:pt>
                <c:pt idx="29">
                  <c:v>210.63406714163906</c:v>
                </c:pt>
                <c:pt idx="30">
                  <c:v>206.72535896484823</c:v>
                </c:pt>
                <c:pt idx="31">
                  <c:v>204.41602523419218</c:v>
                </c:pt>
              </c:numCache>
            </c:numRef>
          </c:yVal>
          <c:smooth val="0"/>
          <c:extLst>
            <c:ext xmlns:c16="http://schemas.microsoft.com/office/drawing/2014/chart" uri="{C3380CC4-5D6E-409C-BE32-E72D297353CC}">
              <c16:uniqueId val="{00000012-9FB1-8244-BD3F-4EB6DF646F07}"/>
            </c:ext>
          </c:extLst>
        </c:ser>
        <c:ser>
          <c:idx val="19"/>
          <c:order val="18"/>
          <c:tx>
            <c:strRef>
              <c:f>[0]!TestData.07Name</c:f>
              <c:strCache>
                <c:ptCount val="1"/>
                <c:pt idx="0">
                  <c:v>XK</c:v>
                </c:pt>
              </c:strCache>
            </c:strRef>
          </c:tx>
          <c:spPr>
            <a:ln w="38100" cap="rnd" cmpd="sng" algn="ctr">
              <a:solidFill>
                <a:srgbClr val="0055A4"/>
              </a:solidFill>
              <a:prstDash val="solid"/>
              <a:round/>
              <a:headEnd type="none" w="med" len="med"/>
              <a:tailEnd type="none" w="med" len="med"/>
            </a:ln>
            <a:effectLst/>
          </c:spPr>
          <c:marker>
            <c:symbol val="none"/>
          </c:marker>
          <c:xVal>
            <c:numRef>
              <c:f>[0]!TestData.07X</c:f>
              <c:numCache>
                <c:formatCode>General</c:formatCode>
                <c:ptCount val="32"/>
                <c:pt idx="0">
                  <c:v>1</c:v>
                </c:pt>
                <c:pt idx="1">
                  <c:v>1.2544743047098059</c:v>
                </c:pt>
                <c:pt idx="2">
                  <c:v>1.5263979531715297</c:v>
                </c:pt>
                <c:pt idx="3">
                  <c:v>1.8547009964592605</c:v>
                </c:pt>
                <c:pt idx="4">
                  <c:v>2.0703954474308581</c:v>
                </c:pt>
                <c:pt idx="5">
                  <c:v>2.4578578107391436</c:v>
                </c:pt>
                <c:pt idx="6">
                  <c:v>2.9268744484479639</c:v>
                </c:pt>
                <c:pt idx="7">
                  <c:v>3.3763921873745963</c:v>
                </c:pt>
                <c:pt idx="8">
                  <c:v>3.6014368869157836</c:v>
                </c:pt>
                <c:pt idx="9">
                  <c:v>4.2861799924034916</c:v>
                </c:pt>
                <c:pt idx="10">
                  <c:v>4.8723717723892639</c:v>
                </c:pt>
                <c:pt idx="11">
                  <c:v>5.3791459758732527</c:v>
                </c:pt>
                <c:pt idx="12">
                  <c:v>5.7398563035551495</c:v>
                </c:pt>
                <c:pt idx="13">
                  <c:v>6.6445982454899317</c:v>
                </c:pt>
                <c:pt idx="14">
                  <c:v>7.6254070025119551</c:v>
                </c:pt>
                <c:pt idx="15">
                  <c:v>8.9477166747590324</c:v>
                </c:pt>
                <c:pt idx="16">
                  <c:v>10.648413520210696</c:v>
                </c:pt>
                <c:pt idx="17">
                  <c:v>12.132228714728365</c:v>
                </c:pt>
                <c:pt idx="18">
                  <c:v>12.914395147865644</c:v>
                </c:pt>
                <c:pt idx="19">
                  <c:v>14.125657540993132</c:v>
                </c:pt>
                <c:pt idx="20">
                  <c:v>15.320363146735259</c:v>
                </c:pt>
                <c:pt idx="21">
                  <c:v>17.011798264762366</c:v>
                </c:pt>
                <c:pt idx="22">
                  <c:v>17.467388643864446</c:v>
                </c:pt>
                <c:pt idx="23">
                  <c:v>19.97517610110944</c:v>
                </c:pt>
                <c:pt idx="24">
                  <c:v>20.197475475776063</c:v>
                </c:pt>
                <c:pt idx="25">
                  <c:v>21.190611441941957</c:v>
                </c:pt>
                <c:pt idx="26">
                  <c:v>21.576581915218775</c:v>
                </c:pt>
                <c:pt idx="27">
                  <c:v>22.389614949449903</c:v>
                </c:pt>
                <c:pt idx="28">
                  <c:v>24.29214338930981</c:v>
                </c:pt>
                <c:pt idx="29">
                  <c:v>27.36310853164991</c:v>
                </c:pt>
                <c:pt idx="30">
                  <c:v>27.890853088476675</c:v>
                </c:pt>
                <c:pt idx="31">
                  <c:v>32.873270030690293</c:v>
                </c:pt>
              </c:numCache>
            </c:numRef>
          </c:xVal>
          <c:yVal>
            <c:numRef>
              <c:f>[0]!TestData.07Y</c:f>
              <c:numCache>
                <c:formatCode>General</c:formatCode>
                <c:ptCount val="32"/>
                <c:pt idx="0">
                  <c:v>175.33894946265025</c:v>
                </c:pt>
                <c:pt idx="1">
                  <c:v>178.73247987610634</c:v>
                </c:pt>
                <c:pt idx="2">
                  <c:v>180.29589404498253</c:v>
                </c:pt>
                <c:pt idx="3">
                  <c:v>182.88356792457557</c:v>
                </c:pt>
                <c:pt idx="4">
                  <c:v>188.10754175872054</c:v>
                </c:pt>
                <c:pt idx="5">
                  <c:v>187.95539911947532</c:v>
                </c:pt>
                <c:pt idx="6">
                  <c:v>191.21168114717688</c:v>
                </c:pt>
                <c:pt idx="7">
                  <c:v>195.52839715872918</c:v>
                </c:pt>
                <c:pt idx="8">
                  <c:v>198.95826776408347</c:v>
                </c:pt>
                <c:pt idx="9">
                  <c:v>202.7113001093424</c:v>
                </c:pt>
                <c:pt idx="10">
                  <c:v>203.96976538562561</c:v>
                </c:pt>
                <c:pt idx="11">
                  <c:v>207.28103171222929</c:v>
                </c:pt>
                <c:pt idx="12">
                  <c:v>206.02294483214391</c:v>
                </c:pt>
                <c:pt idx="13">
                  <c:v>210.13789563936675</c:v>
                </c:pt>
                <c:pt idx="14">
                  <c:v>210.86422589009535</c:v>
                </c:pt>
                <c:pt idx="15">
                  <c:v>214.41564361087811</c:v>
                </c:pt>
                <c:pt idx="16">
                  <c:v>216.6480781963642</c:v>
                </c:pt>
                <c:pt idx="17">
                  <c:v>217.50808998480557</c:v>
                </c:pt>
                <c:pt idx="18">
                  <c:v>215.82583978296242</c:v>
                </c:pt>
                <c:pt idx="19">
                  <c:v>217.27437814301939</c:v>
                </c:pt>
                <c:pt idx="20">
                  <c:v>217.96697496623722</c:v>
                </c:pt>
                <c:pt idx="21">
                  <c:v>214.8463826118458</c:v>
                </c:pt>
                <c:pt idx="22">
                  <c:v>216.44129590784141</c:v>
                </c:pt>
                <c:pt idx="23">
                  <c:v>212.60803426341269</c:v>
                </c:pt>
                <c:pt idx="24">
                  <c:v>214.04515958549524</c:v>
                </c:pt>
                <c:pt idx="25">
                  <c:v>214.14753111239912</c:v>
                </c:pt>
                <c:pt idx="26">
                  <c:v>213.25604506552432</c:v>
                </c:pt>
                <c:pt idx="27">
                  <c:v>212.15957621140748</c:v>
                </c:pt>
                <c:pt idx="28">
                  <c:v>208.15548882009779</c:v>
                </c:pt>
                <c:pt idx="29">
                  <c:v>206.27143389629265</c:v>
                </c:pt>
                <c:pt idx="30">
                  <c:v>206.95418340546308</c:v>
                </c:pt>
                <c:pt idx="31">
                  <c:v>204.73242883763416</c:v>
                </c:pt>
              </c:numCache>
            </c:numRef>
          </c:yVal>
          <c:smooth val="0"/>
          <c:extLst>
            <c:ext xmlns:c16="http://schemas.microsoft.com/office/drawing/2014/chart" uri="{C3380CC4-5D6E-409C-BE32-E72D297353CC}">
              <c16:uniqueId val="{00000014-9FB1-8244-BD3F-4EB6DF646F07}"/>
            </c:ext>
          </c:extLst>
        </c:ser>
        <c:ser>
          <c:idx val="18"/>
          <c:order val="19"/>
          <c:tx>
            <c:strRef>
              <c:f>[0]!TestData.07Name</c:f>
              <c:strCache>
                <c:ptCount val="1"/>
                <c:pt idx="0">
                  <c:v>XK</c:v>
                </c:pt>
              </c:strCache>
            </c:strRef>
          </c:tx>
          <c:spPr>
            <a:ln w="12700" cap="rnd" cmpd="sng" algn="ctr">
              <a:solidFill>
                <a:srgbClr val="EF4135"/>
              </a:solidFill>
              <a:prstDash val="solid"/>
              <a:round/>
              <a:headEnd type="none" w="med" len="med"/>
              <a:tailEnd type="none" w="med" len="med"/>
            </a:ln>
            <a:effectLst/>
          </c:spPr>
          <c:marker>
            <c:symbol val="none"/>
          </c:marker>
          <c:xVal>
            <c:numRef>
              <c:f>[0]!TestData.07X</c:f>
              <c:numCache>
                <c:formatCode>General</c:formatCode>
                <c:ptCount val="32"/>
                <c:pt idx="0">
                  <c:v>1</c:v>
                </c:pt>
                <c:pt idx="1">
                  <c:v>1.2544743047098059</c:v>
                </c:pt>
                <c:pt idx="2">
                  <c:v>1.5263979531715297</c:v>
                </c:pt>
                <c:pt idx="3">
                  <c:v>1.8547009964592605</c:v>
                </c:pt>
                <c:pt idx="4">
                  <c:v>2.0703954474308581</c:v>
                </c:pt>
                <c:pt idx="5">
                  <c:v>2.4578578107391436</c:v>
                </c:pt>
                <c:pt idx="6">
                  <c:v>2.9268744484479639</c:v>
                </c:pt>
                <c:pt idx="7">
                  <c:v>3.3763921873745963</c:v>
                </c:pt>
                <c:pt idx="8">
                  <c:v>3.6014368869157836</c:v>
                </c:pt>
                <c:pt idx="9">
                  <c:v>4.2861799924034916</c:v>
                </c:pt>
                <c:pt idx="10">
                  <c:v>4.8723717723892639</c:v>
                </c:pt>
                <c:pt idx="11">
                  <c:v>5.3791459758732527</c:v>
                </c:pt>
                <c:pt idx="12">
                  <c:v>5.7398563035551495</c:v>
                </c:pt>
                <c:pt idx="13">
                  <c:v>6.6445982454899317</c:v>
                </c:pt>
                <c:pt idx="14">
                  <c:v>7.6254070025119551</c:v>
                </c:pt>
                <c:pt idx="15">
                  <c:v>8.9477166747590324</c:v>
                </c:pt>
                <c:pt idx="16">
                  <c:v>10.648413520210696</c:v>
                </c:pt>
                <c:pt idx="17">
                  <c:v>12.132228714728365</c:v>
                </c:pt>
                <c:pt idx="18">
                  <c:v>12.914395147865644</c:v>
                </c:pt>
                <c:pt idx="19">
                  <c:v>14.125657540993132</c:v>
                </c:pt>
                <c:pt idx="20">
                  <c:v>15.320363146735259</c:v>
                </c:pt>
                <c:pt idx="21">
                  <c:v>17.011798264762366</c:v>
                </c:pt>
                <c:pt idx="22">
                  <c:v>17.467388643864446</c:v>
                </c:pt>
                <c:pt idx="23">
                  <c:v>19.97517610110944</c:v>
                </c:pt>
                <c:pt idx="24">
                  <c:v>20.197475475776063</c:v>
                </c:pt>
                <c:pt idx="25">
                  <c:v>21.190611441941957</c:v>
                </c:pt>
                <c:pt idx="26">
                  <c:v>21.576581915218775</c:v>
                </c:pt>
                <c:pt idx="27">
                  <c:v>22.389614949449903</c:v>
                </c:pt>
                <c:pt idx="28">
                  <c:v>24.29214338930981</c:v>
                </c:pt>
                <c:pt idx="29">
                  <c:v>27.36310853164991</c:v>
                </c:pt>
                <c:pt idx="30">
                  <c:v>27.890853088476675</c:v>
                </c:pt>
                <c:pt idx="31">
                  <c:v>32.873270030690293</c:v>
                </c:pt>
              </c:numCache>
            </c:numRef>
          </c:xVal>
          <c:yVal>
            <c:numRef>
              <c:f>[0]!TestData.07Y</c:f>
              <c:numCache>
                <c:formatCode>General</c:formatCode>
                <c:ptCount val="32"/>
                <c:pt idx="0">
                  <c:v>175.33894946265025</c:v>
                </c:pt>
                <c:pt idx="1">
                  <c:v>178.73247987610634</c:v>
                </c:pt>
                <c:pt idx="2">
                  <c:v>180.29589404498253</c:v>
                </c:pt>
                <c:pt idx="3">
                  <c:v>182.88356792457557</c:v>
                </c:pt>
                <c:pt idx="4">
                  <c:v>188.10754175872054</c:v>
                </c:pt>
                <c:pt idx="5">
                  <c:v>187.95539911947532</c:v>
                </c:pt>
                <c:pt idx="6">
                  <c:v>191.21168114717688</c:v>
                </c:pt>
                <c:pt idx="7">
                  <c:v>195.52839715872918</c:v>
                </c:pt>
                <c:pt idx="8">
                  <c:v>198.95826776408347</c:v>
                </c:pt>
                <c:pt idx="9">
                  <c:v>202.7113001093424</c:v>
                </c:pt>
                <c:pt idx="10">
                  <c:v>203.96976538562561</c:v>
                </c:pt>
                <c:pt idx="11">
                  <c:v>207.28103171222929</c:v>
                </c:pt>
                <c:pt idx="12">
                  <c:v>206.02294483214391</c:v>
                </c:pt>
                <c:pt idx="13">
                  <c:v>210.13789563936675</c:v>
                </c:pt>
                <c:pt idx="14">
                  <c:v>210.86422589009535</c:v>
                </c:pt>
                <c:pt idx="15">
                  <c:v>214.41564361087811</c:v>
                </c:pt>
                <c:pt idx="16">
                  <c:v>216.6480781963642</c:v>
                </c:pt>
                <c:pt idx="17">
                  <c:v>217.50808998480557</c:v>
                </c:pt>
                <c:pt idx="18">
                  <c:v>215.82583978296242</c:v>
                </c:pt>
                <c:pt idx="19">
                  <c:v>217.27437814301939</c:v>
                </c:pt>
                <c:pt idx="20">
                  <c:v>217.96697496623722</c:v>
                </c:pt>
                <c:pt idx="21">
                  <c:v>214.8463826118458</c:v>
                </c:pt>
                <c:pt idx="22">
                  <c:v>216.44129590784141</c:v>
                </c:pt>
                <c:pt idx="23">
                  <c:v>212.60803426341269</c:v>
                </c:pt>
                <c:pt idx="24">
                  <c:v>214.04515958549524</c:v>
                </c:pt>
                <c:pt idx="25">
                  <c:v>214.14753111239912</c:v>
                </c:pt>
                <c:pt idx="26">
                  <c:v>213.25604506552432</c:v>
                </c:pt>
                <c:pt idx="27">
                  <c:v>212.15957621140748</c:v>
                </c:pt>
                <c:pt idx="28">
                  <c:v>208.15548882009779</c:v>
                </c:pt>
                <c:pt idx="29">
                  <c:v>206.27143389629265</c:v>
                </c:pt>
                <c:pt idx="30">
                  <c:v>206.95418340546308</c:v>
                </c:pt>
                <c:pt idx="31">
                  <c:v>204.73242883763416</c:v>
                </c:pt>
              </c:numCache>
            </c:numRef>
          </c:yVal>
          <c:smooth val="0"/>
          <c:extLst>
            <c:ext xmlns:c16="http://schemas.microsoft.com/office/drawing/2014/chart" uri="{C3380CC4-5D6E-409C-BE32-E72D297353CC}">
              <c16:uniqueId val="{00000013-9FB1-8244-BD3F-4EB6DF646F07}"/>
            </c:ext>
          </c:extLst>
        </c:ser>
        <c:ser>
          <c:idx val="20"/>
          <c:order val="20"/>
          <c:tx>
            <c:strRef>
              <c:f>[0]!TestData.07Name</c:f>
              <c:strCache>
                <c:ptCount val="1"/>
                <c:pt idx="0">
                  <c:v>XK</c:v>
                </c:pt>
              </c:strCache>
            </c:strRef>
          </c:tx>
          <c:spPr>
            <a:ln w="0" cap="rnd" cmpd="sng" algn="ctr">
              <a:solidFill>
                <a:srgbClr val="C8102E">
                  <a:alpha val="0"/>
                </a:srgbClr>
              </a:solidFill>
              <a:prstDash val="solid"/>
              <a:round/>
              <a:headEnd type="none" w="med" len="med"/>
              <a:tailEnd type="none" w="med" len="med"/>
            </a:ln>
            <a:effectLst/>
          </c:spPr>
          <c:marker>
            <c:symbol val="picture"/>
            <c:spPr>
              <a:blipFill>
                <a:blip xmlns:r="http://schemas.openxmlformats.org/officeDocument/2006/relationships" r:embed="rId13">
                  <a:extLst>
                    <a:ext uri="{96DAC541-7B7A-43D3-8B79-37D633B846F1}">
                      <asvg:svgBlip xmlns:asvg="http://schemas.microsoft.com/office/drawing/2016/SVG/main" r:embed="rId14"/>
                    </a:ext>
                  </a:extLst>
                </a:blip>
                <a:stretch>
                  <a:fillRect/>
                </a:stretch>
              </a:blipFill>
              <a:ln w="0" cap="rnd" cmpd="sng" algn="ctr">
                <a:solidFill>
                  <a:srgbClr val="C8102E">
                    <a:alpha val="0"/>
                  </a:srgbClr>
                </a:solidFill>
                <a:prstDash val="solid"/>
                <a:round/>
                <a:headEnd type="none" w="med" len="med"/>
                <a:tailEnd type="none" w="med" len="med"/>
              </a:ln>
            </c:spPr>
          </c:marker>
          <c:xVal>
            <c:numRef>
              <c:f>[0]!TestData.07X</c:f>
              <c:numCache>
                <c:formatCode>General</c:formatCode>
                <c:ptCount val="32"/>
                <c:pt idx="0">
                  <c:v>1</c:v>
                </c:pt>
                <c:pt idx="1">
                  <c:v>1.2544743047098059</c:v>
                </c:pt>
                <c:pt idx="2">
                  <c:v>1.5263979531715297</c:v>
                </c:pt>
                <c:pt idx="3">
                  <c:v>1.8547009964592605</c:v>
                </c:pt>
                <c:pt idx="4">
                  <c:v>2.0703954474308581</c:v>
                </c:pt>
                <c:pt idx="5">
                  <c:v>2.4578578107391436</c:v>
                </c:pt>
                <c:pt idx="6">
                  <c:v>2.9268744484479639</c:v>
                </c:pt>
                <c:pt idx="7">
                  <c:v>3.3763921873745963</c:v>
                </c:pt>
                <c:pt idx="8">
                  <c:v>3.6014368869157836</c:v>
                </c:pt>
                <c:pt idx="9">
                  <c:v>4.2861799924034916</c:v>
                </c:pt>
                <c:pt idx="10">
                  <c:v>4.8723717723892639</c:v>
                </c:pt>
                <c:pt idx="11">
                  <c:v>5.3791459758732527</c:v>
                </c:pt>
                <c:pt idx="12">
                  <c:v>5.7398563035551495</c:v>
                </c:pt>
                <c:pt idx="13">
                  <c:v>6.6445982454899317</c:v>
                </c:pt>
                <c:pt idx="14">
                  <c:v>7.6254070025119551</c:v>
                </c:pt>
                <c:pt idx="15">
                  <c:v>8.9477166747590324</c:v>
                </c:pt>
                <c:pt idx="16">
                  <c:v>10.648413520210696</c:v>
                </c:pt>
                <c:pt idx="17">
                  <c:v>12.132228714728365</c:v>
                </c:pt>
                <c:pt idx="18">
                  <c:v>12.914395147865644</c:v>
                </c:pt>
                <c:pt idx="19">
                  <c:v>14.125657540993132</c:v>
                </c:pt>
                <c:pt idx="20">
                  <c:v>15.320363146735259</c:v>
                </c:pt>
                <c:pt idx="21">
                  <c:v>17.011798264762366</c:v>
                </c:pt>
                <c:pt idx="22">
                  <c:v>17.467388643864446</c:v>
                </c:pt>
                <c:pt idx="23">
                  <c:v>19.97517610110944</c:v>
                </c:pt>
                <c:pt idx="24">
                  <c:v>20.197475475776063</c:v>
                </c:pt>
                <c:pt idx="25">
                  <c:v>21.190611441941957</c:v>
                </c:pt>
                <c:pt idx="26">
                  <c:v>21.576581915218775</c:v>
                </c:pt>
                <c:pt idx="27">
                  <c:v>22.389614949449903</c:v>
                </c:pt>
                <c:pt idx="28">
                  <c:v>24.29214338930981</c:v>
                </c:pt>
                <c:pt idx="29">
                  <c:v>27.36310853164991</c:v>
                </c:pt>
                <c:pt idx="30">
                  <c:v>27.890853088476675</c:v>
                </c:pt>
                <c:pt idx="31">
                  <c:v>32.873270030690293</c:v>
                </c:pt>
              </c:numCache>
            </c:numRef>
          </c:xVal>
          <c:yVal>
            <c:numRef>
              <c:f>[0]!TestData.07Y</c:f>
              <c:numCache>
                <c:formatCode>General</c:formatCode>
                <c:ptCount val="32"/>
                <c:pt idx="0">
                  <c:v>175.33894946265025</c:v>
                </c:pt>
                <c:pt idx="1">
                  <c:v>178.73247987610634</c:v>
                </c:pt>
                <c:pt idx="2">
                  <c:v>180.29589404498253</c:v>
                </c:pt>
                <c:pt idx="3">
                  <c:v>182.88356792457557</c:v>
                </c:pt>
                <c:pt idx="4">
                  <c:v>188.10754175872054</c:v>
                </c:pt>
                <c:pt idx="5">
                  <c:v>187.95539911947532</c:v>
                </c:pt>
                <c:pt idx="6">
                  <c:v>191.21168114717688</c:v>
                </c:pt>
                <c:pt idx="7">
                  <c:v>195.52839715872918</c:v>
                </c:pt>
                <c:pt idx="8">
                  <c:v>198.95826776408347</c:v>
                </c:pt>
                <c:pt idx="9">
                  <c:v>202.7113001093424</c:v>
                </c:pt>
                <c:pt idx="10">
                  <c:v>203.96976538562561</c:v>
                </c:pt>
                <c:pt idx="11">
                  <c:v>207.28103171222929</c:v>
                </c:pt>
                <c:pt idx="12">
                  <c:v>206.02294483214391</c:v>
                </c:pt>
                <c:pt idx="13">
                  <c:v>210.13789563936675</c:v>
                </c:pt>
                <c:pt idx="14">
                  <c:v>210.86422589009535</c:v>
                </c:pt>
                <c:pt idx="15">
                  <c:v>214.41564361087811</c:v>
                </c:pt>
                <c:pt idx="16">
                  <c:v>216.6480781963642</c:v>
                </c:pt>
                <c:pt idx="17">
                  <c:v>217.50808998480557</c:v>
                </c:pt>
                <c:pt idx="18">
                  <c:v>215.82583978296242</c:v>
                </c:pt>
                <c:pt idx="19">
                  <c:v>217.27437814301939</c:v>
                </c:pt>
                <c:pt idx="20">
                  <c:v>217.96697496623722</c:v>
                </c:pt>
                <c:pt idx="21">
                  <c:v>214.8463826118458</c:v>
                </c:pt>
                <c:pt idx="22">
                  <c:v>216.44129590784141</c:v>
                </c:pt>
                <c:pt idx="23">
                  <c:v>212.60803426341269</c:v>
                </c:pt>
                <c:pt idx="24">
                  <c:v>214.04515958549524</c:v>
                </c:pt>
                <c:pt idx="25">
                  <c:v>214.14753111239912</c:v>
                </c:pt>
                <c:pt idx="26">
                  <c:v>213.25604506552432</c:v>
                </c:pt>
                <c:pt idx="27">
                  <c:v>212.15957621140748</c:v>
                </c:pt>
                <c:pt idx="28">
                  <c:v>208.15548882009779</c:v>
                </c:pt>
                <c:pt idx="29">
                  <c:v>206.27143389629265</c:v>
                </c:pt>
                <c:pt idx="30">
                  <c:v>206.95418340546308</c:v>
                </c:pt>
                <c:pt idx="31">
                  <c:v>204.73242883763416</c:v>
                </c:pt>
              </c:numCache>
            </c:numRef>
          </c:yVal>
          <c:smooth val="0"/>
          <c:extLst>
            <c:ext xmlns:c16="http://schemas.microsoft.com/office/drawing/2014/chart" uri="{C3380CC4-5D6E-409C-BE32-E72D297353CC}">
              <c16:uniqueId val="{00000015-9FB1-8244-BD3F-4EB6DF646F07}"/>
            </c:ext>
          </c:extLst>
        </c:ser>
        <c:ser>
          <c:idx val="21"/>
          <c:order val="21"/>
          <c:tx>
            <c:v>Labels left</c:v>
          </c:tx>
          <c:spPr>
            <a:ln w="19050" cap="rnd">
              <a:noFill/>
              <a:round/>
            </a:ln>
            <a:effectLst/>
          </c:spPr>
          <c:marker>
            <c:symbol val="none"/>
          </c:marker>
          <c:dLbls>
            <c:dLbl>
              <c:idx val="0"/>
              <c:tx>
                <c:rich>
                  <a:bodyPr/>
                  <a:lstStyle/>
                  <a:p>
                    <a:fld id="{262C7BC0-E0B2-9542-BA54-34C150F6043F}"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9FB1-8244-BD3F-4EB6DF646F07}"/>
                </c:ext>
              </c:extLst>
            </c:dLbl>
            <c:dLbl>
              <c:idx val="1"/>
              <c:tx>
                <c:rich>
                  <a:bodyPr/>
                  <a:lstStyle/>
                  <a:p>
                    <a:fld id="{7A249F26-A5C3-EA41-907D-17E1A7D17475}"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9FB1-8244-BD3F-4EB6DF646F07}"/>
                </c:ext>
              </c:extLst>
            </c:dLbl>
            <c:dLbl>
              <c:idx val="2"/>
              <c:tx>
                <c:rich>
                  <a:bodyPr/>
                  <a:lstStyle/>
                  <a:p>
                    <a:fld id="{77481169-26E7-A94E-A596-B3BD3DB2E86F}"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9FB1-8244-BD3F-4EB6DF646F07}"/>
                </c:ext>
              </c:extLst>
            </c:dLbl>
            <c:dLbl>
              <c:idx val="3"/>
              <c:tx>
                <c:rich>
                  <a:bodyPr/>
                  <a:lstStyle/>
                  <a:p>
                    <a:fld id="{FDC7405D-5D69-544C-AF8F-B8D2C12DC26D}"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9FB1-8244-BD3F-4EB6DF646F07}"/>
                </c:ext>
              </c:extLst>
            </c:dLbl>
            <c:dLbl>
              <c:idx val="4"/>
              <c:tx>
                <c:rich>
                  <a:bodyPr/>
                  <a:lstStyle/>
                  <a:p>
                    <a:fld id="{A7708930-5BA6-5949-8CCC-4DFC4AAB216B}"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9FB1-8244-BD3F-4EB6DF646F07}"/>
                </c:ext>
              </c:extLst>
            </c:dLbl>
            <c:dLbl>
              <c:idx val="5"/>
              <c:tx>
                <c:rich>
                  <a:bodyPr/>
                  <a:lstStyle/>
                  <a:p>
                    <a:fld id="{11AD6CE5-95C1-094C-B339-D1053EC608DF}"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9FB1-8244-BD3F-4EB6DF646F07}"/>
                </c:ext>
              </c:extLst>
            </c:dLbl>
            <c:dLbl>
              <c:idx val="6"/>
              <c:tx>
                <c:rich>
                  <a:bodyPr/>
                  <a:lstStyle/>
                  <a:p>
                    <a:fld id="{61D8FA2F-CBCA-D14A-971B-C023E4240018}"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9FB1-8244-BD3F-4EB6DF646F07}"/>
                </c:ext>
              </c:extLst>
            </c:dLbl>
            <c:spPr>
              <a:noFill/>
              <a:ln>
                <a:noFill/>
              </a:ln>
              <a:effectLst/>
            </c:spPr>
            <c:txPr>
              <a:bodyPr rot="0" spcFirstLastPara="1" vertOverflow="ellipsis" vert="horz" wrap="none" lIns="0" tIns="0" rIns="0" bIns="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xVal>
            <c:numRef>
              <c:f>[0]!TestData_Labels.Left_X</c:f>
              <c:numCache>
                <c:formatCode>General</c:formatCode>
                <c:ptCount val="7"/>
                <c:pt idx="0">
                  <c:v>1</c:v>
                </c:pt>
                <c:pt idx="1">
                  <c:v>1</c:v>
                </c:pt>
                <c:pt idx="2">
                  <c:v>1</c:v>
                </c:pt>
                <c:pt idx="3">
                  <c:v>1</c:v>
                </c:pt>
                <c:pt idx="4">
                  <c:v>1</c:v>
                </c:pt>
                <c:pt idx="5">
                  <c:v>1</c:v>
                </c:pt>
                <c:pt idx="6">
                  <c:v>1</c:v>
                </c:pt>
              </c:numCache>
            </c:numRef>
          </c:xVal>
          <c:yVal>
            <c:numRef>
              <c:f>[0]!TestData_Labels.Left_Y</c:f>
              <c:numCache>
                <c:formatCode>General</c:formatCode>
                <c:ptCount val="7"/>
                <c:pt idx="0">
                  <c:v>159.17911379487072</c:v>
                </c:pt>
                <c:pt idx="1">
                  <c:v>215.51079565827041</c:v>
                </c:pt>
                <c:pt idx="2">
                  <c:v>192.19674521880873</c:v>
                </c:pt>
                <c:pt idx="3">
                  <c:v>169.58713720990167</c:v>
                </c:pt>
                <c:pt idx="4">
                  <c:v>240.75061606633741</c:v>
                </c:pt>
                <c:pt idx="5">
                  <c:v>189.73815110351501</c:v>
                </c:pt>
                <c:pt idx="6">
                  <c:v>175.33894946265025</c:v>
                </c:pt>
              </c:numCache>
            </c:numRef>
          </c:yVal>
          <c:smooth val="0"/>
          <c:extLst>
            <c:ext xmlns:c15="http://schemas.microsoft.com/office/drawing/2012/chart" uri="{02D57815-91ED-43cb-92C2-25804820EDAC}">
              <c15:datalabelsRange>
                <c15:f>[0]!TestData_Labels.Label</c15:f>
                <c15:dlblRangeCache>
                  <c:ptCount val="7"/>
                  <c:pt idx="0">
                    <c:v>LT</c:v>
                  </c:pt>
                  <c:pt idx="1">
                    <c:v>LV</c:v>
                  </c:pt>
                  <c:pt idx="2">
                    <c:v>EE</c:v>
                  </c:pt>
                  <c:pt idx="3">
                    <c:v>CY</c:v>
                  </c:pt>
                  <c:pt idx="4">
                    <c:v>MT</c:v>
                  </c:pt>
                  <c:pt idx="5">
                    <c:v>ME</c:v>
                  </c:pt>
                  <c:pt idx="6">
                    <c:v>XK</c:v>
                  </c:pt>
                </c15:dlblRangeCache>
              </c15:datalabelsRange>
            </c:ext>
            <c:ext xmlns:c16="http://schemas.microsoft.com/office/drawing/2014/chart" uri="{C3380CC4-5D6E-409C-BE32-E72D297353CC}">
              <c16:uniqueId val="{00000016-9FB1-8244-BD3F-4EB6DF646F07}"/>
            </c:ext>
          </c:extLst>
        </c:ser>
        <c:ser>
          <c:idx val="22"/>
          <c:order val="22"/>
          <c:tx>
            <c:v>Labels right</c:v>
          </c:tx>
          <c:spPr>
            <a:ln w="19050" cap="rnd">
              <a:noFill/>
              <a:round/>
            </a:ln>
            <a:effectLst/>
          </c:spPr>
          <c:marker>
            <c:symbol val="none"/>
          </c:marker>
          <c:dLbls>
            <c:dLbl>
              <c:idx val="0"/>
              <c:tx>
                <c:rich>
                  <a:bodyPr/>
                  <a:lstStyle/>
                  <a:p>
                    <a:fld id="{E43BDB37-0857-444C-B2B5-7B3D3B2D5164}"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9FB1-8244-BD3F-4EB6DF646F07}"/>
                </c:ext>
              </c:extLst>
            </c:dLbl>
            <c:dLbl>
              <c:idx val="1"/>
              <c:tx>
                <c:rich>
                  <a:bodyPr/>
                  <a:lstStyle/>
                  <a:p>
                    <a:fld id="{3592B456-C780-884B-A889-8703817B320A}"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9FB1-8244-BD3F-4EB6DF646F07}"/>
                </c:ext>
              </c:extLst>
            </c:dLbl>
            <c:dLbl>
              <c:idx val="2"/>
              <c:tx>
                <c:rich>
                  <a:bodyPr/>
                  <a:lstStyle/>
                  <a:p>
                    <a:fld id="{637429DF-8542-2341-B97D-023D21B77739}"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9FB1-8244-BD3F-4EB6DF646F07}"/>
                </c:ext>
              </c:extLst>
            </c:dLbl>
            <c:dLbl>
              <c:idx val="3"/>
              <c:tx>
                <c:rich>
                  <a:bodyPr/>
                  <a:lstStyle/>
                  <a:p>
                    <a:fld id="{8EED7CAE-6A07-6546-9566-EFC26CEE816C}"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9FB1-8244-BD3F-4EB6DF646F07}"/>
                </c:ext>
              </c:extLst>
            </c:dLbl>
            <c:dLbl>
              <c:idx val="4"/>
              <c:tx>
                <c:rich>
                  <a:bodyPr/>
                  <a:lstStyle/>
                  <a:p>
                    <a:fld id="{F34B069D-8266-A048-89CF-9B35C7562A4C}"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9FB1-8244-BD3F-4EB6DF646F07}"/>
                </c:ext>
              </c:extLst>
            </c:dLbl>
            <c:dLbl>
              <c:idx val="5"/>
              <c:tx>
                <c:rich>
                  <a:bodyPr/>
                  <a:lstStyle/>
                  <a:p>
                    <a:fld id="{4FA7ADF1-D06C-2245-BC3D-9FF92F111B71}"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9FB1-8244-BD3F-4EB6DF646F07}"/>
                </c:ext>
              </c:extLst>
            </c:dLbl>
            <c:dLbl>
              <c:idx val="6"/>
              <c:tx>
                <c:rich>
                  <a:bodyPr/>
                  <a:lstStyle/>
                  <a:p>
                    <a:fld id="{0A321F49-1597-E24A-A8AD-75E148FC4FEF}"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9FB1-8244-BD3F-4EB6DF646F07}"/>
                </c:ext>
              </c:extLst>
            </c:dLbl>
            <c:spPr>
              <a:noFill/>
              <a:ln>
                <a:noFill/>
              </a:ln>
              <a:effectLst/>
            </c:spPr>
            <c:txPr>
              <a:bodyPr rot="0" spcFirstLastPara="1" vertOverflow="ellipsis" vert="horz" wrap="none" lIns="0" tIns="0" rIns="0" bIns="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xVal>
            <c:numRef>
              <c:f>[0]!TestData_Labels.Right_X</c:f>
              <c:numCache>
                <c:formatCode>General</c:formatCode>
                <c:ptCount val="7"/>
                <c:pt idx="0">
                  <c:v>35.169783543732301</c:v>
                </c:pt>
                <c:pt idx="1">
                  <c:v>32.409480180734526</c:v>
                </c:pt>
                <c:pt idx="2">
                  <c:v>39.251324116083509</c:v>
                </c:pt>
                <c:pt idx="3">
                  <c:v>46.803314075981277</c:v>
                </c:pt>
                <c:pt idx="4">
                  <c:v>34.05951642602227</c:v>
                </c:pt>
                <c:pt idx="5">
                  <c:v>36.917088196145542</c:v>
                </c:pt>
                <c:pt idx="6">
                  <c:v>32.873270030690293</c:v>
                </c:pt>
              </c:numCache>
            </c:numRef>
          </c:xVal>
          <c:yVal>
            <c:numRef>
              <c:f>[0]!TestData_Labels.Right_Y</c:f>
              <c:numCache>
                <c:formatCode>General</c:formatCode>
                <c:ptCount val="7"/>
                <c:pt idx="0">
                  <c:v>197.43003052305943</c:v>
                </c:pt>
                <c:pt idx="1">
                  <c:v>232.35548649205245</c:v>
                </c:pt>
                <c:pt idx="2">
                  <c:v>214.69733099448169</c:v>
                </c:pt>
                <c:pt idx="3">
                  <c:v>201.92079253401093</c:v>
                </c:pt>
                <c:pt idx="4">
                  <c:v>247.36552278963231</c:v>
                </c:pt>
                <c:pt idx="5">
                  <c:v>204.41602523419218</c:v>
                </c:pt>
                <c:pt idx="6">
                  <c:v>204.73242883763416</c:v>
                </c:pt>
              </c:numCache>
            </c:numRef>
          </c:yVal>
          <c:smooth val="0"/>
          <c:extLst>
            <c:ext xmlns:c15="http://schemas.microsoft.com/office/drawing/2012/chart" uri="{02D57815-91ED-43cb-92C2-25804820EDAC}">
              <c15:datalabelsRange>
                <c15:f>[0]!TestData_Labels.Label</c15:f>
                <c15:dlblRangeCache>
                  <c:ptCount val="7"/>
                  <c:pt idx="0">
                    <c:v>LT</c:v>
                  </c:pt>
                  <c:pt idx="1">
                    <c:v>LV</c:v>
                  </c:pt>
                  <c:pt idx="2">
                    <c:v>EE</c:v>
                  </c:pt>
                  <c:pt idx="3">
                    <c:v>CY</c:v>
                  </c:pt>
                  <c:pt idx="4">
                    <c:v>MT</c:v>
                  </c:pt>
                  <c:pt idx="5">
                    <c:v>ME</c:v>
                  </c:pt>
                  <c:pt idx="6">
                    <c:v>XK</c:v>
                  </c:pt>
                </c15:dlblRangeCache>
              </c15:datalabelsRange>
            </c:ext>
            <c:ext xmlns:c16="http://schemas.microsoft.com/office/drawing/2014/chart" uri="{C3380CC4-5D6E-409C-BE32-E72D297353CC}">
              <c16:uniqueId val="{00000017-9FB1-8244-BD3F-4EB6DF646F07}"/>
            </c:ext>
          </c:extLst>
        </c:ser>
        <c:dLbls>
          <c:showLegendKey val="0"/>
          <c:showVal val="0"/>
          <c:showCatName val="0"/>
          <c:showSerName val="0"/>
          <c:showPercent val="0"/>
          <c:showBubbleSize val="0"/>
        </c:dLbls>
        <c:axId val="1493072239"/>
        <c:axId val="1492272927"/>
      </c:scatterChart>
      <c:valAx>
        <c:axId val="1493072239"/>
        <c:scaling>
          <c:orientation val="minMax"/>
          <c:max val="48"/>
          <c:min val="0"/>
        </c:scaling>
        <c:delete val="0"/>
        <c:axPos val="b"/>
        <c:majorGridlines>
          <c:spPr>
            <a:ln w="3175" cap="flat" cmpd="sng" algn="ctr">
              <a:solidFill>
                <a:schemeClr val="bg1">
                  <a:lumMod val="85000"/>
                  <a:alpha val="50000"/>
                </a:schemeClr>
              </a:solidFill>
              <a:round/>
            </a:ln>
            <a:effectLst/>
          </c:spPr>
        </c:majorGridlines>
        <c:numFmt formatCode="General" sourceLinked="1"/>
        <c:majorTickMark val="cross"/>
        <c:minorTickMark val="out"/>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2272927"/>
        <c:crosses val="autoZero"/>
        <c:crossBetween val="midCat"/>
        <c:majorUnit val="10"/>
        <c:minorUnit val="2"/>
      </c:valAx>
      <c:valAx>
        <c:axId val="1492272927"/>
        <c:scaling>
          <c:orientation val="minMax"/>
          <c:max val="275"/>
          <c:min val="150"/>
        </c:scaling>
        <c:delete val="0"/>
        <c:axPos val="l"/>
        <c:majorGridlines>
          <c:spPr>
            <a:ln w="3175" cap="flat" cmpd="sng" algn="ctr">
              <a:solidFill>
                <a:schemeClr val="bg1">
                  <a:lumMod val="85000"/>
                  <a:alpha val="50000"/>
                </a:schemeClr>
              </a:solidFill>
              <a:round/>
            </a:ln>
            <a:effectLst/>
          </c:spPr>
        </c:majorGridlines>
        <c:numFmt formatCode="General;[Red]\−General" sourceLinked="0"/>
        <c:majorTickMark val="cross"/>
        <c:minorTickMark val="out"/>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3072239"/>
        <c:crosses val="autoZero"/>
        <c:crossBetween val="midCat"/>
        <c:majorUnit val="25"/>
        <c:minorUnit val="5"/>
      </c:valAx>
      <c:spPr>
        <a:noFill/>
        <a:ln>
          <a:noFill/>
        </a:ln>
        <a:effectLst/>
      </c:spPr>
    </c:plotArea>
    <c:legend>
      <c:legendPos val="r"/>
      <c:legendEntry>
        <c:idx val="21"/>
        <c:delete val="1"/>
      </c:legendEntry>
      <c:legendEntry>
        <c:idx val="22"/>
        <c:delete val="1"/>
      </c:legendEntry>
      <c:layout>
        <c:manualLayout>
          <c:xMode val="edge"/>
          <c:yMode val="edge"/>
          <c:x val="0.29254622666548702"/>
          <c:y val="0.72241767279090119"/>
          <c:w val="0.24677961603114215"/>
          <c:h val="0.19960909886264216"/>
        </c:manualLayout>
      </c:layou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406400</xdr:colOff>
      <xdr:row>0</xdr:row>
      <xdr:rowOff>127000</xdr:rowOff>
    </xdr:from>
    <xdr:to>
      <xdr:col>8</xdr:col>
      <xdr:colOff>584200</xdr:colOff>
      <xdr:row>28</xdr:row>
      <xdr:rowOff>127000</xdr:rowOff>
    </xdr:to>
    <xdr:graphicFrame macro="">
      <xdr:nvGraphicFramePr>
        <xdr:cNvPr id="2" name="Chart_Test">
          <a:extLst>
            <a:ext uri="{FF2B5EF4-FFF2-40B4-BE49-F238E27FC236}">
              <a16:creationId xmlns:a16="http://schemas.microsoft.com/office/drawing/2014/main" id="{8B9F2501-5361-C94F-8F7A-5003931C79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254000</xdr:colOff>
      <xdr:row>29</xdr:row>
      <xdr:rowOff>114300</xdr:rowOff>
    </xdr:from>
    <xdr:to>
      <xdr:col>9</xdr:col>
      <xdr:colOff>533400</xdr:colOff>
      <xdr:row>116</xdr:row>
      <xdr:rowOff>101600</xdr:rowOff>
    </xdr:to>
    <xdr:sp macro="" textlink="">
      <xdr:nvSpPr>
        <xdr:cNvPr id="3" name="TextBox_TwoChartFunctions">
          <a:extLst>
            <a:ext uri="{FF2B5EF4-FFF2-40B4-BE49-F238E27FC236}">
              <a16:creationId xmlns:a16="http://schemas.microsoft.com/office/drawing/2014/main" id="{80F7CCB5-8120-5B40-B3A8-B77B4CBA40C7}"/>
            </a:ext>
          </a:extLst>
        </xdr:cNvPr>
        <xdr:cNvSpPr txBox="1"/>
      </xdr:nvSpPr>
      <xdr:spPr>
        <a:xfrm>
          <a:off x="254000" y="6032500"/>
          <a:ext cx="7708900" cy="17665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t>A Chart Sub; A Chart Function</a:t>
          </a:r>
        </a:p>
        <a:p>
          <a:endParaRPr lang="en-GB" sz="1400"/>
        </a:p>
        <a:p>
          <a:r>
            <a:rPr lang="en-GB" sz="1400" b="1"/>
            <a:t>Chart_SeriesFormatStandardised()</a:t>
          </a:r>
          <a:r>
            <a:rPr lang="en-GB" sz="1400"/>
            <a:t> formats the lines and markers to </a:t>
          </a:r>
          <a:r>
            <a:rPr lang="en-GB" sz="1400" baseline="0"/>
            <a:t>those of the standard currency / territory / issuer. It doesn’t work as a function — some parts seem blocked by Excel’s imperfect implementation of a functionality constraint, so must be a Sub.</a:t>
          </a:r>
        </a:p>
        <a:p>
          <a:endParaRPr lang="en-GB" sz="1400" baseline="0"/>
        </a:p>
        <a:p>
          <a:r>
            <a:rPr lang="en-GB" sz="1400" baseline="0"/>
            <a:t>It requires the tab ChartFormats, and within that the ranges SeriesFormatAlias.SeriesName and SeriesFormatAlias.ID, and also the ChartLines. table. For each series in the chart, it looks for the name of the series in the SeriesFormatAlias.SeriesName range. If not there, that series ignored. If there, the relevant marker is that from the same row in the SeriesFormatAlias.ID range. This indirection allows series to have names such as ‘Deutschland’ | ‘Frankreich’ | ‘Italien’ | ‘Spanien’, these being mapped to ‘DE’ | ‘FR’ | ‘IT’ | ‘ES’. Having found the correct ID, and hence the correct rows of the ChartLines.… table, those ChartLines rows are then applied. </a:t>
          </a:r>
        </a:p>
        <a:p>
          <a:endParaRPr lang="en-GB" sz="1400" baseline="0"/>
        </a:p>
        <a:p>
          <a:r>
            <a:rPr lang="en-GB" sz="1400" baseline="0"/>
            <a:t>Markers come from outside the spreadsheet. Your corporate build should include a standard place for the SVGs (read access being sufficient), that location being stored in the range ChartMarkers.Directory. For Windows machines, such a place might be C:\ChartMarkers_Excel\. </a:t>
          </a:r>
        </a:p>
        <a:p>
          <a:endParaRPr lang="en-GB" sz="1400" baseline="0"/>
        </a:p>
        <a:p>
          <a:r>
            <a:rPr lang="en-GB" sz="1400" baseline="0"/>
            <a:t>The SVGs used in Excel are not quite the standard set. The primary SVGs have varying height and width, chosen to give each approximately equal visual prominence. Excel seems to mangle these sizes. So instead all the Excel-compatible SVGs have the same width and height (15×15), the re-sizing strain being taken by the amount of this box that is transparent.  </a:t>
          </a:r>
        </a:p>
        <a:p>
          <a:endParaRPr lang="en-GB" sz="1400" baseline="0"/>
        </a:p>
        <a:p>
          <a:r>
            <a:rPr lang="en-GB" sz="1400" baseline="0"/>
            <a:t>Chart_SeriesFormatStandardised() can need three series for each currency / territory / issuer. Assume three series with name “CAD”. First would be formatted as a thick red line; second as a thin black line; third would hold the marker. If a name has too few series, that error is reported in the log range.</a:t>
          </a:r>
        </a:p>
        <a:p>
          <a:endParaRPr lang="en-GB" sz="1400" baseline="0"/>
        </a:p>
        <a:p>
          <a:r>
            <a:rPr lang="en-GB" sz="1400" baseline="0"/>
            <a:t>Chart_SeriesFormatStandardised() </a:t>
          </a:r>
          <a:r>
            <a:rPr lang="en-GB" sz="1400"/>
            <a:t>takes up to six parameters, the last two being optional. </a:t>
          </a:r>
        </a:p>
        <a:p>
          <a:pPr marL="0" marR="0" lvl="0" indent="0" defTabSz="914400" eaLnBrk="1" fontAlgn="auto" latinLnBrk="0" hangingPunct="1">
            <a:lnSpc>
              <a:spcPct val="100000"/>
            </a:lnSpc>
            <a:spcBef>
              <a:spcPts val="0"/>
            </a:spcBef>
            <a:spcAft>
              <a:spcPts val="0"/>
            </a:spcAft>
            <a:buClrTx/>
            <a:buSzTx/>
            <a:buFontTx/>
            <a:buNone/>
            <a:tabLst/>
            <a:defRPr/>
          </a:pPr>
          <a:endParaRPr lang="en-GB" sz="1400"/>
        </a:p>
        <a:p>
          <a:r>
            <a:rPr lang="en-GB" sz="1400"/>
            <a:t>① String: Name of tab on which chart sits.</a:t>
          </a:r>
        </a:p>
        <a:p>
          <a:endParaRPr lang="en-GB" sz="1400"/>
        </a:p>
        <a:p>
          <a:r>
            <a:rPr lang="en-GB" sz="1400"/>
            <a:t>② String: Name of chart. (Name your charts!)</a:t>
          </a:r>
        </a:p>
        <a:p>
          <a:endParaRPr lang="en-GB" sz="1400"/>
        </a:p>
        <a:p>
          <a:r>
            <a:rPr lang="en-GB" sz="1400"/>
            <a:t>③ Boolean ApplyMarkers. If True markers applied.</a:t>
          </a:r>
        </a:p>
        <a:p>
          <a:endParaRPr lang="en-GB" sz="1400"/>
        </a:p>
        <a:p>
          <a:r>
            <a:rPr lang="en-GB" sz="1400"/>
            <a:t>④ Boolean ApplyLines: if True lines applied.</a:t>
          </a:r>
        </a:p>
        <a:p>
          <a:endParaRPr lang="en-GB" sz="1400"/>
        </a:p>
        <a:p>
          <a:r>
            <a:rPr lang="en-GB" sz="1400"/>
            <a:t>⑤ Optional String or Integer or Array (of strings or integers) or Range (of ditto): this function applied only to these series names / numbers</a:t>
          </a:r>
        </a:p>
        <a:p>
          <a:endParaRPr lang="en-GB" sz="1400"/>
        </a:p>
        <a:p>
          <a:r>
            <a:rPr lang="en-GB" sz="1400"/>
            <a:t>⑥ Optional string, being</a:t>
          </a:r>
          <a:r>
            <a:rPr lang="en-GB" sz="1400" baseline="0"/>
            <a:t> the name of the range to which errors are to be logged. </a:t>
          </a:r>
        </a:p>
        <a:p>
          <a:endParaRPr lang="en-GB" sz="1400" baseline="0"/>
        </a:p>
        <a:p>
          <a:pPr marL="0" marR="0" lvl="0" indent="0" defTabSz="914400" eaLnBrk="1" fontAlgn="auto" latinLnBrk="0" hangingPunct="1">
            <a:lnSpc>
              <a:spcPct val="100000"/>
            </a:lnSpc>
            <a:spcBef>
              <a:spcPts val="0"/>
            </a:spcBef>
            <a:spcAft>
              <a:spcPts val="0"/>
            </a:spcAft>
            <a:buClrTx/>
            <a:buSzTx/>
            <a:buFontTx/>
            <a:buNone/>
            <a:tabLst/>
            <a:defRPr/>
          </a:pPr>
          <a:r>
            <a:rPr lang="en-GB" sz="1400" baseline="0"/>
            <a:t>On this sheet the button is assigned the macro:</a:t>
          </a:r>
        </a:p>
        <a:p>
          <a:r>
            <a:rPr lang="en-GB" sz="1400" baseline="0">
              <a:latin typeface="Courier New" panose="02070309020205020404" pitchFamily="49" charset="0"/>
              <a:cs typeface="Courier New" panose="02070309020205020404" pitchFamily="49" charset="0"/>
            </a:rPr>
            <a:t>ChartMarkers.xlsm!'Chart_SeriesFormatStandardised "Test", "Chart_Test", True, True, , "TestData.ChartFormatLog"'</a:t>
          </a:r>
          <a:endParaRPr lang="en-GB" sz="1400"/>
        </a:p>
        <a:p>
          <a:endParaRPr lang="en-GB" sz="1400"/>
        </a:p>
        <a:p>
          <a:pPr algn="ctr"/>
          <a:r>
            <a:rPr lang="en-GB" sz="1400"/>
            <a:t>—</a:t>
          </a:r>
        </a:p>
        <a:p>
          <a:endParaRPr lang="en-GB" sz="1400"/>
        </a:p>
        <a:p>
          <a:r>
            <a:rPr lang="en-GB" sz="1400" b="1"/>
            <a:t>Axis_Scale</a:t>
          </a:r>
          <a:r>
            <a:rPr lang="en-GB" sz="1400"/>
            <a:t>() exists because Excel’s built-in chart scaling is terrible, it being far too keen to include 0, and </a:t>
          </a:r>
          <a:r>
            <a:rPr lang="en-GB" sz="1400" baseline="0"/>
            <a:t>flabby about its bounds</a:t>
          </a:r>
          <a:r>
            <a:rPr lang="en-GB" sz="1400"/>
            <a:t>. The function directly applies to a chart axis values that have been computed by the user,</a:t>
          </a:r>
          <a:r>
            <a:rPr lang="en-GB" sz="1400" baseline="0"/>
            <a:t> presumably </a:t>
          </a:r>
          <a:r>
            <a:rPr lang="en-GB" sz="1400"/>
            <a:t>in normal Excel</a:t>
          </a:r>
          <a:r>
            <a:rPr lang="en-GB" sz="1400" baseline="0"/>
            <a:t>. </a:t>
          </a:r>
          <a:r>
            <a:rPr lang="en-GB" sz="1400"/>
            <a:t>It is a function</a:t>
          </a:r>
          <a:r>
            <a:rPr lang="en-GB" sz="1400" baseline="0"/>
            <a:t> because it can be, so can be called by Excel’s calculation tree rather than manually. Axis_Scale() takes eight parameters. </a:t>
          </a:r>
        </a:p>
        <a:p>
          <a:pPr marL="0" marR="0" lvl="0" indent="0" defTabSz="914400" eaLnBrk="1" fontAlgn="auto" latinLnBrk="0" hangingPunct="1">
            <a:lnSpc>
              <a:spcPct val="100000"/>
            </a:lnSpc>
            <a:spcBef>
              <a:spcPts val="0"/>
            </a:spcBef>
            <a:spcAft>
              <a:spcPts val="0"/>
            </a:spcAft>
            <a:buClrTx/>
            <a:buSzTx/>
            <a:buFontTx/>
            <a:buNone/>
            <a:tabLst/>
            <a:defRPr/>
          </a:pPr>
          <a:r>
            <a:rPr lang="en-GB" sz="1400"/>
            <a:t> </a:t>
          </a:r>
        </a:p>
        <a:p>
          <a:r>
            <a:rPr lang="en-GB" sz="1400"/>
            <a:t>① String, Name of tab on which chart sits.</a:t>
          </a:r>
        </a:p>
        <a:p>
          <a:endParaRPr lang="en-GB" sz="1400"/>
        </a:p>
        <a:p>
          <a:pPr marL="0" marR="0" lvl="0" indent="0" defTabSz="914400" eaLnBrk="1" fontAlgn="auto" latinLnBrk="0" hangingPunct="1">
            <a:lnSpc>
              <a:spcPct val="100000"/>
            </a:lnSpc>
            <a:spcBef>
              <a:spcPts val="0"/>
            </a:spcBef>
            <a:spcAft>
              <a:spcPts val="0"/>
            </a:spcAft>
            <a:buClrTx/>
            <a:buSzTx/>
            <a:buFontTx/>
            <a:buNone/>
            <a:tabLst/>
            <a:defRPr/>
          </a:pPr>
          <a:r>
            <a:rPr lang="en-GB" sz="1400"/>
            <a:t>② String, Name of chart. (Name your charts!)</a:t>
          </a:r>
        </a:p>
        <a:p>
          <a:endParaRPr lang="en-GB" sz="1400"/>
        </a:p>
        <a:p>
          <a:r>
            <a:rPr lang="en-GB" sz="1400"/>
            <a:t>③ Boolean: True is x axis, False is y axis.</a:t>
          </a:r>
        </a:p>
        <a:p>
          <a:endParaRPr lang="en-GB" sz="1400"/>
        </a:p>
        <a:p>
          <a:r>
            <a:rPr lang="en-GB" sz="1400"/>
            <a:t>④ Boolean: True is primary axis, False is secondary axis. Almost always you want True.</a:t>
          </a:r>
        </a:p>
        <a:p>
          <a:endParaRPr lang="en-GB" sz="1400"/>
        </a:p>
        <a:p>
          <a:pPr marL="0" marR="0" lvl="0" indent="0" defTabSz="914400" eaLnBrk="1" fontAlgn="auto" latinLnBrk="0" hangingPunct="1">
            <a:lnSpc>
              <a:spcPct val="100000"/>
            </a:lnSpc>
            <a:spcBef>
              <a:spcPts val="0"/>
            </a:spcBef>
            <a:spcAft>
              <a:spcPts val="0"/>
            </a:spcAft>
            <a:buClrTx/>
            <a:buSzTx/>
            <a:buFontTx/>
            <a:buNone/>
            <a:tabLst/>
            <a:defRPr/>
          </a:pPr>
          <a:r>
            <a:rPr lang="en-GB" sz="1400"/>
            <a:t>⑤⑥⑦⑧ Numerics: Min, Max, MajorStep, MinorStep. If Min ≥ Max then their …IsAuto are set to True. Likewise if</a:t>
          </a:r>
          <a:r>
            <a:rPr lang="en-GB" sz="1400" baseline="0"/>
            <a:t> MinorStep &gt; MajorStep, and also if either ≤ 0. To set all to automatic values by have these four numerics all = −1, or all = 0. Typically the Min is computed with a function that does the equivalent of Floor(MinIfs(…), </a:t>
          </a:r>
          <a:r>
            <a:rPr lang="en-GB" sz="1400" i="1" baseline="0"/>
            <a:t>Major</a:t>
          </a:r>
          <a:r>
            <a:rPr lang="en-GB" sz="1400" baseline="0"/>
            <a:t>), and the Max by Ceiling(MaxIfs(…), </a:t>
          </a:r>
          <a:r>
            <a:rPr lang="en-GB" sz="1400" i="1" baseline="0"/>
            <a:t>Minor</a:t>
          </a:r>
          <a:r>
            <a:rPr lang="en-GB" sz="1400" baseline="0"/>
            <a:t>), but this work is entirely for the user.</a:t>
          </a:r>
        </a:p>
        <a:p>
          <a:endParaRPr lang="en-GB" sz="1400" baseline="0"/>
        </a:p>
        <a:p>
          <a:r>
            <a:rPr lang="en-GB" sz="1400" baseline="0"/>
            <a:t>For any given axis on any chart, Axis_Scale() should be called at most once. If called more times, perhaps from multiple cells, the result would depend on the timing of the invocations — which in theory could even overlap. </a:t>
          </a:r>
          <a:endParaRPr lang="en-GB" sz="1400"/>
        </a:p>
      </xdr:txBody>
    </xdr:sp>
    <xdr:clientData/>
  </xdr:twoCellAnchor>
  <xdr:twoCellAnchor>
    <xdr:from>
      <xdr:col>9</xdr:col>
      <xdr:colOff>152400</xdr:colOff>
      <xdr:row>2</xdr:row>
      <xdr:rowOff>63500</xdr:rowOff>
    </xdr:from>
    <xdr:to>
      <xdr:col>11</xdr:col>
      <xdr:colOff>571500</xdr:colOff>
      <xdr:row>4</xdr:row>
      <xdr:rowOff>139700</xdr:rowOff>
    </xdr:to>
    <xdr:sp macro="[0]!'Chart_SeriesFormatStandardised &quot;Test&quot;, &quot;Chart_Test&quot;, True, True, , &quot;TestData.ChartFormatLog&quot;'" textlink="">
      <xdr:nvSpPr>
        <xdr:cNvPr id="4" name="Rounded Rectangle 3">
          <a:extLst>
            <a:ext uri="{FF2B5EF4-FFF2-40B4-BE49-F238E27FC236}">
              <a16:creationId xmlns:a16="http://schemas.microsoft.com/office/drawing/2014/main" id="{22AB3F88-7A19-064A-BF62-F7869A78A7E2}"/>
            </a:ext>
          </a:extLst>
        </xdr:cNvPr>
        <xdr:cNvSpPr/>
      </xdr:nvSpPr>
      <xdr:spPr>
        <a:xfrm>
          <a:off x="7581900" y="469900"/>
          <a:ext cx="2070100" cy="482600"/>
        </a:xfrm>
        <a:prstGeom prst="roundRect">
          <a:avLst/>
        </a:prstGeom>
        <a:solidFill>
          <a:schemeClr val="bg1">
            <a:lumMod val="95000"/>
          </a:schemeClr>
        </a:solidFill>
        <a:ln w="3810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chemeClr val="tx1"/>
              </a:solidFill>
            </a:rPr>
            <a:t>Format chart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6FC02-130A-1F48-9671-FD2955312CD0}">
  <sheetPr codeName="Sheet1"/>
  <dimension ref="L2:AS51"/>
  <sheetViews>
    <sheetView workbookViewId="0"/>
  </sheetViews>
  <sheetFormatPr baseColWidth="10" defaultRowHeight="16" x14ac:dyDescent="0.2"/>
  <cols>
    <col min="1" max="37" width="10.83203125" style="1"/>
    <col min="38" max="38" width="10.83203125" style="10"/>
    <col min="39" max="16384" width="10.83203125" style="1"/>
  </cols>
  <sheetData>
    <row r="2" spans="12:45" x14ac:dyDescent="0.2">
      <c r="P2" s="1">
        <f ca="1" xml:space="preserve"> TestData.Y_0_a + TestData.Y_0_b*(2*RAND() - 1)</f>
        <v>184.86995726198722</v>
      </c>
      <c r="S2" s="1">
        <f ca="1" xml:space="preserve"> TestData.Y_0_a + TestData.Y_0_b*(2*RAND() - 1)</f>
        <v>210.71548368560218</v>
      </c>
      <c r="V2" s="1">
        <f ca="1" xml:space="preserve"> TestData.Y_0_a + TestData.Y_0_b*(2*RAND() - 1)</f>
        <v>197.2416641333584</v>
      </c>
      <c r="Y2" s="1">
        <f ca="1" xml:space="preserve"> TestData.Y_0_a + TestData.Y_0_b*(2*RAND() - 1)</f>
        <v>189.97191596125143</v>
      </c>
      <c r="AB2" s="1">
        <f ca="1" xml:space="preserve"> TestData.Y_0_a + TestData.Y_0_b*(2*RAND() - 1)</f>
        <v>223.70954590597549</v>
      </c>
      <c r="AE2" s="1">
        <f ca="1" xml:space="preserve"> TestData.Y_0_a + TestData.Y_0_b*(2*RAND() - 1)</f>
        <v>189.07624148505306</v>
      </c>
      <c r="AH2" s="1">
        <f ca="1" xml:space="preserve"> TestData.Y_0_a + TestData.Y_0_b*(2*RAND() - 1)</f>
        <v>184.34231929932491</v>
      </c>
    </row>
    <row r="3" spans="12:45" x14ac:dyDescent="0.2">
      <c r="P3" s="1">
        <f ca="1" xml:space="preserve"> TestData.Y_1_a + TestData.Y_1_b*(2*RAND() - 1)</f>
        <v>50.491939759750672</v>
      </c>
      <c r="S3" s="1">
        <f ca="1" xml:space="preserve"> TestData.Y_1_a + TestData.Y_1_b*(2*RAND() - 1)</f>
        <v>86.375326736196939</v>
      </c>
      <c r="V3" s="1">
        <f ca="1" xml:space="preserve"> TestData.Y_1_a + TestData.Y_1_b*(2*RAND() - 1)</f>
        <v>84.103074885792537</v>
      </c>
      <c r="Y3" s="1">
        <f ca="1" xml:space="preserve"> TestData.Y_1_a + TestData.Y_1_b*(2*RAND() - 1)</f>
        <v>75.936916150831323</v>
      </c>
      <c r="AB3" s="1">
        <f ca="1" xml:space="preserve"> TestData.Y_1_a + TestData.Y_1_b*(2*RAND() - 1)</f>
        <v>98.570698494824242</v>
      </c>
      <c r="AE3" s="1">
        <f ca="1" xml:space="preserve"> TestData.Y_1_a + TestData.Y_1_b*(2*RAND() - 1)</f>
        <v>81.613510083738831</v>
      </c>
      <c r="AH3" s="1">
        <f ca="1" xml:space="preserve"> TestData.Y_1_a + TestData.Y_1_b*(2*RAND() - 1)</f>
        <v>74.110180989070429</v>
      </c>
    </row>
    <row r="4" spans="12:45" x14ac:dyDescent="0.2">
      <c r="P4" s="1">
        <f ca="1" xml:space="preserve"> TestData.Y_2_a + TestData.Y_2_b*(2*RAND() - 1)</f>
        <v>-86.445083187354982</v>
      </c>
      <c r="S4" s="1">
        <f ca="1" xml:space="preserve"> TestData.Y_2_a + TestData.Y_2_b*(2*RAND() - 1)</f>
        <v>-90.013027813552625</v>
      </c>
      <c r="V4" s="1">
        <f ca="1" xml:space="preserve"> TestData.Y_2_a + TestData.Y_2_b*(2*RAND() - 1)</f>
        <v>-102.48768046440742</v>
      </c>
      <c r="Y4" s="1">
        <f ca="1" xml:space="preserve"> TestData.Y_2_a + TestData.Y_2_b*(2*RAND() - 1)</f>
        <v>-109.00802530358952</v>
      </c>
      <c r="AB4" s="1">
        <f ca="1" xml:space="preserve"> TestData.Y_2_a + TestData.Y_2_b*(2*RAND() - 1)</f>
        <v>-89.593736069893069</v>
      </c>
      <c r="AE4" s="1">
        <f ca="1" xml:space="preserve"> TestData.Y_2_a + TestData.Y_2_b*(2*RAND() - 1)</f>
        <v>-92.57768343804112</v>
      </c>
      <c r="AH4" s="1">
        <f ca="1" xml:space="preserve"> TestData.Y_2_a + TestData.Y_2_b*(2*RAND() - 1)</f>
        <v>-93.151403968264773</v>
      </c>
    </row>
    <row r="6" spans="12:45" ht="17" thickBot="1" x14ac:dyDescent="0.25">
      <c r="M6" s="2" t="s">
        <v>480</v>
      </c>
      <c r="P6" s="2" t="s">
        <v>0</v>
      </c>
      <c r="S6" s="2" t="s">
        <v>1</v>
      </c>
      <c r="V6" s="2" t="s">
        <v>2</v>
      </c>
      <c r="Y6" s="2" t="s">
        <v>3</v>
      </c>
      <c r="AB6" s="2" t="s">
        <v>4</v>
      </c>
      <c r="AE6" s="2" t="s">
        <v>5</v>
      </c>
      <c r="AH6" s="2" t="s">
        <v>6</v>
      </c>
    </row>
    <row r="7" spans="12:45" x14ac:dyDescent="0.2">
      <c r="M7" s="11" t="s">
        <v>487</v>
      </c>
      <c r="P7" s="1" t="str" cm="1">
        <f t="array" aca="1" ref="P7" ca="1" xml:space="preserve"> INDEX(SeriesFormatAlias.SeriesName, MOD(TestData.SeriesNameNumFirst + MID(P$6,10,2) - 1 - TestData.SeriesNameNumMin, 1 + TestData.SeriesNameNumMax - TestData.SeriesNameNumMin) + TestData.SeriesNameNumMin)</f>
        <v>LT</v>
      </c>
      <c r="S7" s="1" t="str" cm="1">
        <f t="array" aca="1" ref="S7" ca="1" xml:space="preserve"> INDEX(SeriesFormatAlias.SeriesName, MOD(TestData.SeriesNameNumFirst + MID(S$6,10,2) - 1 - TestData.SeriesNameNumMin, 1 + TestData.SeriesNameNumMax - TestData.SeriesNameNumMin) + TestData.SeriesNameNumMin)</f>
        <v>LV</v>
      </c>
      <c r="V7" s="1" t="str" cm="1">
        <f t="array" aca="1" ref="V7" ca="1" xml:space="preserve"> INDEX(SeriesFormatAlias.SeriesName, MOD(TestData.SeriesNameNumFirst + MID(V$6,10,2) - 1 - TestData.SeriesNameNumMin, 1 + TestData.SeriesNameNumMax - TestData.SeriesNameNumMin) + TestData.SeriesNameNumMin)</f>
        <v>EE</v>
      </c>
      <c r="Y7" s="1" t="str" cm="1">
        <f t="array" aca="1" ref="Y7" ca="1" xml:space="preserve"> INDEX(SeriesFormatAlias.SeriesName, MOD(TestData.SeriesNameNumFirst + MID(Y$6,10,2) - 1 - TestData.SeriesNameNumMin, 1 + TestData.SeriesNameNumMax - TestData.SeriesNameNumMin) + TestData.SeriesNameNumMin)</f>
        <v>CY</v>
      </c>
      <c r="AB7" s="1" t="str" cm="1">
        <f t="array" aca="1" ref="AB7" ca="1" xml:space="preserve"> INDEX(SeriesFormatAlias.SeriesName, MOD(TestData.SeriesNameNumFirst + MID(AB$6,10,2) - 1 - TestData.SeriesNameNumMin, 1 + TestData.SeriesNameNumMax - TestData.SeriesNameNumMin) + TestData.SeriesNameNumMin)</f>
        <v>MT</v>
      </c>
      <c r="AE7" s="1" t="str" cm="1">
        <f t="array" aca="1" ref="AE7" ca="1" xml:space="preserve"> INDEX(SeriesFormatAlias.SeriesName, MOD(TestData.SeriesNameNumFirst + MID(AE$6,10,2) - 1 - TestData.SeriesNameNumMin, 1 + TestData.SeriesNameNumMax - TestData.SeriesNameNumMin) + TestData.SeriesNameNumMin)</f>
        <v>ME</v>
      </c>
      <c r="AH7" s="1" t="str" cm="1">
        <f t="array" aca="1" ref="AH7" ca="1" xml:space="preserve"> INDEX(SeriesFormatAlias.SeriesName, MOD(TestData.SeriesNameNumFirst + MID(AH$6,10,2) - 1 - TestData.SeriesNameNumMin, 1 + TestData.SeriesNameNumMax - TestData.SeriesNameNumMin) + TestData.SeriesNameNumMin)</f>
        <v>XK</v>
      </c>
    </row>
    <row r="9" spans="12:45" ht="17" thickBot="1" x14ac:dyDescent="0.25">
      <c r="O9" s="2" t="s">
        <v>7</v>
      </c>
      <c r="P9" s="2" t="s">
        <v>8</v>
      </c>
      <c r="R9" s="2" t="s">
        <v>9</v>
      </c>
      <c r="S9" s="2" t="s">
        <v>10</v>
      </c>
      <c r="U9" s="2" t="s">
        <v>11</v>
      </c>
      <c r="V9" s="2" t="s">
        <v>12</v>
      </c>
      <c r="X9" s="2" t="s">
        <v>13</v>
      </c>
      <c r="Y9" s="2" t="s">
        <v>14</v>
      </c>
      <c r="AA9" s="2" t="s">
        <v>15</v>
      </c>
      <c r="AB9" s="2" t="s">
        <v>16</v>
      </c>
      <c r="AD9" s="2" t="s">
        <v>17</v>
      </c>
      <c r="AE9" s="2" t="s">
        <v>18</v>
      </c>
      <c r="AG9" s="2" t="s">
        <v>19</v>
      </c>
      <c r="AH9" s="2" t="s">
        <v>20</v>
      </c>
      <c r="AJ9" s="2" t="s">
        <v>469</v>
      </c>
      <c r="AN9" s="2" t="s">
        <v>21</v>
      </c>
      <c r="AO9" s="2" t="s">
        <v>470</v>
      </c>
      <c r="AP9" s="2" t="s">
        <v>22</v>
      </c>
      <c r="AQ9" s="2" t="s">
        <v>23</v>
      </c>
      <c r="AR9" s="2" t="s">
        <v>24</v>
      </c>
      <c r="AS9" s="2" t="s">
        <v>25</v>
      </c>
    </row>
    <row r="10" spans="12:45" x14ac:dyDescent="0.2">
      <c r="L10" s="3" t="s">
        <v>26</v>
      </c>
      <c r="M10" s="1">
        <f xml:space="preserve"> MATCH("DE", SeriesFormatAlias.SeriesName, 0)</f>
        <v>13</v>
      </c>
      <c r="O10" s="1">
        <v>1</v>
      </c>
      <c r="P10" s="1">
        <f t="shared" ref="P10:P34" ca="1" si="0" xml:space="preserve"> P$2 + P$3*EXP(- O10 / TestData.Z_1) + P$4*EXP(- O10 / TestData.Z_2)  + TestData.VerticalRandomisation*(2*RAND() - 1)</f>
        <v>159.17911379487072</v>
      </c>
      <c r="R10" s="1">
        <v>1</v>
      </c>
      <c r="S10" s="1">
        <f t="shared" ref="S10:S34" ca="1" si="1" xml:space="preserve"> S$2 + S$3*EXP(- R10 / TestData.Z_1) + S$4*EXP(- R10 / TestData.Z_2)  + TestData.VerticalRandomisation*(2*RAND() - 1)</f>
        <v>215.51079565827041</v>
      </c>
      <c r="U10" s="1">
        <v>1</v>
      </c>
      <c r="V10" s="1">
        <f t="shared" ref="V10:V34" ca="1" si="2" xml:space="preserve"> V$2 + V$3*EXP(- U10 / TestData.Z_1) + V$4*EXP(- U10 / TestData.Z_2)  + TestData.VerticalRandomisation*(2*RAND() - 1)</f>
        <v>192.19674521880873</v>
      </c>
      <c r="X10" s="1">
        <v>1</v>
      </c>
      <c r="Y10" s="1">
        <f t="shared" ref="Y10:Y34" ca="1" si="3" xml:space="preserve"> Y$2 + Y$3*EXP(- X10 / TestData.Z_1) + Y$4*EXP(- X10 / TestData.Z_2)  + TestData.VerticalRandomisation*(2*RAND() - 1)</f>
        <v>169.58713720990167</v>
      </c>
      <c r="AA10" s="1">
        <v>1</v>
      </c>
      <c r="AB10" s="1">
        <f t="shared" ref="AB10:AB34" ca="1" si="4" xml:space="preserve"> AB$2 + AB$3*EXP(- AA10 / TestData.Z_1) + AB$4*EXP(- AA10 / TestData.Z_2)  + TestData.VerticalRandomisation*(2*RAND() - 1)</f>
        <v>240.75061606633741</v>
      </c>
      <c r="AD10" s="1">
        <v>1</v>
      </c>
      <c r="AE10" s="1">
        <f t="shared" ref="AE10:AE34" ca="1" si="5" xml:space="preserve"> AE$2 + AE$3*EXP(- AD10 / TestData.Z_1) + AE$4*EXP(- AD10 / TestData.Z_2)  + TestData.VerticalRandomisation*(2*RAND() - 1)</f>
        <v>189.73815110351501</v>
      </c>
      <c r="AG10" s="1">
        <v>1</v>
      </c>
      <c r="AH10" s="1">
        <f t="shared" ref="AH10:AH41" ca="1" si="6" xml:space="preserve"> AH$2 + AH$3*EXP(- AG10 / TestData.Z_1) + AH$4*EXP(- AG10 / TestData.Z_2)  + TestData.VerticalRandomisation*(2*RAND() - 1)</f>
        <v>175.33894946265025</v>
      </c>
      <c r="AJ10" s="1" cm="1">
        <f t="array" ref="AJ10" xml:space="preserve"> 1 + ROW() - _xlfn.SINGLE(ROW(TestData.RowNum))</f>
        <v>1</v>
      </c>
      <c r="AN10" s="4" t="str">
        <f ca="1" xml:space="preserve"> TestData.01Name</f>
        <v>LT</v>
      </c>
      <c r="AO10" s="4" t="b">
        <f ca="1" xml:space="preserve">  ( COUNTIFS(TestData.01X,"&gt;="&amp;TestData.MinX,   TestData.01X,"&lt;="&amp;TestData.MaxX,   TestData.01Y,"&gt;="&amp;TestData.MinY,   TestData.01Y,"&lt;="&amp;TestData.MaxY) &gt; 0 )</f>
        <v>1</v>
      </c>
      <c r="AP10" s="4">
        <f ca="1" xml:space="preserve"> IF(TestData_Labels.Good,  _xlfn.MINIFS(TestData.01X,   TestData.01X,"&gt;="&amp;TestData.MinX,   TestData.01X,"&lt;="&amp;TestData.MaxX,   TestData.01Y,"&gt;="&amp;TestData.MinY,   TestData.01Y,"&lt;="&amp;TestData.MaxY), #N/A)</f>
        <v>1</v>
      </c>
      <c r="AQ10" s="4">
        <f ca="1" xml:space="preserve"> IF(TestData_Labels.Good, _xlfn.MAXIFS(TestData.01X,   TestData.01X,"&gt;="&amp;TestData.MinX,   TestData.01X,"&lt;="&amp;TestData.MaxX,   TestData.01Y,"&gt;="&amp;TestData.MinY,   TestData.01Y,"&lt;="&amp;TestData.MaxY), #N/A)</f>
        <v>35.169783543732301</v>
      </c>
      <c r="AR10" s="4" cm="1">
        <f t="array" aca="1" ref="AR10" ca="1" xml:space="preserve"> IF(_xlfn.SINGLE(TestData_Labels.Good), INDEX(TestData.01Y, _xlfn.MAXIFS(TestData.RowNum,    TestData.01Y,"&gt;="&amp;TestData.MinY,    TestData.01Y,"&lt;="&amp;TestData.MaxY,   TestData.01X,_xlfn.SINGLE(TestData_Labels.Left_X))), #N/A)</f>
        <v>159.17911379487072</v>
      </c>
      <c r="AS10" s="4" cm="1">
        <f t="array" aca="1" ref="AS10" ca="1" xml:space="preserve"> IF(_xlfn.SINGLE(TestData_Labels.Right_X) &gt; _xlfn.SINGLE(TestData_Labels.Left_X), INDEX(TestData.01Y, _xlfn.MAXIFS(TestData.RowNum,    TestData.01Y,"&gt;="&amp;TestData.MinY,    TestData.01Y,"&lt;="&amp;TestData.MaxY,   TestData.01X,_xlfn.SINGLE(TestData_Labels.Right_X))), #N/A)</f>
        <v>197.43003052305943</v>
      </c>
    </row>
    <row r="11" spans="12:45" x14ac:dyDescent="0.2">
      <c r="L11" s="3" t="s">
        <v>27</v>
      </c>
      <c r="M11" s="1">
        <f xml:space="preserve"> MATCH("XK", SeriesFormatAlias.SeriesName, 0)</f>
        <v>34</v>
      </c>
      <c r="O11" s="1">
        <f t="shared" ref="O11:O34" ca="1" si="7" xml:space="preserve"> TestData.SpeedX  +  (1 + RAND()*TestData.SpeedX) * O10</f>
        <v>1.2498006531532748</v>
      </c>
      <c r="P11" s="1">
        <f t="shared" ca="1" si="0"/>
        <v>161.00819739934357</v>
      </c>
      <c r="R11" s="1">
        <f t="shared" ref="R11:R34" ca="1" si="8" xml:space="preserve"> TestData.SpeedX  +  (1 + RAND()*TestData.SpeedX) * R10</f>
        <v>1.2519475403081355</v>
      </c>
      <c r="S11" s="1">
        <f t="shared" ca="1" si="1"/>
        <v>219.44132664856843</v>
      </c>
      <c r="U11" s="1">
        <f t="shared" ref="U11:U34" ca="1" si="9" xml:space="preserve"> TestData.SpeedX  +  (1 + RAND()*TestData.SpeedX) * U10</f>
        <v>1.3232074552478108</v>
      </c>
      <c r="V11" s="1">
        <f t="shared" ca="1" si="2"/>
        <v>193.56435833371424</v>
      </c>
      <c r="X11" s="1">
        <f t="shared" ref="X11:X34" ca="1" si="10" xml:space="preserve"> TestData.SpeedX  +  (1 + RAND()*TestData.SpeedX) * X10</f>
        <v>1.3066069969135545</v>
      </c>
      <c r="Y11" s="1">
        <f t="shared" ca="1" si="3"/>
        <v>172.88839154851698</v>
      </c>
      <c r="AA11" s="1">
        <f t="shared" ref="AA11:AA34" ca="1" si="11" xml:space="preserve"> TestData.SpeedX  +  (1 + RAND()*TestData.SpeedX) * AA10</f>
        <v>1.3344890080521934</v>
      </c>
      <c r="AB11" s="1">
        <f t="shared" ca="1" si="4"/>
        <v>246.52284482516748</v>
      </c>
      <c r="AD11" s="1">
        <f t="shared" ref="AD11:AD34" ca="1" si="12" xml:space="preserve"> TestData.SpeedX  +  (1 + RAND()*TestData.SpeedX) * AD10</f>
        <v>1.2901189675860354</v>
      </c>
      <c r="AE11" s="1">
        <f t="shared" ca="1" si="5"/>
        <v>192.57407679767147</v>
      </c>
      <c r="AG11" s="1">
        <f t="shared" ref="AG11:AG34" ca="1" si="13" xml:space="preserve"> TestData.SpeedX  +  (1 + RAND()*TestData.SpeedX) * AG10</f>
        <v>1.2544743047098059</v>
      </c>
      <c r="AH11" s="1">
        <f t="shared" ca="1" si="6"/>
        <v>178.73247987610634</v>
      </c>
      <c r="AJ11" s="1" cm="1">
        <f t="array" ref="AJ11" xml:space="preserve"> 1 + ROW() - _xlfn.SINGLE(ROW(TestData.RowNum))</f>
        <v>2</v>
      </c>
      <c r="AN11" s="4" t="str">
        <f ca="1" xml:space="preserve"> TestData.02Name</f>
        <v>LV</v>
      </c>
      <c r="AO11" s="4" t="b">
        <f ca="1" xml:space="preserve">  ( COUNTIFS(TestData.02X,"&gt;="&amp;TestData.MinX,   TestData.02X,"&lt;="&amp;TestData.MaxX,   TestData.02Y,"&gt;="&amp;TestData.MinY,   TestData.02Y,"&lt;="&amp;TestData.MaxY) &gt; 0 )</f>
        <v>1</v>
      </c>
      <c r="AP11" s="4">
        <f ca="1" xml:space="preserve"> IF(TestData_Labels.Good,  _xlfn.MINIFS(TestData.02X,   TestData.02X,"&gt;="&amp;TestData.MinX,   TestData.02X,"&lt;="&amp;TestData.MaxX,   TestData.02Y,"&gt;="&amp;TestData.MinY,   TestData.02Y,"&lt;="&amp;TestData.MaxY), #N/A)</f>
        <v>1</v>
      </c>
      <c r="AQ11" s="4">
        <f ca="1" xml:space="preserve"> IF(TestData_Labels.Good, _xlfn.MAXIFS(TestData.02X,   TestData.02X,"&gt;="&amp;TestData.MinX,   TestData.02X,"&lt;="&amp;TestData.MaxX,   TestData.02Y,"&gt;="&amp;TestData.MinY,   TestData.02Y,"&lt;="&amp;TestData.MaxY), #N/A)</f>
        <v>32.409480180734526</v>
      </c>
      <c r="AR11" s="4" cm="1">
        <f t="array" aca="1" ref="AR11" ca="1" xml:space="preserve"> IF(_xlfn.SINGLE(TestData_Labels.Good), INDEX(TestData.02Y, _xlfn.MAXIFS(TestData.RowNum,    TestData.02Y,"&gt;="&amp;TestData.MinY,    TestData.02Y,"&lt;="&amp;TestData.MaxY,   TestData.02X,_xlfn.SINGLE(TestData_Labels.Left_X))), #N/A)</f>
        <v>215.51079565827041</v>
      </c>
      <c r="AS11" s="4" cm="1">
        <f t="array" aca="1" ref="AS11" ca="1" xml:space="preserve"> IF(_xlfn.SINGLE(TestData_Labels.Right_X) &gt; _xlfn.SINGLE(TestData_Labels.Left_X), INDEX(TestData.02Y, _xlfn.MAXIFS(TestData.RowNum,    TestData.02Y,"&gt;="&amp;TestData.MinY,    TestData.02Y,"&lt;="&amp;TestData.MaxY,   TestData.02X,_xlfn.SINGLE(TestData_Labels.Right_X))), #N/A)</f>
        <v>232.35548649205245</v>
      </c>
    </row>
    <row r="12" spans="12:45" x14ac:dyDescent="0.2">
      <c r="L12" s="3" t="s">
        <v>28</v>
      </c>
      <c r="M12" s="1">
        <f ca="1" xml:space="preserve"> IF(TRUE, TestData.SeriesNameNumMin + MOD(INT(NOW()*24*60)*5 - 1, 1 + TestData.SeriesNameNumMax - TestData.SeriesNameNumMin), TestData.SeriesNameNumMin )</f>
        <v>28</v>
      </c>
      <c r="O12" s="1">
        <f t="shared" ca="1" si="7"/>
        <v>1.4905439974402503</v>
      </c>
      <c r="P12" s="1">
        <f t="shared" ca="1" si="0"/>
        <v>164.15704517741381</v>
      </c>
      <c r="R12" s="1">
        <f t="shared" ca="1" si="8"/>
        <v>1.4814596845848131</v>
      </c>
      <c r="S12" s="1">
        <f t="shared" ca="1" si="1"/>
        <v>222.54201852428707</v>
      </c>
      <c r="U12" s="1">
        <f t="shared" ca="1" si="9"/>
        <v>1.5968941663149292</v>
      </c>
      <c r="V12" s="1">
        <f t="shared" ca="1" si="2"/>
        <v>197.24228019590424</v>
      </c>
      <c r="X12" s="1">
        <f t="shared" ca="1" si="10"/>
        <v>1.5942867347476257</v>
      </c>
      <c r="Y12" s="1">
        <f t="shared" ca="1" si="3"/>
        <v>175.82483862421469</v>
      </c>
      <c r="AA12" s="1">
        <f t="shared" ca="1" si="11"/>
        <v>1.7030474058188003</v>
      </c>
      <c r="AB12" s="1">
        <f t="shared" ca="1" si="4"/>
        <v>248.93386085871629</v>
      </c>
      <c r="AD12" s="1">
        <f t="shared" ca="1" si="12"/>
        <v>1.5213063207081958</v>
      </c>
      <c r="AE12" s="1">
        <f t="shared" ca="1" si="5"/>
        <v>194.39470203913791</v>
      </c>
      <c r="AG12" s="1">
        <f t="shared" ca="1" si="13"/>
        <v>1.5263979531715297</v>
      </c>
      <c r="AH12" s="1">
        <f t="shared" ca="1" si="6"/>
        <v>180.29589404498253</v>
      </c>
      <c r="AJ12" s="1" cm="1">
        <f t="array" ref="AJ12" xml:space="preserve"> 1 + ROW() - _xlfn.SINGLE(ROW(TestData.RowNum))</f>
        <v>3</v>
      </c>
      <c r="AN12" s="4" t="str">
        <f ca="1" xml:space="preserve"> TestData.03Name</f>
        <v>EE</v>
      </c>
      <c r="AO12" s="4" t="b">
        <f ca="1" xml:space="preserve">  ( COUNTIFS(TestData.03X,"&gt;="&amp;TestData.MinX,   TestData.03X,"&lt;="&amp;TestData.MaxX,   TestData.03Y,"&gt;="&amp;TestData.MinY,   TestData.03Y,"&lt;="&amp;TestData.MaxY) &gt; 0 )</f>
        <v>1</v>
      </c>
      <c r="AP12" s="4">
        <f ca="1" xml:space="preserve"> IF(TestData_Labels.Good,  _xlfn.MINIFS(TestData.03X,   TestData.03X,"&gt;="&amp;TestData.MinX,   TestData.03X,"&lt;="&amp;TestData.MaxX,   TestData.03Y,"&gt;="&amp;TestData.MinY,   TestData.03Y,"&lt;="&amp;TestData.MaxY), #N/A)</f>
        <v>1</v>
      </c>
      <c r="AQ12" s="4">
        <f ca="1" xml:space="preserve"> IF(TestData_Labels.Good, _xlfn.MAXIFS(TestData.03X,   TestData.03X,"&gt;="&amp;TestData.MinX,   TestData.03X,"&lt;="&amp;TestData.MaxX,   TestData.03Y,"&gt;="&amp;TestData.MinY,   TestData.03Y,"&lt;="&amp;TestData.MaxY), #N/A)</f>
        <v>39.251324116083509</v>
      </c>
      <c r="AR12" s="4" cm="1">
        <f t="array" aca="1" ref="AR12" ca="1" xml:space="preserve"> IF(_xlfn.SINGLE(TestData_Labels.Good), INDEX(TestData.03Y, _xlfn.MAXIFS(TestData.RowNum,    TestData.03Y,"&gt;="&amp;TestData.MinY,    TestData.03Y,"&lt;="&amp;TestData.MaxY,   TestData.03X,_xlfn.SINGLE(TestData_Labels.Left_X))), #N/A)</f>
        <v>192.19674521880873</v>
      </c>
      <c r="AS12" s="4" cm="1">
        <f t="array" aca="1" ref="AS12" ca="1" xml:space="preserve"> IF(_xlfn.SINGLE(TestData_Labels.Right_X) &gt; _xlfn.SINGLE(TestData_Labels.Left_X), INDEX(TestData.03Y, _xlfn.MAXIFS(TestData.RowNum,    TestData.03Y,"&gt;="&amp;TestData.MinY,    TestData.03Y,"&lt;="&amp;TestData.MaxY,   TestData.03X,_xlfn.SINGLE(TestData_Labels.Right_X))), #N/A)</f>
        <v>214.69733099448169</v>
      </c>
    </row>
    <row r="13" spans="12:45" x14ac:dyDescent="0.2">
      <c r="L13" s="3" t="s">
        <v>29</v>
      </c>
      <c r="M13" s="1">
        <v>24</v>
      </c>
      <c r="O13" s="1">
        <f t="shared" ca="1" si="7"/>
        <v>1.7505176898693218</v>
      </c>
      <c r="P13" s="1">
        <f t="shared" ca="1" si="0"/>
        <v>166.82371370421808</v>
      </c>
      <c r="R13" s="1">
        <f t="shared" ca="1" si="8"/>
        <v>1.7562056648088991</v>
      </c>
      <c r="S13" s="1">
        <f t="shared" ca="1" si="1"/>
        <v>223.96009867210805</v>
      </c>
      <c r="U13" s="1">
        <f t="shared" ca="1" si="9"/>
        <v>2.0374310682281815</v>
      </c>
      <c r="V13" s="1">
        <f t="shared" ca="1" si="2"/>
        <v>201.07067357095889</v>
      </c>
      <c r="X13" s="1">
        <f t="shared" ca="1" si="10"/>
        <v>1.8001899319090602</v>
      </c>
      <c r="Y13" s="1">
        <f t="shared" ca="1" si="3"/>
        <v>180.73382617213372</v>
      </c>
      <c r="AA13" s="1">
        <f t="shared" ca="1" si="11"/>
        <v>2.0573904540890018</v>
      </c>
      <c r="AB13" s="1">
        <f t="shared" ca="1" si="4"/>
        <v>249.47458126839138</v>
      </c>
      <c r="AD13" s="1">
        <f t="shared" ca="1" si="12"/>
        <v>1.939888902203875</v>
      </c>
      <c r="AE13" s="1">
        <f t="shared" ca="1" si="5"/>
        <v>195.5795336236817</v>
      </c>
      <c r="AG13" s="1">
        <f t="shared" ca="1" si="13"/>
        <v>1.8547009964592605</v>
      </c>
      <c r="AH13" s="1">
        <f t="shared" ca="1" si="6"/>
        <v>182.88356792457557</v>
      </c>
      <c r="AJ13" s="1" cm="1">
        <f t="array" ref="AJ13" xml:space="preserve"> 1 + ROW() - _xlfn.SINGLE(ROW(TestData.RowNum))</f>
        <v>4</v>
      </c>
      <c r="AN13" s="4" t="str">
        <f ca="1" xml:space="preserve"> TestData.04Name</f>
        <v>CY</v>
      </c>
      <c r="AO13" s="4" t="b">
        <f ca="1" xml:space="preserve">  ( COUNTIFS(TestData.04X,"&gt;="&amp;TestData.MinX,   TestData.04X,"&lt;="&amp;TestData.MaxX,   TestData.04Y,"&gt;="&amp;TestData.MinY,   TestData.04Y,"&lt;="&amp;TestData.MaxY) &gt; 0 )</f>
        <v>1</v>
      </c>
      <c r="AP13" s="4">
        <f ca="1" xml:space="preserve"> IF(TestData_Labels.Good,  _xlfn.MINIFS(TestData.04X,   TestData.04X,"&gt;="&amp;TestData.MinX,   TestData.04X,"&lt;="&amp;TestData.MaxX,   TestData.04Y,"&gt;="&amp;TestData.MinY,   TestData.04Y,"&lt;="&amp;TestData.MaxY), #N/A)</f>
        <v>1</v>
      </c>
      <c r="AQ13" s="4">
        <f ca="1" xml:space="preserve"> IF(TestData_Labels.Good, _xlfn.MAXIFS(TestData.04X,   TestData.04X,"&gt;="&amp;TestData.MinX,   TestData.04X,"&lt;="&amp;TestData.MaxX,   TestData.04Y,"&gt;="&amp;TestData.MinY,   TestData.04Y,"&lt;="&amp;TestData.MaxY), #N/A)</f>
        <v>46.803314075981277</v>
      </c>
      <c r="AR13" s="4" cm="1">
        <f t="array" aca="1" ref="AR13" ca="1" xml:space="preserve"> IF(_xlfn.SINGLE(TestData_Labels.Good), INDEX(TestData.04Y, _xlfn.MAXIFS(TestData.RowNum,    TestData.04Y,"&gt;="&amp;TestData.MinY,    TestData.04Y,"&lt;="&amp;TestData.MaxY,   TestData.04X,_xlfn.SINGLE(TestData_Labels.Left_X))), #N/A)</f>
        <v>169.58713720990167</v>
      </c>
      <c r="AS13" s="4" cm="1">
        <f t="array" aca="1" ref="AS13" ca="1" xml:space="preserve"> IF(_xlfn.SINGLE(TestData_Labels.Right_X) &gt; _xlfn.SINGLE(TestData_Labels.Left_X), INDEX(TestData.04Y, _xlfn.MAXIFS(TestData.RowNum,    TestData.04Y,"&gt;="&amp;TestData.MinY,    TestData.04Y,"&lt;="&amp;TestData.MaxY,   TestData.04X,_xlfn.SINGLE(TestData_Labels.Right_X))), #N/A)</f>
        <v>201.92079253401093</v>
      </c>
    </row>
    <row r="14" spans="12:45" x14ac:dyDescent="0.2">
      <c r="L14" s="3" t="s">
        <v>30</v>
      </c>
      <c r="M14" s="1">
        <v>6</v>
      </c>
      <c r="O14" s="1">
        <f t="shared" ca="1" si="7"/>
        <v>2.0811758492812236</v>
      </c>
      <c r="P14" s="1">
        <f t="shared" ca="1" si="0"/>
        <v>171.8567299994024</v>
      </c>
      <c r="R14" s="1">
        <f t="shared" ca="1" si="8"/>
        <v>1.9770621174153713</v>
      </c>
      <c r="S14" s="1">
        <f t="shared" ca="1" si="1"/>
        <v>227.03825178500639</v>
      </c>
      <c r="U14" s="1">
        <f t="shared" ca="1" si="9"/>
        <v>2.3661242424290498</v>
      </c>
      <c r="V14" s="1">
        <f t="shared" ca="1" si="2"/>
        <v>203.4287492337717</v>
      </c>
      <c r="X14" s="1">
        <f t="shared" ca="1" si="10"/>
        <v>2.071630898297073</v>
      </c>
      <c r="Y14" s="1">
        <f t="shared" ca="1" si="3"/>
        <v>181.55886316407177</v>
      </c>
      <c r="AA14" s="1">
        <f t="shared" ca="1" si="11"/>
        <v>2.2458302037972069</v>
      </c>
      <c r="AB14" s="1">
        <f t="shared" ca="1" si="4"/>
        <v>251.31880879751043</v>
      </c>
      <c r="AD14" s="1">
        <f t="shared" ca="1" si="12"/>
        <v>2.1570370444734102</v>
      </c>
      <c r="AE14" s="1">
        <f t="shared" ca="1" si="5"/>
        <v>198.93239113678882</v>
      </c>
      <c r="AG14" s="1">
        <f t="shared" ca="1" si="13"/>
        <v>2.0703954474308581</v>
      </c>
      <c r="AH14" s="1">
        <f t="shared" ca="1" si="6"/>
        <v>188.10754175872054</v>
      </c>
      <c r="AJ14" s="1" cm="1">
        <f t="array" ref="AJ14" xml:space="preserve"> 1 + ROW() - _xlfn.SINGLE(ROW(TestData.RowNum))</f>
        <v>5</v>
      </c>
      <c r="AN14" s="4" t="str">
        <f ca="1" xml:space="preserve"> TestData.05Name</f>
        <v>MT</v>
      </c>
      <c r="AO14" s="4" t="b">
        <f ca="1" xml:space="preserve">  ( COUNTIFS(TestData.05X,"&gt;="&amp;TestData.MinX,   TestData.05X,"&lt;="&amp;TestData.MaxX,   TestData.05Y,"&gt;="&amp;TestData.MinY,   TestData.05Y,"&lt;="&amp;TestData.MaxY) &gt; 0 )</f>
        <v>1</v>
      </c>
      <c r="AP14" s="4">
        <f ca="1" xml:space="preserve"> IF(TestData_Labels.Good,  _xlfn.MINIFS(TestData.05X,   TestData.05X,"&gt;="&amp;TestData.MinX,   TestData.05X,"&lt;="&amp;TestData.MaxX,   TestData.05Y,"&gt;="&amp;TestData.MinY,   TestData.05Y,"&lt;="&amp;TestData.MaxY), #N/A)</f>
        <v>1</v>
      </c>
      <c r="AQ14" s="4">
        <f ca="1" xml:space="preserve"> IF(TestData_Labels.Good, _xlfn.MAXIFS(TestData.05X,   TestData.05X,"&gt;="&amp;TestData.MinX,   TestData.05X,"&lt;="&amp;TestData.MaxX,   TestData.05Y,"&gt;="&amp;TestData.MinY,   TestData.05Y,"&lt;="&amp;TestData.MaxY), #N/A)</f>
        <v>34.05951642602227</v>
      </c>
      <c r="AR14" s="4" cm="1">
        <f t="array" aca="1" ref="AR14" ca="1" xml:space="preserve"> IF(_xlfn.SINGLE(TestData_Labels.Good), INDEX(TestData.05Y, _xlfn.MAXIFS(TestData.RowNum,    TestData.05Y,"&gt;="&amp;TestData.MinY,    TestData.05Y,"&lt;="&amp;TestData.MaxY,   TestData.05X,_xlfn.SINGLE(TestData_Labels.Left_X))), #N/A)</f>
        <v>240.75061606633741</v>
      </c>
      <c r="AS14" s="4" cm="1">
        <f t="array" aca="1" ref="AS14" ca="1" xml:space="preserve"> IF(_xlfn.SINGLE(TestData_Labels.Right_X) &gt; _xlfn.SINGLE(TestData_Labels.Left_X), INDEX(TestData.05Y, _xlfn.MAXIFS(TestData.RowNum,    TestData.05Y,"&gt;="&amp;TestData.MinY,    TestData.05Y,"&lt;="&amp;TestData.MaxY,   TestData.05X,_xlfn.SINGLE(TestData_Labels.Right_X))), #N/A)</f>
        <v>247.36552278963231</v>
      </c>
    </row>
    <row r="15" spans="12:45" x14ac:dyDescent="0.2">
      <c r="L15" s="3" t="s">
        <v>31</v>
      </c>
      <c r="M15" s="1">
        <v>0.17499999999999999</v>
      </c>
      <c r="O15" s="1">
        <f t="shared" ca="1" si="7"/>
        <v>2.5993821287892263</v>
      </c>
      <c r="P15" s="1">
        <f t="shared" ca="1" si="0"/>
        <v>173.31664514707913</v>
      </c>
      <c r="R15" s="1">
        <f t="shared" ca="1" si="8"/>
        <v>2.2947750282499042</v>
      </c>
      <c r="S15" s="1">
        <f t="shared" ca="1" si="1"/>
        <v>226.01795370918049</v>
      </c>
      <c r="U15" s="1">
        <f t="shared" ca="1" si="9"/>
        <v>2.5524191009223887</v>
      </c>
      <c r="V15" s="1">
        <f t="shared" ca="1" si="2"/>
        <v>205.28624276804013</v>
      </c>
      <c r="X15" s="1">
        <f t="shared" ca="1" si="10"/>
        <v>2.2756327246802428</v>
      </c>
      <c r="Y15" s="1">
        <f t="shared" ca="1" si="3"/>
        <v>184.90433958470086</v>
      </c>
      <c r="AA15" s="1">
        <f t="shared" ca="1" si="11"/>
        <v>2.6292815316076852</v>
      </c>
      <c r="AB15" s="1">
        <f t="shared" ca="1" si="4"/>
        <v>253.54175349253634</v>
      </c>
      <c r="AD15" s="1">
        <f t="shared" ca="1" si="12"/>
        <v>2.5496814037485493</v>
      </c>
      <c r="AE15" s="1">
        <f t="shared" ca="1" si="5"/>
        <v>200.14150360159027</v>
      </c>
      <c r="AG15" s="1">
        <f t="shared" ca="1" si="13"/>
        <v>2.4578578107391436</v>
      </c>
      <c r="AH15" s="1">
        <f t="shared" ca="1" si="6"/>
        <v>187.95539911947532</v>
      </c>
      <c r="AJ15" s="1" cm="1">
        <f t="array" ref="AJ15" xml:space="preserve"> 1 + ROW() - _xlfn.SINGLE(ROW(TestData.RowNum))</f>
        <v>6</v>
      </c>
      <c r="AN15" s="4" t="str">
        <f ca="1" xml:space="preserve"> TestData.06Name</f>
        <v>ME</v>
      </c>
      <c r="AO15" s="4" t="b">
        <f ca="1" xml:space="preserve">  ( COUNTIFS(TestData.06X,"&gt;="&amp;TestData.MinX,   TestData.06X,"&lt;="&amp;TestData.MaxX,   TestData.06Y,"&gt;="&amp;TestData.MinY,   TestData.06Y,"&lt;="&amp;TestData.MaxY) &gt; 0 )</f>
        <v>1</v>
      </c>
      <c r="AP15" s="4">
        <f ca="1" xml:space="preserve"> IF(TestData_Labels.Good,  _xlfn.MINIFS(TestData.06X,   TestData.06X,"&gt;="&amp;TestData.MinX,   TestData.06X,"&lt;="&amp;TestData.MaxX,   TestData.06Y,"&gt;="&amp;TestData.MinY,   TestData.06Y,"&lt;="&amp;TestData.MaxY), #N/A)</f>
        <v>1</v>
      </c>
      <c r="AQ15" s="4">
        <f ca="1" xml:space="preserve"> IF(TestData_Labels.Good, _xlfn.MAXIFS(TestData.06X,   TestData.06X,"&gt;="&amp;TestData.MinX,   TestData.06X,"&lt;="&amp;TestData.MaxX,   TestData.06Y,"&gt;="&amp;TestData.MinY,   TestData.06Y,"&lt;="&amp;TestData.MaxY), #N/A)</f>
        <v>36.917088196145542</v>
      </c>
      <c r="AR15" s="4" cm="1">
        <f t="array" aca="1" ref="AR15" ca="1" xml:space="preserve"> IF(_xlfn.SINGLE(TestData_Labels.Good), INDEX(TestData.06Y, _xlfn.MAXIFS(TestData.RowNum,    TestData.06Y,"&gt;="&amp;TestData.MinY,    TestData.06Y,"&lt;="&amp;TestData.MaxY,   TestData.06X,_xlfn.SINGLE(TestData_Labels.Left_X))), #N/A)</f>
        <v>189.73815110351501</v>
      </c>
      <c r="AS15" s="4" cm="1">
        <f t="array" aca="1" ref="AS15" ca="1" xml:space="preserve"> IF(_xlfn.SINGLE(TestData_Labels.Right_X) &gt; _xlfn.SINGLE(TestData_Labels.Left_X), INDEX(TestData.06Y, _xlfn.MAXIFS(TestData.RowNum,    TestData.06Y,"&gt;="&amp;TestData.MinY,    TestData.06Y,"&lt;="&amp;TestData.MaxY,   TestData.06X,_xlfn.SINGLE(TestData_Labels.Right_X))), #N/A)</f>
        <v>204.41602523419218</v>
      </c>
    </row>
    <row r="16" spans="12:45" x14ac:dyDescent="0.2">
      <c r="L16" s="3" t="s">
        <v>32</v>
      </c>
      <c r="M16" s="1">
        <v>200</v>
      </c>
      <c r="O16" s="1">
        <f t="shared" ca="1" si="7"/>
        <v>3.199100691269102</v>
      </c>
      <c r="P16" s="1">
        <f t="shared" ca="1" si="0"/>
        <v>178.02366306068225</v>
      </c>
      <c r="R16" s="1">
        <f t="shared" ca="1" si="8"/>
        <v>2.8652720959453966</v>
      </c>
      <c r="S16" s="1">
        <f t="shared" ca="1" si="1"/>
        <v>232.93691423523518</v>
      </c>
      <c r="U16" s="1">
        <f t="shared" ca="1" si="9"/>
        <v>3.0876113338290998</v>
      </c>
      <c r="V16" s="1">
        <f t="shared" ca="1" si="2"/>
        <v>208.48900037135735</v>
      </c>
      <c r="X16" s="1">
        <f t="shared" ca="1" si="10"/>
        <v>2.4679159914646043</v>
      </c>
      <c r="Y16" s="1">
        <f t="shared" ca="1" si="3"/>
        <v>185.80151659875631</v>
      </c>
      <c r="AA16" s="1">
        <f t="shared" ca="1" si="11"/>
        <v>3.1446709405059212</v>
      </c>
      <c r="AB16" s="1">
        <f t="shared" ca="1" si="4"/>
        <v>256.11508555456231</v>
      </c>
      <c r="AD16" s="1">
        <f t="shared" ca="1" si="12"/>
        <v>3.0657187208133174</v>
      </c>
      <c r="AE16" s="1">
        <f t="shared" ca="1" si="5"/>
        <v>204.39361971080169</v>
      </c>
      <c r="AG16" s="1">
        <f t="shared" ca="1" si="13"/>
        <v>2.9268744484479639</v>
      </c>
      <c r="AH16" s="1">
        <f t="shared" ca="1" si="6"/>
        <v>191.21168114717688</v>
      </c>
      <c r="AJ16" s="1" cm="1">
        <f t="array" ref="AJ16" xml:space="preserve"> 1 + ROW() - _xlfn.SINGLE(ROW(TestData.RowNum))</f>
        <v>7</v>
      </c>
      <c r="AN16" s="4" t="str">
        <f ca="1" xml:space="preserve"> TestData.07Name</f>
        <v>XK</v>
      </c>
      <c r="AO16" s="4" t="b">
        <f ca="1" xml:space="preserve">  ( COUNTIFS(TestData.07X,"&gt;="&amp;TestData.MinX,   TestData.07X,"&lt;="&amp;TestData.MaxX,   TestData.07Y,"&gt;="&amp;TestData.MinY,   TestData.07Y,"&lt;="&amp;TestData.MaxY) &gt; 0 )</f>
        <v>1</v>
      </c>
      <c r="AP16" s="4">
        <f ca="1" xml:space="preserve"> IF(TestData_Labels.Good,  _xlfn.MINIFS(TestData.07X,   TestData.07X,"&gt;="&amp;TestData.MinX,   TestData.07X,"&lt;="&amp;TestData.MaxX,   TestData.07Y,"&gt;="&amp;TestData.MinY,   TestData.07Y,"&lt;="&amp;TestData.MaxY), #N/A)</f>
        <v>1</v>
      </c>
      <c r="AQ16" s="4">
        <f ca="1" xml:space="preserve"> IF(TestData_Labels.Good, _xlfn.MAXIFS(TestData.07X,   TestData.07X,"&gt;="&amp;TestData.MinX,   TestData.07X,"&lt;="&amp;TestData.MaxX,   TestData.07Y,"&gt;="&amp;TestData.MinY,   TestData.07Y,"&lt;="&amp;TestData.MaxY), #N/A)</f>
        <v>32.873270030690293</v>
      </c>
      <c r="AR16" s="4" cm="1">
        <f t="array" aca="1" ref="AR16" ca="1" xml:space="preserve"> IF(_xlfn.SINGLE(TestData_Labels.Good), INDEX(TestData.07Y, _xlfn.MAXIFS(TestData.RowNum,    TestData.07Y,"&gt;="&amp;TestData.MinY,    TestData.07Y,"&lt;="&amp;TestData.MaxY,   TestData.07X,_xlfn.SINGLE(TestData_Labels.Left_X))), #N/A)</f>
        <v>175.33894946265025</v>
      </c>
      <c r="AS16" s="4" cm="1">
        <f t="array" aca="1" ref="AS16" ca="1" xml:space="preserve"> IF(_xlfn.SINGLE(TestData_Labels.Right_X) &gt; _xlfn.SINGLE(TestData_Labels.Left_X), INDEX(TestData.07Y, _xlfn.MAXIFS(TestData.RowNum,    TestData.07Y,"&gt;="&amp;TestData.MinY,    TestData.07Y,"&lt;="&amp;TestData.MaxY,   TestData.07X,_xlfn.SINGLE(TestData_Labels.Right_X))), #N/A)</f>
        <v>204.73242883763416</v>
      </c>
    </row>
    <row r="17" spans="12:36" x14ac:dyDescent="0.2">
      <c r="L17" s="3" t="s">
        <v>33</v>
      </c>
      <c r="M17" s="1">
        <v>75</v>
      </c>
      <c r="O17" s="1">
        <f t="shared" ca="1" si="7"/>
        <v>3.4808335074140819</v>
      </c>
      <c r="P17" s="1">
        <f t="shared" ca="1" si="0"/>
        <v>181.01196543414281</v>
      </c>
      <c r="R17" s="1">
        <f t="shared" ca="1" si="8"/>
        <v>3.4171704576739361</v>
      </c>
      <c r="S17" s="1">
        <f t="shared" ca="1" si="1"/>
        <v>235.79197848148627</v>
      </c>
      <c r="U17" s="1">
        <f t="shared" ca="1" si="9"/>
        <v>3.7129005069320238</v>
      </c>
      <c r="V17" s="1">
        <f t="shared" ca="1" si="2"/>
        <v>215.73247023940306</v>
      </c>
      <c r="X17" s="1">
        <f t="shared" ca="1" si="10"/>
        <v>2.9074826493184514</v>
      </c>
      <c r="Y17" s="1">
        <f t="shared" ca="1" si="3"/>
        <v>190.32656665812266</v>
      </c>
      <c r="AA17" s="1">
        <f t="shared" ca="1" si="11"/>
        <v>3.3999198745064714</v>
      </c>
      <c r="AB17" s="1">
        <f t="shared" ca="1" si="4"/>
        <v>259.20699107766626</v>
      </c>
      <c r="AD17" s="1">
        <f t="shared" ca="1" si="12"/>
        <v>3.3318943560142502</v>
      </c>
      <c r="AE17" s="1">
        <f t="shared" ca="1" si="5"/>
        <v>207.1988511195938</v>
      </c>
      <c r="AG17" s="1">
        <f t="shared" ca="1" si="13"/>
        <v>3.3763921873745963</v>
      </c>
      <c r="AH17" s="1">
        <f t="shared" ca="1" si="6"/>
        <v>195.52839715872918</v>
      </c>
      <c r="AJ17" s="1" cm="1">
        <f t="array" ref="AJ17" xml:space="preserve"> 1 + ROW() - _xlfn.SINGLE(ROW(TestData.RowNum))</f>
        <v>8</v>
      </c>
    </row>
    <row r="18" spans="12:36" x14ac:dyDescent="0.2">
      <c r="L18" s="3" t="s">
        <v>34</v>
      </c>
      <c r="M18" s="1">
        <v>-100</v>
      </c>
      <c r="O18" s="1">
        <f t="shared" ca="1" si="7"/>
        <v>3.6948374199291245</v>
      </c>
      <c r="P18" s="1">
        <f t="shared" ca="1" si="0"/>
        <v>182.24113082535587</v>
      </c>
      <c r="R18" s="1">
        <f t="shared" ca="1" si="8"/>
        <v>3.9549525371210605</v>
      </c>
      <c r="S18" s="1">
        <f t="shared" ca="1" si="1"/>
        <v>236.45435494575005</v>
      </c>
      <c r="U18" s="1">
        <f t="shared" ca="1" si="9"/>
        <v>3.8984784128452774</v>
      </c>
      <c r="V18" s="1">
        <f t="shared" ca="1" si="2"/>
        <v>213.38494192874211</v>
      </c>
      <c r="X18" s="1">
        <f t="shared" ca="1" si="10"/>
        <v>3.2273953783229152</v>
      </c>
      <c r="Y18" s="1">
        <f t="shared" ca="1" si="3"/>
        <v>191.24383296381262</v>
      </c>
      <c r="AA18" s="1">
        <f t="shared" ca="1" si="11"/>
        <v>3.9256259869468351</v>
      </c>
      <c r="AB18" s="1">
        <f t="shared" ca="1" si="4"/>
        <v>260.60234978887701</v>
      </c>
      <c r="AD18" s="1">
        <f t="shared" ca="1" si="12"/>
        <v>3.6910781004355666</v>
      </c>
      <c r="AE18" s="1">
        <f t="shared" ca="1" si="5"/>
        <v>209.4674613688814</v>
      </c>
      <c r="AG18" s="1">
        <f t="shared" ca="1" si="13"/>
        <v>3.6014368869157836</v>
      </c>
      <c r="AH18" s="1">
        <f t="shared" ca="1" si="6"/>
        <v>198.95826776408347</v>
      </c>
      <c r="AJ18" s="1" cm="1">
        <f t="array" ref="AJ18" xml:space="preserve"> 1 + ROW() - _xlfn.SINGLE(ROW(TestData.RowNum))</f>
        <v>9</v>
      </c>
    </row>
    <row r="19" spans="12:36" x14ac:dyDescent="0.2">
      <c r="L19" s="3" t="s">
        <v>35</v>
      </c>
      <c r="M19" s="1">
        <v>25</v>
      </c>
      <c r="O19" s="1">
        <f t="shared" ca="1" si="7"/>
        <v>4.2145878926820828</v>
      </c>
      <c r="P19" s="1">
        <f t="shared" ca="1" si="0"/>
        <v>184.75653290988788</v>
      </c>
      <c r="R19" s="1">
        <f t="shared" ca="1" si="8"/>
        <v>4.1407125186849303</v>
      </c>
      <c r="S19" s="1">
        <f t="shared" ca="1" si="1"/>
        <v>240.06218113525046</v>
      </c>
      <c r="U19" s="1">
        <f t="shared" ca="1" si="9"/>
        <v>4.6167964320750112</v>
      </c>
      <c r="V19" s="1">
        <f t="shared" ca="1" si="2"/>
        <v>219.53087033792067</v>
      </c>
      <c r="X19" s="1">
        <f t="shared" ca="1" si="10"/>
        <v>3.866480378889833</v>
      </c>
      <c r="Y19" s="1">
        <f t="shared" ca="1" si="3"/>
        <v>195.53040628472866</v>
      </c>
      <c r="AA19" s="1">
        <f t="shared" ca="1" si="11"/>
        <v>4.6530997437670667</v>
      </c>
      <c r="AB19" s="1">
        <f t="shared" ca="1" si="4"/>
        <v>265.31555746662963</v>
      </c>
      <c r="AD19" s="1">
        <f t="shared" ca="1" si="12"/>
        <v>4.3917691998321846</v>
      </c>
      <c r="AE19" s="1">
        <f t="shared" ca="1" si="5"/>
        <v>212.0180693989974</v>
      </c>
      <c r="AG19" s="1">
        <f t="shared" ca="1" si="13"/>
        <v>4.2861799924034916</v>
      </c>
      <c r="AH19" s="1">
        <f t="shared" ca="1" si="6"/>
        <v>202.7113001093424</v>
      </c>
      <c r="AJ19" s="1" cm="1">
        <f t="array" ref="AJ19" xml:space="preserve"> 1 + ROW() - _xlfn.SINGLE(ROW(TestData.RowNum))</f>
        <v>10</v>
      </c>
    </row>
    <row r="20" spans="12:36" x14ac:dyDescent="0.2">
      <c r="L20" s="3" t="s">
        <v>36</v>
      </c>
      <c r="M20" s="1">
        <v>25</v>
      </c>
      <c r="O20" s="1">
        <f t="shared" ca="1" si="7"/>
        <v>5.0726134415572464</v>
      </c>
      <c r="P20" s="1">
        <f t="shared" ca="1" si="0"/>
        <v>187.62785634320161</v>
      </c>
      <c r="R20" s="1">
        <f t="shared" ca="1" si="8"/>
        <v>4.7220261491897357</v>
      </c>
      <c r="S20" s="1">
        <f t="shared" ca="1" si="1"/>
        <v>241.51614141978965</v>
      </c>
      <c r="U20" s="1">
        <f t="shared" ca="1" si="9"/>
        <v>5.0779883107828265</v>
      </c>
      <c r="V20" s="1">
        <f t="shared" ca="1" si="2"/>
        <v>220.68645472893664</v>
      </c>
      <c r="X20" s="1">
        <f t="shared" ca="1" si="10"/>
        <v>4.6861527891217873</v>
      </c>
      <c r="Y20" s="1">
        <f t="shared" ca="1" si="3"/>
        <v>203.98782067116917</v>
      </c>
      <c r="AA20" s="1">
        <f t="shared" ca="1" si="11"/>
        <v>4.8880929603085468</v>
      </c>
      <c r="AB20" s="1">
        <f t="shared" ca="1" si="4"/>
        <v>264.66769286742544</v>
      </c>
      <c r="AD20" s="1">
        <f t="shared" ca="1" si="12"/>
        <v>4.8914436008633437</v>
      </c>
      <c r="AE20" s="1">
        <f t="shared" ca="1" si="5"/>
        <v>215.41541510040258</v>
      </c>
      <c r="AG20" s="1">
        <f t="shared" ca="1" si="13"/>
        <v>4.8723717723892639</v>
      </c>
      <c r="AH20" s="1">
        <f t="shared" ca="1" si="6"/>
        <v>203.96976538562561</v>
      </c>
      <c r="AJ20" s="1" cm="1">
        <f t="array" ref="AJ20" xml:space="preserve"> 1 + ROW() - _xlfn.SINGLE(ROW(TestData.RowNum))</f>
        <v>11</v>
      </c>
    </row>
    <row r="21" spans="12:36" x14ac:dyDescent="0.2">
      <c r="L21" s="3" t="s">
        <v>37</v>
      </c>
      <c r="M21" s="1">
        <v>15</v>
      </c>
      <c r="O21" s="1">
        <f t="shared" ca="1" si="7"/>
        <v>6.0722220032006549</v>
      </c>
      <c r="P21" s="1">
        <f t="shared" ca="1" si="0"/>
        <v>190.78203510335007</v>
      </c>
      <c r="R21" s="1">
        <f t="shared" ca="1" si="8"/>
        <v>5.4348226570968974</v>
      </c>
      <c r="S21" s="1">
        <f t="shared" ca="1" si="1"/>
        <v>241.54066088591173</v>
      </c>
      <c r="U21" s="1">
        <f t="shared" ca="1" si="9"/>
        <v>5.4884037543255069</v>
      </c>
      <c r="V21" s="1">
        <f t="shared" ca="1" si="2"/>
        <v>222.32232032150773</v>
      </c>
      <c r="X21" s="1">
        <f t="shared" ca="1" si="10"/>
        <v>5.4877827682834939</v>
      </c>
      <c r="Y21" s="1">
        <f t="shared" ca="1" si="3"/>
        <v>207.5469071644261</v>
      </c>
      <c r="AA21" s="1">
        <f t="shared" ca="1" si="11"/>
        <v>5.664892223184415</v>
      </c>
      <c r="AB21" s="1">
        <f t="shared" ca="1" si="4"/>
        <v>266.37564377637932</v>
      </c>
      <c r="AD21" s="1">
        <f t="shared" ca="1" si="12"/>
        <v>5.1725585420772271</v>
      </c>
      <c r="AE21" s="1">
        <f t="shared" ca="1" si="5"/>
        <v>215.23340287325809</v>
      </c>
      <c r="AG21" s="1">
        <f t="shared" ca="1" si="13"/>
        <v>5.3791459758732527</v>
      </c>
      <c r="AH21" s="1">
        <f t="shared" ca="1" si="6"/>
        <v>207.28103171222929</v>
      </c>
      <c r="AJ21" s="1" cm="1">
        <f t="array" ref="AJ21" xml:space="preserve"> 1 + ROW() - _xlfn.SINGLE(ROW(TestData.RowNum))</f>
        <v>12</v>
      </c>
    </row>
    <row r="22" spans="12:36" x14ac:dyDescent="0.2">
      <c r="L22" s="3" t="s">
        <v>38</v>
      </c>
      <c r="M22" s="1">
        <v>2</v>
      </c>
      <c r="O22" s="1">
        <f t="shared" ca="1" si="7"/>
        <v>6.9271936187029617</v>
      </c>
      <c r="P22" s="1">
        <f t="shared" ca="1" si="0"/>
        <v>193.70291991118017</v>
      </c>
      <c r="R22" s="1">
        <f t="shared" ca="1" si="8"/>
        <v>6.3548032138520707</v>
      </c>
      <c r="S22" s="1">
        <f t="shared" ca="1" si="1"/>
        <v>246.13137252143727</v>
      </c>
      <c r="U22" s="1">
        <f t="shared" ca="1" si="9"/>
        <v>6.4563168216808586</v>
      </c>
      <c r="V22" s="1">
        <f t="shared" ca="1" si="2"/>
        <v>224.69842776304705</v>
      </c>
      <c r="X22" s="1">
        <f t="shared" ca="1" si="10"/>
        <v>6.3723156947139108</v>
      </c>
      <c r="Y22" s="1">
        <f t="shared" ca="1" si="3"/>
        <v>210.53214294280227</v>
      </c>
      <c r="AA22" s="1">
        <f t="shared" ca="1" si="11"/>
        <v>6.0515794350618712</v>
      </c>
      <c r="AB22" s="1">
        <f t="shared" ca="1" si="4"/>
        <v>266.40732347760797</v>
      </c>
      <c r="AD22" s="1">
        <f t="shared" ca="1" si="12"/>
        <v>5.9742619001161996</v>
      </c>
      <c r="AE22" s="1">
        <f t="shared" ca="1" si="5"/>
        <v>220.1907730296129</v>
      </c>
      <c r="AG22" s="1">
        <f t="shared" ca="1" si="13"/>
        <v>5.7398563035551495</v>
      </c>
      <c r="AH22" s="1">
        <f t="shared" ca="1" si="6"/>
        <v>206.02294483214391</v>
      </c>
      <c r="AJ22" s="1" cm="1">
        <f t="array" ref="AJ22" xml:space="preserve"> 1 + ROW() - _xlfn.SINGLE(ROW(TestData.RowNum))</f>
        <v>13</v>
      </c>
    </row>
    <row r="23" spans="12:36" x14ac:dyDescent="0.2">
      <c r="M23" s="5" t="s">
        <v>471</v>
      </c>
      <c r="O23" s="1">
        <f t="shared" ca="1" si="7"/>
        <v>8.2458044312447143</v>
      </c>
      <c r="P23" s="1">
        <f t="shared" ca="1" si="0"/>
        <v>198.55867073389987</v>
      </c>
      <c r="R23" s="1">
        <f t="shared" ca="1" si="8"/>
        <v>7.0706296176055607</v>
      </c>
      <c r="S23" s="1">
        <f t="shared" ca="1" si="1"/>
        <v>248.99029958172866</v>
      </c>
      <c r="U23" s="1">
        <f t="shared" ca="1" si="9"/>
        <v>7.7498851326930094</v>
      </c>
      <c r="V23" s="1">
        <f t="shared" ca="1" si="2"/>
        <v>231.03247137741829</v>
      </c>
      <c r="X23" s="1">
        <f t="shared" ca="1" si="10"/>
        <v>7.2394438295316075</v>
      </c>
      <c r="Y23" s="1">
        <f t="shared" ca="1" si="3"/>
        <v>215.31147891552493</v>
      </c>
      <c r="AA23" s="1">
        <f t="shared" ca="1" si="11"/>
        <v>7.0002621908624905</v>
      </c>
      <c r="AB23" s="1">
        <f t="shared" ca="1" si="4"/>
        <v>267.65661398176013</v>
      </c>
      <c r="AD23" s="1">
        <f t="shared" ca="1" si="12"/>
        <v>6.7835542126645318</v>
      </c>
      <c r="AE23" s="1">
        <f t="shared" ca="1" si="5"/>
        <v>218.93328970139436</v>
      </c>
      <c r="AG23" s="1">
        <f t="shared" ca="1" si="13"/>
        <v>6.6445982454899317</v>
      </c>
      <c r="AH23" s="1">
        <f t="shared" ca="1" si="6"/>
        <v>210.13789563936675</v>
      </c>
      <c r="AJ23" s="1" cm="1">
        <f t="array" ref="AJ23" xml:space="preserve"> 1 + ROW() - _xlfn.SINGLE(ROW(TestData.RowNum))</f>
        <v>14</v>
      </c>
    </row>
    <row r="24" spans="12:36" x14ac:dyDescent="0.2">
      <c r="O24" s="1">
        <f t="shared" ca="1" si="7"/>
        <v>9.2536056800060678</v>
      </c>
      <c r="P24" s="1">
        <f t="shared" ca="1" si="0"/>
        <v>201.06481508215279</v>
      </c>
      <c r="R24" s="1">
        <f t="shared" ca="1" si="8"/>
        <v>7.3481350152194977</v>
      </c>
      <c r="S24" s="1">
        <f t="shared" ca="1" si="1"/>
        <v>248.2830706584345</v>
      </c>
      <c r="U24" s="1">
        <f t="shared" ca="1" si="9"/>
        <v>9.1607743089625764</v>
      </c>
      <c r="V24" s="1">
        <f t="shared" ca="1" si="2"/>
        <v>230.7534341634701</v>
      </c>
      <c r="X24" s="1">
        <f t="shared" ca="1" si="10"/>
        <v>7.6122680848112054</v>
      </c>
      <c r="Y24" s="1">
        <f t="shared" ca="1" si="3"/>
        <v>216.11297055704986</v>
      </c>
      <c r="AA24" s="1">
        <f t="shared" ca="1" si="11"/>
        <v>8.1331280238597685</v>
      </c>
      <c r="AB24" s="1">
        <f t="shared" ca="1" si="4"/>
        <v>272.44289339314616</v>
      </c>
      <c r="AD24" s="1">
        <f t="shared" ca="1" si="12"/>
        <v>7.5859393468677734</v>
      </c>
      <c r="AE24" s="1">
        <f t="shared" ca="1" si="5"/>
        <v>221.4127463975542</v>
      </c>
      <c r="AG24" s="1">
        <f t="shared" ca="1" si="13"/>
        <v>7.6254070025119551</v>
      </c>
      <c r="AH24" s="1">
        <f t="shared" ca="1" si="6"/>
        <v>210.86422589009535</v>
      </c>
      <c r="AJ24" s="1" cm="1">
        <f t="array" ref="AJ24" xml:space="preserve"> 1 + ROW() - _xlfn.SINGLE(ROW(TestData.RowNum))</f>
        <v>15</v>
      </c>
    </row>
    <row r="25" spans="12:36" x14ac:dyDescent="0.2">
      <c r="O25" s="1">
        <f t="shared" ca="1" si="7"/>
        <v>9.5889633391203457</v>
      </c>
      <c r="P25" s="1">
        <f t="shared" ca="1" si="0"/>
        <v>200.35450505077219</v>
      </c>
      <c r="R25" s="1">
        <f t="shared" ca="1" si="8"/>
        <v>7.576605450416821</v>
      </c>
      <c r="S25" s="1">
        <f t="shared" ca="1" si="1"/>
        <v>247.40348530122131</v>
      </c>
      <c r="U25" s="1">
        <f t="shared" ca="1" si="9"/>
        <v>9.3465569865496594</v>
      </c>
      <c r="V25" s="1">
        <f t="shared" ca="1" si="2"/>
        <v>233.83718965739931</v>
      </c>
      <c r="X25" s="1">
        <f t="shared" ca="1" si="10"/>
        <v>8.6743663108778559</v>
      </c>
      <c r="Y25" s="1">
        <f t="shared" ca="1" si="3"/>
        <v>218.50225764915515</v>
      </c>
      <c r="AA25" s="1">
        <f t="shared" ca="1" si="11"/>
        <v>9.5565267891695118</v>
      </c>
      <c r="AB25" s="1">
        <f t="shared" ca="1" si="4"/>
        <v>271.85575619436116</v>
      </c>
      <c r="AD25" s="1">
        <f t="shared" ca="1" si="12"/>
        <v>8.8931077841727699</v>
      </c>
      <c r="AE25" s="1">
        <f t="shared" ca="1" si="5"/>
        <v>222.9675836158282</v>
      </c>
      <c r="AG25" s="1">
        <f t="shared" ca="1" si="13"/>
        <v>8.9477166747590324</v>
      </c>
      <c r="AH25" s="1">
        <f t="shared" ca="1" si="6"/>
        <v>214.41564361087811</v>
      </c>
      <c r="AJ25" s="1" cm="1">
        <f t="array" ref="AJ25" xml:space="preserve"> 1 + ROW() - _xlfn.SINGLE(ROW(TestData.RowNum))</f>
        <v>16</v>
      </c>
    </row>
    <row r="26" spans="12:36" x14ac:dyDescent="0.2">
      <c r="M26" s="5" t="s">
        <v>472</v>
      </c>
      <c r="O26" s="1">
        <f t="shared" ca="1" si="7"/>
        <v>10.291837850552776</v>
      </c>
      <c r="P26" s="1">
        <f t="shared" ca="1" si="0"/>
        <v>202.82255588791782</v>
      </c>
      <c r="R26" s="1">
        <f t="shared" ca="1" si="8"/>
        <v>8.7157039722983018</v>
      </c>
      <c r="S26" s="1">
        <f t="shared" ca="1" si="1"/>
        <v>248.36171316320758</v>
      </c>
      <c r="U26" s="1">
        <f t="shared" ca="1" si="9"/>
        <v>10.329716406194438</v>
      </c>
      <c r="V26" s="1">
        <f t="shared" ca="1" si="2"/>
        <v>234.94889001461914</v>
      </c>
      <c r="X26" s="1">
        <f t="shared" ca="1" si="10"/>
        <v>10.188950323643008</v>
      </c>
      <c r="Y26" s="1">
        <f t="shared" ca="1" si="3"/>
        <v>218.9591323870045</v>
      </c>
      <c r="AA26" s="1">
        <f t="shared" ca="1" si="11"/>
        <v>10.634932080445957</v>
      </c>
      <c r="AB26" s="1">
        <f t="shared" ca="1" si="4"/>
        <v>273.63817763064355</v>
      </c>
      <c r="AD26" s="1">
        <f t="shared" ca="1" si="12"/>
        <v>9.2863797272715374</v>
      </c>
      <c r="AE26" s="1">
        <f t="shared" ca="1" si="5"/>
        <v>223.12941355007717</v>
      </c>
      <c r="AG26" s="1">
        <f t="shared" ca="1" si="13"/>
        <v>10.648413520210696</v>
      </c>
      <c r="AH26" s="1">
        <f t="shared" ca="1" si="6"/>
        <v>216.6480781963642</v>
      </c>
      <c r="AJ26" s="1" cm="1">
        <f t="array" ref="AJ26" xml:space="preserve"> 1 + ROW() - _xlfn.SINGLE(ROW(TestData.RowNum))</f>
        <v>17</v>
      </c>
    </row>
    <row r="27" spans="12:36" x14ac:dyDescent="0.2">
      <c r="O27" s="1">
        <f t="shared" ca="1" si="7"/>
        <v>10.737835176238006</v>
      </c>
      <c r="P27" s="1">
        <f t="shared" ca="1" si="0"/>
        <v>201.88568819373634</v>
      </c>
      <c r="R27" s="1">
        <f t="shared" ca="1" si="8"/>
        <v>9.9007289630011179</v>
      </c>
      <c r="S27" s="1">
        <f t="shared" ca="1" si="1"/>
        <v>251.0697466542552</v>
      </c>
      <c r="U27" s="1">
        <f t="shared" ca="1" si="9"/>
        <v>11.022976541065779</v>
      </c>
      <c r="V27" s="1">
        <f t="shared" ca="1" si="2"/>
        <v>235.04939612245911</v>
      </c>
      <c r="X27" s="1">
        <f t="shared" ca="1" si="10"/>
        <v>10.905597641842439</v>
      </c>
      <c r="Y27" s="1">
        <f t="shared" ca="1" si="3"/>
        <v>221.8267557033428</v>
      </c>
      <c r="AA27" s="1">
        <f t="shared" ca="1" si="11"/>
        <v>11.666463536036519</v>
      </c>
      <c r="AB27" s="1">
        <f t="shared" ca="1" si="4"/>
        <v>272.5244879423139</v>
      </c>
      <c r="AD27" s="1">
        <f t="shared" ca="1" si="12"/>
        <v>9.6667633895329992</v>
      </c>
      <c r="AE27" s="1">
        <f t="shared" ca="1" si="5"/>
        <v>224.10459262995164</v>
      </c>
      <c r="AG27" s="1">
        <f t="shared" ca="1" si="13"/>
        <v>12.132228714728365</v>
      </c>
      <c r="AH27" s="1">
        <f t="shared" ca="1" si="6"/>
        <v>217.50808998480557</v>
      </c>
      <c r="AJ27" s="1" cm="1">
        <f t="array" ref="AJ27" xml:space="preserve"> 1 + ROW() - _xlfn.SINGLE(ROW(TestData.RowNum))</f>
        <v>18</v>
      </c>
    </row>
    <row r="28" spans="12:36" x14ac:dyDescent="0.2">
      <c r="M28" s="5" t="s">
        <v>39</v>
      </c>
      <c r="O28" s="1">
        <f t="shared" ca="1" si="7"/>
        <v>11.077501643786862</v>
      </c>
      <c r="P28" s="1">
        <f t="shared" ca="1" si="0"/>
        <v>204.17905230055732</v>
      </c>
      <c r="R28" s="1">
        <f t="shared" ca="1" si="8"/>
        <v>11.129878399135178</v>
      </c>
      <c r="S28" s="1">
        <f t="shared" ca="1" si="1"/>
        <v>249.35477486524059</v>
      </c>
      <c r="U28" s="1">
        <f t="shared" ca="1" si="9"/>
        <v>11.331105036831294</v>
      </c>
      <c r="V28" s="1">
        <f t="shared" ca="1" si="2"/>
        <v>235.49938286717952</v>
      </c>
      <c r="X28" s="1">
        <f t="shared" ca="1" si="10"/>
        <v>11.581113412896162</v>
      </c>
      <c r="Y28" s="1">
        <f t="shared" ca="1" si="3"/>
        <v>219.37513960923997</v>
      </c>
      <c r="AA28" s="1">
        <f t="shared" ca="1" si="11"/>
        <v>12.23955500031566</v>
      </c>
      <c r="AB28" s="1">
        <f t="shared" ca="1" si="4"/>
        <v>269.82056250234496</v>
      </c>
      <c r="AD28" s="1">
        <f t="shared" ca="1" si="12"/>
        <v>11.260462707988445</v>
      </c>
      <c r="AE28" s="1">
        <f t="shared" ca="1" si="5"/>
        <v>226.92239296607713</v>
      </c>
      <c r="AG28" s="1">
        <f t="shared" ca="1" si="13"/>
        <v>12.914395147865644</v>
      </c>
      <c r="AH28" s="1">
        <f t="shared" ca="1" si="6"/>
        <v>215.82583978296242</v>
      </c>
      <c r="AJ28" s="1" cm="1">
        <f t="array" ref="AJ28" xml:space="preserve"> 1 + ROW() - _xlfn.SINGLE(ROW(TestData.RowNum))</f>
        <v>19</v>
      </c>
    </row>
    <row r="29" spans="12:36" x14ac:dyDescent="0.2">
      <c r="L29" s="3" t="s">
        <v>40</v>
      </c>
      <c r="M29" s="1">
        <f ca="1" xml:space="preserve">  MIN(
IF(COUNT(TestData.01X)&gt;0,  _xlfn.MINIFS(TestData.01X,   TestData.01X,"&lt;1E307"),  1E+307),
IF(COUNT(TestData.02X)&gt;0,  _xlfn.MINIFS(TestData.02X,   TestData.02X,"&lt;1E307"),  1E+307),
IF(COUNT(TestData.03X)&gt;0,  _xlfn.MINIFS(TestData.03X,   TestData.03X,"&lt;1E307"),  1E+307),
IF(COUNT(TestData.04X)&gt;0,  _xlfn.MINIFS(TestData.04X,   TestData.04X,"&lt;1E307"),  1E+307),
IF(COUNT(TestData.05X)&gt;0,  _xlfn.MINIFS(TestData.05X,   TestData.05X,"&lt;1E307"),  1E+307),
IF(COUNT(TestData.06X)&gt;0,  _xlfn.MINIFS(TestData.06X,   TestData.06X,"&lt;1E307"),  1E+307),
IF(COUNT(TestData.07X)&gt;0,  _xlfn.MINIFS(TestData.07X,   TestData.07X,"&lt;1E307"),  1E+307) )</f>
        <v>1</v>
      </c>
      <c r="N29" s="6"/>
      <c r="O29" s="1">
        <f t="shared" ca="1" si="7"/>
        <v>12.284003177393938</v>
      </c>
      <c r="P29" s="1">
        <f t="shared" ca="1" si="0"/>
        <v>202.86585598414405</v>
      </c>
      <c r="R29" s="1">
        <f t="shared" ca="1" si="8"/>
        <v>11.612573375294424</v>
      </c>
      <c r="S29" s="1">
        <f t="shared" ca="1" si="1"/>
        <v>249.00381839511422</v>
      </c>
      <c r="U29" s="1">
        <f t="shared" ca="1" si="9"/>
        <v>12.306054175082409</v>
      </c>
      <c r="V29" s="1">
        <f t="shared" ca="1" si="2"/>
        <v>236.03150115755352</v>
      </c>
      <c r="X29" s="1">
        <f t="shared" ca="1" si="10"/>
        <v>11.911866184988051</v>
      </c>
      <c r="Y29" s="1">
        <f t="shared" ca="1" si="3"/>
        <v>222.54505406852331</v>
      </c>
      <c r="AA29" s="1">
        <f t="shared" ca="1" si="11"/>
        <v>12.6257237749053</v>
      </c>
      <c r="AB29" s="1">
        <f t="shared" ca="1" si="4"/>
        <v>270.60524166991604</v>
      </c>
      <c r="AD29" s="1">
        <f t="shared" ca="1" si="12"/>
        <v>11.676050741039068</v>
      </c>
      <c r="AE29" s="1">
        <f t="shared" ca="1" si="5"/>
        <v>227.05917000997545</v>
      </c>
      <c r="AG29" s="1">
        <f t="shared" ca="1" si="13"/>
        <v>14.125657540993132</v>
      </c>
      <c r="AH29" s="1">
        <f t="shared" ca="1" si="6"/>
        <v>217.27437814301939</v>
      </c>
      <c r="AJ29" s="1" cm="1">
        <f t="array" ref="AJ29" xml:space="preserve"> 1 + ROW() - _xlfn.SINGLE(ROW(TestData.RowNum))</f>
        <v>20</v>
      </c>
    </row>
    <row r="30" spans="12:36" x14ac:dyDescent="0.2">
      <c r="L30" s="3" t="s">
        <v>41</v>
      </c>
      <c r="M30" s="1">
        <f ca="1" xml:space="preserve"> LARGE( (TestData.01X, TestData.02X, TestData.03X, TestData.04X, TestData.05X, TestData.06X, TestData.07X), 2)</f>
        <v>46.803314075981277</v>
      </c>
      <c r="O30" s="1">
        <f t="shared" ca="1" si="7"/>
        <v>12.506340822321947</v>
      </c>
      <c r="P30" s="1">
        <f t="shared" ca="1" si="0"/>
        <v>202.67868121695096</v>
      </c>
      <c r="R30" s="1">
        <f t="shared" ca="1" si="8"/>
        <v>12.157181434512674</v>
      </c>
      <c r="S30" s="1">
        <f t="shared" ca="1" si="1"/>
        <v>251.31786048014851</v>
      </c>
      <c r="U30" s="1">
        <f t="shared" ca="1" si="9"/>
        <v>12.596991587066837</v>
      </c>
      <c r="V30" s="1">
        <f t="shared" ca="1" si="2"/>
        <v>235.97510826953453</v>
      </c>
      <c r="X30" s="1">
        <f t="shared" ca="1" si="10"/>
        <v>12.79332794239431</v>
      </c>
      <c r="Y30" s="1">
        <f t="shared" ca="1" si="3"/>
        <v>220.54825317711627</v>
      </c>
      <c r="AA30" s="1">
        <f t="shared" ca="1" si="11"/>
        <v>14.766570008568372</v>
      </c>
      <c r="AB30" s="1">
        <f t="shared" ca="1" si="4"/>
        <v>269.33727415927706</v>
      </c>
      <c r="AD30" s="1">
        <f t="shared" ca="1" si="12"/>
        <v>12.211594854627311</v>
      </c>
      <c r="AE30" s="1">
        <f t="shared" ca="1" si="5"/>
        <v>224.42250422710816</v>
      </c>
      <c r="AG30" s="1">
        <f t="shared" ca="1" si="13"/>
        <v>15.320363146735259</v>
      </c>
      <c r="AH30" s="1">
        <f t="shared" ca="1" si="6"/>
        <v>217.96697496623722</v>
      </c>
      <c r="AJ30" s="1" cm="1">
        <f t="array" ref="AJ30" xml:space="preserve"> 1 + ROW() - _xlfn.SINGLE(ROW(TestData.RowNum))</f>
        <v>21</v>
      </c>
    </row>
    <row r="31" spans="12:36" x14ac:dyDescent="0.2">
      <c r="L31" s="3" t="s">
        <v>42</v>
      </c>
      <c r="M31" s="1">
        <f ca="1" xml:space="preserve"> IF(TestData.RawMaxX &gt; 40, 10, 5)</f>
        <v>10</v>
      </c>
      <c r="O31" s="1">
        <f t="shared" ca="1" si="7"/>
        <v>13.564312166554096</v>
      </c>
      <c r="P31" s="1">
        <f t="shared" ca="1" si="0"/>
        <v>204.57837005206068</v>
      </c>
      <c r="R31" s="1">
        <f t="shared" ca="1" si="8"/>
        <v>12.995450040131924</v>
      </c>
      <c r="S31" s="1">
        <f t="shared" ca="1" si="1"/>
        <v>250.7603771742414</v>
      </c>
      <c r="U31" s="1">
        <f t="shared" ca="1" si="9"/>
        <v>13.456472777705969</v>
      </c>
      <c r="V31" s="1">
        <f t="shared" ca="1" si="2"/>
        <v>233.9232218854695</v>
      </c>
      <c r="X31" s="1">
        <f t="shared" ca="1" si="10"/>
        <v>14.918010259677425</v>
      </c>
      <c r="Y31" s="1">
        <f t="shared" ca="1" si="3"/>
        <v>221.73458013827457</v>
      </c>
      <c r="AA31" s="1">
        <f t="shared" ca="1" si="11"/>
        <v>15.355241979122615</v>
      </c>
      <c r="AB31" s="1">
        <f t="shared" ca="1" si="4"/>
        <v>270.46600615910148</v>
      </c>
      <c r="AD31" s="1">
        <f t="shared" ca="1" si="12"/>
        <v>12.700730985757993</v>
      </c>
      <c r="AE31" s="1">
        <f t="shared" ca="1" si="5"/>
        <v>227.53753165736887</v>
      </c>
      <c r="AG31" s="1">
        <f t="shared" ca="1" si="13"/>
        <v>17.011798264762366</v>
      </c>
      <c r="AH31" s="1">
        <f t="shared" ca="1" si="6"/>
        <v>214.8463826118458</v>
      </c>
      <c r="AJ31" s="1" cm="1">
        <f t="array" ref="AJ31" xml:space="preserve"> 1 + ROW() - _xlfn.SINGLE(ROW(TestData.RowNum))</f>
        <v>22</v>
      </c>
    </row>
    <row r="32" spans="12:36" x14ac:dyDescent="0.2">
      <c r="L32" s="3" t="s">
        <v>43</v>
      </c>
      <c r="M32" s="1">
        <f ca="1" xml:space="preserve"> INDEX(AxisScaling.Minor, MATCH(TestData.MajorX, AxisScaling.Major, 1))</f>
        <v>2</v>
      </c>
      <c r="O32" s="1">
        <f t="shared" ca="1" si="7"/>
        <v>14.311944549162369</v>
      </c>
      <c r="P32" s="1">
        <f t="shared" ca="1" si="0"/>
        <v>206.61279122242547</v>
      </c>
      <c r="R32" s="1">
        <f t="shared" ca="1" si="8"/>
        <v>13.930886998505789</v>
      </c>
      <c r="S32" s="1">
        <f t="shared" ca="1" si="1"/>
        <v>249.21726981075079</v>
      </c>
      <c r="U32" s="1">
        <f t="shared" ca="1" si="9"/>
        <v>15.948644628633296</v>
      </c>
      <c r="V32" s="1">
        <f t="shared" ca="1" si="2"/>
        <v>234.04223464772863</v>
      </c>
      <c r="X32" s="1">
        <f t="shared" ca="1" si="10"/>
        <v>17.330943890361777</v>
      </c>
      <c r="Y32" s="1">
        <f t="shared" ca="1" si="3"/>
        <v>222.0101994185658</v>
      </c>
      <c r="AA32" s="1">
        <f t="shared" ca="1" si="11"/>
        <v>18.098605483543952</v>
      </c>
      <c r="AB32" s="1">
        <f t="shared" ca="1" si="4"/>
        <v>265.73129736213428</v>
      </c>
      <c r="AD32" s="1">
        <f t="shared" ca="1" si="12"/>
        <v>14.806241124684114</v>
      </c>
      <c r="AE32" s="1">
        <f t="shared" ca="1" si="5"/>
        <v>224.21883571871047</v>
      </c>
      <c r="AG32" s="1">
        <f t="shared" ca="1" si="13"/>
        <v>17.467388643864446</v>
      </c>
      <c r="AH32" s="1">
        <f t="shared" ca="1" si="6"/>
        <v>216.44129590784141</v>
      </c>
      <c r="AJ32" s="1" cm="1">
        <f t="array" ref="AJ32" xml:space="preserve"> 1 + ROW() - _xlfn.SINGLE(ROW(TestData.RowNum))</f>
        <v>23</v>
      </c>
    </row>
    <row r="33" spans="12:36" x14ac:dyDescent="0.2">
      <c r="L33" s="3" t="s">
        <v>44</v>
      </c>
      <c r="M33" s="1">
        <f ca="1" xml:space="preserve"> FLOOR(TestData.RawMinX, TestData.MajorX)</f>
        <v>0</v>
      </c>
      <c r="O33" s="1">
        <f t="shared" ca="1" si="7"/>
        <v>14.657223040639606</v>
      </c>
      <c r="P33" s="1">
        <f t="shared" ca="1" si="0"/>
        <v>205.96434938519562</v>
      </c>
      <c r="R33" s="1">
        <f t="shared" ca="1" si="8"/>
        <v>15.841125742564989</v>
      </c>
      <c r="S33" s="1">
        <f t="shared" ca="1" si="1"/>
        <v>247.12073709191472</v>
      </c>
      <c r="U33" s="1">
        <f t="shared" ca="1" si="9"/>
        <v>18.64020396602653</v>
      </c>
      <c r="V33" s="1">
        <f t="shared" ca="1" si="2"/>
        <v>233.04711957265076</v>
      </c>
      <c r="X33" s="1">
        <f t="shared" ca="1" si="10"/>
        <v>20.209632565621757</v>
      </c>
      <c r="Y33" s="1">
        <f t="shared" ca="1" si="3"/>
        <v>217.1054485782935</v>
      </c>
      <c r="AA33" s="1">
        <f t="shared" ca="1" si="11"/>
        <v>18.779750563621295</v>
      </c>
      <c r="AB33" s="1">
        <f t="shared" ca="1" si="4"/>
        <v>266.04008799654343</v>
      </c>
      <c r="AD33" s="1">
        <f t="shared" ca="1" si="12"/>
        <v>16.025835080195076</v>
      </c>
      <c r="AE33" s="1">
        <f t="shared" ca="1" si="5"/>
        <v>223.00809490302973</v>
      </c>
      <c r="AG33" s="1">
        <f t="shared" ca="1" si="13"/>
        <v>19.97517610110944</v>
      </c>
      <c r="AH33" s="1">
        <f t="shared" ca="1" si="6"/>
        <v>212.60803426341269</v>
      </c>
      <c r="AJ33" s="1" cm="1">
        <f t="array" ref="AJ33" xml:space="preserve"> 1 + ROW() - _xlfn.SINGLE(ROW(TestData.RowNum))</f>
        <v>24</v>
      </c>
    </row>
    <row r="34" spans="12:36" x14ac:dyDescent="0.2">
      <c r="L34" s="3" t="s">
        <v>45</v>
      </c>
      <c r="M34" s="1">
        <f ca="1" xml:space="preserve"> MIN(CEILING(TestData.RawMaxX, TestData.MinorX), 50)</f>
        <v>48</v>
      </c>
      <c r="O34" s="1">
        <f t="shared" ca="1" si="7"/>
        <v>15.637150277183295</v>
      </c>
      <c r="P34" s="1">
        <f t="shared" ca="1" si="0"/>
        <v>205.94605527996245</v>
      </c>
      <c r="R34" s="1">
        <f t="shared" ca="1" si="8"/>
        <v>17.806721670738423</v>
      </c>
      <c r="S34" s="1">
        <f t="shared" ca="1" si="1"/>
        <v>245.94993602461511</v>
      </c>
      <c r="U34" s="1">
        <f t="shared" ca="1" si="9"/>
        <v>20.109482360596239</v>
      </c>
      <c r="V34" s="1">
        <f t="shared" ca="1" si="2"/>
        <v>228.96800114908717</v>
      </c>
      <c r="X34" s="1">
        <f t="shared" ca="1" si="10"/>
        <v>23.47552686404206</v>
      </c>
      <c r="Y34" s="1">
        <f t="shared" ca="1" si="3"/>
        <v>217.36129224549219</v>
      </c>
      <c r="AA34" s="1">
        <f t="shared" ca="1" si="11"/>
        <v>19.316609791754832</v>
      </c>
      <c r="AB34" s="1">
        <f t="shared" ca="1" si="4"/>
        <v>264.65019735406804</v>
      </c>
      <c r="AD34" s="1">
        <f t="shared" ca="1" si="12"/>
        <v>18.344571259966269</v>
      </c>
      <c r="AE34" s="1">
        <f t="shared" ca="1" si="5"/>
        <v>221.18103494783654</v>
      </c>
      <c r="AG34" s="1">
        <f t="shared" ca="1" si="13"/>
        <v>20.197475475776063</v>
      </c>
      <c r="AH34" s="1">
        <f t="shared" ca="1" si="6"/>
        <v>214.04515958549524</v>
      </c>
      <c r="AJ34" s="1" cm="1">
        <f t="array" ref="AJ34" xml:space="preserve"> 1 + ROW() - _xlfn.SINGLE(ROW(TestData.RowNum))</f>
        <v>25</v>
      </c>
    </row>
    <row r="35" spans="12:36" x14ac:dyDescent="0.2">
      <c r="M35" s="1" cm="1">
        <f t="array" aca="1" ref="M35" ca="1" xml:space="preserve"> axis_scale("Test", "Chart_Test", TRUE, TRUE, TestData.MinX, TestData.MaxX, TestData.MajorX, TestData.MinorX)</f>
        <v>45325.722743055558</v>
      </c>
      <c r="N35" s="6" t="str">
        <f xml:space="preserve"> _xlfn.UNICHAR(10232) &amp; " "</f>
        <v xml:space="preserve">⟸ </v>
      </c>
      <c r="O35" s="1">
        <f t="shared" ref="O35:O40" ca="1" si="14" xml:space="preserve"> TestData.SpeedX  +  (1 + RAND()*TestData.SpeedX) * O34</f>
        <v>17.450043385720427</v>
      </c>
      <c r="P35" s="1">
        <f t="shared" ref="P35:P40" ca="1" si="15" xml:space="preserve"> P$2 + P$3*EXP(- O35 / TestData.Z_1) + P$4*EXP(- O35 / TestData.Z_2)  + TestData.VerticalRandomisation*(2*RAND() - 1)</f>
        <v>206.40199652071246</v>
      </c>
      <c r="R35" s="1">
        <f t="shared" ref="R35:R40" ca="1" si="16" xml:space="preserve"> TestData.SpeedX  +  (1 + RAND()*TestData.SpeedX) * R34</f>
        <v>18.887239364992105</v>
      </c>
      <c r="S35" s="1">
        <f t="shared" ref="S35:S40" ca="1" si="17" xml:space="preserve"> S$2 + S$3*EXP(- R35 / TestData.Z_1) + S$4*EXP(- R35 / TestData.Z_2)  + TestData.VerticalRandomisation*(2*RAND() - 1)</f>
        <v>248.08287010209585</v>
      </c>
      <c r="U35" s="1">
        <f t="shared" ref="U35:U40" ca="1" si="18" xml:space="preserve"> TestData.SpeedX  +  (1 + RAND()*TestData.SpeedX) * U34</f>
        <v>23.352355731045375</v>
      </c>
      <c r="V35" s="1">
        <f t="shared" ref="V35:V40" ca="1" si="19" xml:space="preserve"> V$2 + V$3*EXP(- U35 / TestData.Z_1) + V$4*EXP(- U35 / TestData.Z_2)  + TestData.VerticalRandomisation*(2*RAND() - 1)</f>
        <v>227.46727655413576</v>
      </c>
      <c r="X35" s="1">
        <f t="shared" ref="X35:X40" ca="1" si="20" xml:space="preserve"> TestData.SpeedX  +  (1 + RAND()*TestData.SpeedX) * X34</f>
        <v>26.146575982887686</v>
      </c>
      <c r="Y35" s="1">
        <f t="shared" ref="Y35:Y40" ca="1" si="21" xml:space="preserve"> Y$2 + Y$3*EXP(- X35 / TestData.Z_1) + Y$4*EXP(- X35 / TestData.Z_2)  + TestData.VerticalRandomisation*(2*RAND() - 1)</f>
        <v>214.96584469501735</v>
      </c>
      <c r="AA35" s="1">
        <f t="shared" ref="AA35:AA40" ca="1" si="22" xml:space="preserve"> TestData.SpeedX  +  (1 + RAND()*TestData.SpeedX) * AA34</f>
        <v>19.662076111000257</v>
      </c>
      <c r="AB35" s="1">
        <f t="shared" ref="AB35:AB40" ca="1" si="23" xml:space="preserve"> AB$2 + AB$3*EXP(- AA35 / TestData.Z_1) + AB$4*EXP(- AA35 / TestData.Z_2)  + TestData.VerticalRandomisation*(2*RAND() - 1)</f>
        <v>263.61312806060016</v>
      </c>
      <c r="AD35" s="1">
        <f t="shared" ref="AD35:AD40" ca="1" si="24" xml:space="preserve"> TestData.SpeedX  +  (1 + RAND()*TestData.SpeedX) * AD34</f>
        <v>20.648687197570567</v>
      </c>
      <c r="AE35" s="1">
        <f t="shared" ref="AE35:AE40" ca="1" si="25" xml:space="preserve"> AE$2 + AE$3*EXP(- AD35 / TestData.Z_1) + AE$4*EXP(- AD35 / TestData.Z_2)  + TestData.VerticalRandomisation*(2*RAND() - 1)</f>
        <v>221.21875787612791</v>
      </c>
      <c r="AG35" s="1">
        <f t="shared" ref="AG35:AG40" ca="1" si="26" xml:space="preserve"> TestData.SpeedX  +  (1 + RAND()*TestData.SpeedX) * AG34</f>
        <v>21.190611441941957</v>
      </c>
      <c r="AH35" s="1">
        <f t="shared" ca="1" si="6"/>
        <v>214.14753111239912</v>
      </c>
      <c r="AJ35" s="1" cm="1">
        <f t="array" ref="AJ35" xml:space="preserve"> 1 + ROW() - _xlfn.SINGLE(ROW(TestData.RowNum))</f>
        <v>26</v>
      </c>
    </row>
    <row r="36" spans="12:36" x14ac:dyDescent="0.2">
      <c r="O36" s="1">
        <f t="shared" ca="1" si="14"/>
        <v>19.633672038370378</v>
      </c>
      <c r="P36" s="1">
        <f t="shared" ca="1" si="15"/>
        <v>204.30116729645974</v>
      </c>
      <c r="R36" s="1">
        <f t="shared" ca="1" si="16"/>
        <v>20.574529191382837</v>
      </c>
      <c r="S36" s="1">
        <f t="shared" ca="1" si="17"/>
        <v>244.77470595898308</v>
      </c>
      <c r="U36" s="1">
        <f t="shared" ca="1" si="18"/>
        <v>23.648939353031768</v>
      </c>
      <c r="V36" s="1">
        <f t="shared" ca="1" si="19"/>
        <v>227.04711980488463</v>
      </c>
      <c r="X36" s="1">
        <f t="shared" ca="1" si="20"/>
        <v>28.806302153436629</v>
      </c>
      <c r="Y36" s="1">
        <f t="shared" ca="1" si="21"/>
        <v>210.00297714842114</v>
      </c>
      <c r="AA36" s="1">
        <f t="shared" ca="1" si="22"/>
        <v>21.392583340136902</v>
      </c>
      <c r="AB36" s="1">
        <f t="shared" ca="1" si="23"/>
        <v>262.36368283587012</v>
      </c>
      <c r="AD36" s="1">
        <f t="shared" ca="1" si="24"/>
        <v>22.279665946390814</v>
      </c>
      <c r="AE36" s="1">
        <f t="shared" ca="1" si="25"/>
        <v>219.30877235756606</v>
      </c>
      <c r="AG36" s="1">
        <f t="shared" ca="1" si="26"/>
        <v>21.576581915218775</v>
      </c>
      <c r="AH36" s="1">
        <f t="shared" ca="1" si="6"/>
        <v>213.25604506552432</v>
      </c>
      <c r="AJ36" s="1" cm="1">
        <f t="array" ref="AJ36" xml:space="preserve"> 1 + ROW() - _xlfn.SINGLE(ROW(TestData.RowNum))</f>
        <v>27</v>
      </c>
    </row>
    <row r="37" spans="12:36" x14ac:dyDescent="0.2">
      <c r="M37" s="5" t="s">
        <v>46</v>
      </c>
      <c r="O37" s="1">
        <f t="shared" ca="1" si="14"/>
        <v>22.924054344690223</v>
      </c>
      <c r="P37" s="1">
        <f t="shared" ca="1" si="15"/>
        <v>200.89347620501272</v>
      </c>
      <c r="R37" s="1">
        <f t="shared" ca="1" si="16"/>
        <v>24.052356735899526</v>
      </c>
      <c r="S37" s="1">
        <f t="shared" ca="1" si="17"/>
        <v>239.4847123584122</v>
      </c>
      <c r="U37" s="1">
        <f t="shared" ca="1" si="18"/>
        <v>27.526462904347564</v>
      </c>
      <c r="V37" s="1">
        <f t="shared" ca="1" si="19"/>
        <v>222.36824293395358</v>
      </c>
      <c r="X37" s="1">
        <f t="shared" ca="1" si="20"/>
        <v>32.790089483552286</v>
      </c>
      <c r="Y37" s="1">
        <f t="shared" ca="1" si="21"/>
        <v>209.95028238107795</v>
      </c>
      <c r="AA37" s="1">
        <f t="shared" ca="1" si="22"/>
        <v>23.48382435838861</v>
      </c>
      <c r="AB37" s="1">
        <f t="shared" ca="1" si="23"/>
        <v>259.301464292768</v>
      </c>
      <c r="AD37" s="1">
        <f t="shared" ca="1" si="24"/>
        <v>25.394986646267959</v>
      </c>
      <c r="AE37" s="1">
        <f t="shared" ca="1" si="25"/>
        <v>217.47684531689109</v>
      </c>
      <c r="AG37" s="1">
        <f t="shared" ca="1" si="26"/>
        <v>22.389614949449903</v>
      </c>
      <c r="AH37" s="1">
        <f t="shared" ca="1" si="6"/>
        <v>212.15957621140748</v>
      </c>
      <c r="AJ37" s="1" cm="1">
        <f t="array" ref="AJ37" xml:space="preserve"> 1 + ROW() - _xlfn.SINGLE(ROW(TestData.RowNum))</f>
        <v>28</v>
      </c>
    </row>
    <row r="38" spans="12:36" x14ac:dyDescent="0.2">
      <c r="L38" s="3" t="s">
        <v>47</v>
      </c>
      <c r="M38" s="1">
        <f ca="1" xml:space="preserve">  MIN(
IF(COUNT(TestData.01Y)&gt;0,  _xlfn.MINIFS(TestData.01Y,   TestData.01Y,"&lt;1E307"),  1E+307),
IF(COUNT(TestData.02Y)&gt;0,  _xlfn.MINIFS(TestData.02Y,   TestData.02Y,"&lt;1E307"),  1E+307),
IF(COUNT(TestData.03Y)&gt;0,  _xlfn.MINIFS(TestData.03Y,   TestData.03Y,"&lt;1E307"),  1E+307),
IF(COUNT(TestData.04Y)&gt;0,  _xlfn.MINIFS(TestData.04Y,   TestData.04Y,"&lt;1E307"),  1E+307),
IF(COUNT(TestData.05Y)&gt;0,  _xlfn.MINIFS(TestData.05Y,   TestData.05Y,"&lt;1E307"),  1E+307),
IF(COUNT(TestData.06Y)&gt;0,  _xlfn.MINIFS(TestData.06Y,   TestData.06Y,"&lt;1E307"),  1E+307),
IF(COUNT(TestData.07Y)&gt;0,  _xlfn.MINIFS(TestData.07Y,   TestData.07Y,"&lt;1E307"),  1E+307) )</f>
        <v>159.17911379487072</v>
      </c>
      <c r="O38" s="1">
        <f t="shared" ca="1" si="14"/>
        <v>26.612169346460135</v>
      </c>
      <c r="P38" s="1">
        <f t="shared" ca="1" si="15"/>
        <v>199.90171349844604</v>
      </c>
      <c r="R38" s="1">
        <f t="shared" ca="1" si="16"/>
        <v>25.171473804360975</v>
      </c>
      <c r="S38" s="1">
        <f t="shared" ca="1" si="17"/>
        <v>239.25871151642269</v>
      </c>
      <c r="U38" s="1">
        <f t="shared" ca="1" si="18"/>
        <v>32.428601525482684</v>
      </c>
      <c r="V38" s="1">
        <f t="shared" ca="1" si="19"/>
        <v>219.45157269022187</v>
      </c>
      <c r="X38" s="1">
        <f t="shared" ca="1" si="20"/>
        <v>36.807975046322412</v>
      </c>
      <c r="Y38" s="1">
        <f t="shared" ca="1" si="21"/>
        <v>207.56797582877968</v>
      </c>
      <c r="AA38" s="1">
        <f t="shared" ca="1" si="22"/>
        <v>26.28779417044414</v>
      </c>
      <c r="AB38" s="1">
        <f t="shared" ca="1" si="23"/>
        <v>256.89919773565731</v>
      </c>
      <c r="AD38" s="1">
        <f t="shared" ca="1" si="24"/>
        <v>29.52531783879024</v>
      </c>
      <c r="AE38" s="1">
        <f t="shared" ca="1" si="25"/>
        <v>212.86165909007181</v>
      </c>
      <c r="AG38" s="1">
        <f t="shared" ca="1" si="26"/>
        <v>24.29214338930981</v>
      </c>
      <c r="AH38" s="1">
        <f t="shared" ca="1" si="6"/>
        <v>208.15548882009779</v>
      </c>
      <c r="AJ38" s="1" cm="1">
        <f t="array" ref="AJ38" xml:space="preserve"> 1 + ROW() - _xlfn.SINGLE(ROW(TestData.RowNum))</f>
        <v>29</v>
      </c>
    </row>
    <row r="39" spans="12:36" x14ac:dyDescent="0.2">
      <c r="L39" s="3" t="s">
        <v>48</v>
      </c>
      <c r="M39" s="1">
        <f ca="1" xml:space="preserve"> MAX(
IF(COUNT(TestData.01Y)&gt;0, _xlfn.MAXIFS(TestData.01Y,   TestData.01Y,"&lt;1E307"),  -1E+307),
IF(COUNT(TestData.02Y)&gt;0, _xlfn.MAXIFS(TestData.02Y,   TestData.02Y,"&lt;1E307"),  -1E+307),
IF(COUNT(TestData.03Y)&gt;0, _xlfn.MAXIFS(TestData.03Y,   TestData.03Y,"&lt;1E307"),  -1E+307),
IF(COUNT(TestData.04Y)&gt;0, _xlfn.MAXIFS(TestData.04Y,   TestData.04Y,"&lt;1E307"),  -1E+307),
IF(COUNT(TestData.05Y)&gt;0, _xlfn.MAXIFS(TestData.05Y,   TestData.05Y,"&lt;1E307"),  -1E+307),
IF(COUNT(TestData.06Y)&gt;0, _xlfn.MAXIFS(TestData.06Y,   TestData.06Y,"&lt;1E307"),  -1E+307),
IF(COUNT(TestData.07Y)&gt;0, _xlfn.MAXIFS(TestData.07Y,   TestData.07Y,"&lt;1E307"),  -1E+307) )</f>
        <v>273.63817763064355</v>
      </c>
      <c r="N39" s="6"/>
      <c r="O39" s="1">
        <f t="shared" ca="1" si="14"/>
        <v>30.633353886442066</v>
      </c>
      <c r="P39" s="1">
        <f t="shared" ca="1" si="15"/>
        <v>197.51322169250494</v>
      </c>
      <c r="R39" s="1">
        <f t="shared" ca="1" si="16"/>
        <v>29.690147605637527</v>
      </c>
      <c r="S39" s="1">
        <f t="shared" ca="1" si="17"/>
        <v>233.55524656229218</v>
      </c>
      <c r="U39" s="1">
        <f t="shared" ca="1" si="18"/>
        <v>33.400219859721716</v>
      </c>
      <c r="V39" s="1">
        <f t="shared" ca="1" si="19"/>
        <v>216.43438195414814</v>
      </c>
      <c r="X39" s="1">
        <f t="shared" ca="1" si="20"/>
        <v>42.162016959279725</v>
      </c>
      <c r="Y39" s="1">
        <f t="shared" ca="1" si="21"/>
        <v>201.53557657176484</v>
      </c>
      <c r="AA39" s="1">
        <f t="shared" ca="1" si="22"/>
        <v>27.974048396150984</v>
      </c>
      <c r="AB39" s="1">
        <f t="shared" ca="1" si="23"/>
        <v>253.11582286162724</v>
      </c>
      <c r="AD39" s="1">
        <f t="shared" ca="1" si="24"/>
        <v>31.609313925644226</v>
      </c>
      <c r="AE39" s="1">
        <f t="shared" ca="1" si="25"/>
        <v>210.63406714163906</v>
      </c>
      <c r="AG39" s="1">
        <f t="shared" ca="1" si="26"/>
        <v>27.36310853164991</v>
      </c>
      <c r="AH39" s="1">
        <f t="shared" ca="1" si="6"/>
        <v>206.27143389629265</v>
      </c>
      <c r="AJ39" s="1" cm="1">
        <f t="array" ref="AJ39" xml:space="preserve"> 1 + ROW() - _xlfn.SINGLE(ROW(TestData.RowNum))</f>
        <v>30</v>
      </c>
    </row>
    <row r="40" spans="12:36" x14ac:dyDescent="0.2">
      <c r="L40" s="3" t="s">
        <v>49</v>
      </c>
      <c r="M40" s="1">
        <f ca="1" xml:space="preserve"> MATCH(0.3*(TestData.RawMaxY - TestData.RawMinY), AxisScaling.Major, 1)</f>
        <v>23</v>
      </c>
      <c r="O40" s="1">
        <f t="shared" ca="1" si="14"/>
        <v>32.834961415782949</v>
      </c>
      <c r="P40" s="1">
        <f t="shared" ca="1" si="15"/>
        <v>196.9382117021579</v>
      </c>
      <c r="R40" s="1">
        <f t="shared" ca="1" si="16"/>
        <v>31.013920983497538</v>
      </c>
      <c r="S40" s="1">
        <f t="shared" ca="1" si="17"/>
        <v>234.19819027412618</v>
      </c>
      <c r="U40" s="1">
        <f t="shared" ca="1" si="18"/>
        <v>38.505942944281024</v>
      </c>
      <c r="V40" s="1">
        <f t="shared" ca="1" si="19"/>
        <v>214.60927663782937</v>
      </c>
      <c r="X40" s="1">
        <f t="shared" ca="1" si="20"/>
        <v>46.803314075981277</v>
      </c>
      <c r="Y40" s="1">
        <f t="shared" ca="1" si="21"/>
        <v>201.92079253401093</v>
      </c>
      <c r="AA40" s="1">
        <f t="shared" ca="1" si="22"/>
        <v>28.862913792761329</v>
      </c>
      <c r="AB40" s="1">
        <f t="shared" ca="1" si="23"/>
        <v>253.96992159846235</v>
      </c>
      <c r="AD40" s="1">
        <f t="shared" ca="1" si="24"/>
        <v>34.720614868506196</v>
      </c>
      <c r="AE40" s="1">
        <f t="shared" ca="1" si="25"/>
        <v>206.72535896484823</v>
      </c>
      <c r="AG40" s="1">
        <f t="shared" ca="1" si="26"/>
        <v>27.890853088476675</v>
      </c>
      <c r="AH40" s="1">
        <f t="shared" ca="1" si="6"/>
        <v>206.95418340546308</v>
      </c>
      <c r="AJ40" s="1" cm="1">
        <f t="array" ref="AJ40" xml:space="preserve"> 1 + ROW() - _xlfn.SINGLE(ROW(TestData.RowNum))</f>
        <v>31</v>
      </c>
    </row>
    <row r="41" spans="12:36" x14ac:dyDescent="0.2">
      <c r="L41" s="3" t="s">
        <v>50</v>
      </c>
      <c r="M41" s="1" cm="1">
        <f t="array" aca="1" ref="M41" ca="1" xml:space="preserve"> INDEX(AxisScaling.Major, TestData.AxisScalingY)</f>
        <v>25</v>
      </c>
      <c r="O41" s="1">
        <f t="shared" ref="O41" ca="1" si="27" xml:space="preserve"> TestData.SpeedX  +  (1 + RAND()*TestData.SpeedX) * O40</f>
        <v>35.169783543732301</v>
      </c>
      <c r="P41" s="1">
        <f t="shared" ref="P41" ca="1" si="28" xml:space="preserve"> P$2 + P$3*EXP(- O41 / TestData.Z_1) + P$4*EXP(- O41 / TestData.Z_2)  + TestData.VerticalRandomisation*(2*RAND() - 1)</f>
        <v>197.43003052305943</v>
      </c>
      <c r="R41" s="1">
        <f t="shared" ref="R41" ca="1" si="29" xml:space="preserve"> TestData.SpeedX  +  (1 + RAND()*TestData.SpeedX) * R40</f>
        <v>32.409480180734526</v>
      </c>
      <c r="S41" s="1">
        <f t="shared" ref="S41" ca="1" si="30" xml:space="preserve"> S$2 + S$3*EXP(- R41 / TestData.Z_1) + S$4*EXP(- R41 / TestData.Z_2)  + TestData.VerticalRandomisation*(2*RAND() - 1)</f>
        <v>232.35548649205245</v>
      </c>
      <c r="U41" s="1">
        <f t="shared" ref="U41" ca="1" si="31" xml:space="preserve"> TestData.SpeedX  +  (1 + RAND()*TestData.SpeedX) * U40</f>
        <v>39.251324116083509</v>
      </c>
      <c r="V41" s="1">
        <f t="shared" ref="V41" ca="1" si="32" xml:space="preserve"> V$2 + V$3*EXP(- U41 / TestData.Z_1) + V$4*EXP(- U41 / TestData.Z_2)  + TestData.VerticalRandomisation*(2*RAND() - 1)</f>
        <v>214.69733099448169</v>
      </c>
      <c r="X41" s="1">
        <f t="shared" ref="X41" ca="1" si="33" xml:space="preserve"> TestData.SpeedX  +  (1 + RAND()*TestData.SpeedX) * X40</f>
        <v>52.422008532181856</v>
      </c>
      <c r="Y41" s="1">
        <f t="shared" ref="Y41" ca="1" si="34" xml:space="preserve"> Y$2 + Y$3*EXP(- X41 / TestData.Z_1) + Y$4*EXP(- X41 / TestData.Z_2)  + TestData.VerticalRandomisation*(2*RAND() - 1)</f>
        <v>200.02737105249506</v>
      </c>
      <c r="AA41" s="1">
        <f t="shared" ref="AA41" ca="1" si="35" xml:space="preserve"> TestData.SpeedX  +  (1 + RAND()*TestData.SpeedX) * AA40</f>
        <v>34.05951642602227</v>
      </c>
      <c r="AB41" s="1">
        <f t="shared" ref="AB41" ca="1" si="36" xml:space="preserve"> AB$2 + AB$3*EXP(- AA41 / TestData.Z_1) + AB$4*EXP(- AA41 / TestData.Z_2)  + TestData.VerticalRandomisation*(2*RAND() - 1)</f>
        <v>247.36552278963231</v>
      </c>
      <c r="AD41" s="1">
        <f t="shared" ref="AD41" ca="1" si="37" xml:space="preserve"> TestData.SpeedX  +  (1 + RAND()*TestData.SpeedX) * AD40</f>
        <v>36.917088196145542</v>
      </c>
      <c r="AE41" s="1">
        <f t="shared" ref="AE41" ca="1" si="38" xml:space="preserve"> AE$2 + AE$3*EXP(- AD41 / TestData.Z_1) + AE$4*EXP(- AD41 / TestData.Z_2)  + TestData.VerticalRandomisation*(2*RAND() - 1)</f>
        <v>204.41602523419218</v>
      </c>
      <c r="AG41" s="1">
        <f t="shared" ref="AG41" ca="1" si="39" xml:space="preserve"> TestData.SpeedX  +  (1 + RAND()*TestData.SpeedX) * AG40</f>
        <v>32.873270030690293</v>
      </c>
      <c r="AH41" s="1">
        <f t="shared" ca="1" si="6"/>
        <v>204.73242883763416</v>
      </c>
      <c r="AJ41" s="1" cm="1">
        <f t="array" ref="AJ41" xml:space="preserve"> 1 + ROW() - _xlfn.SINGLE(ROW(TestData.RowNum))</f>
        <v>32</v>
      </c>
    </row>
    <row r="42" spans="12:36" x14ac:dyDescent="0.2">
      <c r="L42" s="3" t="s">
        <v>51</v>
      </c>
      <c r="M42" s="1" cm="1">
        <f t="array" aca="1" ref="M42" ca="1" xml:space="preserve"> INDEX(AxisScaling.Minor, TestData.AxisScalingY)</f>
        <v>5</v>
      </c>
      <c r="N42" s="6"/>
    </row>
    <row r="43" spans="12:36" x14ac:dyDescent="0.2">
      <c r="L43" s="3" t="s">
        <v>52</v>
      </c>
      <c r="M43" s="1">
        <f ca="1" xml:space="preserve"> FLOOR(TestData.RawMinY, TestData.MajorY)</f>
        <v>150</v>
      </c>
    </row>
    <row r="44" spans="12:36" x14ac:dyDescent="0.2">
      <c r="L44" s="3" t="s">
        <v>53</v>
      </c>
      <c r="M44" s="1">
        <f ca="1" xml:space="preserve"> CEILING(TestData.RawMaxY, TestData.MinorY)</f>
        <v>275</v>
      </c>
    </row>
    <row r="45" spans="12:36" x14ac:dyDescent="0.2">
      <c r="M45" s="1" cm="1">
        <f t="array" aca="1" ref="M45" ca="1" xml:space="preserve"> axis_scale("Test", "Chart_Test", FALSE, TRUE, TestData.MinY, TestData.MaxY, TestData.MajorY, TestData.MinorY)</f>
        <v>45325.722743055558</v>
      </c>
      <c r="N45" s="6" t="str">
        <f xml:space="preserve"> _xlfn.UNICHAR(10232) &amp; " "</f>
        <v xml:space="preserve">⟸ </v>
      </c>
    </row>
    <row r="51" spans="13:13" x14ac:dyDescent="0.2">
      <c r="M51" s="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2BF9E-37D8-5E43-912C-92EDCACBB923}">
  <sheetPr codeName="Sheet2"/>
  <dimension ref="A2:AD402"/>
  <sheetViews>
    <sheetView tabSelected="1" workbookViewId="0">
      <pane ySplit="5" topLeftCell="A6" activePane="bottomLeft" state="frozenSplit"/>
      <selection pane="bottomLeft"/>
    </sheetView>
  </sheetViews>
  <sheetFormatPr baseColWidth="10" defaultRowHeight="16" x14ac:dyDescent="0.2"/>
  <cols>
    <col min="1" max="1" width="10.83203125" style="1"/>
    <col min="2" max="2" width="20.83203125" style="1" customWidth="1"/>
    <col min="3" max="3" width="10.83203125" style="1"/>
    <col min="6" max="6" width="10.83203125" style="9"/>
    <col min="7" max="19" width="10.83203125" style="1"/>
    <col min="20" max="20" width="10.83203125" style="9"/>
    <col min="22" max="25" width="10.83203125" style="1"/>
    <col min="26" max="26" width="10.83203125" style="9"/>
    <col min="27" max="29" width="10.83203125" style="1"/>
    <col min="30" max="30" width="11.1640625" style="1" bestFit="1" customWidth="1"/>
  </cols>
  <sheetData>
    <row r="2" spans="2:30" x14ac:dyDescent="0.2">
      <c r="B2" s="3" t="s">
        <v>58</v>
      </c>
      <c r="C2" s="6" t="str" cm="1">
        <f t="array" aca="1" ref="C2" ca="1" xml:space="preserve"> CHOOSE(2,   "C:\ChartMarkers\",   LEFT(CELL("filename"),  FIND("[",CELL("filename")) - 1) &amp; "ChartMarkers_Excel/")</f>
        <v>/Users/JDAW/Documents/GitHub/chart_markers/Spreadsheets/ChartMarkers_Excel/</v>
      </c>
    </row>
    <row r="3" spans="2:30" x14ac:dyDescent="0.2">
      <c r="B3" s="3" t="s">
        <v>481</v>
      </c>
      <c r="C3" s="6" t="s">
        <v>482</v>
      </c>
    </row>
    <row r="5" spans="2:30" ht="17" thickBot="1" x14ac:dyDescent="0.25">
      <c r="B5" s="2" t="s">
        <v>59</v>
      </c>
      <c r="C5" s="2" t="s">
        <v>60</v>
      </c>
      <c r="H5" s="2" t="s">
        <v>332</v>
      </c>
      <c r="I5" s="2" t="s">
        <v>333</v>
      </c>
      <c r="K5" s="2" t="s">
        <v>334</v>
      </c>
      <c r="L5" s="2" t="s">
        <v>335</v>
      </c>
      <c r="M5" s="2" t="s">
        <v>336</v>
      </c>
      <c r="N5" s="2" t="s">
        <v>337</v>
      </c>
      <c r="O5" s="2" t="s">
        <v>338</v>
      </c>
      <c r="P5" s="2" t="s">
        <v>339</v>
      </c>
      <c r="Q5" s="2" t="s">
        <v>340</v>
      </c>
      <c r="R5" s="12"/>
      <c r="V5" s="2" t="s">
        <v>459</v>
      </c>
      <c r="W5" s="2" t="s">
        <v>460</v>
      </c>
      <c r="X5" s="2" t="s">
        <v>461</v>
      </c>
      <c r="AB5" s="2" t="s">
        <v>462</v>
      </c>
      <c r="AC5" s="2" t="s">
        <v>463</v>
      </c>
      <c r="AD5" s="2" t="s">
        <v>464</v>
      </c>
    </row>
    <row r="6" spans="2:30" x14ac:dyDescent="0.2">
      <c r="B6" s="1" t="s">
        <v>61</v>
      </c>
      <c r="C6" s="1" t="str">
        <f t="shared" ref="C6:C37" si="0" xml:space="preserve"> _xlfn.SINGLE(SeriesFormatAlias.SeriesName)</f>
        <v>USD</v>
      </c>
      <c r="D6" t="str" cm="1">
        <f t="array" ref="D6:D402" xml:space="preserve"> IF(ISNUMBER(MATCH(SeriesFormatAlias.ID,ChartLines.ID, 0)), "✓", "✘✘✘")</f>
        <v>✓</v>
      </c>
      <c r="H6" s="1" t="s">
        <v>61</v>
      </c>
      <c r="I6" s="1" t="str">
        <f xml:space="preserve"> "000000"</f>
        <v>000000</v>
      </c>
      <c r="K6" s="1">
        <f t="shared" ref="K6" si="1" xml:space="preserve"> IF(AND(LEN(ChartLines.ID)&gt;0,"Unused"&lt;&gt;ChartLines.ID), COUNTIFS(ChartLines.ID,ChartLines.ID), "·")</f>
        <v>1</v>
      </c>
      <c r="L6" s="1">
        <f t="shared" ref="L6" si="2" xml:space="preserve"> IF(AND(LEN(ChartLines.ID)&gt;0,"Unused"&lt;&gt;ChartLines.ID), COUNTIFS(ChartLines.ID,ChartLines.ID,   ChartLines.RowNum,"&lt;="&amp;ChartLines.RowNum), "·")</f>
        <v>1</v>
      </c>
      <c r="M6" s="1" t="str" cm="1">
        <f t="array" ref="M6" xml:space="preserve"> _xlfn.IFS(OR(LEN(_xlfn.SINGLE(ChartLines.ID))=0,"Unused"=_xlfn.SINGLE(ChartLines.ID)), "·",   1=_xlfn.SINGLE(ChartLines.NumInstances), IF("USD"=_xlfn.SINGLE(ChartLines.ID), "SoleBig", "SoleOrdinary"),   1=_xlfn.SINGLE(ChartLines.InstanceNum), "Outer",   TRUE, "Inner")</f>
        <v>SoleBig</v>
      </c>
      <c r="N6" s="1">
        <f t="shared" ref="N6" si="3" xml:space="preserve"> IF(LEN(ChartLines.Hex6)=6, HEX2DEC(LEFT(ChartLines.Hex6, 2)), "·")</f>
        <v>0</v>
      </c>
      <c r="O6" s="1">
        <f t="shared" ref="O6" si="4" xml:space="preserve"> IF(LEN(ChartLines.Hex6)=6, HEX2DEC(MID(ChartLines.Hex6, 3, 2)), "·")</f>
        <v>0</v>
      </c>
      <c r="P6" s="1">
        <f t="shared" ref="P6" si="5" xml:space="preserve"> IF(LEN(ChartLines.Hex6)=6, HEX2DEC(RIGHT(ChartLines.Hex6, 2)), "·")</f>
        <v>0</v>
      </c>
      <c r="Q6" s="1" cm="1">
        <f t="array" ref="Q6" xml:space="preserve"> 1 + ROW() - _xlfn.SINGLE(ROW(ChartLines.RowNum))</f>
        <v>1</v>
      </c>
      <c r="R6" s="1" t="str" cm="1">
        <f t="array" ref="R6:R347" xml:space="preserve"> _xlfn.IFS(ISBLANK(ChartLines.ID),"·",   ChartLines.ID="Unused","·",   COUNTIFS(SeriesFormatAlias.ID,SUBSTITUTE(ChartLines.ID,"_2",""))&gt;=2, "✓",   TRUE,"✘✘✘")</f>
        <v>✓</v>
      </c>
      <c r="V6" s="1" t="s">
        <v>465</v>
      </c>
      <c r="W6" s="1">
        <v>3.6</v>
      </c>
      <c r="X6" s="1">
        <v>3</v>
      </c>
      <c r="AB6" s="1" cm="1">
        <f t="array" ref="AB6" xml:space="preserve"> 1 + ROW() - _xlfn.SINGLE(ROW(AxisScaling.RowNum))</f>
        <v>1</v>
      </c>
      <c r="AC6" s="1" cm="1">
        <f t="array" ref="AC6:AC69" xml:space="preserve"> _xlfn.LET(_xlpm.Major, INDEX({10,25,50}, MOD(AxisScaling.RowNum - 1,3)+1) * 10^(INT((AxisScaling.RowNum - 1)/3) - 7),   IF(_xlpm.Major=2.5, 2, _xlpm.Major) )</f>
        <v>9.9999999999999995E-7</v>
      </c>
      <c r="AD6" s="1" cm="1">
        <f t="array" ref="AD6:AD69" xml:space="preserve"> _xlfn.SWITCH(AxisScaling.Major,   2, 0.5,   10, 2,   AxisScaling.Major / _xlfn.SWITCH(AxisScaling.Major * 10^-CEILING(LOG(AxisScaling.Major),1),   1,4,   0.25,5,   0.5,5) )</f>
        <v>2.4999999999999999E-7</v>
      </c>
    </row>
    <row r="7" spans="2:30" x14ac:dyDescent="0.2">
      <c r="B7" s="1" t="s">
        <v>62</v>
      </c>
      <c r="C7" s="1" t="str">
        <f t="shared" si="0"/>
        <v>EUR</v>
      </c>
      <c r="D7" t="str">
        <v>✓</v>
      </c>
      <c r="H7" s="1" t="s">
        <v>341</v>
      </c>
      <c r="K7" s="1" t="str">
        <f t="shared" ref="K7" si="6" xml:space="preserve"> IF(AND(LEN(ChartLines.ID)&gt;0,"Unused"&lt;&gt;ChartLines.ID), COUNTIFS(ChartLines.ID,ChartLines.ID), "·")</f>
        <v>·</v>
      </c>
      <c r="L7" s="1" t="str">
        <f t="shared" ref="L7" si="7" xml:space="preserve"> IF(AND(LEN(ChartLines.ID)&gt;0,"Unused"&lt;&gt;ChartLines.ID), COUNTIFS(ChartLines.ID,ChartLines.ID,   ChartLines.RowNum,"&lt;="&amp;ChartLines.RowNum), "·")</f>
        <v>·</v>
      </c>
      <c r="M7" s="1" t="str" cm="1">
        <f t="array" ref="M7" xml:space="preserve"> _xlfn.IFS(OR(LEN(_xlfn.SINGLE(ChartLines.ID))=0,"Unused"=_xlfn.SINGLE(ChartLines.ID)), "·",   1=_xlfn.SINGLE(ChartLines.NumInstances), IF("USD"=_xlfn.SINGLE(ChartLines.ID), "SoleBig", "SoleOrdinary"),   1=_xlfn.SINGLE(ChartLines.InstanceNum), "Outer",   TRUE, "Inner")</f>
        <v>·</v>
      </c>
      <c r="N7" s="1" t="str">
        <f t="shared" ref="N7" si="8" xml:space="preserve"> IF(LEN(ChartLines.Hex6)=6, HEX2DEC(LEFT(ChartLines.Hex6, 2)), "·")</f>
        <v>·</v>
      </c>
      <c r="O7" s="1" t="str">
        <f t="shared" ref="O7" si="9" xml:space="preserve"> IF(LEN(ChartLines.Hex6)=6, HEX2DEC(MID(ChartLines.Hex6, 3, 2)), "·")</f>
        <v>·</v>
      </c>
      <c r="P7" s="1" t="str">
        <f t="shared" ref="P7" si="10" xml:space="preserve"> IF(LEN(ChartLines.Hex6)=6, HEX2DEC(RIGHT(ChartLines.Hex6, 2)), "·")</f>
        <v>·</v>
      </c>
      <c r="Q7" s="1" cm="1">
        <f t="array" ref="Q7" xml:space="preserve"> 1 + ROW() - _xlfn.SINGLE(ROW(ChartLines.RowNum))</f>
        <v>2</v>
      </c>
      <c r="R7" s="1" t="str">
        <v>·</v>
      </c>
      <c r="V7" s="1" t="s">
        <v>466</v>
      </c>
      <c r="W7" s="1">
        <v>1.2</v>
      </c>
      <c r="X7" s="1">
        <v>1</v>
      </c>
      <c r="AB7" s="1" cm="1">
        <f t="array" ref="AB7" xml:space="preserve"> 1 + ROW() - _xlfn.SINGLE(ROW(AxisScaling.RowNum))</f>
        <v>2</v>
      </c>
      <c r="AC7" s="1">
        <v>2.4999999999999998E-6</v>
      </c>
      <c r="AD7" s="1">
        <v>4.9999999999999998E-7</v>
      </c>
    </row>
    <row r="8" spans="2:30" x14ac:dyDescent="0.2">
      <c r="B8" s="1" t="s">
        <v>63</v>
      </c>
      <c r="C8" s="1" t="str">
        <f t="shared" si="0"/>
        <v>GBP</v>
      </c>
      <c r="D8" t="str">
        <v>✓</v>
      </c>
      <c r="H8" s="1" t="s">
        <v>62</v>
      </c>
      <c r="I8" s="1" t="s">
        <v>342</v>
      </c>
      <c r="K8" s="1">
        <f t="shared" ref="K8" si="11" xml:space="preserve"> IF(AND(LEN(ChartLines.ID)&gt;0,"Unused"&lt;&gt;ChartLines.ID), COUNTIFS(ChartLines.ID,ChartLines.ID), "·")</f>
        <v>1</v>
      </c>
      <c r="L8" s="1">
        <f t="shared" ref="L8" si="12" xml:space="preserve"> IF(AND(LEN(ChartLines.ID)&gt;0,"Unused"&lt;&gt;ChartLines.ID), COUNTIFS(ChartLines.ID,ChartLines.ID,   ChartLines.RowNum,"&lt;="&amp;ChartLines.RowNum), "·")</f>
        <v>1</v>
      </c>
      <c r="M8" s="1" t="str" cm="1">
        <f t="array" ref="M8" xml:space="preserve"> _xlfn.IFS(OR(LEN(_xlfn.SINGLE(ChartLines.ID))=0,"Unused"=_xlfn.SINGLE(ChartLines.ID)), "·",   1=_xlfn.SINGLE(ChartLines.NumInstances), IF("USD"=_xlfn.SINGLE(ChartLines.ID), "SoleBig", "SoleOrdinary"),   1=_xlfn.SINGLE(ChartLines.InstanceNum), "Outer",   TRUE, "Inner")</f>
        <v>SoleOrdinary</v>
      </c>
      <c r="N8" s="1">
        <f t="shared" ref="N8" si="13" xml:space="preserve"> IF(LEN(ChartLines.Hex6)=6, HEX2DEC(LEFT(ChartLines.Hex6, 2)), "·")</f>
        <v>255</v>
      </c>
      <c r="O8" s="1">
        <f t="shared" ref="O8" si="14" xml:space="preserve"> IF(LEN(ChartLines.Hex6)=6, HEX2DEC(MID(ChartLines.Hex6, 3, 2)), "·")</f>
        <v>51</v>
      </c>
      <c r="P8" s="1">
        <f t="shared" ref="P8" si="15" xml:space="preserve"> IF(LEN(ChartLines.Hex6)=6, HEX2DEC(RIGHT(ChartLines.Hex6, 2)), "·")</f>
        <v>255</v>
      </c>
      <c r="Q8" s="1" cm="1">
        <f t="array" ref="Q8" xml:space="preserve"> 1 + ROW() - _xlfn.SINGLE(ROW(ChartLines.RowNum))</f>
        <v>3</v>
      </c>
      <c r="R8" s="1" t="str">
        <v>✓</v>
      </c>
      <c r="V8" s="1" t="s">
        <v>467</v>
      </c>
      <c r="W8" s="1">
        <f xml:space="preserve"> W$6 - W$7</f>
        <v>2.4000000000000004</v>
      </c>
      <c r="X8" s="1">
        <f xml:space="preserve"> AVERAGE(X$6:X$7)</f>
        <v>2</v>
      </c>
      <c r="AB8" s="1" cm="1">
        <f t="array" ref="AB8" xml:space="preserve"> 1 + ROW() - _xlfn.SINGLE(ROW(AxisScaling.RowNum))</f>
        <v>3</v>
      </c>
      <c r="AC8" s="1">
        <v>4.9999999999999996E-6</v>
      </c>
      <c r="AD8" s="1">
        <v>9.9999999999999995E-7</v>
      </c>
    </row>
    <row r="9" spans="2:30" x14ac:dyDescent="0.2">
      <c r="B9" s="1" t="s">
        <v>64</v>
      </c>
      <c r="C9" s="1" t="str">
        <f t="shared" si="0"/>
        <v>JPY</v>
      </c>
      <c r="D9" t="str">
        <v>✓</v>
      </c>
      <c r="H9" s="1" t="s">
        <v>341</v>
      </c>
      <c r="K9" s="1" t="str">
        <f t="shared" ref="K9" si="16" xml:space="preserve"> IF(AND(LEN(ChartLines.ID)&gt;0,"Unused"&lt;&gt;ChartLines.ID), COUNTIFS(ChartLines.ID,ChartLines.ID), "·")</f>
        <v>·</v>
      </c>
      <c r="L9" s="1" t="str">
        <f t="shared" ref="L9" si="17" xml:space="preserve"> IF(AND(LEN(ChartLines.ID)&gt;0,"Unused"&lt;&gt;ChartLines.ID), COUNTIFS(ChartLines.ID,ChartLines.ID,   ChartLines.RowNum,"&lt;="&amp;ChartLines.RowNum), "·")</f>
        <v>·</v>
      </c>
      <c r="M9" s="1" t="str" cm="1">
        <f t="array" ref="M9" xml:space="preserve"> _xlfn.IFS(OR(LEN(_xlfn.SINGLE(ChartLines.ID))=0,"Unused"=_xlfn.SINGLE(ChartLines.ID)), "·",   1=_xlfn.SINGLE(ChartLines.NumInstances), IF("USD"=_xlfn.SINGLE(ChartLines.ID), "SoleBig", "SoleOrdinary"),   1=_xlfn.SINGLE(ChartLines.InstanceNum), "Outer",   TRUE, "Inner")</f>
        <v>·</v>
      </c>
      <c r="N9" s="1" t="str">
        <f t="shared" ref="N9" si="18" xml:space="preserve"> IF(LEN(ChartLines.Hex6)=6, HEX2DEC(LEFT(ChartLines.Hex6, 2)), "·")</f>
        <v>·</v>
      </c>
      <c r="O9" s="1" t="str">
        <f t="shared" ref="O9" si="19" xml:space="preserve"> IF(LEN(ChartLines.Hex6)=6, HEX2DEC(MID(ChartLines.Hex6, 3, 2)), "·")</f>
        <v>·</v>
      </c>
      <c r="P9" s="1" t="str">
        <f t="shared" ref="P9" si="20" xml:space="preserve"> IF(LEN(ChartLines.Hex6)=6, HEX2DEC(RIGHT(ChartLines.Hex6, 2)), "·")</f>
        <v>·</v>
      </c>
      <c r="Q9" s="1" cm="1">
        <f t="array" ref="Q9" xml:space="preserve"> 1 + ROW() - _xlfn.SINGLE(ROW(ChartLines.RowNum))</f>
        <v>4</v>
      </c>
      <c r="R9" s="1" t="str">
        <v>·</v>
      </c>
      <c r="V9" s="1" t="s">
        <v>468</v>
      </c>
      <c r="W9" s="1">
        <f xml:space="preserve"> MAX(W$6:W$8)</f>
        <v>3.6</v>
      </c>
      <c r="X9" s="1">
        <f xml:space="preserve"> X$6</f>
        <v>3</v>
      </c>
      <c r="AB9" s="1" cm="1">
        <f t="array" ref="AB9" xml:space="preserve"> 1 + ROW() - _xlfn.SINGLE(ROW(AxisScaling.RowNum))</f>
        <v>4</v>
      </c>
      <c r="AC9" s="1">
        <v>9.9999999999999991E-6</v>
      </c>
      <c r="AD9" s="1">
        <v>2.4999999999999998E-6</v>
      </c>
    </row>
    <row r="10" spans="2:30" x14ac:dyDescent="0.2">
      <c r="B10" s="1" t="s">
        <v>65</v>
      </c>
      <c r="C10" s="1" t="str">
        <f t="shared" si="0"/>
        <v>CHF</v>
      </c>
      <c r="D10" t="str">
        <v>✓</v>
      </c>
      <c r="H10" s="1" t="s">
        <v>63</v>
      </c>
      <c r="I10" s="1" t="str">
        <f xml:space="preserve"> "012169"</f>
        <v>012169</v>
      </c>
      <c r="K10" s="1">
        <f t="shared" ref="K10" si="21" xml:space="preserve"> IF(AND(LEN(ChartLines.ID)&gt;0,"Unused"&lt;&gt;ChartLines.ID), COUNTIFS(ChartLines.ID,ChartLines.ID), "·")</f>
        <v>1</v>
      </c>
      <c r="L10" s="1">
        <f t="shared" ref="L10" si="22" xml:space="preserve"> IF(AND(LEN(ChartLines.ID)&gt;0,"Unused"&lt;&gt;ChartLines.ID), COUNTIFS(ChartLines.ID,ChartLines.ID,   ChartLines.RowNum,"&lt;="&amp;ChartLines.RowNum), "·")</f>
        <v>1</v>
      </c>
      <c r="M10" s="1" t="str" cm="1">
        <f t="array" ref="M10" xml:space="preserve"> _xlfn.IFS(OR(LEN(_xlfn.SINGLE(ChartLines.ID))=0,"Unused"=_xlfn.SINGLE(ChartLines.ID)), "·",   1=_xlfn.SINGLE(ChartLines.NumInstances), IF("USD"=_xlfn.SINGLE(ChartLines.ID), "SoleBig", "SoleOrdinary"),   1=_xlfn.SINGLE(ChartLines.InstanceNum), "Outer",   TRUE, "Inner")</f>
        <v>SoleOrdinary</v>
      </c>
      <c r="N10" s="1">
        <f t="shared" ref="N10" si="23" xml:space="preserve"> IF(LEN(ChartLines.Hex6)=6, HEX2DEC(LEFT(ChartLines.Hex6, 2)), "·")</f>
        <v>1</v>
      </c>
      <c r="O10" s="1">
        <f t="shared" ref="O10" si="24" xml:space="preserve"> IF(LEN(ChartLines.Hex6)=6, HEX2DEC(MID(ChartLines.Hex6, 3, 2)), "·")</f>
        <v>33</v>
      </c>
      <c r="P10" s="1">
        <f t="shared" ref="P10" si="25" xml:space="preserve"> IF(LEN(ChartLines.Hex6)=6, HEX2DEC(RIGHT(ChartLines.Hex6, 2)), "·")</f>
        <v>105</v>
      </c>
      <c r="Q10" s="1" cm="1">
        <f t="array" ref="Q10" xml:space="preserve"> 1 + ROW() - _xlfn.SINGLE(ROW(ChartLines.RowNum))</f>
        <v>5</v>
      </c>
      <c r="R10" s="1" t="str">
        <v>✓</v>
      </c>
      <c r="AB10" s="1" cm="1">
        <f t="array" ref="AB10" xml:space="preserve"> 1 + ROW() - _xlfn.SINGLE(ROW(AxisScaling.RowNum))</f>
        <v>5</v>
      </c>
      <c r="AC10" s="1">
        <v>2.4999999999999998E-5</v>
      </c>
      <c r="AD10" s="1">
        <v>4.9999999999999996E-6</v>
      </c>
    </row>
    <row r="11" spans="2:30" x14ac:dyDescent="0.2">
      <c r="B11" s="1" t="s">
        <v>66</v>
      </c>
      <c r="C11" s="1" t="str">
        <f t="shared" si="0"/>
        <v>CAD</v>
      </c>
      <c r="D11" t="str">
        <v>✓</v>
      </c>
      <c r="H11" s="1" t="s">
        <v>341</v>
      </c>
      <c r="K11" s="1" t="str">
        <f t="shared" ref="K11" si="26" xml:space="preserve"> IF(AND(LEN(ChartLines.ID)&gt;0,"Unused"&lt;&gt;ChartLines.ID), COUNTIFS(ChartLines.ID,ChartLines.ID), "·")</f>
        <v>·</v>
      </c>
      <c r="L11" s="1" t="str">
        <f t="shared" ref="L11" si="27" xml:space="preserve"> IF(AND(LEN(ChartLines.ID)&gt;0,"Unused"&lt;&gt;ChartLines.ID), COUNTIFS(ChartLines.ID,ChartLines.ID,   ChartLines.RowNum,"&lt;="&amp;ChartLines.RowNum), "·")</f>
        <v>·</v>
      </c>
      <c r="M11" s="1" t="str" cm="1">
        <f t="array" ref="M11" xml:space="preserve"> _xlfn.IFS(OR(LEN(_xlfn.SINGLE(ChartLines.ID))=0,"Unused"=_xlfn.SINGLE(ChartLines.ID)), "·",   1=_xlfn.SINGLE(ChartLines.NumInstances), IF("USD"=_xlfn.SINGLE(ChartLines.ID), "SoleBig", "SoleOrdinary"),   1=_xlfn.SINGLE(ChartLines.InstanceNum), "Outer",   TRUE, "Inner")</f>
        <v>·</v>
      </c>
      <c r="N11" s="1" t="str">
        <f t="shared" ref="N11" si="28" xml:space="preserve"> IF(LEN(ChartLines.Hex6)=6, HEX2DEC(LEFT(ChartLines.Hex6, 2)), "·")</f>
        <v>·</v>
      </c>
      <c r="O11" s="1" t="str">
        <f t="shared" ref="O11" si="29" xml:space="preserve"> IF(LEN(ChartLines.Hex6)=6, HEX2DEC(MID(ChartLines.Hex6, 3, 2)), "·")</f>
        <v>·</v>
      </c>
      <c r="P11" s="1" t="str">
        <f t="shared" ref="P11" si="30" xml:space="preserve"> IF(LEN(ChartLines.Hex6)=6, HEX2DEC(RIGHT(ChartLines.Hex6, 2)), "·")</f>
        <v>·</v>
      </c>
      <c r="Q11" s="1" cm="1">
        <f t="array" ref="Q11" xml:space="preserve"> 1 + ROW() - _xlfn.SINGLE(ROW(ChartLines.RowNum))</f>
        <v>6</v>
      </c>
      <c r="R11" s="1" t="str">
        <v>·</v>
      </c>
      <c r="AB11" s="1" cm="1">
        <f t="array" ref="AB11" xml:space="preserve"> 1 + ROW() - _xlfn.SINGLE(ROW(AxisScaling.RowNum))</f>
        <v>6</v>
      </c>
      <c r="AC11" s="1">
        <v>4.9999999999999996E-5</v>
      </c>
      <c r="AD11" s="1">
        <v>9.9999999999999991E-6</v>
      </c>
    </row>
    <row r="12" spans="2:30" x14ac:dyDescent="0.2">
      <c r="B12" s="1" t="s">
        <v>67</v>
      </c>
      <c r="C12" s="1" t="str">
        <f t="shared" si="0"/>
        <v>AUD</v>
      </c>
      <c r="D12" t="str">
        <v>✓</v>
      </c>
      <c r="H12" s="1" t="s">
        <v>64</v>
      </c>
      <c r="I12" s="1" t="s">
        <v>343</v>
      </c>
      <c r="K12" s="1">
        <f t="shared" ref="K12" si="31" xml:space="preserve"> IF(AND(LEN(ChartLines.ID)&gt;0,"Unused"&lt;&gt;ChartLines.ID), COUNTIFS(ChartLines.ID,ChartLines.ID), "·")</f>
        <v>1</v>
      </c>
      <c r="L12" s="1">
        <f t="shared" ref="L12" si="32" xml:space="preserve"> IF(AND(LEN(ChartLines.ID)&gt;0,"Unused"&lt;&gt;ChartLines.ID), COUNTIFS(ChartLines.ID,ChartLines.ID,   ChartLines.RowNum,"&lt;="&amp;ChartLines.RowNum), "·")</f>
        <v>1</v>
      </c>
      <c r="M12" s="1" t="str" cm="1">
        <f t="array" ref="M12" xml:space="preserve"> _xlfn.IFS(OR(LEN(_xlfn.SINGLE(ChartLines.ID))=0,"Unused"=_xlfn.SINGLE(ChartLines.ID)), "·",   1=_xlfn.SINGLE(ChartLines.NumInstances), IF("USD"=_xlfn.SINGLE(ChartLines.ID), "SoleBig", "SoleOrdinary"),   1=_xlfn.SINGLE(ChartLines.InstanceNum), "Outer",   TRUE, "Inner")</f>
        <v>SoleOrdinary</v>
      </c>
      <c r="N12" s="1">
        <f t="shared" ref="N12" si="33" xml:space="preserve"> IF(LEN(ChartLines.Hex6)=6, HEX2DEC(LEFT(ChartLines.Hex6, 2)), "·")</f>
        <v>239</v>
      </c>
      <c r="O12" s="1">
        <f t="shared" ref="O12" si="34" xml:space="preserve"> IF(LEN(ChartLines.Hex6)=6, HEX2DEC(MID(ChartLines.Hex6, 3, 2)), "·")</f>
        <v>51</v>
      </c>
      <c r="P12" s="1">
        <f t="shared" ref="P12" si="35" xml:space="preserve"> IF(LEN(ChartLines.Hex6)=6, HEX2DEC(RIGHT(ChartLines.Hex6, 2)), "·")</f>
        <v>64</v>
      </c>
      <c r="Q12" s="1" cm="1">
        <f t="array" ref="Q12" xml:space="preserve"> 1 + ROW() - _xlfn.SINGLE(ROW(ChartLines.RowNum))</f>
        <v>7</v>
      </c>
      <c r="R12" s="1" t="str">
        <v>✓</v>
      </c>
      <c r="AB12" s="1" cm="1">
        <f t="array" ref="AB12" xml:space="preserve"> 1 + ROW() - _xlfn.SINGLE(ROW(AxisScaling.RowNum))</f>
        <v>7</v>
      </c>
      <c r="AC12" s="1">
        <v>1E-4</v>
      </c>
      <c r="AD12" s="1">
        <v>2.5000000000000001E-5</v>
      </c>
    </row>
    <row r="13" spans="2:30" x14ac:dyDescent="0.2">
      <c r="B13" s="1" t="s">
        <v>68</v>
      </c>
      <c r="C13" s="1" t="str">
        <f t="shared" si="0"/>
        <v>NZD</v>
      </c>
      <c r="D13" t="str">
        <v>✓</v>
      </c>
      <c r="H13" s="1" t="s">
        <v>341</v>
      </c>
      <c r="K13" s="1" t="str">
        <f t="shared" ref="K13" si="36" xml:space="preserve"> IF(AND(LEN(ChartLines.ID)&gt;0,"Unused"&lt;&gt;ChartLines.ID), COUNTIFS(ChartLines.ID,ChartLines.ID), "·")</f>
        <v>·</v>
      </c>
      <c r="L13" s="1" t="str">
        <f t="shared" ref="L13" si="37" xml:space="preserve"> IF(AND(LEN(ChartLines.ID)&gt;0,"Unused"&lt;&gt;ChartLines.ID), COUNTIFS(ChartLines.ID,ChartLines.ID,   ChartLines.RowNum,"&lt;="&amp;ChartLines.RowNum), "·")</f>
        <v>·</v>
      </c>
      <c r="M13" s="1" t="str" cm="1">
        <f t="array" ref="M13" xml:space="preserve"> _xlfn.IFS(OR(LEN(_xlfn.SINGLE(ChartLines.ID))=0,"Unused"=_xlfn.SINGLE(ChartLines.ID)), "·",   1=_xlfn.SINGLE(ChartLines.NumInstances), IF("USD"=_xlfn.SINGLE(ChartLines.ID), "SoleBig", "SoleOrdinary"),   1=_xlfn.SINGLE(ChartLines.InstanceNum), "Outer",   TRUE, "Inner")</f>
        <v>·</v>
      </c>
      <c r="N13" s="1" t="str">
        <f t="shared" ref="N13" si="38" xml:space="preserve"> IF(LEN(ChartLines.Hex6)=6, HEX2DEC(LEFT(ChartLines.Hex6, 2)), "·")</f>
        <v>·</v>
      </c>
      <c r="O13" s="1" t="str">
        <f t="shared" ref="O13" si="39" xml:space="preserve"> IF(LEN(ChartLines.Hex6)=6, HEX2DEC(MID(ChartLines.Hex6, 3, 2)), "·")</f>
        <v>·</v>
      </c>
      <c r="P13" s="1" t="str">
        <f t="shared" ref="P13" si="40" xml:space="preserve"> IF(LEN(ChartLines.Hex6)=6, HEX2DEC(RIGHT(ChartLines.Hex6, 2)), "·")</f>
        <v>·</v>
      </c>
      <c r="Q13" s="1" cm="1">
        <f t="array" ref="Q13" xml:space="preserve"> 1 + ROW() - _xlfn.SINGLE(ROW(ChartLines.RowNum))</f>
        <v>8</v>
      </c>
      <c r="R13" s="1" t="str">
        <v>·</v>
      </c>
      <c r="AB13" s="1" cm="1">
        <f t="array" ref="AB13" xml:space="preserve"> 1 + ROW() - _xlfn.SINGLE(ROW(AxisScaling.RowNum))</f>
        <v>8</v>
      </c>
      <c r="AC13" s="1">
        <v>2.5000000000000001E-4</v>
      </c>
      <c r="AD13" s="1">
        <v>5.0000000000000002E-5</v>
      </c>
    </row>
    <row r="14" spans="2:30" x14ac:dyDescent="0.2">
      <c r="B14" s="1" t="s">
        <v>69</v>
      </c>
      <c r="C14" s="1" t="str">
        <f t="shared" si="0"/>
        <v>SEK</v>
      </c>
      <c r="D14" t="str">
        <v>✓</v>
      </c>
      <c r="H14" s="1" t="s">
        <v>65</v>
      </c>
      <c r="I14" s="1" t="s">
        <v>344</v>
      </c>
      <c r="K14" s="1">
        <f t="shared" ref="K14" si="41" xml:space="preserve"> IF(AND(LEN(ChartLines.ID)&gt;0,"Unused"&lt;&gt;ChartLines.ID), COUNTIFS(ChartLines.ID,ChartLines.ID), "·")</f>
        <v>2</v>
      </c>
      <c r="L14" s="1">
        <f t="shared" ref="L14" si="42" xml:space="preserve"> IF(AND(LEN(ChartLines.ID)&gt;0,"Unused"&lt;&gt;ChartLines.ID), COUNTIFS(ChartLines.ID,ChartLines.ID,   ChartLines.RowNum,"&lt;="&amp;ChartLines.RowNum), "·")</f>
        <v>1</v>
      </c>
      <c r="M14" s="1" t="str" cm="1">
        <f t="array" ref="M14" xml:space="preserve"> _xlfn.IFS(OR(LEN(_xlfn.SINGLE(ChartLines.ID))=0,"Unused"=_xlfn.SINGLE(ChartLines.ID)), "·",   1=_xlfn.SINGLE(ChartLines.NumInstances), IF("USD"=_xlfn.SINGLE(ChartLines.ID), "SoleBig", "SoleOrdinary"),   1=_xlfn.SINGLE(ChartLines.InstanceNum), "Outer",   TRUE, "Inner")</f>
        <v>Outer</v>
      </c>
      <c r="N14" s="1">
        <f t="shared" ref="N14" si="43" xml:space="preserve"> IF(LEN(ChartLines.Hex6)=6, HEX2DEC(LEFT(ChartLines.Hex6, 2)), "·")</f>
        <v>255</v>
      </c>
      <c r="O14" s="1">
        <f t="shared" ref="O14" si="44" xml:space="preserve"> IF(LEN(ChartLines.Hex6)=6, HEX2DEC(MID(ChartLines.Hex6, 3, 2)), "·")</f>
        <v>0</v>
      </c>
      <c r="P14" s="1">
        <f t="shared" ref="P14" si="45" xml:space="preserve"> IF(LEN(ChartLines.Hex6)=6, HEX2DEC(RIGHT(ChartLines.Hex6, 2)), "·")</f>
        <v>0</v>
      </c>
      <c r="Q14" s="1" cm="1">
        <f t="array" ref="Q14" xml:space="preserve"> 1 + ROW() - _xlfn.SINGLE(ROW(ChartLines.RowNum))</f>
        <v>9</v>
      </c>
      <c r="R14" s="1" t="str">
        <v>✓</v>
      </c>
      <c r="AB14" s="1" cm="1">
        <f t="array" ref="AB14" xml:space="preserve"> 1 + ROW() - _xlfn.SINGLE(ROW(AxisScaling.RowNum))</f>
        <v>9</v>
      </c>
      <c r="AC14" s="1">
        <v>5.0000000000000001E-4</v>
      </c>
      <c r="AD14" s="1">
        <v>1E-4</v>
      </c>
    </row>
    <row r="15" spans="2:30" x14ac:dyDescent="0.2">
      <c r="B15" s="1" t="s">
        <v>70</v>
      </c>
      <c r="C15" s="1" t="str">
        <f t="shared" si="0"/>
        <v>NOK</v>
      </c>
      <c r="D15" t="str">
        <v>✓</v>
      </c>
      <c r="H15" s="1" t="s">
        <v>65</v>
      </c>
      <c r="I15" s="1" t="s">
        <v>345</v>
      </c>
      <c r="K15" s="1">
        <f t="shared" ref="K15:K17" si="46" xml:space="preserve"> IF(AND(LEN(ChartLines.ID)&gt;0,"Unused"&lt;&gt;ChartLines.ID), COUNTIFS(ChartLines.ID,ChartLines.ID), "·")</f>
        <v>2</v>
      </c>
      <c r="L15" s="1">
        <f t="shared" ref="L15:L17" si="47" xml:space="preserve"> IF(AND(LEN(ChartLines.ID)&gt;0,"Unused"&lt;&gt;ChartLines.ID), COUNTIFS(ChartLines.ID,ChartLines.ID,   ChartLines.RowNum,"&lt;="&amp;ChartLines.RowNum), "·")</f>
        <v>2</v>
      </c>
      <c r="M15" s="1" t="str" cm="1">
        <f t="array" ref="M15" xml:space="preserve"> _xlfn.IFS(OR(LEN(_xlfn.SINGLE(ChartLines.ID))=0,"Unused"=_xlfn.SINGLE(ChartLines.ID)), "·",   1=_xlfn.SINGLE(ChartLines.NumInstances), IF("USD"=_xlfn.SINGLE(ChartLines.ID), "SoleBig", "SoleOrdinary"),   1=_xlfn.SINGLE(ChartLines.InstanceNum), "Outer",   TRUE, "Inner")</f>
        <v>Inner</v>
      </c>
      <c r="N15" s="1">
        <f t="shared" ref="N15:N17" si="48" xml:space="preserve"> IF(LEN(ChartLines.Hex6)=6, HEX2DEC(LEFT(ChartLines.Hex6, 2)), "·")</f>
        <v>255</v>
      </c>
      <c r="O15" s="1">
        <f t="shared" ref="O15:O17" si="49" xml:space="preserve"> IF(LEN(ChartLines.Hex6)=6, HEX2DEC(MID(ChartLines.Hex6, 3, 2)), "·")</f>
        <v>255</v>
      </c>
      <c r="P15" s="1">
        <f t="shared" ref="P15:P17" si="50" xml:space="preserve"> IF(LEN(ChartLines.Hex6)=6, HEX2DEC(RIGHT(ChartLines.Hex6, 2)), "·")</f>
        <v>255</v>
      </c>
      <c r="Q15" s="1" cm="1">
        <f t="array" ref="Q15" xml:space="preserve"> 1 + ROW() - _xlfn.SINGLE(ROW(ChartLines.RowNum))</f>
        <v>10</v>
      </c>
      <c r="R15" s="1" t="str">
        <v>✓</v>
      </c>
      <c r="AB15" s="1" cm="1">
        <f t="array" ref="AB15" xml:space="preserve"> 1 + ROW() - _xlfn.SINGLE(ROW(AxisScaling.RowNum))</f>
        <v>10</v>
      </c>
      <c r="AC15" s="1">
        <v>1E-3</v>
      </c>
      <c r="AD15" s="1">
        <v>2.5000000000000001E-4</v>
      </c>
    </row>
    <row r="16" spans="2:30" x14ac:dyDescent="0.2">
      <c r="B16" s="1" t="s">
        <v>71</v>
      </c>
      <c r="C16" s="1" t="str">
        <f t="shared" si="0"/>
        <v>EU</v>
      </c>
      <c r="D16" t="str">
        <v>✓</v>
      </c>
      <c r="H16" s="1" t="s">
        <v>503</v>
      </c>
      <c r="I16" s="1" t="s">
        <v>344</v>
      </c>
      <c r="K16" s="1">
        <f t="shared" si="46"/>
        <v>2</v>
      </c>
      <c r="L16" s="1">
        <f t="shared" si="47"/>
        <v>1</v>
      </c>
      <c r="M16" s="1" t="str" cm="1">
        <f t="array" ref="M16" xml:space="preserve"> _xlfn.IFS(OR(LEN(_xlfn.SINGLE(ChartLines.ID))=0,"Unused"=_xlfn.SINGLE(ChartLines.ID)), "·",   1=_xlfn.SINGLE(ChartLines.NumInstances), IF("USD"=_xlfn.SINGLE(ChartLines.ID), "SoleBig", "SoleOrdinary"),   1=_xlfn.SINGLE(ChartLines.InstanceNum), "Outer",   TRUE, "Inner")</f>
        <v>Outer</v>
      </c>
      <c r="N16" s="1">
        <f t="shared" si="48"/>
        <v>255</v>
      </c>
      <c r="O16" s="1">
        <f t="shared" si="49"/>
        <v>0</v>
      </c>
      <c r="P16" s="1">
        <f t="shared" si="50"/>
        <v>0</v>
      </c>
      <c r="Q16" s="1" cm="1">
        <f t="array" ref="Q16" xml:space="preserve"> 1 + ROW() - _xlfn.SINGLE(ROW(ChartLines.RowNum))</f>
        <v>11</v>
      </c>
      <c r="R16" s="1" t="str">
        <v>✓</v>
      </c>
      <c r="AB16" s="1" cm="1">
        <f t="array" ref="AB16" xml:space="preserve"> 1 + ROW() - _xlfn.SINGLE(ROW(AxisScaling.RowNum))</f>
        <v>11</v>
      </c>
      <c r="AC16" s="1">
        <v>2.5000000000000001E-3</v>
      </c>
      <c r="AD16" s="1">
        <v>5.0000000000000001E-4</v>
      </c>
    </row>
    <row r="17" spans="2:30" x14ac:dyDescent="0.2">
      <c r="B17" s="1" t="s">
        <v>72</v>
      </c>
      <c r="C17" s="1" t="str">
        <f t="shared" si="0"/>
        <v>_ECB</v>
      </c>
      <c r="D17" t="str">
        <v>✓</v>
      </c>
      <c r="H17" s="1" t="s">
        <v>503</v>
      </c>
      <c r="I17" s="1" t="s">
        <v>504</v>
      </c>
      <c r="K17" s="1">
        <f t="shared" si="46"/>
        <v>2</v>
      </c>
      <c r="L17" s="1">
        <f t="shared" si="47"/>
        <v>2</v>
      </c>
      <c r="M17" s="1" t="str" cm="1">
        <f t="array" ref="M17" xml:space="preserve"> _xlfn.IFS(OR(LEN(_xlfn.SINGLE(ChartLines.ID))=0,"Unused"=_xlfn.SINGLE(ChartLines.ID)), "·",   1=_xlfn.SINGLE(ChartLines.NumInstances), IF("USD"=_xlfn.SINGLE(ChartLines.ID), "SoleBig", "SoleOrdinary"),   1=_xlfn.SINGLE(ChartLines.InstanceNum), "Outer",   TRUE, "Inner")</f>
        <v>Inner</v>
      </c>
      <c r="N17" s="1">
        <f t="shared" si="48"/>
        <v>102</v>
      </c>
      <c r="O17" s="1">
        <f t="shared" si="49"/>
        <v>204</v>
      </c>
      <c r="P17" s="1">
        <f t="shared" si="50"/>
        <v>102</v>
      </c>
      <c r="Q17" s="1" cm="1">
        <f t="array" ref="Q17" xml:space="preserve"> 1 + ROW() - _xlfn.SINGLE(ROW(ChartLines.RowNum))</f>
        <v>12</v>
      </c>
      <c r="R17" s="1" t="str">
        <v>✓</v>
      </c>
      <c r="AB17" s="1" cm="1">
        <f t="array" ref="AB17" xml:space="preserve"> 1 + ROW() - _xlfn.SINGLE(ROW(AxisScaling.RowNum))</f>
        <v>12</v>
      </c>
      <c r="AC17" s="1">
        <v>5.0000000000000001E-3</v>
      </c>
      <c r="AD17" s="1">
        <v>1E-3</v>
      </c>
    </row>
    <row r="18" spans="2:30" x14ac:dyDescent="0.2">
      <c r="B18" s="1" t="s">
        <v>54</v>
      </c>
      <c r="C18" s="1" t="str">
        <f t="shared" si="0"/>
        <v>DE</v>
      </c>
      <c r="D18" t="str">
        <v>✓</v>
      </c>
      <c r="H18" s="1" t="s">
        <v>66</v>
      </c>
      <c r="I18" s="1" t="s">
        <v>344</v>
      </c>
      <c r="K18" s="1">
        <f t="shared" ref="K18" si="51" xml:space="preserve"> IF(AND(LEN(ChartLines.ID)&gt;0,"Unused"&lt;&gt;ChartLines.ID), COUNTIFS(ChartLines.ID,ChartLines.ID), "·")</f>
        <v>2</v>
      </c>
      <c r="L18" s="1">
        <f t="shared" ref="L18" si="52" xml:space="preserve"> IF(AND(LEN(ChartLines.ID)&gt;0,"Unused"&lt;&gt;ChartLines.ID), COUNTIFS(ChartLines.ID,ChartLines.ID,   ChartLines.RowNum,"&lt;="&amp;ChartLines.RowNum), "·")</f>
        <v>1</v>
      </c>
      <c r="M18" s="1" t="str" cm="1">
        <f t="array" ref="M18" xml:space="preserve"> _xlfn.IFS(OR(LEN(_xlfn.SINGLE(ChartLines.ID))=0,"Unused"=_xlfn.SINGLE(ChartLines.ID)), "·",   1=_xlfn.SINGLE(ChartLines.NumInstances), IF("USD"=_xlfn.SINGLE(ChartLines.ID), "SoleBig", "SoleOrdinary"),   1=_xlfn.SINGLE(ChartLines.InstanceNum), "Outer",   TRUE, "Inner")</f>
        <v>Outer</v>
      </c>
      <c r="N18" s="1">
        <f t="shared" ref="N18" si="53" xml:space="preserve"> IF(LEN(ChartLines.Hex6)=6, HEX2DEC(LEFT(ChartLines.Hex6, 2)), "·")</f>
        <v>255</v>
      </c>
      <c r="O18" s="1">
        <f t="shared" ref="O18" si="54" xml:space="preserve"> IF(LEN(ChartLines.Hex6)=6, HEX2DEC(MID(ChartLines.Hex6, 3, 2)), "·")</f>
        <v>0</v>
      </c>
      <c r="P18" s="1">
        <f t="shared" ref="P18" si="55" xml:space="preserve"> IF(LEN(ChartLines.Hex6)=6, HEX2DEC(RIGHT(ChartLines.Hex6, 2)), "·")</f>
        <v>0</v>
      </c>
      <c r="Q18" s="1" cm="1">
        <f t="array" ref="Q18" xml:space="preserve"> 1 + ROW() - _xlfn.SINGLE(ROW(ChartLines.RowNum))</f>
        <v>13</v>
      </c>
      <c r="R18" s="1" t="str">
        <v>✓</v>
      </c>
      <c r="AB18" s="1" cm="1">
        <f t="array" ref="AB18" xml:space="preserve"> 1 + ROW() - _xlfn.SINGLE(ROW(AxisScaling.RowNum))</f>
        <v>13</v>
      </c>
      <c r="AC18" s="1">
        <v>0.01</v>
      </c>
      <c r="AD18" s="1">
        <v>2.5000000000000001E-3</v>
      </c>
    </row>
    <row r="19" spans="2:30" x14ac:dyDescent="0.2">
      <c r="B19" s="1" t="s">
        <v>55</v>
      </c>
      <c r="C19" s="1" t="str">
        <f t="shared" si="0"/>
        <v>FR</v>
      </c>
      <c r="D19" t="str">
        <v>✓</v>
      </c>
      <c r="H19" s="1" t="s">
        <v>66</v>
      </c>
      <c r="I19" s="1" t="str">
        <f xml:space="preserve"> "000000"</f>
        <v>000000</v>
      </c>
      <c r="K19" s="1">
        <f t="shared" ref="K19:K21" si="56" xml:space="preserve"> IF(AND(LEN(ChartLines.ID)&gt;0,"Unused"&lt;&gt;ChartLines.ID), COUNTIFS(ChartLines.ID,ChartLines.ID), "·")</f>
        <v>2</v>
      </c>
      <c r="L19" s="1">
        <f t="shared" ref="L19:L21" si="57" xml:space="preserve"> IF(AND(LEN(ChartLines.ID)&gt;0,"Unused"&lt;&gt;ChartLines.ID), COUNTIFS(ChartLines.ID,ChartLines.ID,   ChartLines.RowNum,"&lt;="&amp;ChartLines.RowNum), "·")</f>
        <v>2</v>
      </c>
      <c r="M19" s="1" t="str" cm="1">
        <f t="array" ref="M19" xml:space="preserve"> _xlfn.IFS(OR(LEN(_xlfn.SINGLE(ChartLines.ID))=0,"Unused"=_xlfn.SINGLE(ChartLines.ID)), "·",   1=_xlfn.SINGLE(ChartLines.NumInstances), IF("USD"=_xlfn.SINGLE(ChartLines.ID), "SoleBig", "SoleOrdinary"),   1=_xlfn.SINGLE(ChartLines.InstanceNum), "Outer",   TRUE, "Inner")</f>
        <v>Inner</v>
      </c>
      <c r="N19" s="1">
        <f t="shared" ref="N19:N21" si="58" xml:space="preserve"> IF(LEN(ChartLines.Hex6)=6, HEX2DEC(LEFT(ChartLines.Hex6, 2)), "·")</f>
        <v>0</v>
      </c>
      <c r="O19" s="1">
        <f t="shared" ref="O19:O21" si="59" xml:space="preserve"> IF(LEN(ChartLines.Hex6)=6, HEX2DEC(MID(ChartLines.Hex6, 3, 2)), "·")</f>
        <v>0</v>
      </c>
      <c r="P19" s="1">
        <f t="shared" ref="P19:P21" si="60" xml:space="preserve"> IF(LEN(ChartLines.Hex6)=6, HEX2DEC(RIGHT(ChartLines.Hex6, 2)), "·")</f>
        <v>0</v>
      </c>
      <c r="Q19" s="1" cm="1">
        <f t="array" ref="Q19" xml:space="preserve"> 1 + ROW() - _xlfn.SINGLE(ROW(ChartLines.RowNum))</f>
        <v>14</v>
      </c>
      <c r="R19" s="1" t="str">
        <v>✓</v>
      </c>
      <c r="AB19" s="1" cm="1">
        <f t="array" ref="AB19" xml:space="preserve"> 1 + ROW() - _xlfn.SINGLE(ROW(AxisScaling.RowNum))</f>
        <v>14</v>
      </c>
      <c r="AC19" s="1">
        <v>2.5000000000000001E-2</v>
      </c>
      <c r="AD19" s="1">
        <v>5.0000000000000001E-3</v>
      </c>
    </row>
    <row r="20" spans="2:30" x14ac:dyDescent="0.2">
      <c r="B20" s="1" t="s">
        <v>56</v>
      </c>
      <c r="C20" s="1" t="str">
        <f t="shared" si="0"/>
        <v>IT</v>
      </c>
      <c r="D20" t="str">
        <v>✓</v>
      </c>
      <c r="H20" s="1" t="s">
        <v>505</v>
      </c>
      <c r="I20" s="1" t="s">
        <v>344</v>
      </c>
      <c r="K20" s="1">
        <f t="shared" si="56"/>
        <v>2</v>
      </c>
      <c r="L20" s="1">
        <f t="shared" si="57"/>
        <v>1</v>
      </c>
      <c r="M20" s="1" t="str" cm="1">
        <f t="array" ref="M20" xml:space="preserve"> _xlfn.IFS(OR(LEN(_xlfn.SINGLE(ChartLines.ID))=0,"Unused"=_xlfn.SINGLE(ChartLines.ID)), "·",   1=_xlfn.SINGLE(ChartLines.NumInstances), IF("USD"=_xlfn.SINGLE(ChartLines.ID), "SoleBig", "SoleOrdinary"),   1=_xlfn.SINGLE(ChartLines.InstanceNum), "Outer",   TRUE, "Inner")</f>
        <v>Outer</v>
      </c>
      <c r="N20" s="1">
        <f t="shared" si="58"/>
        <v>255</v>
      </c>
      <c r="O20" s="1">
        <f t="shared" si="59"/>
        <v>0</v>
      </c>
      <c r="P20" s="1">
        <f t="shared" si="60"/>
        <v>0</v>
      </c>
      <c r="Q20" s="1" cm="1">
        <f t="array" ref="Q20" xml:space="preserve"> 1 + ROW() - _xlfn.SINGLE(ROW(ChartLines.RowNum))</f>
        <v>15</v>
      </c>
      <c r="R20" s="1" t="str">
        <v>✓</v>
      </c>
      <c r="AB20" s="1" cm="1">
        <f t="array" ref="AB20" xml:space="preserve"> 1 + ROW() - _xlfn.SINGLE(ROW(AxisScaling.RowNum))</f>
        <v>15</v>
      </c>
      <c r="AC20" s="1">
        <v>0.05</v>
      </c>
      <c r="AD20" s="1">
        <v>0.01</v>
      </c>
    </row>
    <row r="21" spans="2:30" x14ac:dyDescent="0.2">
      <c r="B21" s="1" t="s">
        <v>73</v>
      </c>
      <c r="C21" s="1" t="str">
        <f t="shared" si="0"/>
        <v>ES</v>
      </c>
      <c r="D21" t="str">
        <v>✓</v>
      </c>
      <c r="H21" s="1" t="s">
        <v>505</v>
      </c>
      <c r="I21" s="1" t="str">
        <f xml:space="preserve"> "666666"</f>
        <v>666666</v>
      </c>
      <c r="K21" s="1">
        <f t="shared" si="56"/>
        <v>2</v>
      </c>
      <c r="L21" s="1">
        <f t="shared" si="57"/>
        <v>2</v>
      </c>
      <c r="M21" s="1" t="str" cm="1">
        <f t="array" ref="M21" xml:space="preserve"> _xlfn.IFS(OR(LEN(_xlfn.SINGLE(ChartLines.ID))=0,"Unused"=_xlfn.SINGLE(ChartLines.ID)), "·",   1=_xlfn.SINGLE(ChartLines.NumInstances), IF("USD"=_xlfn.SINGLE(ChartLines.ID), "SoleBig", "SoleOrdinary"),   1=_xlfn.SINGLE(ChartLines.InstanceNum), "Outer",   TRUE, "Inner")</f>
        <v>Inner</v>
      </c>
      <c r="N21" s="1">
        <f t="shared" si="58"/>
        <v>102</v>
      </c>
      <c r="O21" s="1">
        <f t="shared" si="59"/>
        <v>102</v>
      </c>
      <c r="P21" s="1">
        <f t="shared" si="60"/>
        <v>102</v>
      </c>
      <c r="Q21" s="1" cm="1">
        <f t="array" ref="Q21" xml:space="preserve"> 1 + ROW() - _xlfn.SINGLE(ROW(ChartLines.RowNum))</f>
        <v>16</v>
      </c>
      <c r="R21" s="1" t="str">
        <v>✓</v>
      </c>
      <c r="AB21" s="1" cm="1">
        <f t="array" ref="AB21" xml:space="preserve"> 1 + ROW() - _xlfn.SINGLE(ROW(AxisScaling.RowNum))</f>
        <v>16</v>
      </c>
      <c r="AC21" s="1">
        <v>0.1</v>
      </c>
      <c r="AD21" s="1">
        <v>2.5000000000000001E-2</v>
      </c>
    </row>
    <row r="22" spans="2:30" x14ac:dyDescent="0.2">
      <c r="B22" s="1" t="s">
        <v>74</v>
      </c>
      <c r="C22" s="1" t="str">
        <f t="shared" si="0"/>
        <v>NL</v>
      </c>
      <c r="D22" t="str">
        <v>✓</v>
      </c>
      <c r="H22" s="1" t="s">
        <v>67</v>
      </c>
      <c r="I22" s="1" t="s">
        <v>346</v>
      </c>
      <c r="K22" s="1">
        <f t="shared" ref="K22" si="61" xml:space="preserve"> IF(AND(LEN(ChartLines.ID)&gt;0,"Unused"&lt;&gt;ChartLines.ID), COUNTIFS(ChartLines.ID,ChartLines.ID), "·")</f>
        <v>2</v>
      </c>
      <c r="L22" s="1">
        <f t="shared" ref="L22" si="62" xml:space="preserve"> IF(AND(LEN(ChartLines.ID)&gt;0,"Unused"&lt;&gt;ChartLines.ID), COUNTIFS(ChartLines.ID,ChartLines.ID,   ChartLines.RowNum,"&lt;="&amp;ChartLines.RowNum), "·")</f>
        <v>1</v>
      </c>
      <c r="M22" s="1" t="str" cm="1">
        <f t="array" ref="M22" xml:space="preserve"> _xlfn.IFS(OR(LEN(_xlfn.SINGLE(ChartLines.ID))=0,"Unused"=_xlfn.SINGLE(ChartLines.ID)), "·",   1=_xlfn.SINGLE(ChartLines.NumInstances), IF("USD"=_xlfn.SINGLE(ChartLines.ID), "SoleBig", "SoleOrdinary"),   1=_xlfn.SINGLE(ChartLines.InstanceNum), "Outer",   TRUE, "Inner")</f>
        <v>Outer</v>
      </c>
      <c r="N22" s="1">
        <f t="shared" ref="N22" si="63" xml:space="preserve"> IF(LEN(ChartLines.Hex6)=6, HEX2DEC(LEFT(ChartLines.Hex6, 2)), "·")</f>
        <v>0</v>
      </c>
      <c r="O22" s="1">
        <f t="shared" ref="O22" si="64" xml:space="preserve"> IF(LEN(ChartLines.Hex6)=6, HEX2DEC(MID(ChartLines.Hex6, 3, 2)), "·")</f>
        <v>132</v>
      </c>
      <c r="P22" s="1">
        <f t="shared" ref="P22" si="65" xml:space="preserve"> IF(LEN(ChartLines.Hex6)=6, HEX2DEC(RIGHT(ChartLines.Hex6, 2)), "·")</f>
        <v>61</v>
      </c>
      <c r="Q22" s="1" cm="1">
        <f t="array" ref="Q22" xml:space="preserve"> 1 + ROW() - _xlfn.SINGLE(ROW(ChartLines.RowNum))</f>
        <v>17</v>
      </c>
      <c r="R22" s="1" t="str">
        <v>✓</v>
      </c>
      <c r="AB22" s="1" cm="1">
        <f t="array" ref="AB22" xml:space="preserve"> 1 + ROW() - _xlfn.SINGLE(ROW(AxisScaling.RowNum))</f>
        <v>17</v>
      </c>
      <c r="AC22" s="1">
        <v>0.25</v>
      </c>
      <c r="AD22" s="1">
        <v>0.05</v>
      </c>
    </row>
    <row r="23" spans="2:30" x14ac:dyDescent="0.2">
      <c r="B23" s="1" t="s">
        <v>75</v>
      </c>
      <c r="C23" s="1" t="str">
        <f t="shared" si="0"/>
        <v>BE</v>
      </c>
      <c r="D23" t="str">
        <v>✓</v>
      </c>
      <c r="H23" s="1" t="s">
        <v>67</v>
      </c>
      <c r="I23" s="1" t="s">
        <v>347</v>
      </c>
      <c r="K23" s="1">
        <f t="shared" ref="K23" si="66" xml:space="preserve"> IF(AND(LEN(ChartLines.ID)&gt;0,"Unused"&lt;&gt;ChartLines.ID), COUNTIFS(ChartLines.ID,ChartLines.ID), "·")</f>
        <v>2</v>
      </c>
      <c r="L23" s="1">
        <f t="shared" ref="L23" si="67" xml:space="preserve"> IF(AND(LEN(ChartLines.ID)&gt;0,"Unused"&lt;&gt;ChartLines.ID), COUNTIFS(ChartLines.ID,ChartLines.ID,   ChartLines.RowNum,"&lt;="&amp;ChartLines.RowNum), "·")</f>
        <v>2</v>
      </c>
      <c r="M23" s="1" t="str" cm="1">
        <f t="array" ref="M23" xml:space="preserve"> _xlfn.IFS(OR(LEN(_xlfn.SINGLE(ChartLines.ID))=0,"Unused"=_xlfn.SINGLE(ChartLines.ID)), "·",   1=_xlfn.SINGLE(ChartLines.NumInstances), IF("USD"=_xlfn.SINGLE(ChartLines.ID), "SoleBig", "SoleOrdinary"),   1=_xlfn.SINGLE(ChartLines.InstanceNum), "Outer",   TRUE, "Inner")</f>
        <v>Inner</v>
      </c>
      <c r="N23" s="1">
        <f t="shared" ref="N23" si="68" xml:space="preserve"> IF(LEN(ChartLines.Hex6)=6, HEX2DEC(LEFT(ChartLines.Hex6, 2)), "·")</f>
        <v>255</v>
      </c>
      <c r="O23" s="1">
        <f t="shared" ref="O23" si="69" xml:space="preserve"> IF(LEN(ChartLines.Hex6)=6, HEX2DEC(MID(ChartLines.Hex6, 3, 2)), "·")</f>
        <v>205</v>
      </c>
      <c r="P23" s="1">
        <f t="shared" ref="P23" si="70" xml:space="preserve"> IF(LEN(ChartLines.Hex6)=6, HEX2DEC(RIGHT(ChartLines.Hex6, 2)), "·")</f>
        <v>0</v>
      </c>
      <c r="Q23" s="1" cm="1">
        <f t="array" ref="Q23" xml:space="preserve"> 1 + ROW() - _xlfn.SINGLE(ROW(ChartLines.RowNum))</f>
        <v>18</v>
      </c>
      <c r="R23" s="1" t="str">
        <v>✓</v>
      </c>
      <c r="AB23" s="1" cm="1">
        <f t="array" ref="AB23" xml:space="preserve"> 1 + ROW() - _xlfn.SINGLE(ROW(AxisScaling.RowNum))</f>
        <v>18</v>
      </c>
      <c r="AC23" s="1">
        <v>0.5</v>
      </c>
      <c r="AD23" s="1">
        <v>0.1</v>
      </c>
    </row>
    <row r="24" spans="2:30" x14ac:dyDescent="0.2">
      <c r="B24" s="1" t="s">
        <v>76</v>
      </c>
      <c r="C24" s="1" t="str">
        <f t="shared" si="0"/>
        <v>AT</v>
      </c>
      <c r="D24" t="str">
        <v>✓</v>
      </c>
      <c r="H24" s="1" t="s">
        <v>68</v>
      </c>
      <c r="I24" s="1" t="str">
        <f xml:space="preserve"> "012169"</f>
        <v>012169</v>
      </c>
      <c r="K24" s="1">
        <f t="shared" ref="K24" si="71" xml:space="preserve"> IF(AND(LEN(ChartLines.ID)&gt;0,"Unused"&lt;&gt;ChartLines.ID), COUNTIFS(ChartLines.ID,ChartLines.ID), "·")</f>
        <v>2</v>
      </c>
      <c r="L24" s="1">
        <f t="shared" ref="L24" si="72" xml:space="preserve"> IF(AND(LEN(ChartLines.ID)&gt;0,"Unused"&lt;&gt;ChartLines.ID), COUNTIFS(ChartLines.ID,ChartLines.ID,   ChartLines.RowNum,"&lt;="&amp;ChartLines.RowNum), "·")</f>
        <v>1</v>
      </c>
      <c r="M24" s="1" t="str" cm="1">
        <f t="array" ref="M24" xml:space="preserve"> _xlfn.IFS(OR(LEN(_xlfn.SINGLE(ChartLines.ID))=0,"Unused"=_xlfn.SINGLE(ChartLines.ID)), "·",   1=_xlfn.SINGLE(ChartLines.NumInstances), IF("USD"=_xlfn.SINGLE(ChartLines.ID), "SoleBig", "SoleOrdinary"),   1=_xlfn.SINGLE(ChartLines.InstanceNum), "Outer",   TRUE, "Inner")</f>
        <v>Outer</v>
      </c>
      <c r="N24" s="1">
        <f t="shared" ref="N24" si="73" xml:space="preserve"> IF(LEN(ChartLines.Hex6)=6, HEX2DEC(LEFT(ChartLines.Hex6, 2)), "·")</f>
        <v>1</v>
      </c>
      <c r="O24" s="1">
        <f t="shared" ref="O24" si="74" xml:space="preserve"> IF(LEN(ChartLines.Hex6)=6, HEX2DEC(MID(ChartLines.Hex6, 3, 2)), "·")</f>
        <v>33</v>
      </c>
      <c r="P24" s="1">
        <f t="shared" ref="P24" si="75" xml:space="preserve"> IF(LEN(ChartLines.Hex6)=6, HEX2DEC(RIGHT(ChartLines.Hex6, 2)), "·")</f>
        <v>105</v>
      </c>
      <c r="Q24" s="1" cm="1">
        <f t="array" ref="Q24" xml:space="preserve"> 1 + ROW() - _xlfn.SINGLE(ROW(ChartLines.RowNum))</f>
        <v>19</v>
      </c>
      <c r="R24" s="1" t="str">
        <v>✓</v>
      </c>
      <c r="AB24" s="1" cm="1">
        <f t="array" ref="AB24" xml:space="preserve"> 1 + ROW() - _xlfn.SINGLE(ROW(AxisScaling.RowNum))</f>
        <v>19</v>
      </c>
      <c r="AC24" s="1">
        <v>1</v>
      </c>
      <c r="AD24" s="1">
        <v>0.25</v>
      </c>
    </row>
    <row r="25" spans="2:30" x14ac:dyDescent="0.2">
      <c r="B25" s="1" t="s">
        <v>77</v>
      </c>
      <c r="C25" s="1" t="str">
        <f t="shared" si="0"/>
        <v>FI</v>
      </c>
      <c r="D25" t="str">
        <v>✓</v>
      </c>
      <c r="H25" s="1" t="s">
        <v>68</v>
      </c>
      <c r="I25" s="1" t="s">
        <v>348</v>
      </c>
      <c r="K25" s="1">
        <f t="shared" ref="K25" si="76" xml:space="preserve"> IF(AND(LEN(ChartLines.ID)&gt;0,"Unused"&lt;&gt;ChartLines.ID), COUNTIFS(ChartLines.ID,ChartLines.ID), "·")</f>
        <v>2</v>
      </c>
      <c r="L25" s="1">
        <f t="shared" ref="L25" si="77" xml:space="preserve"> IF(AND(LEN(ChartLines.ID)&gt;0,"Unused"&lt;&gt;ChartLines.ID), COUNTIFS(ChartLines.ID,ChartLines.ID,   ChartLines.RowNum,"&lt;="&amp;ChartLines.RowNum), "·")</f>
        <v>2</v>
      </c>
      <c r="M25" s="1" t="str" cm="1">
        <f t="array" ref="M25" xml:space="preserve"> _xlfn.IFS(OR(LEN(_xlfn.SINGLE(ChartLines.ID))=0,"Unused"=_xlfn.SINGLE(ChartLines.ID)), "·",   1=_xlfn.SINGLE(ChartLines.NumInstances), IF("USD"=_xlfn.SINGLE(ChartLines.ID), "SoleBig", "SoleOrdinary"),   1=_xlfn.SINGLE(ChartLines.InstanceNum), "Outer",   TRUE, "Inner")</f>
        <v>Inner</v>
      </c>
      <c r="N25" s="1">
        <f t="shared" ref="N25" si="78" xml:space="preserve"> IF(LEN(ChartLines.Hex6)=6, HEX2DEC(LEFT(ChartLines.Hex6, 2)), "·")</f>
        <v>200</v>
      </c>
      <c r="O25" s="1">
        <f t="shared" ref="O25" si="79" xml:space="preserve"> IF(LEN(ChartLines.Hex6)=6, HEX2DEC(MID(ChartLines.Hex6, 3, 2)), "·")</f>
        <v>16</v>
      </c>
      <c r="P25" s="1">
        <f t="shared" ref="P25" si="80" xml:space="preserve"> IF(LEN(ChartLines.Hex6)=6, HEX2DEC(RIGHT(ChartLines.Hex6, 2)), "·")</f>
        <v>46</v>
      </c>
      <c r="Q25" s="1" cm="1">
        <f t="array" ref="Q25" xml:space="preserve"> 1 + ROW() - _xlfn.SINGLE(ROW(ChartLines.RowNum))</f>
        <v>20</v>
      </c>
      <c r="R25" s="1" t="str">
        <v>✓</v>
      </c>
      <c r="AB25" s="1" cm="1">
        <f t="array" ref="AB25" xml:space="preserve"> 1 + ROW() - _xlfn.SINGLE(ROW(AxisScaling.RowNum))</f>
        <v>20</v>
      </c>
      <c r="AC25" s="1">
        <v>2</v>
      </c>
      <c r="AD25" s="1">
        <v>0.5</v>
      </c>
    </row>
    <row r="26" spans="2:30" x14ac:dyDescent="0.2">
      <c r="B26" s="1" t="s">
        <v>78</v>
      </c>
      <c r="C26" s="1" t="str">
        <f t="shared" si="0"/>
        <v>GR</v>
      </c>
      <c r="D26" t="str">
        <v>✓</v>
      </c>
      <c r="H26" s="1" t="s">
        <v>69</v>
      </c>
      <c r="I26" s="1" t="str">
        <f xml:space="preserve"> "004B87"</f>
        <v>004B87</v>
      </c>
      <c r="K26" s="1">
        <f t="shared" ref="K26" si="81" xml:space="preserve"> IF(AND(LEN(ChartLines.ID)&gt;0,"Unused"&lt;&gt;ChartLines.ID), COUNTIFS(ChartLines.ID,ChartLines.ID), "·")</f>
        <v>2</v>
      </c>
      <c r="L26" s="1">
        <f t="shared" ref="L26" si="82" xml:space="preserve"> IF(AND(LEN(ChartLines.ID)&gt;0,"Unused"&lt;&gt;ChartLines.ID), COUNTIFS(ChartLines.ID,ChartLines.ID,   ChartLines.RowNum,"&lt;="&amp;ChartLines.RowNum), "·")</f>
        <v>1</v>
      </c>
      <c r="M26" s="1" t="str" cm="1">
        <f t="array" ref="M26" xml:space="preserve"> _xlfn.IFS(OR(LEN(_xlfn.SINGLE(ChartLines.ID))=0,"Unused"=_xlfn.SINGLE(ChartLines.ID)), "·",   1=_xlfn.SINGLE(ChartLines.NumInstances), IF("USD"=_xlfn.SINGLE(ChartLines.ID), "SoleBig", "SoleOrdinary"),   1=_xlfn.SINGLE(ChartLines.InstanceNum), "Outer",   TRUE, "Inner")</f>
        <v>Outer</v>
      </c>
      <c r="N26" s="1">
        <f t="shared" ref="N26" si="83" xml:space="preserve"> IF(LEN(ChartLines.Hex6)=6, HEX2DEC(LEFT(ChartLines.Hex6, 2)), "·")</f>
        <v>0</v>
      </c>
      <c r="O26" s="1">
        <f t="shared" ref="O26" si="84" xml:space="preserve"> IF(LEN(ChartLines.Hex6)=6, HEX2DEC(MID(ChartLines.Hex6, 3, 2)), "·")</f>
        <v>75</v>
      </c>
      <c r="P26" s="1">
        <f t="shared" ref="P26" si="85" xml:space="preserve"> IF(LEN(ChartLines.Hex6)=6, HEX2DEC(RIGHT(ChartLines.Hex6, 2)), "·")</f>
        <v>135</v>
      </c>
      <c r="Q26" s="1" cm="1">
        <f t="array" ref="Q26" xml:space="preserve"> 1 + ROW() - _xlfn.SINGLE(ROW(ChartLines.RowNum))</f>
        <v>21</v>
      </c>
      <c r="R26" s="1" t="str">
        <v>✓</v>
      </c>
      <c r="AB26" s="1" cm="1">
        <f t="array" ref="AB26" xml:space="preserve"> 1 + ROW() - _xlfn.SINGLE(ROW(AxisScaling.RowNum))</f>
        <v>21</v>
      </c>
      <c r="AC26" s="1">
        <v>5</v>
      </c>
      <c r="AD26" s="1">
        <v>1</v>
      </c>
    </row>
    <row r="27" spans="2:30" x14ac:dyDescent="0.2">
      <c r="B27" s="1" t="s">
        <v>79</v>
      </c>
      <c r="C27" s="1" t="str">
        <f t="shared" si="0"/>
        <v>PT</v>
      </c>
      <c r="D27" t="str">
        <v>✓</v>
      </c>
      <c r="H27" s="1" t="s">
        <v>69</v>
      </c>
      <c r="I27" s="1" t="s">
        <v>349</v>
      </c>
      <c r="K27" s="1">
        <f t="shared" ref="K27" si="86" xml:space="preserve"> IF(AND(LEN(ChartLines.ID)&gt;0,"Unused"&lt;&gt;ChartLines.ID), COUNTIFS(ChartLines.ID,ChartLines.ID), "·")</f>
        <v>2</v>
      </c>
      <c r="L27" s="1">
        <f t="shared" ref="L27" si="87" xml:space="preserve"> IF(AND(LEN(ChartLines.ID)&gt;0,"Unused"&lt;&gt;ChartLines.ID), COUNTIFS(ChartLines.ID,ChartLines.ID,   ChartLines.RowNum,"&lt;="&amp;ChartLines.RowNum), "·")</f>
        <v>2</v>
      </c>
      <c r="M27" s="1" t="str" cm="1">
        <f t="array" ref="M27" xml:space="preserve"> _xlfn.IFS(OR(LEN(_xlfn.SINGLE(ChartLines.ID))=0,"Unused"=_xlfn.SINGLE(ChartLines.ID)), "·",   1=_xlfn.SINGLE(ChartLines.NumInstances), IF("USD"=_xlfn.SINGLE(ChartLines.ID), "SoleBig", "SoleOrdinary"),   1=_xlfn.SINGLE(ChartLines.InstanceNum), "Outer",   TRUE, "Inner")</f>
        <v>Inner</v>
      </c>
      <c r="N27" s="1">
        <f t="shared" ref="N27" si="88" xml:space="preserve"> IF(LEN(ChartLines.Hex6)=6, HEX2DEC(LEFT(ChartLines.Hex6, 2)), "·")</f>
        <v>255</v>
      </c>
      <c r="O27" s="1">
        <f t="shared" ref="O27" si="89" xml:space="preserve"> IF(LEN(ChartLines.Hex6)=6, HEX2DEC(MID(ChartLines.Hex6, 3, 2)), "·")</f>
        <v>209</v>
      </c>
      <c r="P27" s="1">
        <f t="shared" ref="P27" si="90" xml:space="preserve"> IF(LEN(ChartLines.Hex6)=6, HEX2DEC(RIGHT(ChartLines.Hex6, 2)), "·")</f>
        <v>0</v>
      </c>
      <c r="Q27" s="1" cm="1">
        <f t="array" ref="Q27" xml:space="preserve"> 1 + ROW() - _xlfn.SINGLE(ROW(ChartLines.RowNum))</f>
        <v>22</v>
      </c>
      <c r="R27" s="1" t="str">
        <v>✓</v>
      </c>
      <c r="AB27" s="1" cm="1">
        <f t="array" ref="AB27" xml:space="preserve"> 1 + ROW() - _xlfn.SINGLE(ROW(AxisScaling.RowNum))</f>
        <v>22</v>
      </c>
      <c r="AC27" s="1">
        <v>10</v>
      </c>
      <c r="AD27" s="1">
        <v>2</v>
      </c>
    </row>
    <row r="28" spans="2:30" x14ac:dyDescent="0.2">
      <c r="B28" s="1" t="s">
        <v>80</v>
      </c>
      <c r="C28" s="1" t="str">
        <f t="shared" si="0"/>
        <v>IE</v>
      </c>
      <c r="D28" t="str">
        <v>✓</v>
      </c>
      <c r="H28" s="1" t="s">
        <v>70</v>
      </c>
      <c r="I28" s="1" t="s">
        <v>350</v>
      </c>
      <c r="K28" s="1">
        <f t="shared" ref="K28" si="91" xml:space="preserve"> IF(AND(LEN(ChartLines.ID)&gt;0,"Unused"&lt;&gt;ChartLines.ID), COUNTIFS(ChartLines.ID,ChartLines.ID), "·")</f>
        <v>2</v>
      </c>
      <c r="L28" s="1">
        <f t="shared" ref="L28" si="92" xml:space="preserve"> IF(AND(LEN(ChartLines.ID)&gt;0,"Unused"&lt;&gt;ChartLines.ID), COUNTIFS(ChartLines.ID,ChartLines.ID,   ChartLines.RowNum,"&lt;="&amp;ChartLines.RowNum), "·")</f>
        <v>1</v>
      </c>
      <c r="M28" s="1" t="str" cm="1">
        <f t="array" ref="M28" xml:space="preserve"> _xlfn.IFS(OR(LEN(_xlfn.SINGLE(ChartLines.ID))=0,"Unused"=_xlfn.SINGLE(ChartLines.ID)), "·",   1=_xlfn.SINGLE(ChartLines.NumInstances), IF("USD"=_xlfn.SINGLE(ChartLines.ID), "SoleBig", "SoleOrdinary"),   1=_xlfn.SINGLE(ChartLines.InstanceNum), "Outer",   TRUE, "Inner")</f>
        <v>Outer</v>
      </c>
      <c r="N28" s="1">
        <f t="shared" ref="N28" si="93" xml:space="preserve"> IF(LEN(ChartLines.Hex6)=6, HEX2DEC(LEFT(ChartLines.Hex6, 2)), "·")</f>
        <v>186</v>
      </c>
      <c r="O28" s="1">
        <f t="shared" ref="O28" si="94" xml:space="preserve"> IF(LEN(ChartLines.Hex6)=6, HEX2DEC(MID(ChartLines.Hex6, 3, 2)), "·")</f>
        <v>12</v>
      </c>
      <c r="P28" s="1">
        <f t="shared" ref="P28" si="95" xml:space="preserve"> IF(LEN(ChartLines.Hex6)=6, HEX2DEC(RIGHT(ChartLines.Hex6, 2)), "·")</f>
        <v>47</v>
      </c>
      <c r="Q28" s="1" cm="1">
        <f t="array" ref="Q28" xml:space="preserve"> 1 + ROW() - _xlfn.SINGLE(ROW(ChartLines.RowNum))</f>
        <v>23</v>
      </c>
      <c r="R28" s="1" t="str">
        <v>✓</v>
      </c>
      <c r="AB28" s="1" cm="1">
        <f t="array" ref="AB28" xml:space="preserve"> 1 + ROW() - _xlfn.SINGLE(ROW(AxisScaling.RowNum))</f>
        <v>23</v>
      </c>
      <c r="AC28" s="1">
        <v>25</v>
      </c>
      <c r="AD28" s="1">
        <v>5</v>
      </c>
    </row>
    <row r="29" spans="2:30" x14ac:dyDescent="0.2">
      <c r="B29" s="1" t="s">
        <v>57</v>
      </c>
      <c r="C29" s="1" t="str">
        <f t="shared" si="0"/>
        <v>SK</v>
      </c>
      <c r="D29" t="str">
        <v>✓</v>
      </c>
      <c r="H29" s="1" t="s">
        <v>70</v>
      </c>
      <c r="I29" s="1" t="s">
        <v>351</v>
      </c>
      <c r="K29" s="1">
        <f t="shared" ref="K29" si="96" xml:space="preserve"> IF(AND(LEN(ChartLines.ID)&gt;0,"Unused"&lt;&gt;ChartLines.ID), COUNTIFS(ChartLines.ID,ChartLines.ID), "·")</f>
        <v>2</v>
      </c>
      <c r="L29" s="1">
        <f t="shared" ref="L29" si="97" xml:space="preserve"> IF(AND(LEN(ChartLines.ID)&gt;0,"Unused"&lt;&gt;ChartLines.ID), COUNTIFS(ChartLines.ID,ChartLines.ID,   ChartLines.RowNum,"&lt;="&amp;ChartLines.RowNum), "·")</f>
        <v>2</v>
      </c>
      <c r="M29" s="1" t="str" cm="1">
        <f t="array" ref="M29" xml:space="preserve"> _xlfn.IFS(OR(LEN(_xlfn.SINGLE(ChartLines.ID))=0,"Unused"=_xlfn.SINGLE(ChartLines.ID)), "·",   1=_xlfn.SINGLE(ChartLines.NumInstances), IF("USD"=_xlfn.SINGLE(ChartLines.ID), "SoleBig", "SoleOrdinary"),   1=_xlfn.SINGLE(ChartLines.InstanceNum), "Outer",   TRUE, "Inner")</f>
        <v>Inner</v>
      </c>
      <c r="N29" s="1">
        <f t="shared" ref="N29" si="98" xml:space="preserve"> IF(LEN(ChartLines.Hex6)=6, HEX2DEC(LEFT(ChartLines.Hex6, 2)), "·")</f>
        <v>0</v>
      </c>
      <c r="O29" s="1">
        <f t="shared" ref="O29" si="99" xml:space="preserve"> IF(LEN(ChartLines.Hex6)=6, HEX2DEC(MID(ChartLines.Hex6, 3, 2)), "·")</f>
        <v>32</v>
      </c>
      <c r="P29" s="1">
        <f t="shared" ref="P29" si="100" xml:space="preserve"> IF(LEN(ChartLines.Hex6)=6, HEX2DEC(RIGHT(ChartLines.Hex6, 2)), "·")</f>
        <v>91</v>
      </c>
      <c r="Q29" s="1" cm="1">
        <f t="array" ref="Q29" xml:space="preserve"> 1 + ROW() - _xlfn.SINGLE(ROW(ChartLines.RowNum))</f>
        <v>24</v>
      </c>
      <c r="R29" s="1" t="str">
        <v>✓</v>
      </c>
      <c r="AB29" s="1" cm="1">
        <f t="array" ref="AB29" xml:space="preserve"> 1 + ROW() - _xlfn.SINGLE(ROW(AxisScaling.RowNum))</f>
        <v>24</v>
      </c>
      <c r="AC29" s="1">
        <v>50</v>
      </c>
      <c r="AD29" s="1">
        <v>10</v>
      </c>
    </row>
    <row r="30" spans="2:30" x14ac:dyDescent="0.2">
      <c r="B30" s="1" t="s">
        <v>81</v>
      </c>
      <c r="C30" s="1" t="str">
        <f t="shared" si="0"/>
        <v>SI</v>
      </c>
      <c r="D30" t="str">
        <v>✓</v>
      </c>
      <c r="K30" s="1" t="str">
        <f t="shared" ref="K30" si="101" xml:space="preserve"> IF(AND(LEN(ChartLines.ID)&gt;0,"Unused"&lt;&gt;ChartLines.ID), COUNTIFS(ChartLines.ID,ChartLines.ID), "·")</f>
        <v>·</v>
      </c>
      <c r="L30" s="1" t="str">
        <f t="shared" ref="L30" si="102" xml:space="preserve"> IF(AND(LEN(ChartLines.ID)&gt;0,"Unused"&lt;&gt;ChartLines.ID), COUNTIFS(ChartLines.ID,ChartLines.ID,   ChartLines.RowNum,"&lt;="&amp;ChartLines.RowNum), "·")</f>
        <v>·</v>
      </c>
      <c r="M30" s="1" t="str" cm="1">
        <f t="array" ref="M30" xml:space="preserve"> _xlfn.IFS(OR(LEN(_xlfn.SINGLE(ChartLines.ID))=0,"Unused"=_xlfn.SINGLE(ChartLines.ID)), "·",   1=_xlfn.SINGLE(ChartLines.NumInstances), IF("USD"=_xlfn.SINGLE(ChartLines.ID), "SoleBig", "SoleOrdinary"),   1=_xlfn.SINGLE(ChartLines.InstanceNum), "Outer",   TRUE, "Inner")</f>
        <v>·</v>
      </c>
      <c r="N30" s="1" t="str">
        <f t="shared" ref="N30" si="103" xml:space="preserve"> IF(LEN(ChartLines.Hex6)=6, HEX2DEC(LEFT(ChartLines.Hex6, 2)), "·")</f>
        <v>·</v>
      </c>
      <c r="O30" s="1" t="str">
        <f t="shared" ref="O30" si="104" xml:space="preserve"> IF(LEN(ChartLines.Hex6)=6, HEX2DEC(MID(ChartLines.Hex6, 3, 2)), "·")</f>
        <v>·</v>
      </c>
      <c r="P30" s="1" t="str">
        <f t="shared" ref="P30" si="105" xml:space="preserve"> IF(LEN(ChartLines.Hex6)=6, HEX2DEC(RIGHT(ChartLines.Hex6, 2)), "·")</f>
        <v>·</v>
      </c>
      <c r="Q30" s="1" cm="1">
        <f t="array" ref="Q30" xml:space="preserve"> 1 + ROW() - _xlfn.SINGLE(ROW(ChartLines.RowNum))</f>
        <v>25</v>
      </c>
      <c r="R30" s="1" t="str">
        <v>·</v>
      </c>
      <c r="AB30" s="1" cm="1">
        <f t="array" ref="AB30" xml:space="preserve"> 1 + ROW() - _xlfn.SINGLE(ROW(AxisScaling.RowNum))</f>
        <v>25</v>
      </c>
      <c r="AC30" s="1">
        <v>100</v>
      </c>
      <c r="AD30" s="1">
        <v>25</v>
      </c>
    </row>
    <row r="31" spans="2:30" x14ac:dyDescent="0.2">
      <c r="B31" s="1" t="s">
        <v>82</v>
      </c>
      <c r="C31" s="1" t="str">
        <f t="shared" si="0"/>
        <v>LU</v>
      </c>
      <c r="D31" t="str">
        <v>✓</v>
      </c>
      <c r="H31" s="1" t="s">
        <v>71</v>
      </c>
      <c r="I31" s="1" t="s">
        <v>342</v>
      </c>
      <c r="K31" s="1">
        <f t="shared" ref="K31" si="106" xml:space="preserve"> IF(AND(LEN(ChartLines.ID)&gt;0,"Unused"&lt;&gt;ChartLines.ID), COUNTIFS(ChartLines.ID,ChartLines.ID), "·")</f>
        <v>2</v>
      </c>
      <c r="L31" s="1">
        <f t="shared" ref="L31" si="107" xml:space="preserve"> IF(AND(LEN(ChartLines.ID)&gt;0,"Unused"&lt;&gt;ChartLines.ID), COUNTIFS(ChartLines.ID,ChartLines.ID,   ChartLines.RowNum,"&lt;="&amp;ChartLines.RowNum), "·")</f>
        <v>1</v>
      </c>
      <c r="M31" s="1" t="str" cm="1">
        <f t="array" ref="M31" xml:space="preserve"> _xlfn.IFS(OR(LEN(_xlfn.SINGLE(ChartLines.ID))=0,"Unused"=_xlfn.SINGLE(ChartLines.ID)), "·",   1=_xlfn.SINGLE(ChartLines.NumInstances), IF("USD"=_xlfn.SINGLE(ChartLines.ID), "SoleBig", "SoleOrdinary"),   1=_xlfn.SINGLE(ChartLines.InstanceNum), "Outer",   TRUE, "Inner")</f>
        <v>Outer</v>
      </c>
      <c r="N31" s="1">
        <f t="shared" ref="N31" si="108" xml:space="preserve"> IF(LEN(ChartLines.Hex6)=6, HEX2DEC(LEFT(ChartLines.Hex6, 2)), "·")</f>
        <v>255</v>
      </c>
      <c r="O31" s="1">
        <f t="shared" ref="O31" si="109" xml:space="preserve"> IF(LEN(ChartLines.Hex6)=6, HEX2DEC(MID(ChartLines.Hex6, 3, 2)), "·")</f>
        <v>51</v>
      </c>
      <c r="P31" s="1">
        <f t="shared" ref="P31" si="110" xml:space="preserve"> IF(LEN(ChartLines.Hex6)=6, HEX2DEC(RIGHT(ChartLines.Hex6, 2)), "·")</f>
        <v>255</v>
      </c>
      <c r="Q31" s="1" cm="1">
        <f t="array" ref="Q31" xml:space="preserve"> 1 + ROW() - _xlfn.SINGLE(ROW(ChartLines.RowNum))</f>
        <v>26</v>
      </c>
      <c r="R31" s="1" t="str">
        <v>✘✘✘</v>
      </c>
      <c r="AB31" s="1" cm="1">
        <f t="array" ref="AB31" xml:space="preserve"> 1 + ROW() - _xlfn.SINGLE(ROW(AxisScaling.RowNum))</f>
        <v>26</v>
      </c>
      <c r="AC31" s="1">
        <v>250</v>
      </c>
      <c r="AD31" s="1">
        <v>50</v>
      </c>
    </row>
    <row r="32" spans="2:30" x14ac:dyDescent="0.2">
      <c r="B32" s="1" t="s">
        <v>83</v>
      </c>
      <c r="C32" s="1" t="str">
        <f t="shared" si="0"/>
        <v>HR</v>
      </c>
      <c r="D32" t="str">
        <v>✓</v>
      </c>
      <c r="H32" s="1" t="s">
        <v>71</v>
      </c>
      <c r="I32" s="1" t="s">
        <v>345</v>
      </c>
      <c r="K32" s="1">
        <f t="shared" ref="K32:K75" si="111" xml:space="preserve"> IF(AND(LEN(ChartLines.ID)&gt;0,"Unused"&lt;&gt;ChartLines.ID), COUNTIFS(ChartLines.ID,ChartLines.ID), "·")</f>
        <v>2</v>
      </c>
      <c r="L32" s="1">
        <f t="shared" ref="L32:L75" si="112" xml:space="preserve"> IF(AND(LEN(ChartLines.ID)&gt;0,"Unused"&lt;&gt;ChartLines.ID), COUNTIFS(ChartLines.ID,ChartLines.ID,   ChartLines.RowNum,"&lt;="&amp;ChartLines.RowNum), "·")</f>
        <v>2</v>
      </c>
      <c r="M32" s="1" t="str" cm="1">
        <f t="array" ref="M32" xml:space="preserve"> _xlfn.IFS(OR(LEN(_xlfn.SINGLE(ChartLines.ID))=0,"Unused"=_xlfn.SINGLE(ChartLines.ID)), "·",   1=_xlfn.SINGLE(ChartLines.NumInstances), IF("USD"=_xlfn.SINGLE(ChartLines.ID), "SoleBig", "SoleOrdinary"),   1=_xlfn.SINGLE(ChartLines.InstanceNum), "Outer",   TRUE, "Inner")</f>
        <v>Inner</v>
      </c>
      <c r="N32" s="1">
        <f t="shared" ref="N32:N75" si="113" xml:space="preserve"> IF(LEN(ChartLines.Hex6)=6, HEX2DEC(LEFT(ChartLines.Hex6, 2)), "·")</f>
        <v>255</v>
      </c>
      <c r="O32" s="1">
        <f t="shared" ref="O32:O75" si="114" xml:space="preserve"> IF(LEN(ChartLines.Hex6)=6, HEX2DEC(MID(ChartLines.Hex6, 3, 2)), "·")</f>
        <v>255</v>
      </c>
      <c r="P32" s="1">
        <f t="shared" ref="P32:P75" si="115" xml:space="preserve"> IF(LEN(ChartLines.Hex6)=6, HEX2DEC(RIGHT(ChartLines.Hex6, 2)), "·")</f>
        <v>255</v>
      </c>
      <c r="Q32" s="1" cm="1">
        <f t="array" ref="Q32" xml:space="preserve"> 1 + ROW() - _xlfn.SINGLE(ROW(ChartLines.RowNum))</f>
        <v>27</v>
      </c>
      <c r="R32" s="1" t="str">
        <v>✘✘✘</v>
      </c>
      <c r="AB32" s="1" cm="1">
        <f t="array" ref="AB32" xml:space="preserve"> 1 + ROW() - _xlfn.SINGLE(ROW(AxisScaling.RowNum))</f>
        <v>27</v>
      </c>
      <c r="AC32" s="1">
        <v>500</v>
      </c>
      <c r="AD32" s="1">
        <v>100</v>
      </c>
    </row>
    <row r="33" spans="2:30" x14ac:dyDescent="0.2">
      <c r="B33" s="1" t="s">
        <v>84</v>
      </c>
      <c r="C33" s="1" t="str">
        <f t="shared" si="0"/>
        <v>LT</v>
      </c>
      <c r="D33" t="str">
        <v>✓</v>
      </c>
      <c r="H33" s="1" t="s">
        <v>72</v>
      </c>
      <c r="I33" s="1" t="str">
        <f xml:space="preserve"> "000000"</f>
        <v>000000</v>
      </c>
      <c r="K33" s="1">
        <f t="shared" si="111"/>
        <v>2</v>
      </c>
      <c r="L33" s="1">
        <f t="shared" si="112"/>
        <v>1</v>
      </c>
      <c r="M33" s="1" t="str" cm="1">
        <f t="array" ref="M33" xml:space="preserve"> _xlfn.IFS(OR(LEN(_xlfn.SINGLE(ChartLines.ID))=0,"Unused"=_xlfn.SINGLE(ChartLines.ID)), "·",   1=_xlfn.SINGLE(ChartLines.NumInstances), IF("USD"=_xlfn.SINGLE(ChartLines.ID), "SoleBig", "SoleOrdinary"),   1=_xlfn.SINGLE(ChartLines.InstanceNum), "Outer",   TRUE, "Inner")</f>
        <v>Outer</v>
      </c>
      <c r="N33" s="1">
        <f t="shared" si="113"/>
        <v>0</v>
      </c>
      <c r="O33" s="1">
        <f t="shared" si="114"/>
        <v>0</v>
      </c>
      <c r="P33" s="1">
        <f t="shared" si="115"/>
        <v>0</v>
      </c>
      <c r="Q33" s="1" cm="1">
        <f t="array" ref="Q33" xml:space="preserve"> 1 + ROW() - _xlfn.SINGLE(ROW(ChartLines.RowNum))</f>
        <v>28</v>
      </c>
      <c r="R33" s="1" t="str">
        <v>✓</v>
      </c>
      <c r="AB33" s="1" cm="1">
        <f t="array" ref="AB33" xml:space="preserve"> 1 + ROW() - _xlfn.SINGLE(ROW(AxisScaling.RowNum))</f>
        <v>28</v>
      </c>
      <c r="AC33" s="1">
        <v>1000</v>
      </c>
      <c r="AD33" s="1">
        <v>250</v>
      </c>
    </row>
    <row r="34" spans="2:30" x14ac:dyDescent="0.2">
      <c r="B34" s="1" t="s">
        <v>85</v>
      </c>
      <c r="C34" s="1" t="str">
        <f t="shared" si="0"/>
        <v>LV</v>
      </c>
      <c r="D34" t="str">
        <v>✓</v>
      </c>
      <c r="H34" s="1" t="s">
        <v>72</v>
      </c>
      <c r="I34" s="1" t="s">
        <v>342</v>
      </c>
      <c r="K34" s="1">
        <f t="shared" si="111"/>
        <v>2</v>
      </c>
      <c r="L34" s="1">
        <f t="shared" si="112"/>
        <v>2</v>
      </c>
      <c r="M34" s="1" t="str" cm="1">
        <f t="array" ref="M34" xml:space="preserve"> _xlfn.IFS(OR(LEN(_xlfn.SINGLE(ChartLines.ID))=0,"Unused"=_xlfn.SINGLE(ChartLines.ID)), "·",   1=_xlfn.SINGLE(ChartLines.NumInstances), IF("USD"=_xlfn.SINGLE(ChartLines.ID), "SoleBig", "SoleOrdinary"),   1=_xlfn.SINGLE(ChartLines.InstanceNum), "Outer",   TRUE, "Inner")</f>
        <v>Inner</v>
      </c>
      <c r="N34" s="1">
        <f t="shared" si="113"/>
        <v>255</v>
      </c>
      <c r="O34" s="1">
        <f t="shared" si="114"/>
        <v>51</v>
      </c>
      <c r="P34" s="1">
        <f t="shared" si="115"/>
        <v>255</v>
      </c>
      <c r="Q34" s="1" cm="1">
        <f t="array" ref="Q34" xml:space="preserve"> 1 + ROW() - _xlfn.SINGLE(ROW(ChartLines.RowNum))</f>
        <v>29</v>
      </c>
      <c r="R34" s="1" t="str">
        <v>✓</v>
      </c>
      <c r="AB34" s="1" cm="1">
        <f t="array" ref="AB34" xml:space="preserve"> 1 + ROW() - _xlfn.SINGLE(ROW(AxisScaling.RowNum))</f>
        <v>29</v>
      </c>
      <c r="AC34" s="1">
        <v>2500</v>
      </c>
      <c r="AD34" s="1">
        <v>500</v>
      </c>
    </row>
    <row r="35" spans="2:30" x14ac:dyDescent="0.2">
      <c r="B35" s="1" t="s">
        <v>86</v>
      </c>
      <c r="C35" s="1" t="str">
        <f t="shared" si="0"/>
        <v>EE</v>
      </c>
      <c r="D35" t="str">
        <v>✓</v>
      </c>
      <c r="H35" s="1" t="s">
        <v>54</v>
      </c>
      <c r="I35" s="1" t="str">
        <f xml:space="preserve"> "000000"</f>
        <v>000000</v>
      </c>
      <c r="K35" s="1">
        <f t="shared" si="111"/>
        <v>2</v>
      </c>
      <c r="L35" s="1">
        <f t="shared" si="112"/>
        <v>1</v>
      </c>
      <c r="M35" s="1" t="str" cm="1">
        <f t="array" ref="M35" xml:space="preserve"> _xlfn.IFS(OR(LEN(_xlfn.SINGLE(ChartLines.ID))=0,"Unused"=_xlfn.SINGLE(ChartLines.ID)), "·",   1=_xlfn.SINGLE(ChartLines.NumInstances), IF("USD"=_xlfn.SINGLE(ChartLines.ID), "SoleBig", "SoleOrdinary"),   1=_xlfn.SINGLE(ChartLines.InstanceNum), "Outer",   TRUE, "Inner")</f>
        <v>Outer</v>
      </c>
      <c r="N35" s="1">
        <f t="shared" si="113"/>
        <v>0</v>
      </c>
      <c r="O35" s="1">
        <f t="shared" si="114"/>
        <v>0</v>
      </c>
      <c r="P35" s="1">
        <f t="shared" si="115"/>
        <v>0</v>
      </c>
      <c r="Q35" s="1" cm="1">
        <f t="array" ref="Q35" xml:space="preserve"> 1 + ROW() - _xlfn.SINGLE(ROW(ChartLines.RowNum))</f>
        <v>30</v>
      </c>
      <c r="R35" s="1" t="str">
        <v>✓</v>
      </c>
      <c r="AB35" s="1" cm="1">
        <f t="array" ref="AB35" xml:space="preserve"> 1 + ROW() - _xlfn.SINGLE(ROW(AxisScaling.RowNum))</f>
        <v>30</v>
      </c>
      <c r="AC35" s="1">
        <v>5000</v>
      </c>
      <c r="AD35" s="1">
        <v>1000</v>
      </c>
    </row>
    <row r="36" spans="2:30" x14ac:dyDescent="0.2">
      <c r="B36" s="1" t="s">
        <v>87</v>
      </c>
      <c r="C36" s="1" t="str">
        <f t="shared" si="0"/>
        <v>CY</v>
      </c>
      <c r="D36" t="str">
        <v>✓</v>
      </c>
      <c r="H36" s="1" t="s">
        <v>54</v>
      </c>
      <c r="I36" s="1" t="s">
        <v>345</v>
      </c>
      <c r="K36" s="1">
        <f t="shared" si="111"/>
        <v>2</v>
      </c>
      <c r="L36" s="1">
        <f t="shared" si="112"/>
        <v>2</v>
      </c>
      <c r="M36" s="1" t="str" cm="1">
        <f t="array" ref="M36" xml:space="preserve"> _xlfn.IFS(OR(LEN(_xlfn.SINGLE(ChartLines.ID))=0,"Unused"=_xlfn.SINGLE(ChartLines.ID)), "·",   1=_xlfn.SINGLE(ChartLines.NumInstances), IF("USD"=_xlfn.SINGLE(ChartLines.ID), "SoleBig", "SoleOrdinary"),   1=_xlfn.SINGLE(ChartLines.InstanceNum), "Outer",   TRUE, "Inner")</f>
        <v>Inner</v>
      </c>
      <c r="N36" s="1">
        <f t="shared" si="113"/>
        <v>255</v>
      </c>
      <c r="O36" s="1">
        <f t="shared" si="114"/>
        <v>255</v>
      </c>
      <c r="P36" s="1">
        <f t="shared" si="115"/>
        <v>255</v>
      </c>
      <c r="Q36" s="1" cm="1">
        <f t="array" ref="Q36" xml:space="preserve"> 1 + ROW() - _xlfn.SINGLE(ROW(ChartLines.RowNum))</f>
        <v>31</v>
      </c>
      <c r="R36" s="1" t="str">
        <v>✓</v>
      </c>
      <c r="AB36" s="1" cm="1">
        <f t="array" ref="AB36" xml:space="preserve"> 1 + ROW() - _xlfn.SINGLE(ROW(AxisScaling.RowNum))</f>
        <v>31</v>
      </c>
      <c r="AC36" s="1">
        <v>10000</v>
      </c>
      <c r="AD36" s="1">
        <v>2500</v>
      </c>
    </row>
    <row r="37" spans="2:30" x14ac:dyDescent="0.2">
      <c r="B37" s="1" t="s">
        <v>88</v>
      </c>
      <c r="C37" s="1" t="str">
        <f t="shared" si="0"/>
        <v>MT</v>
      </c>
      <c r="D37" t="str">
        <v>✓</v>
      </c>
      <c r="H37" s="1" t="s">
        <v>506</v>
      </c>
      <c r="I37" s="1" t="str">
        <f xml:space="preserve"> "000000"</f>
        <v>000000</v>
      </c>
      <c r="K37" s="1">
        <f t="shared" si="111"/>
        <v>2</v>
      </c>
      <c r="L37" s="1">
        <f t="shared" si="112"/>
        <v>1</v>
      </c>
      <c r="M37" s="1" t="str" cm="1">
        <f t="array" ref="M37" xml:space="preserve"> _xlfn.IFS(OR(LEN(_xlfn.SINGLE(ChartLines.ID))=0,"Unused"=_xlfn.SINGLE(ChartLines.ID)), "·",   1=_xlfn.SINGLE(ChartLines.NumInstances), IF("USD"=_xlfn.SINGLE(ChartLines.ID), "SoleBig", "SoleOrdinary"),   1=_xlfn.SINGLE(ChartLines.InstanceNum), "Outer",   TRUE, "Inner")</f>
        <v>Outer</v>
      </c>
      <c r="N37" s="1">
        <f t="shared" si="113"/>
        <v>0</v>
      </c>
      <c r="O37" s="1">
        <f t="shared" si="114"/>
        <v>0</v>
      </c>
      <c r="P37" s="1">
        <f t="shared" si="115"/>
        <v>0</v>
      </c>
      <c r="Q37" s="1" cm="1">
        <f t="array" ref="Q37" xml:space="preserve"> 1 + ROW() - _xlfn.SINGLE(ROW(ChartLines.RowNum))</f>
        <v>32</v>
      </c>
      <c r="R37" s="1" t="str">
        <v>✓</v>
      </c>
      <c r="AB37" s="1" cm="1">
        <f t="array" ref="AB37" xml:space="preserve"> 1 + ROW() - _xlfn.SINGLE(ROW(AxisScaling.RowNum))</f>
        <v>32</v>
      </c>
      <c r="AC37" s="1">
        <v>25000</v>
      </c>
      <c r="AD37" s="1">
        <v>5000</v>
      </c>
    </row>
    <row r="38" spans="2:30" x14ac:dyDescent="0.2">
      <c r="B38" s="1" t="s">
        <v>89</v>
      </c>
      <c r="C38" s="1" t="str">
        <f t="shared" ref="C38:C74" si="116" xml:space="preserve"> _xlfn.SINGLE(SeriesFormatAlias.SeriesName)</f>
        <v>ME</v>
      </c>
      <c r="D38" t="str">
        <v>✓</v>
      </c>
      <c r="H38" s="1" t="s">
        <v>506</v>
      </c>
      <c r="I38" s="1" t="s">
        <v>344</v>
      </c>
      <c r="K38" s="1">
        <f t="shared" si="111"/>
        <v>2</v>
      </c>
      <c r="L38" s="1">
        <f t="shared" si="112"/>
        <v>2</v>
      </c>
      <c r="M38" s="1" t="str" cm="1">
        <f t="array" ref="M38" xml:space="preserve"> _xlfn.IFS(OR(LEN(_xlfn.SINGLE(ChartLines.ID))=0,"Unused"=_xlfn.SINGLE(ChartLines.ID)), "·",   1=_xlfn.SINGLE(ChartLines.NumInstances), IF("USD"=_xlfn.SINGLE(ChartLines.ID), "SoleBig", "SoleOrdinary"),   1=_xlfn.SINGLE(ChartLines.InstanceNum), "Outer",   TRUE, "Inner")</f>
        <v>Inner</v>
      </c>
      <c r="N38" s="1">
        <f t="shared" si="113"/>
        <v>255</v>
      </c>
      <c r="O38" s="1">
        <f t="shared" si="114"/>
        <v>0</v>
      </c>
      <c r="P38" s="1">
        <f t="shared" si="115"/>
        <v>0</v>
      </c>
      <c r="Q38" s="1" cm="1">
        <f t="array" ref="Q38" xml:space="preserve"> 1 + ROW() - _xlfn.SINGLE(ROW(ChartLines.RowNum))</f>
        <v>33</v>
      </c>
      <c r="R38" s="1" t="str">
        <v>✓</v>
      </c>
      <c r="AB38" s="1" cm="1">
        <f t="array" ref="AB38" xml:space="preserve"> 1 + ROW() - _xlfn.SINGLE(ROW(AxisScaling.RowNum))</f>
        <v>33</v>
      </c>
      <c r="AC38" s="1">
        <v>50000</v>
      </c>
      <c r="AD38" s="1">
        <v>10000</v>
      </c>
    </row>
    <row r="39" spans="2:30" x14ac:dyDescent="0.2">
      <c r="B39" s="1" t="s">
        <v>90</v>
      </c>
      <c r="C39" s="1" t="str">
        <f t="shared" si="116"/>
        <v>XK</v>
      </c>
      <c r="D39" t="str">
        <v>✓</v>
      </c>
      <c r="H39" s="1" t="s">
        <v>55</v>
      </c>
      <c r="I39" s="1" t="s">
        <v>352</v>
      </c>
      <c r="K39" s="1">
        <f t="shared" si="111"/>
        <v>2</v>
      </c>
      <c r="L39" s="1">
        <f t="shared" si="112"/>
        <v>1</v>
      </c>
      <c r="M39" s="1" t="str" cm="1">
        <f t="array" ref="M39" xml:space="preserve"> _xlfn.IFS(OR(LEN(_xlfn.SINGLE(ChartLines.ID))=0,"Unused"=_xlfn.SINGLE(ChartLines.ID)), "·",   1=_xlfn.SINGLE(ChartLines.NumInstances), IF("USD"=_xlfn.SINGLE(ChartLines.ID), "SoleBig", "SoleOrdinary"),   1=_xlfn.SINGLE(ChartLines.InstanceNum), "Outer",   TRUE, "Inner")</f>
        <v>Outer</v>
      </c>
      <c r="N39" s="1">
        <f t="shared" si="113"/>
        <v>0</v>
      </c>
      <c r="O39" s="1">
        <f t="shared" si="114"/>
        <v>85</v>
      </c>
      <c r="P39" s="1">
        <f t="shared" si="115"/>
        <v>164</v>
      </c>
      <c r="Q39" s="1" cm="1">
        <f t="array" ref="Q39" xml:space="preserve"> 1 + ROW() - _xlfn.SINGLE(ROW(ChartLines.RowNum))</f>
        <v>34</v>
      </c>
      <c r="R39" s="1" t="str">
        <v>✓</v>
      </c>
      <c r="AB39" s="1" cm="1">
        <f t="array" ref="AB39" xml:space="preserve"> 1 + ROW() - _xlfn.SINGLE(ROW(AxisScaling.RowNum))</f>
        <v>34</v>
      </c>
      <c r="AC39" s="1">
        <v>100000</v>
      </c>
      <c r="AD39" s="1">
        <v>25000</v>
      </c>
    </row>
    <row r="40" spans="2:30" x14ac:dyDescent="0.2">
      <c r="B40" s="1" t="s">
        <v>91</v>
      </c>
      <c r="C40" s="1" t="str">
        <f t="shared" si="116"/>
        <v>_ESM</v>
      </c>
      <c r="D40" t="str">
        <v>✓</v>
      </c>
      <c r="H40" s="1" t="s">
        <v>55</v>
      </c>
      <c r="I40" s="1" t="s">
        <v>353</v>
      </c>
      <c r="K40" s="1">
        <f t="shared" si="111"/>
        <v>2</v>
      </c>
      <c r="L40" s="1">
        <f t="shared" si="112"/>
        <v>2</v>
      </c>
      <c r="M40" s="1" t="str" cm="1">
        <f t="array" ref="M40" xml:space="preserve"> _xlfn.IFS(OR(LEN(_xlfn.SINGLE(ChartLines.ID))=0,"Unused"=_xlfn.SINGLE(ChartLines.ID)), "·",   1=_xlfn.SINGLE(ChartLines.NumInstances), IF("USD"=_xlfn.SINGLE(ChartLines.ID), "SoleBig", "SoleOrdinary"),   1=_xlfn.SINGLE(ChartLines.InstanceNum), "Outer",   TRUE, "Inner")</f>
        <v>Inner</v>
      </c>
      <c r="N40" s="1">
        <f t="shared" si="113"/>
        <v>239</v>
      </c>
      <c r="O40" s="1">
        <f t="shared" si="114"/>
        <v>65</v>
      </c>
      <c r="P40" s="1">
        <f t="shared" si="115"/>
        <v>53</v>
      </c>
      <c r="Q40" s="1" cm="1">
        <f t="array" ref="Q40" xml:space="preserve"> 1 + ROW() - _xlfn.SINGLE(ROW(ChartLines.RowNum))</f>
        <v>35</v>
      </c>
      <c r="R40" s="1" t="str">
        <v>✓</v>
      </c>
      <c r="AB40" s="1" cm="1">
        <f t="array" ref="AB40" xml:space="preserve"> 1 + ROW() - _xlfn.SINGLE(ROW(AxisScaling.RowNum))</f>
        <v>35</v>
      </c>
      <c r="AC40" s="1">
        <v>250000</v>
      </c>
      <c r="AD40" s="1">
        <v>50000</v>
      </c>
    </row>
    <row r="41" spans="2:30" x14ac:dyDescent="0.2">
      <c r="B41" s="1" t="s">
        <v>92</v>
      </c>
      <c r="C41" s="1" t="str">
        <f t="shared" si="116"/>
        <v>_EFSF</v>
      </c>
      <c r="D41" t="str">
        <v>✓</v>
      </c>
      <c r="H41" s="1" t="s">
        <v>507</v>
      </c>
      <c r="I41" s="1" t="s">
        <v>352</v>
      </c>
      <c r="K41" s="1">
        <f t="shared" si="111"/>
        <v>2</v>
      </c>
      <c r="L41" s="1">
        <f t="shared" si="112"/>
        <v>1</v>
      </c>
      <c r="M41" s="1" t="str" cm="1">
        <f t="array" ref="M41" xml:space="preserve"> _xlfn.IFS(OR(LEN(_xlfn.SINGLE(ChartLines.ID))=0,"Unused"=_xlfn.SINGLE(ChartLines.ID)), "·",   1=_xlfn.SINGLE(ChartLines.NumInstances), IF("USD"=_xlfn.SINGLE(ChartLines.ID), "SoleBig", "SoleOrdinary"),   1=_xlfn.SINGLE(ChartLines.InstanceNum), "Outer",   TRUE, "Inner")</f>
        <v>Outer</v>
      </c>
      <c r="N41" s="1">
        <f t="shared" si="113"/>
        <v>0</v>
      </c>
      <c r="O41" s="1">
        <f t="shared" si="114"/>
        <v>85</v>
      </c>
      <c r="P41" s="1">
        <f t="shared" si="115"/>
        <v>164</v>
      </c>
      <c r="Q41" s="1" cm="1">
        <f t="array" ref="Q41" xml:space="preserve"> 1 + ROW() - _xlfn.SINGLE(ROW(ChartLines.RowNum))</f>
        <v>36</v>
      </c>
      <c r="R41" s="1" t="str">
        <v>✓</v>
      </c>
      <c r="AB41" s="1" cm="1">
        <f t="array" ref="AB41" xml:space="preserve"> 1 + ROW() - _xlfn.SINGLE(ROW(AxisScaling.RowNum))</f>
        <v>36</v>
      </c>
      <c r="AC41" s="1">
        <v>500000</v>
      </c>
      <c r="AD41" s="1">
        <v>100000</v>
      </c>
    </row>
    <row r="42" spans="2:30" x14ac:dyDescent="0.2">
      <c r="B42" s="1" t="s">
        <v>93</v>
      </c>
      <c r="C42" s="1" t="str">
        <f t="shared" si="116"/>
        <v>DKK</v>
      </c>
      <c r="D42" t="str">
        <v>✓</v>
      </c>
      <c r="H42" s="1" t="s">
        <v>507</v>
      </c>
      <c r="I42" s="1" t="str">
        <f xml:space="preserve"> "000000"</f>
        <v>000000</v>
      </c>
      <c r="K42" s="1">
        <f t="shared" si="111"/>
        <v>2</v>
      </c>
      <c r="L42" s="1">
        <f t="shared" si="112"/>
        <v>2</v>
      </c>
      <c r="M42" s="1" t="str" cm="1">
        <f t="array" ref="M42" xml:space="preserve"> _xlfn.IFS(OR(LEN(_xlfn.SINGLE(ChartLines.ID))=0,"Unused"=_xlfn.SINGLE(ChartLines.ID)), "·",   1=_xlfn.SINGLE(ChartLines.NumInstances), IF("USD"=_xlfn.SINGLE(ChartLines.ID), "SoleBig", "SoleOrdinary"),   1=_xlfn.SINGLE(ChartLines.InstanceNum), "Outer",   TRUE, "Inner")</f>
        <v>Inner</v>
      </c>
      <c r="N42" s="1">
        <f t="shared" si="113"/>
        <v>0</v>
      </c>
      <c r="O42" s="1">
        <f t="shared" si="114"/>
        <v>0</v>
      </c>
      <c r="P42" s="1">
        <f t="shared" si="115"/>
        <v>0</v>
      </c>
      <c r="Q42" s="1" cm="1">
        <f t="array" ref="Q42" xml:space="preserve"> 1 + ROW() - _xlfn.SINGLE(ROW(ChartLines.RowNum))</f>
        <v>37</v>
      </c>
      <c r="R42" s="1" t="str">
        <v>✓</v>
      </c>
      <c r="AB42" s="1" cm="1">
        <f t="array" ref="AB42" xml:space="preserve"> 1 + ROW() - _xlfn.SINGLE(ROW(AxisScaling.RowNum))</f>
        <v>37</v>
      </c>
      <c r="AC42" s="1">
        <v>1000000</v>
      </c>
      <c r="AD42" s="1">
        <v>250000</v>
      </c>
    </row>
    <row r="43" spans="2:30" x14ac:dyDescent="0.2">
      <c r="B43" s="1" t="s">
        <v>94</v>
      </c>
      <c r="C43" s="1" t="str">
        <f t="shared" si="116"/>
        <v>ISK</v>
      </c>
      <c r="D43" t="str">
        <v>✓</v>
      </c>
      <c r="H43" s="1" t="s">
        <v>56</v>
      </c>
      <c r="I43" s="1" t="s">
        <v>354</v>
      </c>
      <c r="K43" s="1">
        <f t="shared" si="111"/>
        <v>2</v>
      </c>
      <c r="L43" s="1">
        <f t="shared" si="112"/>
        <v>1</v>
      </c>
      <c r="M43" s="1" t="str" cm="1">
        <f t="array" ref="M43" xml:space="preserve"> _xlfn.IFS(OR(LEN(_xlfn.SINGLE(ChartLines.ID))=0,"Unused"=_xlfn.SINGLE(ChartLines.ID)), "·",   1=_xlfn.SINGLE(ChartLines.NumInstances), IF("USD"=_xlfn.SINGLE(ChartLines.ID), "SoleBig", "SoleOrdinary"),   1=_xlfn.SINGLE(ChartLines.InstanceNum), "Outer",   TRUE, "Inner")</f>
        <v>Outer</v>
      </c>
      <c r="N43" s="1">
        <f t="shared" si="113"/>
        <v>0</v>
      </c>
      <c r="O43" s="1">
        <f t="shared" si="114"/>
        <v>140</v>
      </c>
      <c r="P43" s="1">
        <f t="shared" si="115"/>
        <v>69</v>
      </c>
      <c r="Q43" s="1" cm="1">
        <f t="array" ref="Q43" xml:space="preserve"> 1 + ROW() - _xlfn.SINGLE(ROW(ChartLines.RowNum))</f>
        <v>38</v>
      </c>
      <c r="R43" s="1" t="str">
        <v>✓</v>
      </c>
      <c r="AB43" s="1" cm="1">
        <f t="array" ref="AB43" xml:space="preserve"> 1 + ROW() - _xlfn.SINGLE(ROW(AxisScaling.RowNum))</f>
        <v>38</v>
      </c>
      <c r="AC43" s="1">
        <v>2500000</v>
      </c>
      <c r="AD43" s="1">
        <v>500000</v>
      </c>
    </row>
    <row r="44" spans="2:30" x14ac:dyDescent="0.2">
      <c r="B44" s="1" t="s">
        <v>95</v>
      </c>
      <c r="C44" s="1" t="str">
        <f t="shared" si="116"/>
        <v>PLN</v>
      </c>
      <c r="D44" t="str">
        <v>✓</v>
      </c>
      <c r="H44" s="1" t="s">
        <v>56</v>
      </c>
      <c r="I44" s="1" t="s">
        <v>355</v>
      </c>
      <c r="K44" s="1">
        <f t="shared" si="111"/>
        <v>2</v>
      </c>
      <c r="L44" s="1">
        <f t="shared" si="112"/>
        <v>2</v>
      </c>
      <c r="M44" s="1" t="str" cm="1">
        <f t="array" ref="M44" xml:space="preserve"> _xlfn.IFS(OR(LEN(_xlfn.SINGLE(ChartLines.ID))=0,"Unused"=_xlfn.SINGLE(ChartLines.ID)), "·",   1=_xlfn.SINGLE(ChartLines.NumInstances), IF("USD"=_xlfn.SINGLE(ChartLines.ID), "SoleBig", "SoleOrdinary"),   1=_xlfn.SINGLE(ChartLines.InstanceNum), "Outer",   TRUE, "Inner")</f>
        <v>Inner</v>
      </c>
      <c r="N44" s="1">
        <f t="shared" si="113"/>
        <v>205</v>
      </c>
      <c r="O44" s="1">
        <f t="shared" si="114"/>
        <v>33</v>
      </c>
      <c r="P44" s="1">
        <f t="shared" si="115"/>
        <v>42</v>
      </c>
      <c r="Q44" s="1" cm="1">
        <f t="array" ref="Q44" xml:space="preserve"> 1 + ROW() - _xlfn.SINGLE(ROW(ChartLines.RowNum))</f>
        <v>39</v>
      </c>
      <c r="R44" s="1" t="str">
        <v>✓</v>
      </c>
      <c r="AB44" s="1" cm="1">
        <f t="array" ref="AB44" xml:space="preserve"> 1 + ROW() - _xlfn.SINGLE(ROW(AxisScaling.RowNum))</f>
        <v>39</v>
      </c>
      <c r="AC44" s="1">
        <v>5000000</v>
      </c>
      <c r="AD44" s="1">
        <v>1000000</v>
      </c>
    </row>
    <row r="45" spans="2:30" x14ac:dyDescent="0.2">
      <c r="B45" s="1" t="s">
        <v>96</v>
      </c>
      <c r="C45" s="1" t="str">
        <f t="shared" si="116"/>
        <v>CZK</v>
      </c>
      <c r="D45" t="str">
        <v>✓</v>
      </c>
      <c r="H45" s="1" t="s">
        <v>508</v>
      </c>
      <c r="I45" s="1" t="s">
        <v>354</v>
      </c>
      <c r="K45" s="1">
        <f t="shared" si="111"/>
        <v>2</v>
      </c>
      <c r="L45" s="1">
        <f t="shared" si="112"/>
        <v>1</v>
      </c>
      <c r="M45" s="1" t="str" cm="1">
        <f t="array" ref="M45" xml:space="preserve"> _xlfn.IFS(OR(LEN(_xlfn.SINGLE(ChartLines.ID))=0,"Unused"=_xlfn.SINGLE(ChartLines.ID)), "·",   1=_xlfn.SINGLE(ChartLines.NumInstances), IF("USD"=_xlfn.SINGLE(ChartLines.ID), "SoleBig", "SoleOrdinary"),   1=_xlfn.SINGLE(ChartLines.InstanceNum), "Outer",   TRUE, "Inner")</f>
        <v>Outer</v>
      </c>
      <c r="N45" s="1">
        <f t="shared" si="113"/>
        <v>0</v>
      </c>
      <c r="O45" s="1">
        <f t="shared" si="114"/>
        <v>140</v>
      </c>
      <c r="P45" s="1">
        <f t="shared" si="115"/>
        <v>69</v>
      </c>
      <c r="Q45" s="1" cm="1">
        <f t="array" ref="Q45" xml:space="preserve"> 1 + ROW() - _xlfn.SINGLE(ROW(ChartLines.RowNum))</f>
        <v>40</v>
      </c>
      <c r="R45" s="1" t="str">
        <v>✓</v>
      </c>
      <c r="AB45" s="1" cm="1">
        <f t="array" ref="AB45" xml:space="preserve"> 1 + ROW() - _xlfn.SINGLE(ROW(AxisScaling.RowNum))</f>
        <v>40</v>
      </c>
      <c r="AC45" s="1">
        <v>10000000</v>
      </c>
      <c r="AD45" s="1">
        <v>2500000</v>
      </c>
    </row>
    <row r="46" spans="2:30" x14ac:dyDescent="0.2">
      <c r="B46" s="1" t="s">
        <v>97</v>
      </c>
      <c r="C46" s="1" t="str">
        <f t="shared" si="116"/>
        <v>HUF</v>
      </c>
      <c r="D46" t="str">
        <v>✓</v>
      </c>
      <c r="H46" s="1" t="s">
        <v>508</v>
      </c>
      <c r="I46" s="1" t="str">
        <f xml:space="preserve"> "000000"</f>
        <v>000000</v>
      </c>
      <c r="K46" s="1">
        <f t="shared" si="111"/>
        <v>2</v>
      </c>
      <c r="L46" s="1">
        <f t="shared" si="112"/>
        <v>2</v>
      </c>
      <c r="M46" s="1" t="str" cm="1">
        <f t="array" ref="M46" xml:space="preserve"> _xlfn.IFS(OR(LEN(_xlfn.SINGLE(ChartLines.ID))=0,"Unused"=_xlfn.SINGLE(ChartLines.ID)), "·",   1=_xlfn.SINGLE(ChartLines.NumInstances), IF("USD"=_xlfn.SINGLE(ChartLines.ID), "SoleBig", "SoleOrdinary"),   1=_xlfn.SINGLE(ChartLines.InstanceNum), "Outer",   TRUE, "Inner")</f>
        <v>Inner</v>
      </c>
      <c r="N46" s="1">
        <f t="shared" si="113"/>
        <v>0</v>
      </c>
      <c r="O46" s="1">
        <f t="shared" si="114"/>
        <v>0</v>
      </c>
      <c r="P46" s="1">
        <f t="shared" si="115"/>
        <v>0</v>
      </c>
      <c r="Q46" s="1" cm="1">
        <f t="array" ref="Q46" xml:space="preserve"> 1 + ROW() - _xlfn.SINGLE(ROW(ChartLines.RowNum))</f>
        <v>41</v>
      </c>
      <c r="R46" s="1" t="str">
        <v>✓</v>
      </c>
      <c r="AB46" s="1" cm="1">
        <f t="array" ref="AB46" xml:space="preserve"> 1 + ROW() - _xlfn.SINGLE(ROW(AxisScaling.RowNum))</f>
        <v>41</v>
      </c>
      <c r="AC46" s="1">
        <v>25000000</v>
      </c>
      <c r="AD46" s="1">
        <v>5000000</v>
      </c>
    </row>
    <row r="47" spans="2:30" x14ac:dyDescent="0.2">
      <c r="B47" s="1" t="s">
        <v>98</v>
      </c>
      <c r="C47" s="1" t="str">
        <f t="shared" si="116"/>
        <v>RON</v>
      </c>
      <c r="D47" t="str">
        <v>✓</v>
      </c>
      <c r="H47" s="1" t="s">
        <v>73</v>
      </c>
      <c r="I47" s="1" t="s">
        <v>473</v>
      </c>
      <c r="K47" s="1">
        <f t="shared" si="111"/>
        <v>2</v>
      </c>
      <c r="L47" s="1">
        <f t="shared" si="112"/>
        <v>1</v>
      </c>
      <c r="M47" s="1" t="str" cm="1">
        <f t="array" ref="M47" xml:space="preserve"> _xlfn.IFS(OR(LEN(_xlfn.SINGLE(ChartLines.ID))=0,"Unused"=_xlfn.SINGLE(ChartLines.ID)), "·",   1=_xlfn.SINGLE(ChartLines.NumInstances), IF("USD"=_xlfn.SINGLE(ChartLines.ID), "SoleBig", "SoleOrdinary"),   1=_xlfn.SINGLE(ChartLines.InstanceNum), "Outer",   TRUE, "Inner")</f>
        <v>Outer</v>
      </c>
      <c r="N47" s="1">
        <f t="shared" si="113"/>
        <v>173</v>
      </c>
      <c r="O47" s="1">
        <f t="shared" si="114"/>
        <v>21</v>
      </c>
      <c r="P47" s="1">
        <f t="shared" si="115"/>
        <v>25</v>
      </c>
      <c r="Q47" s="1" cm="1">
        <f t="array" ref="Q47" xml:space="preserve"> 1 + ROW() - _xlfn.SINGLE(ROW(ChartLines.RowNum))</f>
        <v>42</v>
      </c>
      <c r="R47" s="1" t="str">
        <v>✓</v>
      </c>
      <c r="AB47" s="1" cm="1">
        <f t="array" ref="AB47" xml:space="preserve"> 1 + ROW() - _xlfn.SINGLE(ROW(AxisScaling.RowNum))</f>
        <v>42</v>
      </c>
      <c r="AC47" s="1">
        <v>50000000</v>
      </c>
      <c r="AD47" s="1">
        <v>10000000</v>
      </c>
    </row>
    <row r="48" spans="2:30" x14ac:dyDescent="0.2">
      <c r="B48" s="1" t="s">
        <v>99</v>
      </c>
      <c r="C48" s="1" t="str">
        <f t="shared" si="116"/>
        <v>BGN</v>
      </c>
      <c r="D48" t="str">
        <v>✓</v>
      </c>
      <c r="H48" s="1" t="s">
        <v>73</v>
      </c>
      <c r="I48" s="1" t="s">
        <v>474</v>
      </c>
      <c r="K48" s="1">
        <f t="shared" si="111"/>
        <v>2</v>
      </c>
      <c r="L48" s="1">
        <f t="shared" si="112"/>
        <v>2</v>
      </c>
      <c r="M48" s="1" t="str" cm="1">
        <f t="array" ref="M48" xml:space="preserve"> _xlfn.IFS(OR(LEN(_xlfn.SINGLE(ChartLines.ID))=0,"Unused"=_xlfn.SINGLE(ChartLines.ID)), "·",   1=_xlfn.SINGLE(ChartLines.NumInstances), IF("USD"=_xlfn.SINGLE(ChartLines.ID), "SoleBig", "SoleOrdinary"),   1=_xlfn.SINGLE(ChartLines.InstanceNum), "Outer",   TRUE, "Inner")</f>
        <v>Inner</v>
      </c>
      <c r="N48" s="1">
        <f t="shared" si="113"/>
        <v>250</v>
      </c>
      <c r="O48" s="1">
        <f t="shared" si="114"/>
        <v>189</v>
      </c>
      <c r="P48" s="1">
        <f t="shared" si="115"/>
        <v>0</v>
      </c>
      <c r="Q48" s="1" cm="1">
        <f t="array" ref="Q48" xml:space="preserve"> 1 + ROW() - _xlfn.SINGLE(ROW(ChartLines.RowNum))</f>
        <v>43</v>
      </c>
      <c r="R48" s="1" t="str">
        <v>✓</v>
      </c>
      <c r="AB48" s="1" cm="1">
        <f t="array" ref="AB48" xml:space="preserve"> 1 + ROW() - _xlfn.SINGLE(ROW(AxisScaling.RowNum))</f>
        <v>43</v>
      </c>
      <c r="AC48" s="1">
        <v>100000000</v>
      </c>
      <c r="AD48" s="1">
        <v>25000000</v>
      </c>
    </row>
    <row r="49" spans="2:30" x14ac:dyDescent="0.2">
      <c r="B49" s="1" t="s">
        <v>100</v>
      </c>
      <c r="C49" s="1" t="str">
        <f t="shared" si="116"/>
        <v>CNY</v>
      </c>
      <c r="D49" t="str">
        <v>✓</v>
      </c>
      <c r="H49" s="1" t="s">
        <v>509</v>
      </c>
      <c r="I49" s="1" t="s">
        <v>473</v>
      </c>
      <c r="K49" s="1">
        <f t="shared" si="111"/>
        <v>2</v>
      </c>
      <c r="L49" s="1">
        <f t="shared" si="112"/>
        <v>1</v>
      </c>
      <c r="M49" s="1" t="str" cm="1">
        <f t="array" ref="M49" xml:space="preserve"> _xlfn.IFS(OR(LEN(_xlfn.SINGLE(ChartLines.ID))=0,"Unused"=_xlfn.SINGLE(ChartLines.ID)), "·",   1=_xlfn.SINGLE(ChartLines.NumInstances), IF("USD"=_xlfn.SINGLE(ChartLines.ID), "SoleBig", "SoleOrdinary"),   1=_xlfn.SINGLE(ChartLines.InstanceNum), "Outer",   TRUE, "Inner")</f>
        <v>Outer</v>
      </c>
      <c r="N49" s="1">
        <f t="shared" si="113"/>
        <v>173</v>
      </c>
      <c r="O49" s="1">
        <f t="shared" si="114"/>
        <v>21</v>
      </c>
      <c r="P49" s="1">
        <f t="shared" si="115"/>
        <v>25</v>
      </c>
      <c r="Q49" s="1" cm="1">
        <f t="array" ref="Q49" xml:space="preserve"> 1 + ROW() - _xlfn.SINGLE(ROW(ChartLines.RowNum))</f>
        <v>44</v>
      </c>
      <c r="R49" s="1" t="str">
        <v>✓</v>
      </c>
      <c r="AB49" s="1" cm="1">
        <f t="array" ref="AB49" xml:space="preserve"> 1 + ROW() - _xlfn.SINGLE(ROW(AxisScaling.RowNum))</f>
        <v>44</v>
      </c>
      <c r="AC49" s="1">
        <v>250000000</v>
      </c>
      <c r="AD49" s="1">
        <v>50000000</v>
      </c>
    </row>
    <row r="50" spans="2:30" x14ac:dyDescent="0.2">
      <c r="B50" s="1" t="s">
        <v>101</v>
      </c>
      <c r="C50" s="1" t="str">
        <f t="shared" si="116"/>
        <v>HKD</v>
      </c>
      <c r="D50" t="str">
        <v>✓</v>
      </c>
      <c r="H50" s="1" t="s">
        <v>509</v>
      </c>
      <c r="I50" s="1" t="s">
        <v>504</v>
      </c>
      <c r="K50" s="1">
        <f t="shared" si="111"/>
        <v>2</v>
      </c>
      <c r="L50" s="1">
        <f t="shared" si="112"/>
        <v>2</v>
      </c>
      <c r="M50" s="1" t="str" cm="1">
        <f t="array" ref="M50" xml:space="preserve"> _xlfn.IFS(OR(LEN(_xlfn.SINGLE(ChartLines.ID))=0,"Unused"=_xlfn.SINGLE(ChartLines.ID)), "·",   1=_xlfn.SINGLE(ChartLines.NumInstances), IF("USD"=_xlfn.SINGLE(ChartLines.ID), "SoleBig", "SoleOrdinary"),   1=_xlfn.SINGLE(ChartLines.InstanceNum), "Outer",   TRUE, "Inner")</f>
        <v>Inner</v>
      </c>
      <c r="N50" s="1">
        <f t="shared" si="113"/>
        <v>102</v>
      </c>
      <c r="O50" s="1">
        <f t="shared" si="114"/>
        <v>204</v>
      </c>
      <c r="P50" s="1">
        <f t="shared" si="115"/>
        <v>102</v>
      </c>
      <c r="Q50" s="1" cm="1">
        <f t="array" ref="Q50" xml:space="preserve"> 1 + ROW() - _xlfn.SINGLE(ROW(ChartLines.RowNum))</f>
        <v>45</v>
      </c>
      <c r="R50" s="1" t="str">
        <v>✓</v>
      </c>
      <c r="AB50" s="1" cm="1">
        <f t="array" ref="AB50" xml:space="preserve"> 1 + ROW() - _xlfn.SINGLE(ROW(AxisScaling.RowNum))</f>
        <v>45</v>
      </c>
      <c r="AC50" s="1">
        <v>500000000</v>
      </c>
      <c r="AD50" s="1">
        <v>100000000</v>
      </c>
    </row>
    <row r="51" spans="2:30" x14ac:dyDescent="0.2">
      <c r="B51" s="1" t="s">
        <v>102</v>
      </c>
      <c r="C51" s="1" t="str">
        <f t="shared" si="116"/>
        <v>TWD</v>
      </c>
      <c r="D51" t="str">
        <v>✓</v>
      </c>
      <c r="H51" s="1" t="s">
        <v>74</v>
      </c>
      <c r="I51" s="1" t="s">
        <v>356</v>
      </c>
      <c r="K51" s="1">
        <f t="shared" si="111"/>
        <v>2</v>
      </c>
      <c r="L51" s="1">
        <f t="shared" si="112"/>
        <v>1</v>
      </c>
      <c r="M51" s="1" t="str" cm="1">
        <f t="array" ref="M51" xml:space="preserve"> _xlfn.IFS(OR(LEN(_xlfn.SINGLE(ChartLines.ID))=0,"Unused"=_xlfn.SINGLE(ChartLines.ID)), "·",   1=_xlfn.SINGLE(ChartLines.NumInstances), IF("USD"=_xlfn.SINGLE(ChartLines.ID), "SoleBig", "SoleOrdinary"),   1=_xlfn.SINGLE(ChartLines.InstanceNum), "Outer",   TRUE, "Inner")</f>
        <v>Outer</v>
      </c>
      <c r="N51" s="1">
        <f t="shared" si="113"/>
        <v>0</v>
      </c>
      <c r="O51" s="1">
        <f t="shared" si="114"/>
        <v>61</v>
      </c>
      <c r="P51" s="1">
        <f t="shared" si="115"/>
        <v>165</v>
      </c>
      <c r="Q51" s="1" cm="1">
        <f t="array" ref="Q51" xml:space="preserve"> 1 + ROW() - _xlfn.SINGLE(ROW(ChartLines.RowNum))</f>
        <v>46</v>
      </c>
      <c r="R51" s="1" t="str">
        <v>✓</v>
      </c>
      <c r="AB51" s="1" cm="1">
        <f t="array" ref="AB51" xml:space="preserve"> 1 + ROW() - _xlfn.SINGLE(ROW(AxisScaling.RowNum))</f>
        <v>46</v>
      </c>
      <c r="AC51" s="1">
        <v>1000000000</v>
      </c>
      <c r="AD51" s="1">
        <v>250000000</v>
      </c>
    </row>
    <row r="52" spans="2:30" x14ac:dyDescent="0.2">
      <c r="B52" s="1" t="s">
        <v>103</v>
      </c>
      <c r="C52" s="1" t="str">
        <f t="shared" si="116"/>
        <v>KRW</v>
      </c>
      <c r="D52" t="str">
        <v>✓</v>
      </c>
      <c r="H52" s="1" t="s">
        <v>74</v>
      </c>
      <c r="I52" s="1" t="s">
        <v>357</v>
      </c>
      <c r="K52" s="1">
        <f t="shared" si="111"/>
        <v>2</v>
      </c>
      <c r="L52" s="1">
        <f t="shared" si="112"/>
        <v>2</v>
      </c>
      <c r="M52" s="1" t="str" cm="1">
        <f t="array" ref="M52" xml:space="preserve"> _xlfn.IFS(OR(LEN(_xlfn.SINGLE(ChartLines.ID))=0,"Unused"=_xlfn.SINGLE(ChartLines.ID)), "·",   1=_xlfn.SINGLE(ChartLines.NumInstances), IF("USD"=_xlfn.SINGLE(ChartLines.ID), "SoleBig", "SoleOrdinary"),   1=_xlfn.SINGLE(ChartLines.InstanceNum), "Outer",   TRUE, "Inner")</f>
        <v>Inner</v>
      </c>
      <c r="N52" s="1">
        <f t="shared" si="113"/>
        <v>250</v>
      </c>
      <c r="O52" s="1">
        <f t="shared" si="114"/>
        <v>155</v>
      </c>
      <c r="P52" s="1">
        <f t="shared" si="115"/>
        <v>30</v>
      </c>
      <c r="Q52" s="1" cm="1">
        <f t="array" ref="Q52" xml:space="preserve"> 1 + ROW() - _xlfn.SINGLE(ROW(ChartLines.RowNum))</f>
        <v>47</v>
      </c>
      <c r="R52" s="1" t="str">
        <v>✓</v>
      </c>
      <c r="AB52" s="1" cm="1">
        <f t="array" ref="AB52" xml:space="preserve"> 1 + ROW() - _xlfn.SINGLE(ROW(AxisScaling.RowNum))</f>
        <v>47</v>
      </c>
      <c r="AC52" s="1">
        <v>2500000000</v>
      </c>
      <c r="AD52" s="1">
        <v>500000000</v>
      </c>
    </row>
    <row r="53" spans="2:30" x14ac:dyDescent="0.2">
      <c r="B53" s="1" t="s">
        <v>104</v>
      </c>
      <c r="C53" s="1" t="str">
        <f t="shared" si="116"/>
        <v>SGD</v>
      </c>
      <c r="D53" t="str">
        <v>✓</v>
      </c>
      <c r="H53" s="1" t="s">
        <v>510</v>
      </c>
      <c r="I53" s="1" t="s">
        <v>511</v>
      </c>
      <c r="K53" s="1">
        <f t="shared" si="111"/>
        <v>2</v>
      </c>
      <c r="L53" s="1">
        <f t="shared" si="112"/>
        <v>1</v>
      </c>
      <c r="M53" s="1" t="str" cm="1">
        <f t="array" ref="M53" xml:space="preserve"> _xlfn.IFS(OR(LEN(_xlfn.SINGLE(ChartLines.ID))=0,"Unused"=_xlfn.SINGLE(ChartLines.ID)), "·",   1=_xlfn.SINGLE(ChartLines.NumInstances), IF("USD"=_xlfn.SINGLE(ChartLines.ID), "SoleBig", "SoleOrdinary"),   1=_xlfn.SINGLE(ChartLines.InstanceNum), "Outer",   TRUE, "Inner")</f>
        <v>Outer</v>
      </c>
      <c r="N53" s="1">
        <f t="shared" si="113"/>
        <v>173</v>
      </c>
      <c r="O53" s="1">
        <f t="shared" si="114"/>
        <v>29</v>
      </c>
      <c r="P53" s="1">
        <f t="shared" si="115"/>
        <v>37</v>
      </c>
      <c r="Q53" s="1" cm="1">
        <f t="array" ref="Q53" xml:space="preserve"> 1 + ROW() - _xlfn.SINGLE(ROW(ChartLines.RowNum))</f>
        <v>48</v>
      </c>
      <c r="R53" s="1" t="str">
        <v>✓</v>
      </c>
      <c r="AB53" s="1" cm="1">
        <f t="array" ref="AB53" xml:space="preserve"> 1 + ROW() - _xlfn.SINGLE(ROW(AxisScaling.RowNum))</f>
        <v>48</v>
      </c>
      <c r="AC53" s="1">
        <v>5000000000</v>
      </c>
      <c r="AD53" s="1">
        <v>1000000000</v>
      </c>
    </row>
    <row r="54" spans="2:30" x14ac:dyDescent="0.2">
      <c r="B54" s="1" t="s">
        <v>105</v>
      </c>
      <c r="C54" s="1" t="str">
        <f t="shared" si="116"/>
        <v>MYR</v>
      </c>
      <c r="D54" t="str">
        <v>✓</v>
      </c>
      <c r="H54" s="1" t="s">
        <v>510</v>
      </c>
      <c r="I54" s="1" t="s">
        <v>357</v>
      </c>
      <c r="K54" s="1">
        <f t="shared" si="111"/>
        <v>2</v>
      </c>
      <c r="L54" s="1">
        <f t="shared" si="112"/>
        <v>2</v>
      </c>
      <c r="M54" s="1" t="str" cm="1">
        <f t="array" ref="M54" xml:space="preserve"> _xlfn.IFS(OR(LEN(_xlfn.SINGLE(ChartLines.ID))=0,"Unused"=_xlfn.SINGLE(ChartLines.ID)), "·",   1=_xlfn.SINGLE(ChartLines.NumInstances), IF("USD"=_xlfn.SINGLE(ChartLines.ID), "SoleBig", "SoleOrdinary"),   1=_xlfn.SINGLE(ChartLines.InstanceNum), "Outer",   TRUE, "Inner")</f>
        <v>Inner</v>
      </c>
      <c r="N54" s="1">
        <f t="shared" si="113"/>
        <v>250</v>
      </c>
      <c r="O54" s="1">
        <f t="shared" si="114"/>
        <v>155</v>
      </c>
      <c r="P54" s="1">
        <f t="shared" si="115"/>
        <v>30</v>
      </c>
      <c r="Q54" s="1" cm="1">
        <f t="array" ref="Q54" xml:space="preserve"> 1 + ROW() - _xlfn.SINGLE(ROW(ChartLines.RowNum))</f>
        <v>49</v>
      </c>
      <c r="R54" s="1" t="str">
        <v>✓</v>
      </c>
      <c r="AB54" s="1" cm="1">
        <f t="array" ref="AB54" xml:space="preserve"> 1 + ROW() - _xlfn.SINGLE(ROW(AxisScaling.RowNum))</f>
        <v>49</v>
      </c>
      <c r="AC54" s="1">
        <v>10000000000</v>
      </c>
      <c r="AD54" s="1">
        <v>2500000000</v>
      </c>
    </row>
    <row r="55" spans="2:30" x14ac:dyDescent="0.2">
      <c r="B55" s="1" t="s">
        <v>106</v>
      </c>
      <c r="C55" s="1" t="str">
        <f t="shared" si="116"/>
        <v>IDR</v>
      </c>
      <c r="D55" t="str">
        <v>✓</v>
      </c>
      <c r="H55" s="1" t="s">
        <v>75</v>
      </c>
      <c r="I55" s="1">
        <v>663319</v>
      </c>
      <c r="K55" s="1">
        <f t="shared" si="111"/>
        <v>2</v>
      </c>
      <c r="L55" s="1">
        <f t="shared" si="112"/>
        <v>1</v>
      </c>
      <c r="M55" s="1" t="str" cm="1">
        <f t="array" ref="M55" xml:space="preserve"> _xlfn.IFS(OR(LEN(_xlfn.SINGLE(ChartLines.ID))=0,"Unused"=_xlfn.SINGLE(ChartLines.ID)), "·",   1=_xlfn.SINGLE(ChartLines.NumInstances), IF("USD"=_xlfn.SINGLE(ChartLines.ID), "SoleBig", "SoleOrdinary"),   1=_xlfn.SINGLE(ChartLines.InstanceNum), "Outer",   TRUE, "Inner")</f>
        <v>Outer</v>
      </c>
      <c r="N55" s="1">
        <f t="shared" si="113"/>
        <v>102</v>
      </c>
      <c r="O55" s="1">
        <f t="shared" si="114"/>
        <v>51</v>
      </c>
      <c r="P55" s="1">
        <f t="shared" si="115"/>
        <v>25</v>
      </c>
      <c r="Q55" s="1" cm="1">
        <f t="array" ref="Q55" xml:space="preserve"> 1 + ROW() - _xlfn.SINGLE(ROW(ChartLines.RowNum))</f>
        <v>50</v>
      </c>
      <c r="R55" s="1" t="str">
        <v>✓</v>
      </c>
      <c r="AB55" s="1" cm="1">
        <f t="array" ref="AB55" xml:space="preserve"> 1 + ROW() - _xlfn.SINGLE(ROW(AxisScaling.RowNum))</f>
        <v>50</v>
      </c>
      <c r="AC55" s="1">
        <v>25000000000</v>
      </c>
      <c r="AD55" s="1">
        <v>5000000000</v>
      </c>
    </row>
    <row r="56" spans="2:30" x14ac:dyDescent="0.2">
      <c r="B56" s="1" t="s">
        <v>107</v>
      </c>
      <c r="C56" s="1" t="str">
        <f t="shared" si="116"/>
        <v>THB</v>
      </c>
      <c r="D56" t="str">
        <v>✓</v>
      </c>
      <c r="H56" s="1" t="s">
        <v>75</v>
      </c>
      <c r="I56" s="1" t="s">
        <v>358</v>
      </c>
      <c r="K56" s="1">
        <f t="shared" si="111"/>
        <v>2</v>
      </c>
      <c r="L56" s="1">
        <f t="shared" si="112"/>
        <v>2</v>
      </c>
      <c r="M56" s="1" t="str" cm="1">
        <f t="array" ref="M56" xml:space="preserve"> _xlfn.IFS(OR(LEN(_xlfn.SINGLE(ChartLines.ID))=0,"Unused"=_xlfn.SINGLE(ChartLines.ID)), "·",   1=_xlfn.SINGLE(ChartLines.NumInstances), IF("USD"=_xlfn.SINGLE(ChartLines.ID), "SoleBig", "SoleOrdinary"),   1=_xlfn.SINGLE(ChartLines.InstanceNum), "Outer",   TRUE, "Inner")</f>
        <v>Inner</v>
      </c>
      <c r="N56" s="1">
        <f t="shared" si="113"/>
        <v>255</v>
      </c>
      <c r="O56" s="1">
        <f t="shared" si="114"/>
        <v>204</v>
      </c>
      <c r="P56" s="1">
        <f t="shared" si="115"/>
        <v>51</v>
      </c>
      <c r="Q56" s="1" cm="1">
        <f t="array" ref="Q56" xml:space="preserve"> 1 + ROW() - _xlfn.SINGLE(ROW(ChartLines.RowNum))</f>
        <v>51</v>
      </c>
      <c r="R56" s="1" t="str">
        <v>✓</v>
      </c>
      <c r="AB56" s="1" cm="1">
        <f t="array" ref="AB56" xml:space="preserve"> 1 + ROW() - _xlfn.SINGLE(ROW(AxisScaling.RowNum))</f>
        <v>51</v>
      </c>
      <c r="AC56" s="1">
        <v>50000000000</v>
      </c>
      <c r="AD56" s="1">
        <v>10000000000</v>
      </c>
    </row>
    <row r="57" spans="2:30" x14ac:dyDescent="0.2">
      <c r="B57" s="1" t="s">
        <v>519</v>
      </c>
      <c r="C57" s="1" t="str">
        <f t="shared" si="116"/>
        <v>MMK</v>
      </c>
      <c r="D57" t="str">
        <v>✓</v>
      </c>
      <c r="H57" s="1" t="s">
        <v>512</v>
      </c>
      <c r="I57" s="1" t="s">
        <v>358</v>
      </c>
      <c r="K57" s="1">
        <f t="shared" si="111"/>
        <v>2</v>
      </c>
      <c r="L57" s="1">
        <f t="shared" si="112"/>
        <v>1</v>
      </c>
      <c r="M57" s="1" t="str" cm="1">
        <f t="array" ref="M57" xml:space="preserve"> _xlfn.IFS(OR(LEN(_xlfn.SINGLE(ChartLines.ID))=0,"Unused"=_xlfn.SINGLE(ChartLines.ID)), "·",   1=_xlfn.SINGLE(ChartLines.NumInstances), IF("USD"=_xlfn.SINGLE(ChartLines.ID), "SoleBig", "SoleOrdinary"),   1=_xlfn.SINGLE(ChartLines.InstanceNum), "Outer",   TRUE, "Inner")</f>
        <v>Outer</v>
      </c>
      <c r="N57" s="1">
        <f t="shared" si="113"/>
        <v>255</v>
      </c>
      <c r="O57" s="1">
        <f t="shared" si="114"/>
        <v>204</v>
      </c>
      <c r="P57" s="1">
        <f t="shared" si="115"/>
        <v>51</v>
      </c>
      <c r="Q57" s="1" cm="1">
        <f t="array" ref="Q57" xml:space="preserve"> 1 + ROW() - _xlfn.SINGLE(ROW(ChartLines.RowNum))</f>
        <v>52</v>
      </c>
      <c r="R57" s="1" t="str">
        <v>✓</v>
      </c>
      <c r="AB57" s="1" cm="1">
        <f t="array" ref="AB57" xml:space="preserve"> 1 + ROW() - _xlfn.SINGLE(ROW(AxisScaling.RowNum))</f>
        <v>52</v>
      </c>
      <c r="AC57" s="1">
        <v>100000000000</v>
      </c>
      <c r="AD57" s="1">
        <v>25000000000</v>
      </c>
    </row>
    <row r="58" spans="2:30" x14ac:dyDescent="0.2">
      <c r="B58" s="1" t="s">
        <v>108</v>
      </c>
      <c r="C58" s="1" t="str">
        <f t="shared" si="116"/>
        <v>PHP</v>
      </c>
      <c r="D58" t="str">
        <v>✓</v>
      </c>
      <c r="H58" s="1" t="s">
        <v>512</v>
      </c>
      <c r="I58" s="1">
        <v>663319</v>
      </c>
      <c r="K58" s="1">
        <f t="shared" si="111"/>
        <v>2</v>
      </c>
      <c r="L58" s="1">
        <f t="shared" si="112"/>
        <v>2</v>
      </c>
      <c r="M58" s="1" t="str" cm="1">
        <f t="array" ref="M58" xml:space="preserve"> _xlfn.IFS(OR(LEN(_xlfn.SINGLE(ChartLines.ID))=0,"Unused"=_xlfn.SINGLE(ChartLines.ID)), "·",   1=_xlfn.SINGLE(ChartLines.NumInstances), IF("USD"=_xlfn.SINGLE(ChartLines.ID), "SoleBig", "SoleOrdinary"),   1=_xlfn.SINGLE(ChartLines.InstanceNum), "Outer",   TRUE, "Inner")</f>
        <v>Inner</v>
      </c>
      <c r="N58" s="1">
        <f t="shared" si="113"/>
        <v>102</v>
      </c>
      <c r="O58" s="1">
        <f t="shared" si="114"/>
        <v>51</v>
      </c>
      <c r="P58" s="1">
        <f t="shared" si="115"/>
        <v>25</v>
      </c>
      <c r="Q58" s="1" cm="1">
        <f t="array" ref="Q58" xml:space="preserve"> 1 + ROW() - _xlfn.SINGLE(ROW(ChartLines.RowNum))</f>
        <v>53</v>
      </c>
      <c r="R58" s="1" t="str">
        <v>✓</v>
      </c>
      <c r="AB58" s="1" cm="1">
        <f t="array" ref="AB58" xml:space="preserve"> 1 + ROW() - _xlfn.SINGLE(ROW(AxisScaling.RowNum))</f>
        <v>53</v>
      </c>
      <c r="AC58" s="1">
        <v>250000000000</v>
      </c>
      <c r="AD58" s="1">
        <v>50000000000</v>
      </c>
    </row>
    <row r="59" spans="2:30" x14ac:dyDescent="0.2">
      <c r="B59" s="1" t="s">
        <v>109</v>
      </c>
      <c r="C59" s="1" t="str">
        <f t="shared" si="116"/>
        <v>VND</v>
      </c>
      <c r="D59" t="str">
        <v>✓</v>
      </c>
      <c r="H59" s="1" t="s">
        <v>76</v>
      </c>
      <c r="I59" s="1" t="s">
        <v>348</v>
      </c>
      <c r="K59" s="1">
        <f t="shared" si="111"/>
        <v>2</v>
      </c>
      <c r="L59" s="1">
        <f t="shared" si="112"/>
        <v>1</v>
      </c>
      <c r="M59" s="1" t="str" cm="1">
        <f t="array" ref="M59" xml:space="preserve"> _xlfn.IFS(OR(LEN(_xlfn.SINGLE(ChartLines.ID))=0,"Unused"=_xlfn.SINGLE(ChartLines.ID)), "·",   1=_xlfn.SINGLE(ChartLines.NumInstances), IF("USD"=_xlfn.SINGLE(ChartLines.ID), "SoleBig", "SoleOrdinary"),   1=_xlfn.SINGLE(ChartLines.InstanceNum), "Outer",   TRUE, "Inner")</f>
        <v>Outer</v>
      </c>
      <c r="N59" s="1">
        <f t="shared" si="113"/>
        <v>200</v>
      </c>
      <c r="O59" s="1">
        <f t="shared" si="114"/>
        <v>16</v>
      </c>
      <c r="P59" s="1">
        <f t="shared" si="115"/>
        <v>46</v>
      </c>
      <c r="Q59" s="1" cm="1">
        <f t="array" ref="Q59" xml:space="preserve"> 1 + ROW() - _xlfn.SINGLE(ROW(ChartLines.RowNum))</f>
        <v>54</v>
      </c>
      <c r="R59" s="1" t="str">
        <v>✓</v>
      </c>
      <c r="AB59" s="1" cm="1">
        <f t="array" ref="AB59" xml:space="preserve"> 1 + ROW() - _xlfn.SINGLE(ROW(AxisScaling.RowNum))</f>
        <v>54</v>
      </c>
      <c r="AC59" s="1">
        <v>500000000000</v>
      </c>
      <c r="AD59" s="1">
        <v>100000000000</v>
      </c>
    </row>
    <row r="60" spans="2:30" x14ac:dyDescent="0.2">
      <c r="B60" s="1" t="s">
        <v>110</v>
      </c>
      <c r="C60" s="1" t="str">
        <f t="shared" si="116"/>
        <v>INR</v>
      </c>
      <c r="D60" t="str">
        <v>✓</v>
      </c>
      <c r="H60" s="1" t="s">
        <v>76</v>
      </c>
      <c r="I60" s="1" t="s">
        <v>345</v>
      </c>
      <c r="K60" s="1">
        <f t="shared" si="111"/>
        <v>2</v>
      </c>
      <c r="L60" s="1">
        <f t="shared" si="112"/>
        <v>2</v>
      </c>
      <c r="M60" s="1" t="str" cm="1">
        <f t="array" ref="M60" xml:space="preserve"> _xlfn.IFS(OR(LEN(_xlfn.SINGLE(ChartLines.ID))=0,"Unused"=_xlfn.SINGLE(ChartLines.ID)), "·",   1=_xlfn.SINGLE(ChartLines.NumInstances), IF("USD"=_xlfn.SINGLE(ChartLines.ID), "SoleBig", "SoleOrdinary"),   1=_xlfn.SINGLE(ChartLines.InstanceNum), "Outer",   TRUE, "Inner")</f>
        <v>Inner</v>
      </c>
      <c r="N60" s="1">
        <f t="shared" si="113"/>
        <v>255</v>
      </c>
      <c r="O60" s="1">
        <f t="shared" si="114"/>
        <v>255</v>
      </c>
      <c r="P60" s="1">
        <f t="shared" si="115"/>
        <v>255</v>
      </c>
      <c r="Q60" s="1" cm="1">
        <f t="array" ref="Q60" xml:space="preserve"> 1 + ROW() - _xlfn.SINGLE(ROW(ChartLines.RowNum))</f>
        <v>55</v>
      </c>
      <c r="R60" s="1" t="str">
        <v>✓</v>
      </c>
      <c r="AB60" s="1" cm="1">
        <f t="array" ref="AB60" xml:space="preserve"> 1 + ROW() - _xlfn.SINGLE(ROW(AxisScaling.RowNum))</f>
        <v>55</v>
      </c>
      <c r="AC60" s="1">
        <v>1000000000000</v>
      </c>
      <c r="AD60" s="1">
        <v>250000000000</v>
      </c>
    </row>
    <row r="61" spans="2:30" x14ac:dyDescent="0.2">
      <c r="B61" s="1" t="s">
        <v>111</v>
      </c>
      <c r="C61" s="1" t="str">
        <f t="shared" si="116"/>
        <v>PKR</v>
      </c>
      <c r="D61" t="str">
        <v>✓</v>
      </c>
      <c r="H61" s="1" t="s">
        <v>513</v>
      </c>
      <c r="I61" s="1" t="s">
        <v>348</v>
      </c>
      <c r="K61" s="1">
        <f t="shared" si="111"/>
        <v>2</v>
      </c>
      <c r="L61" s="1">
        <f t="shared" si="112"/>
        <v>1</v>
      </c>
      <c r="M61" s="1" t="str" cm="1">
        <f t="array" ref="M61" xml:space="preserve"> _xlfn.IFS(OR(LEN(_xlfn.SINGLE(ChartLines.ID))=0,"Unused"=_xlfn.SINGLE(ChartLines.ID)), "·",   1=_xlfn.SINGLE(ChartLines.NumInstances), IF("USD"=_xlfn.SINGLE(ChartLines.ID), "SoleBig", "SoleOrdinary"),   1=_xlfn.SINGLE(ChartLines.InstanceNum), "Outer",   TRUE, "Inner")</f>
        <v>Outer</v>
      </c>
      <c r="N61" s="1">
        <f t="shared" si="113"/>
        <v>200</v>
      </c>
      <c r="O61" s="1">
        <f t="shared" si="114"/>
        <v>16</v>
      </c>
      <c r="P61" s="1">
        <f t="shared" si="115"/>
        <v>46</v>
      </c>
      <c r="Q61" s="1" cm="1">
        <f t="array" ref="Q61" xml:space="preserve"> 1 + ROW() - _xlfn.SINGLE(ROW(ChartLines.RowNum))</f>
        <v>56</v>
      </c>
      <c r="R61" s="1" t="str">
        <v>✓</v>
      </c>
      <c r="AB61" s="1" cm="1">
        <f t="array" ref="AB61" xml:space="preserve"> 1 + ROW() - _xlfn.SINGLE(ROW(AxisScaling.RowNum))</f>
        <v>56</v>
      </c>
      <c r="AC61" s="1">
        <v>2500000000000</v>
      </c>
      <c r="AD61" s="1">
        <v>500000000000</v>
      </c>
    </row>
    <row r="62" spans="2:30" x14ac:dyDescent="0.2">
      <c r="B62" s="1" t="s">
        <v>112</v>
      </c>
      <c r="C62" s="1" t="str">
        <f t="shared" si="116"/>
        <v>BDT</v>
      </c>
      <c r="D62" t="str">
        <v>✓</v>
      </c>
      <c r="H62" s="1" t="s">
        <v>513</v>
      </c>
      <c r="I62" s="1" t="str">
        <f xml:space="preserve"> "000000"</f>
        <v>000000</v>
      </c>
      <c r="K62" s="1">
        <f t="shared" si="111"/>
        <v>2</v>
      </c>
      <c r="L62" s="1">
        <f t="shared" si="112"/>
        <v>2</v>
      </c>
      <c r="M62" s="1" t="str" cm="1">
        <f t="array" ref="M62" xml:space="preserve"> _xlfn.IFS(OR(LEN(_xlfn.SINGLE(ChartLines.ID))=0,"Unused"=_xlfn.SINGLE(ChartLines.ID)), "·",   1=_xlfn.SINGLE(ChartLines.NumInstances), IF("USD"=_xlfn.SINGLE(ChartLines.ID), "SoleBig", "SoleOrdinary"),   1=_xlfn.SINGLE(ChartLines.InstanceNum), "Outer",   TRUE, "Inner")</f>
        <v>Inner</v>
      </c>
      <c r="N62" s="1">
        <f t="shared" si="113"/>
        <v>0</v>
      </c>
      <c r="O62" s="1">
        <f t="shared" si="114"/>
        <v>0</v>
      </c>
      <c r="P62" s="1">
        <f t="shared" si="115"/>
        <v>0</v>
      </c>
      <c r="Q62" s="1" cm="1">
        <f t="array" ref="Q62" xml:space="preserve"> 1 + ROW() - _xlfn.SINGLE(ROW(ChartLines.RowNum))</f>
        <v>57</v>
      </c>
      <c r="R62" s="1" t="str">
        <v>✓</v>
      </c>
      <c r="AB62" s="1" cm="1">
        <f t="array" ref="AB62" xml:space="preserve"> 1 + ROW() - _xlfn.SINGLE(ROW(AxisScaling.RowNum))</f>
        <v>57</v>
      </c>
      <c r="AC62" s="1">
        <v>5000000000000</v>
      </c>
      <c r="AD62" s="1">
        <v>1000000000000</v>
      </c>
    </row>
    <row r="63" spans="2:30" x14ac:dyDescent="0.2">
      <c r="B63" s="1" t="s">
        <v>113</v>
      </c>
      <c r="C63" s="1" t="str">
        <f t="shared" si="116"/>
        <v>LKR</v>
      </c>
      <c r="D63" t="str">
        <v>✓</v>
      </c>
      <c r="H63" s="1" t="s">
        <v>77</v>
      </c>
      <c r="I63" s="1" t="s">
        <v>359</v>
      </c>
      <c r="K63" s="1">
        <f t="shared" si="111"/>
        <v>1</v>
      </c>
      <c r="L63" s="1">
        <f t="shared" si="112"/>
        <v>1</v>
      </c>
      <c r="M63" s="1" t="str" cm="1">
        <f t="array" ref="M63" xml:space="preserve"> _xlfn.IFS(OR(LEN(_xlfn.SINGLE(ChartLines.ID))=0,"Unused"=_xlfn.SINGLE(ChartLines.ID)), "·",   1=_xlfn.SINGLE(ChartLines.NumInstances), IF("USD"=_xlfn.SINGLE(ChartLines.ID), "SoleBig", "SoleOrdinary"),   1=_xlfn.SINGLE(ChartLines.InstanceNum), "Outer",   TRUE, "Inner")</f>
        <v>SoleOrdinary</v>
      </c>
      <c r="N63" s="1">
        <f t="shared" si="113"/>
        <v>0</v>
      </c>
      <c r="O63" s="1">
        <f t="shared" si="114"/>
        <v>47</v>
      </c>
      <c r="P63" s="1">
        <f t="shared" si="115"/>
        <v>108</v>
      </c>
      <c r="Q63" s="1" cm="1">
        <f t="array" ref="Q63" xml:space="preserve"> 1 + ROW() - _xlfn.SINGLE(ROW(ChartLines.RowNum))</f>
        <v>58</v>
      </c>
      <c r="R63" s="1" t="str">
        <v>✓</v>
      </c>
      <c r="AB63" s="1" cm="1">
        <f t="array" ref="AB63" xml:space="preserve"> 1 + ROW() - _xlfn.SINGLE(ROW(AxisScaling.RowNum))</f>
        <v>58</v>
      </c>
      <c r="AC63" s="1">
        <v>10000000000000</v>
      </c>
      <c r="AD63" s="1">
        <v>2500000000000</v>
      </c>
    </row>
    <row r="64" spans="2:30" x14ac:dyDescent="0.2">
      <c r="B64" s="1" t="s">
        <v>114</v>
      </c>
      <c r="C64" s="1" t="str">
        <f t="shared" si="116"/>
        <v>KZT</v>
      </c>
      <c r="D64" t="str">
        <v>✓</v>
      </c>
      <c r="H64" s="1" t="s">
        <v>341</v>
      </c>
      <c r="K64" s="1" t="str">
        <f t="shared" si="111"/>
        <v>·</v>
      </c>
      <c r="L64" s="1" t="str">
        <f t="shared" si="112"/>
        <v>·</v>
      </c>
      <c r="M64" s="1" t="str" cm="1">
        <f t="array" ref="M64" xml:space="preserve"> _xlfn.IFS(OR(LEN(_xlfn.SINGLE(ChartLines.ID))=0,"Unused"=_xlfn.SINGLE(ChartLines.ID)), "·",   1=_xlfn.SINGLE(ChartLines.NumInstances), IF("USD"=_xlfn.SINGLE(ChartLines.ID), "SoleBig", "SoleOrdinary"),   1=_xlfn.SINGLE(ChartLines.InstanceNum), "Outer",   TRUE, "Inner")</f>
        <v>·</v>
      </c>
      <c r="N64" s="1" t="str">
        <f t="shared" si="113"/>
        <v>·</v>
      </c>
      <c r="O64" s="1" t="str">
        <f t="shared" si="114"/>
        <v>·</v>
      </c>
      <c r="P64" s="1" t="str">
        <f t="shared" si="115"/>
        <v>·</v>
      </c>
      <c r="Q64" s="1" cm="1">
        <f t="array" ref="Q64" xml:space="preserve"> 1 + ROW() - _xlfn.SINGLE(ROW(ChartLines.RowNum))</f>
        <v>59</v>
      </c>
      <c r="R64" s="1" t="str">
        <v>·</v>
      </c>
      <c r="AB64" s="1" cm="1">
        <f t="array" ref="AB64" xml:space="preserve"> 1 + ROW() - _xlfn.SINGLE(ROW(AxisScaling.RowNum))</f>
        <v>59</v>
      </c>
      <c r="AC64" s="1">
        <v>25000000000000</v>
      </c>
      <c r="AD64" s="1">
        <v>5000000000000</v>
      </c>
    </row>
    <row r="65" spans="2:30" x14ac:dyDescent="0.2">
      <c r="B65" s="1" t="s">
        <v>522</v>
      </c>
      <c r="C65" s="1" t="str">
        <f t="shared" si="116"/>
        <v>UZS</v>
      </c>
      <c r="D65" t="str">
        <v>✓</v>
      </c>
      <c r="H65" s="1" t="s">
        <v>514</v>
      </c>
      <c r="I65" s="1" t="s">
        <v>359</v>
      </c>
      <c r="K65" s="1">
        <f t="shared" si="111"/>
        <v>2</v>
      </c>
      <c r="L65" s="1">
        <f t="shared" si="112"/>
        <v>1</v>
      </c>
      <c r="M65" s="1" t="str" cm="1">
        <f t="array" ref="M65" xml:space="preserve"> _xlfn.IFS(OR(LEN(_xlfn.SINGLE(ChartLines.ID))=0,"Unused"=_xlfn.SINGLE(ChartLines.ID)), "·",   1=_xlfn.SINGLE(ChartLines.NumInstances), IF("USD"=_xlfn.SINGLE(ChartLines.ID), "SoleBig", "SoleOrdinary"),   1=_xlfn.SINGLE(ChartLines.InstanceNum), "Outer",   TRUE, "Inner")</f>
        <v>Outer</v>
      </c>
      <c r="N65" s="1">
        <f t="shared" si="113"/>
        <v>0</v>
      </c>
      <c r="O65" s="1">
        <f t="shared" si="114"/>
        <v>47</v>
      </c>
      <c r="P65" s="1">
        <f t="shared" si="115"/>
        <v>108</v>
      </c>
      <c r="Q65" s="1" cm="1">
        <f t="array" ref="Q65" xml:space="preserve"> 1 + ROW() - _xlfn.SINGLE(ROW(ChartLines.RowNum))</f>
        <v>60</v>
      </c>
      <c r="R65" s="1" t="str">
        <v>✓</v>
      </c>
      <c r="AB65" s="1" cm="1">
        <f t="array" ref="AB65" xml:space="preserve"> 1 + ROW() - _xlfn.SINGLE(ROW(AxisScaling.RowNum))</f>
        <v>60</v>
      </c>
      <c r="AC65" s="1">
        <v>50000000000000</v>
      </c>
      <c r="AD65" s="1">
        <v>10000000000000</v>
      </c>
    </row>
    <row r="66" spans="2:30" x14ac:dyDescent="0.2">
      <c r="B66" s="1" t="s">
        <v>525</v>
      </c>
      <c r="C66" s="1" t="str">
        <f t="shared" si="116"/>
        <v>TMT</v>
      </c>
      <c r="D66" t="str">
        <v>✓</v>
      </c>
      <c r="H66" s="1" t="s">
        <v>514</v>
      </c>
      <c r="I66" s="1" t="str">
        <f xml:space="preserve"> "66CC66"</f>
        <v>66CC66</v>
      </c>
      <c r="K66" s="1">
        <f t="shared" si="111"/>
        <v>2</v>
      </c>
      <c r="L66" s="1">
        <f t="shared" si="112"/>
        <v>2</v>
      </c>
      <c r="M66" s="1" t="str" cm="1">
        <f t="array" ref="M66" xml:space="preserve"> _xlfn.IFS(OR(LEN(_xlfn.SINGLE(ChartLines.ID))=0,"Unused"=_xlfn.SINGLE(ChartLines.ID)), "·",   1=_xlfn.SINGLE(ChartLines.NumInstances), IF("USD"=_xlfn.SINGLE(ChartLines.ID), "SoleBig", "SoleOrdinary"),   1=_xlfn.SINGLE(ChartLines.InstanceNum), "Outer",   TRUE, "Inner")</f>
        <v>Inner</v>
      </c>
      <c r="N66" s="1">
        <f t="shared" si="113"/>
        <v>102</v>
      </c>
      <c r="O66" s="1">
        <f t="shared" si="114"/>
        <v>204</v>
      </c>
      <c r="P66" s="1">
        <f t="shared" si="115"/>
        <v>102</v>
      </c>
      <c r="Q66" s="1" cm="1">
        <f t="array" ref="Q66" xml:space="preserve"> 1 + ROW() - _xlfn.SINGLE(ROW(ChartLines.RowNum))</f>
        <v>61</v>
      </c>
      <c r="R66" s="1" t="str">
        <v>✓</v>
      </c>
      <c r="AB66" s="1" cm="1">
        <f t="array" ref="AB66" xml:space="preserve"> 1 + ROW() - _xlfn.SINGLE(ROW(AxisScaling.RowNum))</f>
        <v>61</v>
      </c>
      <c r="AC66" s="1">
        <v>100000000000000</v>
      </c>
      <c r="AD66" s="1">
        <v>25000000000000</v>
      </c>
    </row>
    <row r="67" spans="2:30" x14ac:dyDescent="0.2">
      <c r="B67" s="1" t="s">
        <v>555</v>
      </c>
      <c r="C67" s="1" t="str">
        <f t="shared" si="116"/>
        <v>NPR</v>
      </c>
      <c r="D67" t="str">
        <v>✓</v>
      </c>
      <c r="H67" s="1" t="s">
        <v>78</v>
      </c>
      <c r="I67" s="1" t="s">
        <v>360</v>
      </c>
      <c r="K67" s="1">
        <f t="shared" si="111"/>
        <v>2</v>
      </c>
      <c r="L67" s="1">
        <f t="shared" si="112"/>
        <v>1</v>
      </c>
      <c r="M67" s="1" t="str" cm="1">
        <f t="array" ref="M67" xml:space="preserve"> _xlfn.IFS(OR(LEN(_xlfn.SINGLE(ChartLines.ID))=0,"Unused"=_xlfn.SINGLE(ChartLines.ID)), "·",   1=_xlfn.SINGLE(ChartLines.NumInstances), IF("USD"=_xlfn.SINGLE(ChartLines.ID), "SoleBig", "SoleOrdinary"),   1=_xlfn.SINGLE(ChartLines.InstanceNum), "Outer",   TRUE, "Inner")</f>
        <v>Outer</v>
      </c>
      <c r="N67" s="1">
        <f t="shared" si="113"/>
        <v>0</v>
      </c>
      <c r="O67" s="1">
        <f t="shared" si="114"/>
        <v>76</v>
      </c>
      <c r="P67" s="1">
        <f t="shared" si="115"/>
        <v>152</v>
      </c>
      <c r="Q67" s="1" cm="1">
        <f t="array" ref="Q67" xml:space="preserve"> 1 + ROW() - _xlfn.SINGLE(ROW(ChartLines.RowNum))</f>
        <v>62</v>
      </c>
      <c r="R67" s="1" t="str">
        <v>✓</v>
      </c>
      <c r="AB67" s="1" cm="1">
        <f t="array" ref="AB67" xml:space="preserve"> 1 + ROW() - _xlfn.SINGLE(ROW(AxisScaling.RowNum))</f>
        <v>62</v>
      </c>
      <c r="AC67" s="1">
        <v>250000000000000</v>
      </c>
      <c r="AD67" s="1">
        <v>50000000000000</v>
      </c>
    </row>
    <row r="68" spans="2:30" x14ac:dyDescent="0.2">
      <c r="B68" s="1" t="s">
        <v>527</v>
      </c>
      <c r="C68" s="1" t="str">
        <f t="shared" si="116"/>
        <v>KPW</v>
      </c>
      <c r="D68" t="str">
        <v>✓</v>
      </c>
      <c r="H68" s="1" t="s">
        <v>78</v>
      </c>
      <c r="I68" s="1" t="s">
        <v>345</v>
      </c>
      <c r="K68" s="1">
        <f t="shared" si="111"/>
        <v>2</v>
      </c>
      <c r="L68" s="1">
        <f t="shared" si="112"/>
        <v>2</v>
      </c>
      <c r="M68" s="1" t="str" cm="1">
        <f t="array" ref="M68" xml:space="preserve"> _xlfn.IFS(OR(LEN(_xlfn.SINGLE(ChartLines.ID))=0,"Unused"=_xlfn.SINGLE(ChartLines.ID)), "·",   1=_xlfn.SINGLE(ChartLines.NumInstances), IF("USD"=_xlfn.SINGLE(ChartLines.ID), "SoleBig", "SoleOrdinary"),   1=_xlfn.SINGLE(ChartLines.InstanceNum), "Outer",   TRUE, "Inner")</f>
        <v>Inner</v>
      </c>
      <c r="N68" s="1">
        <f t="shared" si="113"/>
        <v>255</v>
      </c>
      <c r="O68" s="1">
        <f t="shared" si="114"/>
        <v>255</v>
      </c>
      <c r="P68" s="1">
        <f t="shared" si="115"/>
        <v>255</v>
      </c>
      <c r="Q68" s="1" cm="1">
        <f t="array" ref="Q68" xml:space="preserve"> 1 + ROW() - _xlfn.SINGLE(ROW(ChartLines.RowNum))</f>
        <v>63</v>
      </c>
      <c r="R68" s="1" t="str">
        <v>✓</v>
      </c>
      <c r="AB68" s="1" cm="1">
        <f t="array" ref="AB68" xml:space="preserve"> 1 + ROW() - _xlfn.SINGLE(ROW(AxisScaling.RowNum))</f>
        <v>63</v>
      </c>
      <c r="AC68" s="1">
        <v>500000000000000</v>
      </c>
      <c r="AD68" s="1">
        <v>100000000000000</v>
      </c>
    </row>
    <row r="69" spans="2:30" x14ac:dyDescent="0.2">
      <c r="B69" s="1" t="s">
        <v>115</v>
      </c>
      <c r="C69" s="1" t="str">
        <f t="shared" si="116"/>
        <v>MNT</v>
      </c>
      <c r="D69" t="str">
        <v>✓</v>
      </c>
      <c r="H69" s="1" t="s">
        <v>515</v>
      </c>
      <c r="I69" s="1" t="s">
        <v>360</v>
      </c>
      <c r="K69" s="1">
        <f t="shared" si="111"/>
        <v>2</v>
      </c>
      <c r="L69" s="1">
        <f t="shared" si="112"/>
        <v>1</v>
      </c>
      <c r="M69" s="1" t="str" cm="1">
        <f t="array" ref="M69" xml:space="preserve"> _xlfn.IFS(OR(LEN(_xlfn.SINGLE(ChartLines.ID))=0,"Unused"=_xlfn.SINGLE(ChartLines.ID)), "·",   1=_xlfn.SINGLE(ChartLines.NumInstances), IF("USD"=_xlfn.SINGLE(ChartLines.ID), "SoleBig", "SoleOrdinary"),   1=_xlfn.SINGLE(ChartLines.InstanceNum), "Outer",   TRUE, "Inner")</f>
        <v>Outer</v>
      </c>
      <c r="N69" s="1">
        <f t="shared" si="113"/>
        <v>0</v>
      </c>
      <c r="O69" s="1">
        <f t="shared" si="114"/>
        <v>76</v>
      </c>
      <c r="P69" s="1">
        <f t="shared" si="115"/>
        <v>152</v>
      </c>
      <c r="Q69" s="1" cm="1">
        <f t="array" ref="Q69" xml:space="preserve"> 1 + ROW() - _xlfn.SINGLE(ROW(ChartLines.RowNum))</f>
        <v>64</v>
      </c>
      <c r="R69" s="1" t="str">
        <v>✓</v>
      </c>
      <c r="AB69" s="1" cm="1">
        <f t="array" ref="AB69" xml:space="preserve"> 1 + ROW() - _xlfn.SINGLE(ROW(AxisScaling.RowNum))</f>
        <v>64</v>
      </c>
      <c r="AC69" s="1">
        <v>1000000000000000</v>
      </c>
      <c r="AD69" s="1">
        <v>250000000000000</v>
      </c>
    </row>
    <row r="70" spans="2:30" x14ac:dyDescent="0.2">
      <c r="B70" s="1" t="s">
        <v>116</v>
      </c>
      <c r="C70" s="1" t="str">
        <f t="shared" si="116"/>
        <v>RSD</v>
      </c>
      <c r="D70" t="str">
        <v>✓</v>
      </c>
      <c r="H70" s="1" t="s">
        <v>515</v>
      </c>
      <c r="I70" s="1" t="str">
        <f xml:space="preserve"> "00FF00"</f>
        <v>00FF00</v>
      </c>
      <c r="K70" s="1">
        <f t="shared" si="111"/>
        <v>2</v>
      </c>
      <c r="L70" s="1">
        <f t="shared" si="112"/>
        <v>2</v>
      </c>
      <c r="M70" s="1" t="str" cm="1">
        <f t="array" ref="M70" xml:space="preserve"> _xlfn.IFS(OR(LEN(_xlfn.SINGLE(ChartLines.ID))=0,"Unused"=_xlfn.SINGLE(ChartLines.ID)), "·",   1=_xlfn.SINGLE(ChartLines.NumInstances), IF("USD"=_xlfn.SINGLE(ChartLines.ID), "SoleBig", "SoleOrdinary"),   1=_xlfn.SINGLE(ChartLines.InstanceNum), "Outer",   TRUE, "Inner")</f>
        <v>Inner</v>
      </c>
      <c r="N70" s="1">
        <f t="shared" si="113"/>
        <v>0</v>
      </c>
      <c r="O70" s="1">
        <f t="shared" si="114"/>
        <v>255</v>
      </c>
      <c r="P70" s="1">
        <f t="shared" si="115"/>
        <v>0</v>
      </c>
      <c r="Q70" s="1" cm="1">
        <f t="array" ref="Q70" xml:space="preserve"> 1 + ROW() - _xlfn.SINGLE(ROW(ChartLines.RowNum))</f>
        <v>65</v>
      </c>
      <c r="R70" s="1" t="str">
        <v>✓</v>
      </c>
    </row>
    <row r="71" spans="2:30" x14ac:dyDescent="0.2">
      <c r="B71" s="1" t="s">
        <v>117</v>
      </c>
      <c r="C71" s="1" t="str">
        <f t="shared" si="116"/>
        <v>ALL</v>
      </c>
      <c r="D71" t="str">
        <v>✓</v>
      </c>
      <c r="H71" s="1" t="s">
        <v>79</v>
      </c>
      <c r="I71" s="1" t="s">
        <v>361</v>
      </c>
      <c r="K71" s="1">
        <f t="shared" si="111"/>
        <v>1</v>
      </c>
      <c r="L71" s="1">
        <f t="shared" si="112"/>
        <v>1</v>
      </c>
      <c r="M71" s="1" t="str" cm="1">
        <f t="array" ref="M71" xml:space="preserve"> _xlfn.IFS(OR(LEN(_xlfn.SINGLE(ChartLines.ID))=0,"Unused"=_xlfn.SINGLE(ChartLines.ID)), "·",   1=_xlfn.SINGLE(ChartLines.NumInstances), IF("USD"=_xlfn.SINGLE(ChartLines.ID), "SoleBig", "SoleOrdinary"),   1=_xlfn.SINGLE(ChartLines.InstanceNum), "Outer",   TRUE, "Inner")</f>
        <v>SoleOrdinary</v>
      </c>
      <c r="N71" s="1">
        <f t="shared" si="113"/>
        <v>218</v>
      </c>
      <c r="O71" s="1">
        <f t="shared" si="114"/>
        <v>41</v>
      </c>
      <c r="P71" s="1">
        <f t="shared" si="115"/>
        <v>28</v>
      </c>
      <c r="Q71" s="1" cm="1">
        <f t="array" ref="Q71" xml:space="preserve"> 1 + ROW() - _xlfn.SINGLE(ROW(ChartLines.RowNum))</f>
        <v>66</v>
      </c>
      <c r="R71" s="1" t="str">
        <v>✓</v>
      </c>
    </row>
    <row r="72" spans="2:30" x14ac:dyDescent="0.2">
      <c r="B72" s="1" t="s">
        <v>118</v>
      </c>
      <c r="C72" s="1" t="str">
        <f t="shared" si="116"/>
        <v>MKD</v>
      </c>
      <c r="D72" t="str">
        <v>✓</v>
      </c>
      <c r="H72" s="1" t="s">
        <v>341</v>
      </c>
      <c r="K72" s="1" t="str">
        <f t="shared" si="111"/>
        <v>·</v>
      </c>
      <c r="L72" s="1" t="str">
        <f t="shared" si="112"/>
        <v>·</v>
      </c>
      <c r="M72" s="1" t="str" cm="1">
        <f t="array" ref="M72" xml:space="preserve"> _xlfn.IFS(OR(LEN(_xlfn.SINGLE(ChartLines.ID))=0,"Unused"=_xlfn.SINGLE(ChartLines.ID)), "·",   1=_xlfn.SINGLE(ChartLines.NumInstances), IF("USD"=_xlfn.SINGLE(ChartLines.ID), "SoleBig", "SoleOrdinary"),   1=_xlfn.SINGLE(ChartLines.InstanceNum), "Outer",   TRUE, "Inner")</f>
        <v>·</v>
      </c>
      <c r="N72" s="1" t="str">
        <f t="shared" si="113"/>
        <v>·</v>
      </c>
      <c r="O72" s="1" t="str">
        <f t="shared" si="114"/>
        <v>·</v>
      </c>
      <c r="P72" s="1" t="str">
        <f t="shared" si="115"/>
        <v>·</v>
      </c>
      <c r="Q72" s="1" cm="1">
        <f t="array" ref="Q72" xml:space="preserve"> 1 + ROW() - _xlfn.SINGLE(ROW(ChartLines.RowNum))</f>
        <v>67</v>
      </c>
      <c r="R72" s="1" t="str">
        <v>·</v>
      </c>
    </row>
    <row r="73" spans="2:30" x14ac:dyDescent="0.2">
      <c r="B73" s="1" t="s">
        <v>119</v>
      </c>
      <c r="C73" s="1" t="str">
        <f t="shared" si="116"/>
        <v>MDL</v>
      </c>
      <c r="D73" t="str">
        <v>✓</v>
      </c>
      <c r="H73" s="1" t="s">
        <v>516</v>
      </c>
      <c r="I73" s="1" t="s">
        <v>361</v>
      </c>
      <c r="K73" s="1">
        <f t="shared" si="111"/>
        <v>2</v>
      </c>
      <c r="L73" s="1">
        <f t="shared" si="112"/>
        <v>1</v>
      </c>
      <c r="M73" s="1" t="str" cm="1">
        <f t="array" ref="M73" xml:space="preserve"> _xlfn.IFS(OR(LEN(_xlfn.SINGLE(ChartLines.ID))=0,"Unused"=_xlfn.SINGLE(ChartLines.ID)), "·",   1=_xlfn.SINGLE(ChartLines.NumInstances), IF("USD"=_xlfn.SINGLE(ChartLines.ID), "SoleBig", "SoleOrdinary"),   1=_xlfn.SINGLE(ChartLines.InstanceNum), "Outer",   TRUE, "Inner")</f>
        <v>Outer</v>
      </c>
      <c r="N73" s="1">
        <f t="shared" si="113"/>
        <v>218</v>
      </c>
      <c r="O73" s="1">
        <f t="shared" si="114"/>
        <v>41</v>
      </c>
      <c r="P73" s="1">
        <f t="shared" si="115"/>
        <v>28</v>
      </c>
      <c r="Q73" s="1" cm="1">
        <f t="array" ref="Q73" xml:space="preserve"> 1 + ROW() - _xlfn.SINGLE(ROW(ChartLines.RowNum))</f>
        <v>68</v>
      </c>
      <c r="R73" s="1" t="str">
        <v>✓</v>
      </c>
    </row>
    <row r="74" spans="2:30" x14ac:dyDescent="0.2">
      <c r="B74" s="1" t="s">
        <v>120</v>
      </c>
      <c r="C74" s="1" t="str">
        <f t="shared" si="116"/>
        <v>RUB</v>
      </c>
      <c r="D74" t="str">
        <v>✓</v>
      </c>
      <c r="H74" s="1" t="s">
        <v>516</v>
      </c>
      <c r="I74" s="1" t="str">
        <f xml:space="preserve"> "00FF00"</f>
        <v>00FF00</v>
      </c>
      <c r="K74" s="1">
        <f t="shared" si="111"/>
        <v>2</v>
      </c>
      <c r="L74" s="1">
        <f t="shared" si="112"/>
        <v>2</v>
      </c>
      <c r="M74" s="1" t="str" cm="1">
        <f t="array" ref="M74" xml:space="preserve"> _xlfn.IFS(OR(LEN(_xlfn.SINGLE(ChartLines.ID))=0,"Unused"=_xlfn.SINGLE(ChartLines.ID)), "·",   1=_xlfn.SINGLE(ChartLines.NumInstances), IF("USD"=_xlfn.SINGLE(ChartLines.ID), "SoleBig", "SoleOrdinary"),   1=_xlfn.SINGLE(ChartLines.InstanceNum), "Outer",   TRUE, "Inner")</f>
        <v>Inner</v>
      </c>
      <c r="N74" s="1">
        <f t="shared" si="113"/>
        <v>0</v>
      </c>
      <c r="O74" s="1">
        <f t="shared" si="114"/>
        <v>255</v>
      </c>
      <c r="P74" s="1">
        <f t="shared" si="115"/>
        <v>0</v>
      </c>
      <c r="Q74" s="1" cm="1">
        <f t="array" ref="Q74" xml:space="preserve"> 1 + ROW() - _xlfn.SINGLE(ROW(ChartLines.RowNum))</f>
        <v>69</v>
      </c>
      <c r="R74" s="1" t="str">
        <v>✓</v>
      </c>
    </row>
    <row r="75" spans="2:30" x14ac:dyDescent="0.2">
      <c r="B75" s="1" t="s">
        <v>478</v>
      </c>
      <c r="C75" s="1" t="str">
        <f t="shared" ref="C75:C84" si="117" xml:space="preserve"> _xlfn.SINGLE(SeriesFormatAlias.SeriesName)</f>
        <v>BYN</v>
      </c>
      <c r="D75" t="str">
        <v>✓</v>
      </c>
      <c r="H75" s="1" t="s">
        <v>80</v>
      </c>
      <c r="I75" s="1" t="s">
        <v>362</v>
      </c>
      <c r="K75" s="1">
        <f t="shared" si="111"/>
        <v>2</v>
      </c>
      <c r="L75" s="1">
        <f t="shared" si="112"/>
        <v>1</v>
      </c>
      <c r="M75" s="1" t="str" cm="1">
        <f t="array" ref="M75" xml:space="preserve"> _xlfn.IFS(OR(LEN(_xlfn.SINGLE(ChartLines.ID))=0,"Unused"=_xlfn.SINGLE(ChartLines.ID)), "·",   1=_xlfn.SINGLE(ChartLines.NumInstances), IF("USD"=_xlfn.SINGLE(ChartLines.ID), "SoleBig", "SoleOrdinary"),   1=_xlfn.SINGLE(ChartLines.InstanceNum), "Outer",   TRUE, "Inner")</f>
        <v>Outer</v>
      </c>
      <c r="N75" s="1">
        <f t="shared" si="113"/>
        <v>255</v>
      </c>
      <c r="O75" s="1">
        <f t="shared" si="114"/>
        <v>136</v>
      </c>
      <c r="P75" s="1">
        <f t="shared" si="115"/>
        <v>62</v>
      </c>
      <c r="Q75" s="1" cm="1">
        <f t="array" ref="Q75" xml:space="preserve"> 1 + ROW() - _xlfn.SINGLE(ROW(ChartLines.RowNum))</f>
        <v>70</v>
      </c>
      <c r="R75" s="1" t="str">
        <v>✓</v>
      </c>
    </row>
    <row r="76" spans="2:30" x14ac:dyDescent="0.2">
      <c r="B76" s="1" t="s">
        <v>121</v>
      </c>
      <c r="C76" s="1" t="str">
        <f t="shared" si="117"/>
        <v>UAH</v>
      </c>
      <c r="D76" t="str">
        <v>✓</v>
      </c>
      <c r="H76" s="1" t="s">
        <v>80</v>
      </c>
      <c r="I76" s="1" t="s">
        <v>363</v>
      </c>
      <c r="K76" s="1">
        <f t="shared" ref="K76:K78" si="118" xml:space="preserve"> IF(AND(LEN(ChartLines.ID)&gt;0,"Unused"&lt;&gt;ChartLines.ID), COUNTIFS(ChartLines.ID,ChartLines.ID), "·")</f>
        <v>2</v>
      </c>
      <c r="L76" s="1">
        <f t="shared" ref="L76:L78" si="119" xml:space="preserve"> IF(AND(LEN(ChartLines.ID)&gt;0,"Unused"&lt;&gt;ChartLines.ID), COUNTIFS(ChartLines.ID,ChartLines.ID,   ChartLines.RowNum,"&lt;="&amp;ChartLines.RowNum), "·")</f>
        <v>2</v>
      </c>
      <c r="M76" s="1" t="str" cm="1">
        <f t="array" ref="M76" xml:space="preserve"> _xlfn.IFS(OR(LEN(_xlfn.SINGLE(ChartLines.ID))=0,"Unused"=_xlfn.SINGLE(ChartLines.ID)), "·",   1=_xlfn.SINGLE(ChartLines.NumInstances), IF("USD"=_xlfn.SINGLE(ChartLines.ID), "SoleBig", "SoleOrdinary"),   1=_xlfn.SINGLE(ChartLines.InstanceNum), "Outer",   TRUE, "Inner")</f>
        <v>Inner</v>
      </c>
      <c r="N76" s="1">
        <f t="shared" ref="N76:N78" si="120" xml:space="preserve"> IF(LEN(ChartLines.Hex6)=6, HEX2DEC(LEFT(ChartLines.Hex6, 2)), "·")</f>
        <v>22</v>
      </c>
      <c r="O76" s="1">
        <f t="shared" ref="O76:O78" si="121" xml:space="preserve"> IF(LEN(ChartLines.Hex6)=6, HEX2DEC(MID(ChartLines.Hex6, 3, 2)), "·")</f>
        <v>155</v>
      </c>
      <c r="P76" s="1">
        <f t="shared" ref="P76:P78" si="122" xml:space="preserve"> IF(LEN(ChartLines.Hex6)=6, HEX2DEC(RIGHT(ChartLines.Hex6, 2)), "·")</f>
        <v>98</v>
      </c>
      <c r="Q76" s="1" cm="1">
        <f t="array" ref="Q76" xml:space="preserve"> 1 + ROW() - _xlfn.SINGLE(ROW(ChartLines.RowNum))</f>
        <v>71</v>
      </c>
      <c r="R76" s="1" t="str">
        <v>✓</v>
      </c>
    </row>
    <row r="77" spans="2:30" x14ac:dyDescent="0.2">
      <c r="B77" s="1" t="s">
        <v>122</v>
      </c>
      <c r="C77" s="1" t="str">
        <f t="shared" si="117"/>
        <v>GEL</v>
      </c>
      <c r="D77" t="str">
        <v>✓</v>
      </c>
      <c r="H77" s="1" t="s">
        <v>517</v>
      </c>
      <c r="I77" s="1" t="s">
        <v>363</v>
      </c>
      <c r="K77" s="1">
        <f t="shared" si="118"/>
        <v>2</v>
      </c>
      <c r="L77" s="1">
        <f t="shared" si="119"/>
        <v>1</v>
      </c>
      <c r="M77" s="1" t="str" cm="1">
        <f t="array" ref="M77" xml:space="preserve"> _xlfn.IFS(OR(LEN(_xlfn.SINGLE(ChartLines.ID))=0,"Unused"=_xlfn.SINGLE(ChartLines.ID)), "·",   1=_xlfn.SINGLE(ChartLines.NumInstances), IF("USD"=_xlfn.SINGLE(ChartLines.ID), "SoleBig", "SoleOrdinary"),   1=_xlfn.SINGLE(ChartLines.InstanceNum), "Outer",   TRUE, "Inner")</f>
        <v>Outer</v>
      </c>
      <c r="N77" s="1">
        <f t="shared" si="120"/>
        <v>22</v>
      </c>
      <c r="O77" s="1">
        <f t="shared" si="121"/>
        <v>155</v>
      </c>
      <c r="P77" s="1">
        <f t="shared" si="122"/>
        <v>98</v>
      </c>
      <c r="Q77" s="1" cm="1">
        <f t="array" ref="Q77" xml:space="preserve"> 1 + ROW() - _xlfn.SINGLE(ROW(ChartLines.RowNum))</f>
        <v>72</v>
      </c>
      <c r="R77" s="1" t="str">
        <v>✓</v>
      </c>
    </row>
    <row r="78" spans="2:30" x14ac:dyDescent="0.2">
      <c r="B78" s="1" t="s">
        <v>123</v>
      </c>
      <c r="C78" s="1" t="str">
        <f t="shared" si="117"/>
        <v>TRY</v>
      </c>
      <c r="D78" t="str">
        <v>✓</v>
      </c>
      <c r="H78" s="1" t="s">
        <v>517</v>
      </c>
      <c r="I78" s="1" t="s">
        <v>362</v>
      </c>
      <c r="K78" s="1">
        <f t="shared" si="118"/>
        <v>2</v>
      </c>
      <c r="L78" s="1">
        <f t="shared" si="119"/>
        <v>2</v>
      </c>
      <c r="M78" s="1" t="str" cm="1">
        <f t="array" ref="M78" xml:space="preserve"> _xlfn.IFS(OR(LEN(_xlfn.SINGLE(ChartLines.ID))=0,"Unused"=_xlfn.SINGLE(ChartLines.ID)), "·",   1=_xlfn.SINGLE(ChartLines.NumInstances), IF("USD"=_xlfn.SINGLE(ChartLines.ID), "SoleBig", "SoleOrdinary"),   1=_xlfn.SINGLE(ChartLines.InstanceNum), "Outer",   TRUE, "Inner")</f>
        <v>Inner</v>
      </c>
      <c r="N78" s="1">
        <f t="shared" si="120"/>
        <v>255</v>
      </c>
      <c r="O78" s="1">
        <f t="shared" si="121"/>
        <v>136</v>
      </c>
      <c r="P78" s="1">
        <f t="shared" si="122"/>
        <v>62</v>
      </c>
      <c r="Q78" s="1" cm="1">
        <f t="array" ref="Q78" xml:space="preserve"> 1 + ROW() - _xlfn.SINGLE(ROW(ChartLines.RowNum))</f>
        <v>73</v>
      </c>
      <c r="R78" s="1" t="str">
        <v>✓</v>
      </c>
    </row>
    <row r="79" spans="2:30" x14ac:dyDescent="0.2">
      <c r="B79" s="1" t="s">
        <v>124</v>
      </c>
      <c r="C79" s="1" t="str">
        <f t="shared" si="117"/>
        <v>SAR</v>
      </c>
      <c r="D79" t="str">
        <v>✓</v>
      </c>
      <c r="H79" s="1" t="s">
        <v>57</v>
      </c>
      <c r="I79" s="1" t="s">
        <v>343</v>
      </c>
      <c r="K79" s="1">
        <f t="shared" ref="K79" si="123" xml:space="preserve"> IF(AND(LEN(ChartLines.ID)&gt;0,"Unused"&lt;&gt;ChartLines.ID), COUNTIFS(ChartLines.ID,ChartLines.ID), "·")</f>
        <v>2</v>
      </c>
      <c r="L79" s="1">
        <f t="shared" ref="L79" si="124" xml:space="preserve"> IF(AND(LEN(ChartLines.ID)&gt;0,"Unused"&lt;&gt;ChartLines.ID), COUNTIFS(ChartLines.ID,ChartLines.ID,   ChartLines.RowNum,"&lt;="&amp;ChartLines.RowNum), "·")</f>
        <v>1</v>
      </c>
      <c r="M79" s="1" t="str" cm="1">
        <f t="array" ref="M79" xml:space="preserve"> _xlfn.IFS(OR(LEN(_xlfn.SINGLE(ChartLines.ID))=0,"Unused"=_xlfn.SINGLE(ChartLines.ID)), "·",   1=_xlfn.SINGLE(ChartLines.NumInstances), IF("USD"=_xlfn.SINGLE(ChartLines.ID), "SoleBig", "SoleOrdinary"),   1=_xlfn.SINGLE(ChartLines.InstanceNum), "Outer",   TRUE, "Inner")</f>
        <v>Outer</v>
      </c>
      <c r="N79" s="1">
        <f t="shared" ref="N79" si="125" xml:space="preserve"> IF(LEN(ChartLines.Hex6)=6, HEX2DEC(LEFT(ChartLines.Hex6, 2)), "·")</f>
        <v>239</v>
      </c>
      <c r="O79" s="1">
        <f t="shared" ref="O79" si="126" xml:space="preserve"> IF(LEN(ChartLines.Hex6)=6, HEX2DEC(MID(ChartLines.Hex6, 3, 2)), "·")</f>
        <v>51</v>
      </c>
      <c r="P79" s="1">
        <f t="shared" ref="P79" si="127" xml:space="preserve"> IF(LEN(ChartLines.Hex6)=6, HEX2DEC(RIGHT(ChartLines.Hex6, 2)), "·")</f>
        <v>64</v>
      </c>
      <c r="Q79" s="1" cm="1">
        <f t="array" ref="Q79" xml:space="preserve"> 1 + ROW() - _xlfn.SINGLE(ROW(ChartLines.RowNum))</f>
        <v>74</v>
      </c>
      <c r="R79" s="1" t="str">
        <v>✓</v>
      </c>
    </row>
    <row r="80" spans="2:30" x14ac:dyDescent="0.2">
      <c r="B80" s="1" t="s">
        <v>125</v>
      </c>
      <c r="C80" s="1" t="str">
        <f t="shared" si="117"/>
        <v>AED</v>
      </c>
      <c r="D80" t="str">
        <v>✓</v>
      </c>
      <c r="H80" s="1" t="s">
        <v>57</v>
      </c>
      <c r="I80" s="1" t="s">
        <v>364</v>
      </c>
      <c r="K80" s="1">
        <f t="shared" ref="K80:K83" si="128" xml:space="preserve"> IF(AND(LEN(ChartLines.ID)&gt;0,"Unused"&lt;&gt;ChartLines.ID), COUNTIFS(ChartLines.ID,ChartLines.ID), "·")</f>
        <v>2</v>
      </c>
      <c r="L80" s="1">
        <f t="shared" ref="L80:L83" si="129" xml:space="preserve"> IF(AND(LEN(ChartLines.ID)&gt;0,"Unused"&lt;&gt;ChartLines.ID), COUNTIFS(ChartLines.ID,ChartLines.ID,   ChartLines.RowNum,"&lt;="&amp;ChartLines.RowNum), "·")</f>
        <v>2</v>
      </c>
      <c r="M80" s="1" t="str" cm="1">
        <f t="array" ref="M80" xml:space="preserve"> _xlfn.IFS(OR(LEN(_xlfn.SINGLE(ChartLines.ID))=0,"Unused"=_xlfn.SINGLE(ChartLines.ID)), "·",   1=_xlfn.SINGLE(ChartLines.NumInstances), IF("USD"=_xlfn.SINGLE(ChartLines.ID), "SoleBig", "SoleOrdinary"),   1=_xlfn.SINGLE(ChartLines.InstanceNum), "Outer",   TRUE, "Inner")</f>
        <v>Inner</v>
      </c>
      <c r="N80" s="1">
        <f t="shared" ref="N80:N83" si="130" xml:space="preserve"> IF(LEN(ChartLines.Hex6)=6, HEX2DEC(LEFT(ChartLines.Hex6, 2)), "·")</f>
        <v>3</v>
      </c>
      <c r="O80" s="1">
        <f t="shared" ref="O80:O83" si="131" xml:space="preserve"> IF(LEN(ChartLines.Hex6)=6, HEX2DEC(MID(ChartLines.Hex6, 3, 2)), "·")</f>
        <v>77</v>
      </c>
      <c r="P80" s="1">
        <f t="shared" ref="P80:P83" si="132" xml:space="preserve"> IF(LEN(ChartLines.Hex6)=6, HEX2DEC(RIGHT(ChartLines.Hex6, 2)), "·")</f>
        <v>163</v>
      </c>
      <c r="Q80" s="1" cm="1">
        <f t="array" ref="Q80" xml:space="preserve"> 1 + ROW() - _xlfn.SINGLE(ROW(ChartLines.RowNum))</f>
        <v>75</v>
      </c>
      <c r="R80" s="1" t="str">
        <v>✓</v>
      </c>
    </row>
    <row r="81" spans="2:18" x14ac:dyDescent="0.2">
      <c r="B81" s="1" t="s">
        <v>126</v>
      </c>
      <c r="C81" s="1" t="str">
        <f t="shared" si="117"/>
        <v>QAR</v>
      </c>
      <c r="D81" t="str">
        <v>✓</v>
      </c>
      <c r="H81" s="1" t="s">
        <v>518</v>
      </c>
      <c r="I81" s="1" t="s">
        <v>364</v>
      </c>
      <c r="K81" s="1">
        <f t="shared" si="128"/>
        <v>2</v>
      </c>
      <c r="L81" s="1">
        <f t="shared" si="129"/>
        <v>1</v>
      </c>
      <c r="M81" s="1" t="str" cm="1">
        <f t="array" ref="M81" xml:space="preserve"> _xlfn.IFS(OR(LEN(_xlfn.SINGLE(ChartLines.ID))=0,"Unused"=_xlfn.SINGLE(ChartLines.ID)), "·",   1=_xlfn.SINGLE(ChartLines.NumInstances), IF("USD"=_xlfn.SINGLE(ChartLines.ID), "SoleBig", "SoleOrdinary"),   1=_xlfn.SINGLE(ChartLines.InstanceNum), "Outer",   TRUE, "Inner")</f>
        <v>Outer</v>
      </c>
      <c r="N81" s="1">
        <f t="shared" si="130"/>
        <v>3</v>
      </c>
      <c r="O81" s="1">
        <f t="shared" si="131"/>
        <v>77</v>
      </c>
      <c r="P81" s="1">
        <f t="shared" si="132"/>
        <v>163</v>
      </c>
      <c r="Q81" s="1" cm="1">
        <f t="array" ref="Q81" xml:space="preserve"> 1 + ROW() - _xlfn.SINGLE(ROW(ChartLines.RowNum))</f>
        <v>76</v>
      </c>
      <c r="R81" s="1" t="str">
        <v>✓</v>
      </c>
    </row>
    <row r="82" spans="2:18" x14ac:dyDescent="0.2">
      <c r="B82" s="1" t="s">
        <v>127</v>
      </c>
      <c r="C82" s="1" t="str">
        <f t="shared" si="117"/>
        <v>OMR</v>
      </c>
      <c r="D82" t="str">
        <v>✓</v>
      </c>
      <c r="H82" s="1" t="s">
        <v>518</v>
      </c>
      <c r="I82" s="1" t="s">
        <v>343</v>
      </c>
      <c r="K82" s="1">
        <f t="shared" si="128"/>
        <v>2</v>
      </c>
      <c r="L82" s="1">
        <f t="shared" si="129"/>
        <v>2</v>
      </c>
      <c r="M82" s="1" t="str" cm="1">
        <f t="array" ref="M82" xml:space="preserve"> _xlfn.IFS(OR(LEN(_xlfn.SINGLE(ChartLines.ID))=0,"Unused"=_xlfn.SINGLE(ChartLines.ID)), "·",   1=_xlfn.SINGLE(ChartLines.NumInstances), IF("USD"=_xlfn.SINGLE(ChartLines.ID), "SoleBig", "SoleOrdinary"),   1=_xlfn.SINGLE(ChartLines.InstanceNum), "Outer",   TRUE, "Inner")</f>
        <v>Inner</v>
      </c>
      <c r="N82" s="1">
        <f t="shared" si="130"/>
        <v>239</v>
      </c>
      <c r="O82" s="1">
        <f t="shared" si="131"/>
        <v>51</v>
      </c>
      <c r="P82" s="1">
        <f t="shared" si="132"/>
        <v>64</v>
      </c>
      <c r="Q82" s="1" cm="1">
        <f t="array" ref="Q82" xml:space="preserve"> 1 + ROW() - _xlfn.SINGLE(ROW(ChartLines.RowNum))</f>
        <v>77</v>
      </c>
      <c r="R82" s="1" t="str">
        <v>✓</v>
      </c>
    </row>
    <row r="83" spans="2:18" x14ac:dyDescent="0.2">
      <c r="B83" s="1" t="s">
        <v>128</v>
      </c>
      <c r="C83" s="1" t="str">
        <f t="shared" si="117"/>
        <v>KWD</v>
      </c>
      <c r="D83" t="str">
        <v>✓</v>
      </c>
      <c r="H83" s="1" t="s">
        <v>81</v>
      </c>
      <c r="I83" s="1" t="s">
        <v>490</v>
      </c>
      <c r="K83" s="1">
        <f t="shared" si="128"/>
        <v>2</v>
      </c>
      <c r="L83" s="1">
        <f t="shared" si="129"/>
        <v>1</v>
      </c>
      <c r="M83" s="1" t="str" cm="1">
        <f t="array" ref="M83" xml:space="preserve"> _xlfn.IFS(OR(LEN(_xlfn.SINGLE(ChartLines.ID))=0,"Unused"=_xlfn.SINGLE(ChartLines.ID)), "·",   1=_xlfn.SINGLE(ChartLines.NumInstances), IF("USD"=_xlfn.SINGLE(ChartLines.ID), "SoleBig", "SoleOrdinary"),   1=_xlfn.SINGLE(ChartLines.InstanceNum), "Outer",   TRUE, "Inner")</f>
        <v>Outer</v>
      </c>
      <c r="N83" s="1">
        <f t="shared" si="130"/>
        <v>0</v>
      </c>
      <c r="O83" s="1">
        <f t="shared" si="131"/>
        <v>96</v>
      </c>
      <c r="P83" s="1">
        <f t="shared" si="132"/>
        <v>255</v>
      </c>
      <c r="Q83" s="1" cm="1">
        <f t="array" ref="Q83" xml:space="preserve"> 1 + ROW() - _xlfn.SINGLE(ROW(ChartLines.RowNum))</f>
        <v>78</v>
      </c>
      <c r="R83" s="1" t="str">
        <v>✓</v>
      </c>
    </row>
    <row r="84" spans="2:18" x14ac:dyDescent="0.2">
      <c r="B84" s="1" t="s">
        <v>421</v>
      </c>
      <c r="C84" s="1" t="str">
        <f t="shared" si="117"/>
        <v>YER</v>
      </c>
      <c r="D84" t="str">
        <v>✓</v>
      </c>
      <c r="H84" s="1" t="s">
        <v>81</v>
      </c>
      <c r="I84" s="1" t="s">
        <v>365</v>
      </c>
      <c r="K84" s="1">
        <f t="shared" ref="K84" si="133" xml:space="preserve"> IF(AND(LEN(ChartLines.ID)&gt;0,"Unused"&lt;&gt;ChartLines.ID), COUNTIFS(ChartLines.ID,ChartLines.ID), "·")</f>
        <v>2</v>
      </c>
      <c r="L84" s="1">
        <f t="shared" ref="L84" si="134" xml:space="preserve"> IF(AND(LEN(ChartLines.ID)&gt;0,"Unused"&lt;&gt;ChartLines.ID), COUNTIFS(ChartLines.ID,ChartLines.ID,   ChartLines.RowNum,"&lt;="&amp;ChartLines.RowNum), "·")</f>
        <v>2</v>
      </c>
      <c r="M84" s="1" t="str" cm="1">
        <f t="array" ref="M84" xml:space="preserve"> _xlfn.IFS(OR(LEN(_xlfn.SINGLE(ChartLines.ID))=0,"Unused"=_xlfn.SINGLE(ChartLines.ID)), "·",   1=_xlfn.SINGLE(ChartLines.NumInstances), IF("USD"=_xlfn.SINGLE(ChartLines.ID), "SoleBig", "SoleOrdinary"),   1=_xlfn.SINGLE(ChartLines.InstanceNum), "Outer",   TRUE, "Inner")</f>
        <v>Inner</v>
      </c>
      <c r="N84" s="1">
        <f t="shared" ref="N84" si="135" xml:space="preserve"> IF(LEN(ChartLines.Hex6)=6, HEX2DEC(LEFT(ChartLines.Hex6, 2)), "·")</f>
        <v>255</v>
      </c>
      <c r="O84" s="1">
        <f t="shared" ref="O84" si="136" xml:space="preserve"> IF(LEN(ChartLines.Hex6)=6, HEX2DEC(MID(ChartLines.Hex6, 3, 2)), "·")</f>
        <v>230</v>
      </c>
      <c r="P84" s="1">
        <f t="shared" ref="P84" si="137" xml:space="preserve"> IF(LEN(ChartLines.Hex6)=6, HEX2DEC(RIGHT(ChartLines.Hex6, 2)), "·")</f>
        <v>0</v>
      </c>
      <c r="Q84" s="1" cm="1">
        <f t="array" ref="Q84" xml:space="preserve"> 1 + ROW() - _xlfn.SINGLE(ROW(ChartLines.RowNum))</f>
        <v>79</v>
      </c>
      <c r="R84" s="1" t="str">
        <v>✓</v>
      </c>
    </row>
    <row r="85" spans="2:18" x14ac:dyDescent="0.2">
      <c r="B85" s="1" t="s">
        <v>129</v>
      </c>
      <c r="C85" s="1" t="str">
        <f t="shared" ref="C85:C108" si="138" xml:space="preserve"> _xlfn.SINGLE(SeriesFormatAlias.SeriesName)</f>
        <v>JOD</v>
      </c>
      <c r="D85" t="str">
        <v>✓</v>
      </c>
      <c r="H85" s="1" t="s">
        <v>82</v>
      </c>
      <c r="I85" s="1" t="s">
        <v>366</v>
      </c>
      <c r="K85" s="1">
        <f t="shared" ref="K85" si="139" xml:space="preserve"> IF(AND(LEN(ChartLines.ID)&gt;0,"Unused"&lt;&gt;ChartLines.ID), COUNTIFS(ChartLines.ID,ChartLines.ID), "·")</f>
        <v>1</v>
      </c>
      <c r="L85" s="1">
        <f t="shared" ref="L85" si="140" xml:space="preserve"> IF(AND(LEN(ChartLines.ID)&gt;0,"Unused"&lt;&gt;ChartLines.ID), COUNTIFS(ChartLines.ID,ChartLines.ID,   ChartLines.RowNum,"&lt;="&amp;ChartLines.RowNum), "·")</f>
        <v>1</v>
      </c>
      <c r="M85" s="1" t="str" cm="1">
        <f t="array" ref="M85" xml:space="preserve"> _xlfn.IFS(OR(LEN(_xlfn.SINGLE(ChartLines.ID))=0,"Unused"=_xlfn.SINGLE(ChartLines.ID)), "·",   1=_xlfn.SINGLE(ChartLines.NumInstances), IF("USD"=_xlfn.SINGLE(ChartLines.ID), "SoleBig", "SoleOrdinary"),   1=_xlfn.SINGLE(ChartLines.InstanceNum), "Outer",   TRUE, "Inner")</f>
        <v>SoleOrdinary</v>
      </c>
      <c r="N85" s="1">
        <f t="shared" ref="N85" si="141" xml:space="preserve"> IF(LEN(ChartLines.Hex6)=6, HEX2DEC(LEFT(ChartLines.Hex6, 2)), "·")</f>
        <v>0</v>
      </c>
      <c r="O85" s="1">
        <f t="shared" ref="O85" si="142" xml:space="preserve"> IF(LEN(ChartLines.Hex6)=6, HEX2DEC(MID(ChartLines.Hex6, 3, 2)), "·")</f>
        <v>163</v>
      </c>
      <c r="P85" s="1">
        <f t="shared" ref="P85" si="143" xml:space="preserve"> IF(LEN(ChartLines.Hex6)=6, HEX2DEC(RIGHT(ChartLines.Hex6, 2)), "·")</f>
        <v>224</v>
      </c>
      <c r="Q85" s="1" cm="1">
        <f t="array" ref="Q85" xml:space="preserve"> 1 + ROW() - _xlfn.SINGLE(ROW(ChartLines.RowNum))</f>
        <v>80</v>
      </c>
      <c r="R85" s="1" t="str">
        <v>✓</v>
      </c>
    </row>
    <row r="86" spans="2:18" x14ac:dyDescent="0.2">
      <c r="B86" s="1" t="s">
        <v>130</v>
      </c>
      <c r="C86" s="1" t="str">
        <f t="shared" si="138"/>
        <v>LBP</v>
      </c>
      <c r="D86" t="str">
        <v>✓</v>
      </c>
      <c r="H86" s="1" t="s">
        <v>341</v>
      </c>
      <c r="K86" s="1" t="str">
        <f t="shared" ref="K86" si="144" xml:space="preserve"> IF(AND(LEN(ChartLines.ID)&gt;0,"Unused"&lt;&gt;ChartLines.ID), COUNTIFS(ChartLines.ID,ChartLines.ID), "·")</f>
        <v>·</v>
      </c>
      <c r="L86" s="1" t="str">
        <f t="shared" ref="L86" si="145" xml:space="preserve"> IF(AND(LEN(ChartLines.ID)&gt;0,"Unused"&lt;&gt;ChartLines.ID), COUNTIFS(ChartLines.ID,ChartLines.ID,   ChartLines.RowNum,"&lt;="&amp;ChartLines.RowNum), "·")</f>
        <v>·</v>
      </c>
      <c r="M86" s="1" t="str" cm="1">
        <f t="array" ref="M86" xml:space="preserve"> _xlfn.IFS(OR(LEN(_xlfn.SINGLE(ChartLines.ID))=0,"Unused"=_xlfn.SINGLE(ChartLines.ID)), "·",   1=_xlfn.SINGLE(ChartLines.NumInstances), IF("USD"=_xlfn.SINGLE(ChartLines.ID), "SoleBig", "SoleOrdinary"),   1=_xlfn.SINGLE(ChartLines.InstanceNum), "Outer",   TRUE, "Inner")</f>
        <v>·</v>
      </c>
      <c r="N86" s="1" t="str">
        <f t="shared" ref="N86" si="146" xml:space="preserve"> IF(LEN(ChartLines.Hex6)=6, HEX2DEC(LEFT(ChartLines.Hex6, 2)), "·")</f>
        <v>·</v>
      </c>
      <c r="O86" s="1" t="str">
        <f t="shared" ref="O86" si="147" xml:space="preserve"> IF(LEN(ChartLines.Hex6)=6, HEX2DEC(MID(ChartLines.Hex6, 3, 2)), "·")</f>
        <v>·</v>
      </c>
      <c r="P86" s="1" t="str">
        <f t="shared" ref="P86" si="148" xml:space="preserve"> IF(LEN(ChartLines.Hex6)=6, HEX2DEC(RIGHT(ChartLines.Hex6, 2)), "·")</f>
        <v>·</v>
      </c>
      <c r="Q86" s="1" cm="1">
        <f t="array" ref="Q86" xml:space="preserve"> 1 + ROW() - _xlfn.SINGLE(ROW(ChartLines.RowNum))</f>
        <v>81</v>
      </c>
      <c r="R86" s="1" t="str">
        <v>·</v>
      </c>
    </row>
    <row r="87" spans="2:18" x14ac:dyDescent="0.2">
      <c r="B87" s="1" t="s">
        <v>131</v>
      </c>
      <c r="C87" s="1" t="str">
        <f t="shared" si="138"/>
        <v>EGP</v>
      </c>
      <c r="D87" t="str">
        <v>✓</v>
      </c>
      <c r="H87" s="1" t="s">
        <v>83</v>
      </c>
      <c r="I87" s="1" t="str">
        <f xml:space="preserve"> "000000"</f>
        <v>000000</v>
      </c>
      <c r="K87" s="1">
        <f t="shared" ref="K87" si="149" xml:space="preserve"> IF(AND(LEN(ChartLines.ID)&gt;0,"Unused"&lt;&gt;ChartLines.ID), COUNTIFS(ChartLines.ID,ChartLines.ID), "·")</f>
        <v>1</v>
      </c>
      <c r="L87" s="1">
        <f t="shared" ref="L87" si="150" xml:space="preserve"> IF(AND(LEN(ChartLines.ID)&gt;0,"Unused"&lt;&gt;ChartLines.ID), COUNTIFS(ChartLines.ID,ChartLines.ID,   ChartLines.RowNum,"&lt;="&amp;ChartLines.RowNum), "·")</f>
        <v>1</v>
      </c>
      <c r="M87" s="1" t="str" cm="1">
        <f t="array" ref="M87" xml:space="preserve"> _xlfn.IFS(OR(LEN(_xlfn.SINGLE(ChartLines.ID))=0,"Unused"=_xlfn.SINGLE(ChartLines.ID)), "·",   1=_xlfn.SINGLE(ChartLines.NumInstances), IF("USD"=_xlfn.SINGLE(ChartLines.ID), "SoleBig", "SoleOrdinary"),   1=_xlfn.SINGLE(ChartLines.InstanceNum), "Outer",   TRUE, "Inner")</f>
        <v>SoleOrdinary</v>
      </c>
      <c r="N87" s="1">
        <f t="shared" ref="N87" si="151" xml:space="preserve"> IF(LEN(ChartLines.Hex6)=6, HEX2DEC(LEFT(ChartLines.Hex6, 2)), "·")</f>
        <v>0</v>
      </c>
      <c r="O87" s="1">
        <f t="shared" ref="O87" si="152" xml:space="preserve"> IF(LEN(ChartLines.Hex6)=6, HEX2DEC(MID(ChartLines.Hex6, 3, 2)), "·")</f>
        <v>0</v>
      </c>
      <c r="P87" s="1">
        <f t="shared" ref="P87" si="153" xml:space="preserve"> IF(LEN(ChartLines.Hex6)=6, HEX2DEC(RIGHT(ChartLines.Hex6, 2)), "·")</f>
        <v>0</v>
      </c>
      <c r="Q87" s="1" cm="1">
        <f t="array" ref="Q87" xml:space="preserve"> 1 + ROW() - _xlfn.SINGLE(ROW(ChartLines.RowNum))</f>
        <v>82</v>
      </c>
      <c r="R87" s="1" t="str">
        <v>✓</v>
      </c>
    </row>
    <row r="88" spans="2:18" x14ac:dyDescent="0.2">
      <c r="B88" s="1" t="s">
        <v>132</v>
      </c>
      <c r="C88" s="1" t="str">
        <f t="shared" si="138"/>
        <v>TND</v>
      </c>
      <c r="D88" t="str">
        <v>✓</v>
      </c>
      <c r="H88" s="1" t="s">
        <v>341</v>
      </c>
      <c r="K88" s="1" t="str">
        <f t="shared" ref="K88" si="154" xml:space="preserve"> IF(AND(LEN(ChartLines.ID)&gt;0,"Unused"&lt;&gt;ChartLines.ID), COUNTIFS(ChartLines.ID,ChartLines.ID), "·")</f>
        <v>·</v>
      </c>
      <c r="L88" s="1" t="str">
        <f t="shared" ref="L88" si="155" xml:space="preserve"> IF(AND(LEN(ChartLines.ID)&gt;0,"Unused"&lt;&gt;ChartLines.ID), COUNTIFS(ChartLines.ID,ChartLines.ID,   ChartLines.RowNum,"&lt;="&amp;ChartLines.RowNum), "·")</f>
        <v>·</v>
      </c>
      <c r="M88" s="1" t="str" cm="1">
        <f t="array" ref="M88" xml:space="preserve"> _xlfn.IFS(OR(LEN(_xlfn.SINGLE(ChartLines.ID))=0,"Unused"=_xlfn.SINGLE(ChartLines.ID)), "·",   1=_xlfn.SINGLE(ChartLines.NumInstances), IF("USD"=_xlfn.SINGLE(ChartLines.ID), "SoleBig", "SoleOrdinary"),   1=_xlfn.SINGLE(ChartLines.InstanceNum), "Outer",   TRUE, "Inner")</f>
        <v>·</v>
      </c>
      <c r="N88" s="1" t="str">
        <f t="shared" ref="N88" si="156" xml:space="preserve"> IF(LEN(ChartLines.Hex6)=6, HEX2DEC(LEFT(ChartLines.Hex6, 2)), "·")</f>
        <v>·</v>
      </c>
      <c r="O88" s="1" t="str">
        <f t="shared" ref="O88" si="157" xml:space="preserve"> IF(LEN(ChartLines.Hex6)=6, HEX2DEC(MID(ChartLines.Hex6, 3, 2)), "·")</f>
        <v>·</v>
      </c>
      <c r="P88" s="1" t="str">
        <f t="shared" ref="P88" si="158" xml:space="preserve"> IF(LEN(ChartLines.Hex6)=6, HEX2DEC(RIGHT(ChartLines.Hex6, 2)), "·")</f>
        <v>·</v>
      </c>
      <c r="Q88" s="1" cm="1">
        <f t="array" ref="Q88" xml:space="preserve"> 1 + ROW() - _xlfn.SINGLE(ROW(ChartLines.RowNum))</f>
        <v>83</v>
      </c>
      <c r="R88" s="1" t="str">
        <v>·</v>
      </c>
    </row>
    <row r="89" spans="2:18" x14ac:dyDescent="0.2">
      <c r="B89" s="1" t="s">
        <v>133</v>
      </c>
      <c r="C89" s="1" t="str">
        <f t="shared" si="138"/>
        <v>MAD</v>
      </c>
      <c r="D89" t="str">
        <v>✓</v>
      </c>
      <c r="H89" s="1" t="s">
        <v>84</v>
      </c>
      <c r="I89" s="1" t="s">
        <v>367</v>
      </c>
      <c r="K89" s="1">
        <f t="shared" ref="K89" si="159" xml:space="preserve"> IF(AND(LEN(ChartLines.ID)&gt;0,"Unused"&lt;&gt;ChartLines.ID), COUNTIFS(ChartLines.ID,ChartLines.ID), "·")</f>
        <v>2</v>
      </c>
      <c r="L89" s="1">
        <f t="shared" ref="L89" si="160" xml:space="preserve"> IF(AND(LEN(ChartLines.ID)&gt;0,"Unused"&lt;&gt;ChartLines.ID), COUNTIFS(ChartLines.ID,ChartLines.ID,   ChartLines.RowNum,"&lt;="&amp;ChartLines.RowNum), "·")</f>
        <v>1</v>
      </c>
      <c r="M89" s="1" t="str" cm="1">
        <f t="array" ref="M89" xml:space="preserve"> _xlfn.IFS(OR(LEN(_xlfn.SINGLE(ChartLines.ID))=0,"Unused"=_xlfn.SINGLE(ChartLines.ID)), "·",   1=_xlfn.SINGLE(ChartLines.NumInstances), IF("USD"=_xlfn.SINGLE(ChartLines.ID), "SoleBig", "SoleOrdinary"),   1=_xlfn.SINGLE(ChartLines.InstanceNum), "Outer",   TRUE, "Inner")</f>
        <v>Outer</v>
      </c>
      <c r="N89" s="1">
        <f t="shared" ref="N89" si="161" xml:space="preserve"> IF(LEN(ChartLines.Hex6)=6, HEX2DEC(LEFT(ChartLines.Hex6, 2)), "·")</f>
        <v>0</v>
      </c>
      <c r="O89" s="1">
        <f t="shared" ref="O89" si="162" xml:space="preserve"> IF(LEN(ChartLines.Hex6)=6, HEX2DEC(MID(ChartLines.Hex6, 3, 2)), "·")</f>
        <v>106</v>
      </c>
      <c r="P89" s="1">
        <f t="shared" ref="P89" si="163" xml:space="preserve"> IF(LEN(ChartLines.Hex6)=6, HEX2DEC(RIGHT(ChartLines.Hex6, 2)), "·")</f>
        <v>68</v>
      </c>
      <c r="Q89" s="1" cm="1">
        <f t="array" ref="Q89" xml:space="preserve"> 1 + ROW() - _xlfn.SINGLE(ROW(ChartLines.RowNum))</f>
        <v>84</v>
      </c>
      <c r="R89" s="1" t="str">
        <v>✓</v>
      </c>
    </row>
    <row r="90" spans="2:18" x14ac:dyDescent="0.2">
      <c r="B90" s="1" t="s">
        <v>134</v>
      </c>
      <c r="C90" s="1" t="str">
        <f t="shared" si="138"/>
        <v>DZD</v>
      </c>
      <c r="D90" t="str">
        <v>✓</v>
      </c>
      <c r="H90" s="1" t="s">
        <v>84</v>
      </c>
      <c r="I90" s="1" t="s">
        <v>368</v>
      </c>
      <c r="K90" s="1">
        <f t="shared" ref="K90" si="164" xml:space="preserve"> IF(AND(LEN(ChartLines.ID)&gt;0,"Unused"&lt;&gt;ChartLines.ID), COUNTIFS(ChartLines.ID,ChartLines.ID), "·")</f>
        <v>2</v>
      </c>
      <c r="L90" s="1">
        <f t="shared" ref="L90" si="165" xml:space="preserve"> IF(AND(LEN(ChartLines.ID)&gt;0,"Unused"&lt;&gt;ChartLines.ID), COUNTIFS(ChartLines.ID,ChartLines.ID,   ChartLines.RowNum,"&lt;="&amp;ChartLines.RowNum), "·")</f>
        <v>2</v>
      </c>
      <c r="M90" s="1" t="str" cm="1">
        <f t="array" ref="M90" xml:space="preserve"> _xlfn.IFS(OR(LEN(_xlfn.SINGLE(ChartLines.ID))=0,"Unused"=_xlfn.SINGLE(ChartLines.ID)), "·",   1=_xlfn.SINGLE(ChartLines.NumInstances), IF("USD"=_xlfn.SINGLE(ChartLines.ID), "SoleBig", "SoleOrdinary"),   1=_xlfn.SINGLE(ChartLines.InstanceNum), "Outer",   TRUE, "Inner")</f>
        <v>Inner</v>
      </c>
      <c r="N90" s="1">
        <f t="shared" ref="N90" si="166" xml:space="preserve"> IF(LEN(ChartLines.Hex6)=6, HEX2DEC(LEFT(ChartLines.Hex6, 2)), "·")</f>
        <v>253</v>
      </c>
      <c r="O90" s="1">
        <f t="shared" ref="O90" si="167" xml:space="preserve"> IF(LEN(ChartLines.Hex6)=6, HEX2DEC(MID(ChartLines.Hex6, 3, 2)), "·")</f>
        <v>185</v>
      </c>
      <c r="P90" s="1">
        <f t="shared" ref="P90" si="168" xml:space="preserve"> IF(LEN(ChartLines.Hex6)=6, HEX2DEC(RIGHT(ChartLines.Hex6, 2)), "·")</f>
        <v>19</v>
      </c>
      <c r="Q90" s="1" cm="1">
        <f t="array" ref="Q90" xml:space="preserve"> 1 + ROW() - _xlfn.SINGLE(ROW(ChartLines.RowNum))</f>
        <v>85</v>
      </c>
      <c r="R90" s="1" t="str">
        <v>✓</v>
      </c>
    </row>
    <row r="91" spans="2:18" x14ac:dyDescent="0.2">
      <c r="B91" s="1" t="s">
        <v>135</v>
      </c>
      <c r="C91" s="1" t="str">
        <f t="shared" si="138"/>
        <v>IRR</v>
      </c>
      <c r="D91" t="str">
        <v>✓</v>
      </c>
      <c r="H91" s="1" t="s">
        <v>85</v>
      </c>
      <c r="I91" s="1" t="s">
        <v>369</v>
      </c>
      <c r="K91" s="1">
        <f t="shared" ref="K91" si="169" xml:space="preserve"> IF(AND(LEN(ChartLines.ID)&gt;0,"Unused"&lt;&gt;ChartLines.ID), COUNTIFS(ChartLines.ID,ChartLines.ID), "·")</f>
        <v>2</v>
      </c>
      <c r="L91" s="1">
        <f t="shared" ref="L91" si="170" xml:space="preserve"> IF(AND(LEN(ChartLines.ID)&gt;0,"Unused"&lt;&gt;ChartLines.ID), COUNTIFS(ChartLines.ID,ChartLines.ID,   ChartLines.RowNum,"&lt;="&amp;ChartLines.RowNum), "·")</f>
        <v>1</v>
      </c>
      <c r="M91" s="1" t="str" cm="1">
        <f t="array" ref="M91" xml:space="preserve"> _xlfn.IFS(OR(LEN(_xlfn.SINGLE(ChartLines.ID))=0,"Unused"=_xlfn.SINGLE(ChartLines.ID)), "·",   1=_xlfn.SINGLE(ChartLines.NumInstances), IF("USD"=_xlfn.SINGLE(ChartLines.ID), "SoleBig", "SoleOrdinary"),   1=_xlfn.SINGLE(ChartLines.InstanceNum), "Outer",   TRUE, "Inner")</f>
        <v>Outer</v>
      </c>
      <c r="N91" s="1">
        <f t="shared" ref="N91" si="171" xml:space="preserve"> IF(LEN(ChartLines.Hex6)=6, HEX2DEC(LEFT(ChartLines.Hex6, 2)), "·")</f>
        <v>157</v>
      </c>
      <c r="O91" s="1">
        <f t="shared" ref="O91" si="172" xml:space="preserve"> IF(LEN(ChartLines.Hex6)=6, HEX2DEC(MID(ChartLines.Hex6, 3, 2)), "·")</f>
        <v>34</v>
      </c>
      <c r="P91" s="1">
        <f t="shared" ref="P91" si="173" xml:space="preserve"> IF(LEN(ChartLines.Hex6)=6, HEX2DEC(RIGHT(ChartLines.Hex6, 2)), "·")</f>
        <v>53</v>
      </c>
      <c r="Q91" s="1" cm="1">
        <f t="array" ref="Q91" xml:space="preserve"> 1 + ROW() - _xlfn.SINGLE(ROW(ChartLines.RowNum))</f>
        <v>86</v>
      </c>
      <c r="R91" s="1" t="str">
        <v>✓</v>
      </c>
    </row>
    <row r="92" spans="2:18" x14ac:dyDescent="0.2">
      <c r="B92" s="1" t="s">
        <v>136</v>
      </c>
      <c r="C92" s="1" t="str">
        <f t="shared" si="138"/>
        <v>IQD</v>
      </c>
      <c r="D92" t="str">
        <v>✓</v>
      </c>
      <c r="H92" s="1" t="s">
        <v>85</v>
      </c>
      <c r="I92" s="1" t="s">
        <v>345</v>
      </c>
      <c r="K92" s="1">
        <f t="shared" ref="K92" si="174" xml:space="preserve"> IF(AND(LEN(ChartLines.ID)&gt;0,"Unused"&lt;&gt;ChartLines.ID), COUNTIFS(ChartLines.ID,ChartLines.ID), "·")</f>
        <v>2</v>
      </c>
      <c r="L92" s="1">
        <f t="shared" ref="L92" si="175" xml:space="preserve"> IF(AND(LEN(ChartLines.ID)&gt;0,"Unused"&lt;&gt;ChartLines.ID), COUNTIFS(ChartLines.ID,ChartLines.ID,   ChartLines.RowNum,"&lt;="&amp;ChartLines.RowNum), "·")</f>
        <v>2</v>
      </c>
      <c r="M92" s="1" t="str" cm="1">
        <f t="array" ref="M92" xml:space="preserve"> _xlfn.IFS(OR(LEN(_xlfn.SINGLE(ChartLines.ID))=0,"Unused"=_xlfn.SINGLE(ChartLines.ID)), "·",   1=_xlfn.SINGLE(ChartLines.NumInstances), IF("USD"=_xlfn.SINGLE(ChartLines.ID), "SoleBig", "SoleOrdinary"),   1=_xlfn.SINGLE(ChartLines.InstanceNum), "Outer",   TRUE, "Inner")</f>
        <v>Inner</v>
      </c>
      <c r="N92" s="1">
        <f t="shared" ref="N92" si="176" xml:space="preserve"> IF(LEN(ChartLines.Hex6)=6, HEX2DEC(LEFT(ChartLines.Hex6, 2)), "·")</f>
        <v>255</v>
      </c>
      <c r="O92" s="1">
        <f t="shared" ref="O92" si="177" xml:space="preserve"> IF(LEN(ChartLines.Hex6)=6, HEX2DEC(MID(ChartLines.Hex6, 3, 2)), "·")</f>
        <v>255</v>
      </c>
      <c r="P92" s="1">
        <f t="shared" ref="P92" si="178" xml:space="preserve"> IF(LEN(ChartLines.Hex6)=6, HEX2DEC(RIGHT(ChartLines.Hex6, 2)), "·")</f>
        <v>255</v>
      </c>
      <c r="Q92" s="1" cm="1">
        <f t="array" ref="Q92" xml:space="preserve"> 1 + ROW() - _xlfn.SINGLE(ROW(ChartLines.RowNum))</f>
        <v>87</v>
      </c>
      <c r="R92" s="1" t="str">
        <v>✓</v>
      </c>
    </row>
    <row r="93" spans="2:18" x14ac:dyDescent="0.2">
      <c r="B93" s="1" t="s">
        <v>137</v>
      </c>
      <c r="C93" s="1" t="str">
        <f t="shared" si="138"/>
        <v>ILS</v>
      </c>
      <c r="D93" t="str">
        <v>✓</v>
      </c>
      <c r="H93" s="1" t="s">
        <v>86</v>
      </c>
      <c r="I93" s="1" t="s">
        <v>370</v>
      </c>
      <c r="K93" s="1">
        <f t="shared" ref="K93" si="179" xml:space="preserve"> IF(AND(LEN(ChartLines.ID)&gt;0,"Unused"&lt;&gt;ChartLines.ID), COUNTIFS(ChartLines.ID,ChartLines.ID), "·")</f>
        <v>2</v>
      </c>
      <c r="L93" s="1">
        <f t="shared" ref="L93" si="180" xml:space="preserve"> IF(AND(LEN(ChartLines.ID)&gt;0,"Unused"&lt;&gt;ChartLines.ID), COUNTIFS(ChartLines.ID,ChartLines.ID,   ChartLines.RowNum,"&lt;="&amp;ChartLines.RowNum), "·")</f>
        <v>1</v>
      </c>
      <c r="M93" s="1" t="str" cm="1">
        <f t="array" ref="M93" xml:space="preserve"> _xlfn.IFS(OR(LEN(_xlfn.SINGLE(ChartLines.ID))=0,"Unused"=_xlfn.SINGLE(ChartLines.ID)), "·",   1=_xlfn.SINGLE(ChartLines.NumInstances), IF("USD"=_xlfn.SINGLE(ChartLines.ID), "SoleBig", "SoleOrdinary"),   1=_xlfn.SINGLE(ChartLines.InstanceNum), "Outer",   TRUE, "Inner")</f>
        <v>Outer</v>
      </c>
      <c r="N93" s="1">
        <f t="shared" ref="N93" si="181" xml:space="preserve"> IF(LEN(ChartLines.Hex6)=6, HEX2DEC(LEFT(ChartLines.Hex6, 2)), "·")</f>
        <v>0</v>
      </c>
      <c r="O93" s="1">
        <f t="shared" ref="O93" si="182" xml:space="preserve"> IF(LEN(ChartLines.Hex6)=6, HEX2DEC(MID(ChartLines.Hex6, 3, 2)), "·")</f>
        <v>114</v>
      </c>
      <c r="P93" s="1">
        <f t="shared" ref="P93" si="183" xml:space="preserve"> IF(LEN(ChartLines.Hex6)=6, HEX2DEC(RIGHT(ChartLines.Hex6, 2)), "·")</f>
        <v>206</v>
      </c>
      <c r="Q93" s="1" cm="1">
        <f t="array" ref="Q93" xml:space="preserve"> 1 + ROW() - _xlfn.SINGLE(ROW(ChartLines.RowNum))</f>
        <v>88</v>
      </c>
      <c r="R93" s="1" t="str">
        <v>✓</v>
      </c>
    </row>
    <row r="94" spans="2:18" x14ac:dyDescent="0.2">
      <c r="B94" s="1" t="s">
        <v>138</v>
      </c>
      <c r="C94" s="1" t="str">
        <f t="shared" si="138"/>
        <v>ZAR</v>
      </c>
      <c r="D94" t="str">
        <v>✓</v>
      </c>
      <c r="H94" s="1" t="s">
        <v>86</v>
      </c>
      <c r="I94" s="1" t="str">
        <f xml:space="preserve"> "000000"</f>
        <v>000000</v>
      </c>
      <c r="K94" s="1">
        <f t="shared" ref="K94" si="184" xml:space="preserve"> IF(AND(LEN(ChartLines.ID)&gt;0,"Unused"&lt;&gt;ChartLines.ID), COUNTIFS(ChartLines.ID,ChartLines.ID), "·")</f>
        <v>2</v>
      </c>
      <c r="L94" s="1">
        <f t="shared" ref="L94" si="185" xml:space="preserve"> IF(AND(LEN(ChartLines.ID)&gt;0,"Unused"&lt;&gt;ChartLines.ID), COUNTIFS(ChartLines.ID,ChartLines.ID,   ChartLines.RowNum,"&lt;="&amp;ChartLines.RowNum), "·")</f>
        <v>2</v>
      </c>
      <c r="M94" s="1" t="str" cm="1">
        <f t="array" ref="M94" xml:space="preserve"> _xlfn.IFS(OR(LEN(_xlfn.SINGLE(ChartLines.ID))=0,"Unused"=_xlfn.SINGLE(ChartLines.ID)), "·",   1=_xlfn.SINGLE(ChartLines.NumInstances), IF("USD"=_xlfn.SINGLE(ChartLines.ID), "SoleBig", "SoleOrdinary"),   1=_xlfn.SINGLE(ChartLines.InstanceNum), "Outer",   TRUE, "Inner")</f>
        <v>Inner</v>
      </c>
      <c r="N94" s="1">
        <f t="shared" ref="N94" si="186" xml:space="preserve"> IF(LEN(ChartLines.Hex6)=6, HEX2DEC(LEFT(ChartLines.Hex6, 2)), "·")</f>
        <v>0</v>
      </c>
      <c r="O94" s="1">
        <f t="shared" ref="O94" si="187" xml:space="preserve"> IF(LEN(ChartLines.Hex6)=6, HEX2DEC(MID(ChartLines.Hex6, 3, 2)), "·")</f>
        <v>0</v>
      </c>
      <c r="P94" s="1">
        <f t="shared" ref="P94" si="188" xml:space="preserve"> IF(LEN(ChartLines.Hex6)=6, HEX2DEC(RIGHT(ChartLines.Hex6, 2)), "·")</f>
        <v>0</v>
      </c>
      <c r="Q94" s="1" cm="1">
        <f t="array" ref="Q94" xml:space="preserve"> 1 + ROW() - _xlfn.SINGLE(ROW(ChartLines.RowNum))</f>
        <v>89</v>
      </c>
      <c r="R94" s="1" t="str">
        <v>✓</v>
      </c>
    </row>
    <row r="95" spans="2:18" x14ac:dyDescent="0.2">
      <c r="B95" s="1" t="s">
        <v>139</v>
      </c>
      <c r="C95" s="1" t="str">
        <f t="shared" si="138"/>
        <v>NGN</v>
      </c>
      <c r="D95" t="str">
        <v>✓</v>
      </c>
      <c r="H95" s="1" t="s">
        <v>87</v>
      </c>
      <c r="I95" s="1" t="s">
        <v>371</v>
      </c>
      <c r="K95" s="1">
        <f t="shared" ref="K95" si="189" xml:space="preserve"> IF(AND(LEN(ChartLines.ID)&gt;0,"Unused"&lt;&gt;ChartLines.ID), COUNTIFS(ChartLines.ID,ChartLines.ID), "·")</f>
        <v>2</v>
      </c>
      <c r="L95" s="1">
        <f t="shared" ref="L95" si="190" xml:space="preserve"> IF(AND(LEN(ChartLines.ID)&gt;0,"Unused"&lt;&gt;ChartLines.ID), COUNTIFS(ChartLines.ID,ChartLines.ID,   ChartLines.RowNum,"&lt;="&amp;ChartLines.RowNum), "·")</f>
        <v>1</v>
      </c>
      <c r="M95" s="1" t="str" cm="1">
        <f t="array" ref="M95" xml:space="preserve"> _xlfn.IFS(OR(LEN(_xlfn.SINGLE(ChartLines.ID))=0,"Unused"=_xlfn.SINGLE(ChartLines.ID)), "·",   1=_xlfn.SINGLE(ChartLines.NumInstances), IF("USD"=_xlfn.SINGLE(ChartLines.ID), "SoleBig", "SoleOrdinary"),   1=_xlfn.SINGLE(ChartLines.InstanceNum), "Outer",   TRUE, "Inner")</f>
        <v>Outer</v>
      </c>
      <c r="N95" s="1">
        <f t="shared" ref="N95" si="191" xml:space="preserve"> IF(LEN(ChartLines.Hex6)=6, HEX2DEC(LEFT(ChartLines.Hex6, 2)), "·")</f>
        <v>213</v>
      </c>
      <c r="O95" s="1">
        <f t="shared" ref="O95" si="192" xml:space="preserve"> IF(LEN(ChartLines.Hex6)=6, HEX2DEC(MID(ChartLines.Hex6, 3, 2)), "·")</f>
        <v>120</v>
      </c>
      <c r="P95" s="1">
        <f t="shared" ref="P95" si="193" xml:space="preserve"> IF(LEN(ChartLines.Hex6)=6, HEX2DEC(RIGHT(ChartLines.Hex6, 2)), "·")</f>
        <v>0</v>
      </c>
      <c r="Q95" s="1" cm="1">
        <f t="array" ref="Q95" xml:space="preserve"> 1 + ROW() - _xlfn.SINGLE(ROW(ChartLines.RowNum))</f>
        <v>90</v>
      </c>
      <c r="R95" s="1" t="str">
        <v>✓</v>
      </c>
    </row>
    <row r="96" spans="2:18" x14ac:dyDescent="0.2">
      <c r="B96" s="1" t="s">
        <v>140</v>
      </c>
      <c r="C96" s="1" t="str">
        <f t="shared" si="138"/>
        <v>ETB</v>
      </c>
      <c r="D96" t="str">
        <v>✓</v>
      </c>
      <c r="H96" s="1" t="s">
        <v>87</v>
      </c>
      <c r="I96" s="1" t="s">
        <v>372</v>
      </c>
      <c r="K96" s="1">
        <f t="shared" ref="K96" si="194" xml:space="preserve"> IF(AND(LEN(ChartLines.ID)&gt;0,"Unused"&lt;&gt;ChartLines.ID), COUNTIFS(ChartLines.ID,ChartLines.ID), "·")</f>
        <v>2</v>
      </c>
      <c r="L96" s="1">
        <f t="shared" ref="L96" si="195" xml:space="preserve"> IF(AND(LEN(ChartLines.ID)&gt;0,"Unused"&lt;&gt;ChartLines.ID), COUNTIFS(ChartLines.ID,ChartLines.ID,   ChartLines.RowNum,"&lt;="&amp;ChartLines.RowNum), "·")</f>
        <v>2</v>
      </c>
      <c r="M96" s="1" t="str" cm="1">
        <f t="array" ref="M96" xml:space="preserve"> _xlfn.IFS(OR(LEN(_xlfn.SINGLE(ChartLines.ID))=0,"Unused"=_xlfn.SINGLE(ChartLines.ID)), "·",   1=_xlfn.SINGLE(ChartLines.NumInstances), IF("USD"=_xlfn.SINGLE(ChartLines.ID), "SoleBig", "SoleOrdinary"),   1=_xlfn.SINGLE(ChartLines.InstanceNum), "Outer",   TRUE, "Inner")</f>
        <v>Inner</v>
      </c>
      <c r="N96" s="1">
        <f t="shared" ref="N96" si="196" xml:space="preserve"> IF(LEN(ChartLines.Hex6)=6, HEX2DEC(LEFT(ChartLines.Hex6, 2)), "·")</f>
        <v>78</v>
      </c>
      <c r="O96" s="1">
        <f t="shared" ref="O96" si="197" xml:space="preserve"> IF(LEN(ChartLines.Hex6)=6, HEX2DEC(MID(ChartLines.Hex6, 3, 2)), "·")</f>
        <v>91</v>
      </c>
      <c r="P96" s="1">
        <f t="shared" ref="P96" si="198" xml:space="preserve"> IF(LEN(ChartLines.Hex6)=6, HEX2DEC(RIGHT(ChartLines.Hex6, 2)), "·")</f>
        <v>49</v>
      </c>
      <c r="Q96" s="1" cm="1">
        <f t="array" ref="Q96" xml:space="preserve"> 1 + ROW() - _xlfn.SINGLE(ROW(ChartLines.RowNum))</f>
        <v>91</v>
      </c>
      <c r="R96" s="1" t="str">
        <v>✓</v>
      </c>
    </row>
    <row r="97" spans="2:18" x14ac:dyDescent="0.2">
      <c r="B97" s="1" t="s">
        <v>141</v>
      </c>
      <c r="C97" s="1" t="str">
        <f t="shared" si="138"/>
        <v>SDG</v>
      </c>
      <c r="D97" t="str">
        <v>✓</v>
      </c>
      <c r="H97" s="1" t="s">
        <v>88</v>
      </c>
      <c r="I97" s="1" t="s">
        <v>373</v>
      </c>
      <c r="K97" s="1">
        <f t="shared" ref="K97" si="199" xml:space="preserve"> IF(AND(LEN(ChartLines.ID)&gt;0,"Unused"&lt;&gt;ChartLines.ID), COUNTIFS(ChartLines.ID,ChartLines.ID), "·")</f>
        <v>2</v>
      </c>
      <c r="L97" s="1">
        <f t="shared" ref="L97" si="200" xml:space="preserve"> IF(AND(LEN(ChartLines.ID)&gt;0,"Unused"&lt;&gt;ChartLines.ID), COUNTIFS(ChartLines.ID,ChartLines.ID,   ChartLines.RowNum,"&lt;="&amp;ChartLines.RowNum), "·")</f>
        <v>1</v>
      </c>
      <c r="M97" s="1" t="str" cm="1">
        <f t="array" ref="M97" xml:space="preserve"> _xlfn.IFS(OR(LEN(_xlfn.SINGLE(ChartLines.ID))=0,"Unused"=_xlfn.SINGLE(ChartLines.ID)), "·",   1=_xlfn.SINGLE(ChartLines.NumInstances), IF("USD"=_xlfn.SINGLE(ChartLines.ID), "SoleBig", "SoleOrdinary"),   1=_xlfn.SINGLE(ChartLines.InstanceNum), "Outer",   TRUE, "Inner")</f>
        <v>Outer</v>
      </c>
      <c r="N97" s="1">
        <f t="shared" ref="N97" si="201" xml:space="preserve"> IF(LEN(ChartLines.Hex6)=6, HEX2DEC(LEFT(ChartLines.Hex6, 2)), "·")</f>
        <v>207</v>
      </c>
      <c r="O97" s="1">
        <f t="shared" ref="O97" si="202" xml:space="preserve"> IF(LEN(ChartLines.Hex6)=6, HEX2DEC(MID(ChartLines.Hex6, 3, 2)), "·")</f>
        <v>20</v>
      </c>
      <c r="P97" s="1">
        <f t="shared" ref="P97" si="203" xml:space="preserve"> IF(LEN(ChartLines.Hex6)=6, HEX2DEC(RIGHT(ChartLines.Hex6, 2)), "·")</f>
        <v>43</v>
      </c>
      <c r="Q97" s="1" cm="1">
        <f t="array" ref="Q97" xml:space="preserve"> 1 + ROW() - _xlfn.SINGLE(ROW(ChartLines.RowNum))</f>
        <v>92</v>
      </c>
      <c r="R97" s="1" t="str">
        <v>✓</v>
      </c>
    </row>
    <row r="98" spans="2:18" x14ac:dyDescent="0.2">
      <c r="B98" s="1" t="s">
        <v>142</v>
      </c>
      <c r="C98" s="1" t="str">
        <f t="shared" si="138"/>
        <v>KYS</v>
      </c>
      <c r="D98" t="str">
        <v>✓</v>
      </c>
      <c r="H98" s="1" t="s">
        <v>88</v>
      </c>
      <c r="I98" s="1" t="s">
        <v>488</v>
      </c>
      <c r="K98" s="1">
        <f t="shared" ref="K98" si="204" xml:space="preserve"> IF(AND(LEN(ChartLines.ID)&gt;0,"Unused"&lt;&gt;ChartLines.ID), COUNTIFS(ChartLines.ID,ChartLines.ID), "·")</f>
        <v>2</v>
      </c>
      <c r="L98" s="1">
        <f t="shared" ref="L98" si="205" xml:space="preserve"> IF(AND(LEN(ChartLines.ID)&gt;0,"Unused"&lt;&gt;ChartLines.ID), COUNTIFS(ChartLines.ID,ChartLines.ID,   ChartLines.RowNum,"&lt;="&amp;ChartLines.RowNum), "·")</f>
        <v>2</v>
      </c>
      <c r="M98" s="1" t="str" cm="1">
        <f t="array" ref="M98" xml:space="preserve"> _xlfn.IFS(OR(LEN(_xlfn.SINGLE(ChartLines.ID))=0,"Unused"=_xlfn.SINGLE(ChartLines.ID)), "·",   1=_xlfn.SINGLE(ChartLines.NumInstances), IF("USD"=_xlfn.SINGLE(ChartLines.ID), "SoleBig", "SoleOrdinary"),   1=_xlfn.SINGLE(ChartLines.InstanceNum), "Outer",   TRUE, "Inner")</f>
        <v>Inner</v>
      </c>
      <c r="N98" s="1">
        <f t="shared" ref="N98" si="206" xml:space="preserve"> IF(LEN(ChartLines.Hex6)=6, HEX2DEC(LEFT(ChartLines.Hex6, 2)), "·")</f>
        <v>192</v>
      </c>
      <c r="O98" s="1">
        <f t="shared" ref="O98" si="207" xml:space="preserve"> IF(LEN(ChartLines.Hex6)=6, HEX2DEC(MID(ChartLines.Hex6, 3, 2)), "·")</f>
        <v>192</v>
      </c>
      <c r="P98" s="1">
        <f t="shared" ref="P98" si="208" xml:space="preserve"> IF(LEN(ChartLines.Hex6)=6, HEX2DEC(RIGHT(ChartLines.Hex6, 2)), "·")</f>
        <v>192</v>
      </c>
      <c r="Q98" s="1" cm="1">
        <f t="array" ref="Q98" xml:space="preserve"> 1 + ROW() - _xlfn.SINGLE(ROW(ChartLines.RowNum))</f>
        <v>93</v>
      </c>
      <c r="R98" s="1" t="str">
        <v>✓</v>
      </c>
    </row>
    <row r="99" spans="2:18" x14ac:dyDescent="0.2">
      <c r="B99" s="1" t="s">
        <v>143</v>
      </c>
      <c r="C99" s="1" t="str">
        <f t="shared" si="138"/>
        <v>TZS</v>
      </c>
      <c r="D99" t="str">
        <v>✓</v>
      </c>
      <c r="H99" s="1" t="s">
        <v>89</v>
      </c>
      <c r="I99" s="1" t="s">
        <v>374</v>
      </c>
      <c r="K99" s="1">
        <f t="shared" ref="K99" si="209" xml:space="preserve"> IF(AND(LEN(ChartLines.ID)&gt;0,"Unused"&lt;&gt;ChartLines.ID), COUNTIFS(ChartLines.ID,ChartLines.ID), "·")</f>
        <v>2</v>
      </c>
      <c r="L99" s="1">
        <f t="shared" ref="L99" si="210" xml:space="preserve"> IF(AND(LEN(ChartLines.ID)&gt;0,"Unused"&lt;&gt;ChartLines.ID), COUNTIFS(ChartLines.ID,ChartLines.ID,   ChartLines.RowNum,"&lt;="&amp;ChartLines.RowNum), "·")</f>
        <v>1</v>
      </c>
      <c r="M99" s="1" t="str" cm="1">
        <f t="array" ref="M99" xml:space="preserve"> _xlfn.IFS(OR(LEN(_xlfn.SINGLE(ChartLines.ID))=0,"Unused"=_xlfn.SINGLE(ChartLines.ID)), "·",   1=_xlfn.SINGLE(ChartLines.NumInstances), IF("USD"=_xlfn.SINGLE(ChartLines.ID), "SoleBig", "SoleOrdinary"),   1=_xlfn.SINGLE(ChartLines.InstanceNum), "Outer",   TRUE, "Inner")</f>
        <v>Outer</v>
      </c>
      <c r="N99" s="1">
        <f t="shared" ref="N99" si="211" xml:space="preserve"> IF(LEN(ChartLines.Hex6)=6, HEX2DEC(LEFT(ChartLines.Hex6, 2)), "·")</f>
        <v>33</v>
      </c>
      <c r="O99" s="1">
        <f t="shared" ref="O99" si="212" xml:space="preserve"> IF(LEN(ChartLines.Hex6)=6, HEX2DEC(MID(ChartLines.Hex6, 3, 2)), "·")</f>
        <v>95</v>
      </c>
      <c r="P99" s="1">
        <f t="shared" ref="P99" si="213" xml:space="preserve"> IF(LEN(ChartLines.Hex6)=6, HEX2DEC(RIGHT(ChartLines.Hex6, 2)), "·")</f>
        <v>143</v>
      </c>
      <c r="Q99" s="1" cm="1">
        <f t="array" ref="Q99" xml:space="preserve"> 1 + ROW() - _xlfn.SINGLE(ROW(ChartLines.RowNum))</f>
        <v>94</v>
      </c>
      <c r="R99" s="1" t="str">
        <v>✓</v>
      </c>
    </row>
    <row r="100" spans="2:18" x14ac:dyDescent="0.2">
      <c r="B100" s="1" t="s">
        <v>144</v>
      </c>
      <c r="C100" s="1" t="str">
        <f t="shared" si="138"/>
        <v>UGX</v>
      </c>
      <c r="D100" t="str">
        <v>✓</v>
      </c>
      <c r="H100" s="1" t="s">
        <v>89</v>
      </c>
      <c r="I100" s="1" t="s">
        <v>375</v>
      </c>
      <c r="K100" s="1">
        <f t="shared" ref="K100" si="214" xml:space="preserve"> IF(AND(LEN(ChartLines.ID)&gt;0,"Unused"&lt;&gt;ChartLines.ID), COUNTIFS(ChartLines.ID,ChartLines.ID), "·")</f>
        <v>2</v>
      </c>
      <c r="L100" s="1">
        <f t="shared" ref="L100" si="215" xml:space="preserve"> IF(AND(LEN(ChartLines.ID)&gt;0,"Unused"&lt;&gt;ChartLines.ID), COUNTIFS(ChartLines.ID,ChartLines.ID,   ChartLines.RowNum,"&lt;="&amp;ChartLines.RowNum), "·")</f>
        <v>2</v>
      </c>
      <c r="M100" s="1" t="str" cm="1">
        <f t="array" ref="M100" xml:space="preserve"> _xlfn.IFS(OR(LEN(_xlfn.SINGLE(ChartLines.ID))=0,"Unused"=_xlfn.SINGLE(ChartLines.ID)), "·",   1=_xlfn.SINGLE(ChartLines.NumInstances), IF("USD"=_xlfn.SINGLE(ChartLines.ID), "SoleBig", "SoleOrdinary"),   1=_xlfn.SINGLE(ChartLines.InstanceNum), "Outer",   TRUE, "Inner")</f>
        <v>Inner</v>
      </c>
      <c r="N100" s="1">
        <f t="shared" ref="N100" si="216" xml:space="preserve"> IF(LEN(ChartLines.Hex6)=6, HEX2DEC(LEFT(ChartLines.Hex6, 2)), "·")</f>
        <v>211</v>
      </c>
      <c r="O100" s="1">
        <f t="shared" ref="O100" si="217" xml:space="preserve"> IF(LEN(ChartLines.Hex6)=6, HEX2DEC(MID(ChartLines.Hex6, 3, 2)), "·")</f>
        <v>174</v>
      </c>
      <c r="P100" s="1">
        <f t="shared" ref="P100" si="218" xml:space="preserve"> IF(LEN(ChartLines.Hex6)=6, HEX2DEC(RIGHT(ChartLines.Hex6, 2)), "·")</f>
        <v>69</v>
      </c>
      <c r="Q100" s="1" cm="1">
        <f t="array" ref="Q100" xml:space="preserve"> 1 + ROW() - _xlfn.SINGLE(ROW(ChartLines.RowNum))</f>
        <v>95</v>
      </c>
      <c r="R100" s="1" t="str">
        <v>✓</v>
      </c>
    </row>
    <row r="101" spans="2:18" x14ac:dyDescent="0.2">
      <c r="B101" s="1" t="s">
        <v>145</v>
      </c>
      <c r="C101" s="1" t="str">
        <f t="shared" si="138"/>
        <v>CDF</v>
      </c>
      <c r="D101" t="str">
        <v>✓</v>
      </c>
      <c r="H101" s="1" t="s">
        <v>90</v>
      </c>
      <c r="I101" s="1" t="str">
        <f xml:space="preserve"> "000000"</f>
        <v>000000</v>
      </c>
      <c r="K101" s="1">
        <f t="shared" ref="K101" si="219" xml:space="preserve"> IF(AND(LEN(ChartLines.ID)&gt;0,"Unused"&lt;&gt;ChartLines.ID), COUNTIFS(ChartLines.ID,ChartLines.ID), "·")</f>
        <v>2</v>
      </c>
      <c r="L101" s="1">
        <f t="shared" ref="L101" si="220" xml:space="preserve"> IF(AND(LEN(ChartLines.ID)&gt;0,"Unused"&lt;&gt;ChartLines.ID), COUNTIFS(ChartLines.ID,ChartLines.ID,   ChartLines.RowNum,"&lt;="&amp;ChartLines.RowNum), "·")</f>
        <v>1</v>
      </c>
      <c r="M101" s="1" t="str" cm="1">
        <f t="array" ref="M101" xml:space="preserve"> _xlfn.IFS(OR(LEN(_xlfn.SINGLE(ChartLines.ID))=0,"Unused"=_xlfn.SINGLE(ChartLines.ID)), "·",   1=_xlfn.SINGLE(ChartLines.NumInstances), IF("USD"=_xlfn.SINGLE(ChartLines.ID), "SoleBig", "SoleOrdinary"),   1=_xlfn.SINGLE(ChartLines.InstanceNum), "Outer",   TRUE, "Inner")</f>
        <v>Outer</v>
      </c>
      <c r="N101" s="1">
        <f t="shared" ref="N101" si="221" xml:space="preserve"> IF(LEN(ChartLines.Hex6)=6, HEX2DEC(LEFT(ChartLines.Hex6, 2)), "·")</f>
        <v>0</v>
      </c>
      <c r="O101" s="1">
        <f t="shared" ref="O101" si="222" xml:space="preserve"> IF(LEN(ChartLines.Hex6)=6, HEX2DEC(MID(ChartLines.Hex6, 3, 2)), "·")</f>
        <v>0</v>
      </c>
      <c r="P101" s="1">
        <f t="shared" ref="P101" si="223" xml:space="preserve"> IF(LEN(ChartLines.Hex6)=6, HEX2DEC(RIGHT(ChartLines.Hex6, 2)), "·")</f>
        <v>0</v>
      </c>
      <c r="Q101" s="1" cm="1">
        <f t="array" ref="Q101" xml:space="preserve"> 1 + ROW() - _xlfn.SINGLE(ROW(ChartLines.RowNum))</f>
        <v>96</v>
      </c>
      <c r="R101" s="1" t="str">
        <v>✓</v>
      </c>
    </row>
    <row r="102" spans="2:18" x14ac:dyDescent="0.2">
      <c r="B102" s="1" t="s">
        <v>146</v>
      </c>
      <c r="C102" s="1" t="str">
        <f t="shared" si="138"/>
        <v>GHS</v>
      </c>
      <c r="D102" t="str">
        <v>✓</v>
      </c>
      <c r="H102" s="1" t="s">
        <v>90</v>
      </c>
      <c r="I102" s="1" t="s">
        <v>376</v>
      </c>
      <c r="K102" s="1">
        <f t="shared" ref="K102" si="224" xml:space="preserve"> IF(AND(LEN(ChartLines.ID)&gt;0,"Unused"&lt;&gt;ChartLines.ID), COUNTIFS(ChartLines.ID,ChartLines.ID), "·")</f>
        <v>2</v>
      </c>
      <c r="L102" s="1">
        <f t="shared" ref="L102" si="225" xml:space="preserve"> IF(AND(LEN(ChartLines.ID)&gt;0,"Unused"&lt;&gt;ChartLines.ID), COUNTIFS(ChartLines.ID,ChartLines.ID,   ChartLines.RowNum,"&lt;="&amp;ChartLines.RowNum), "·")</f>
        <v>2</v>
      </c>
      <c r="M102" s="1" t="str" cm="1">
        <f t="array" ref="M102" xml:space="preserve"> _xlfn.IFS(OR(LEN(_xlfn.SINGLE(ChartLines.ID))=0,"Unused"=_xlfn.SINGLE(ChartLines.ID)), "·",   1=_xlfn.SINGLE(ChartLines.NumInstances), IF("USD"=_xlfn.SINGLE(ChartLines.ID), "SoleBig", "SoleOrdinary"),   1=_xlfn.SINGLE(ChartLines.InstanceNum), "Outer",   TRUE, "Inner")</f>
        <v>Inner</v>
      </c>
      <c r="N102" s="1">
        <f t="shared" ref="N102" si="226" xml:space="preserve"> IF(LEN(ChartLines.Hex6)=6, HEX2DEC(LEFT(ChartLines.Hex6, 2)), "·")</f>
        <v>208</v>
      </c>
      <c r="O102" s="1">
        <f t="shared" ref="O102" si="227" xml:space="preserve"> IF(LEN(ChartLines.Hex6)=6, HEX2DEC(MID(ChartLines.Hex6, 3, 2)), "·")</f>
        <v>166</v>
      </c>
      <c r="P102" s="1">
        <f t="shared" ref="P102" si="228" xml:space="preserve"> IF(LEN(ChartLines.Hex6)=6, HEX2DEC(RIGHT(ChartLines.Hex6, 2)), "·")</f>
        <v>80</v>
      </c>
      <c r="Q102" s="1" cm="1">
        <f t="array" ref="Q102" xml:space="preserve"> 1 + ROW() - _xlfn.SINGLE(ROW(ChartLines.RowNum))</f>
        <v>97</v>
      </c>
      <c r="R102" s="1" t="str">
        <v>✓</v>
      </c>
    </row>
    <row r="103" spans="2:18" x14ac:dyDescent="0.2">
      <c r="B103" s="1" t="s">
        <v>147</v>
      </c>
      <c r="C103" s="1" t="str">
        <f t="shared" si="138"/>
        <v>SN</v>
      </c>
      <c r="D103" t="str">
        <v>✓</v>
      </c>
      <c r="H103" s="1" t="s">
        <v>91</v>
      </c>
      <c r="I103" s="1" t="s">
        <v>377</v>
      </c>
      <c r="K103" s="1">
        <f t="shared" ref="K103" si="229" xml:space="preserve"> IF(AND(LEN(ChartLines.ID)&gt;0,"Unused"&lt;&gt;ChartLines.ID), COUNTIFS(ChartLines.ID,ChartLines.ID), "·")</f>
        <v>2</v>
      </c>
      <c r="L103" s="1">
        <f t="shared" ref="L103" si="230" xml:space="preserve"> IF(AND(LEN(ChartLines.ID)&gt;0,"Unused"&lt;&gt;ChartLines.ID), COUNTIFS(ChartLines.ID,ChartLines.ID,   ChartLines.RowNum,"&lt;="&amp;ChartLines.RowNum), "·")</f>
        <v>1</v>
      </c>
      <c r="M103" s="1" t="str" cm="1">
        <f t="array" ref="M103" xml:space="preserve"> _xlfn.IFS(OR(LEN(_xlfn.SINGLE(ChartLines.ID))=0,"Unused"=_xlfn.SINGLE(ChartLines.ID)), "·",   1=_xlfn.SINGLE(ChartLines.NumInstances), IF("USD"=_xlfn.SINGLE(ChartLines.ID), "SoleBig", "SoleOrdinary"),   1=_xlfn.SINGLE(ChartLines.InstanceNum), "Outer",   TRUE, "Inner")</f>
        <v>Outer</v>
      </c>
      <c r="N103" s="1">
        <f t="shared" ref="N103" si="231" xml:space="preserve"> IF(LEN(ChartLines.Hex6)=6, HEX2DEC(LEFT(ChartLines.Hex6, 2)), "·")</f>
        <v>255</v>
      </c>
      <c r="O103" s="1">
        <f t="shared" ref="O103" si="232" xml:space="preserve"> IF(LEN(ChartLines.Hex6)=6, HEX2DEC(MID(ChartLines.Hex6, 3, 2)), "·")</f>
        <v>213</v>
      </c>
      <c r="P103" s="1">
        <f t="shared" ref="P103" si="233" xml:space="preserve"> IF(LEN(ChartLines.Hex6)=6, HEX2DEC(RIGHT(ChartLines.Hex6, 2)), "·")</f>
        <v>0</v>
      </c>
      <c r="Q103" s="1" cm="1">
        <f t="array" ref="Q103" xml:space="preserve"> 1 + ROW() - _xlfn.SINGLE(ROW(ChartLines.RowNum))</f>
        <v>98</v>
      </c>
      <c r="R103" s="1" t="str">
        <v>✓</v>
      </c>
    </row>
    <row r="104" spans="2:18" x14ac:dyDescent="0.2">
      <c r="B104" s="1" t="s">
        <v>148</v>
      </c>
      <c r="C104" s="1" t="str">
        <f t="shared" si="138"/>
        <v>GA</v>
      </c>
      <c r="D104" t="str">
        <v>✓</v>
      </c>
      <c r="H104" s="1" t="s">
        <v>91</v>
      </c>
      <c r="I104" s="1" t="str">
        <f xml:space="preserve"> "004494"</f>
        <v>004494</v>
      </c>
      <c r="K104" s="1">
        <f t="shared" ref="K104" si="234" xml:space="preserve"> IF(AND(LEN(ChartLines.ID)&gt;0,"Unused"&lt;&gt;ChartLines.ID), COUNTIFS(ChartLines.ID,ChartLines.ID), "·")</f>
        <v>2</v>
      </c>
      <c r="L104" s="1">
        <f t="shared" ref="L104" si="235" xml:space="preserve"> IF(AND(LEN(ChartLines.ID)&gt;0,"Unused"&lt;&gt;ChartLines.ID), COUNTIFS(ChartLines.ID,ChartLines.ID,   ChartLines.RowNum,"&lt;="&amp;ChartLines.RowNum), "·")</f>
        <v>2</v>
      </c>
      <c r="M104" s="1" t="str" cm="1">
        <f t="array" ref="M104" xml:space="preserve"> _xlfn.IFS(OR(LEN(_xlfn.SINGLE(ChartLines.ID))=0,"Unused"=_xlfn.SINGLE(ChartLines.ID)), "·",   1=_xlfn.SINGLE(ChartLines.NumInstances), IF("USD"=_xlfn.SINGLE(ChartLines.ID), "SoleBig", "SoleOrdinary"),   1=_xlfn.SINGLE(ChartLines.InstanceNum), "Outer",   TRUE, "Inner")</f>
        <v>Inner</v>
      </c>
      <c r="N104" s="1">
        <f t="shared" ref="N104" si="236" xml:space="preserve"> IF(LEN(ChartLines.Hex6)=6, HEX2DEC(LEFT(ChartLines.Hex6, 2)), "·")</f>
        <v>0</v>
      </c>
      <c r="O104" s="1">
        <f t="shared" ref="O104" si="237" xml:space="preserve"> IF(LEN(ChartLines.Hex6)=6, HEX2DEC(MID(ChartLines.Hex6, 3, 2)), "·")</f>
        <v>68</v>
      </c>
      <c r="P104" s="1">
        <f t="shared" ref="P104" si="238" xml:space="preserve"> IF(LEN(ChartLines.Hex6)=6, HEX2DEC(RIGHT(ChartLines.Hex6, 2)), "·")</f>
        <v>148</v>
      </c>
      <c r="Q104" s="1" cm="1">
        <f t="array" ref="Q104" xml:space="preserve"> 1 + ROW() - _xlfn.SINGLE(ROW(ChartLines.RowNum))</f>
        <v>99</v>
      </c>
      <c r="R104" s="1" t="str">
        <v>✓</v>
      </c>
    </row>
    <row r="105" spans="2:18" x14ac:dyDescent="0.2">
      <c r="B105" s="1" t="s">
        <v>149</v>
      </c>
      <c r="C105" s="1" t="str">
        <f t="shared" si="138"/>
        <v>CI</v>
      </c>
      <c r="D105" t="str">
        <v>✓</v>
      </c>
      <c r="H105" s="1" t="s">
        <v>92</v>
      </c>
      <c r="I105" s="1" t="s">
        <v>366</v>
      </c>
      <c r="K105" s="1">
        <f t="shared" ref="K105" si="239" xml:space="preserve"> IF(AND(LEN(ChartLines.ID)&gt;0,"Unused"&lt;&gt;ChartLines.ID), COUNTIFS(ChartLines.ID,ChartLines.ID), "·")</f>
        <v>2</v>
      </c>
      <c r="L105" s="1">
        <f t="shared" ref="L105" si="240" xml:space="preserve"> IF(AND(LEN(ChartLines.ID)&gt;0,"Unused"&lt;&gt;ChartLines.ID), COUNTIFS(ChartLines.ID,ChartLines.ID,   ChartLines.RowNum,"&lt;="&amp;ChartLines.RowNum), "·")</f>
        <v>1</v>
      </c>
      <c r="M105" s="1" t="str" cm="1">
        <f t="array" ref="M105" xml:space="preserve"> _xlfn.IFS(OR(LEN(_xlfn.SINGLE(ChartLines.ID))=0,"Unused"=_xlfn.SINGLE(ChartLines.ID)), "·",   1=_xlfn.SINGLE(ChartLines.NumInstances), IF("USD"=_xlfn.SINGLE(ChartLines.ID), "SoleBig", "SoleOrdinary"),   1=_xlfn.SINGLE(ChartLines.InstanceNum), "Outer",   TRUE, "Inner")</f>
        <v>Outer</v>
      </c>
      <c r="N105" s="1">
        <f t="shared" ref="N105" si="241" xml:space="preserve"> IF(LEN(ChartLines.Hex6)=6, HEX2DEC(LEFT(ChartLines.Hex6, 2)), "·")</f>
        <v>0</v>
      </c>
      <c r="O105" s="1">
        <f t="shared" ref="O105" si="242" xml:space="preserve"> IF(LEN(ChartLines.Hex6)=6, HEX2DEC(MID(ChartLines.Hex6, 3, 2)), "·")</f>
        <v>163</v>
      </c>
      <c r="P105" s="1">
        <f t="shared" ref="P105" si="243" xml:space="preserve"> IF(LEN(ChartLines.Hex6)=6, HEX2DEC(RIGHT(ChartLines.Hex6, 2)), "·")</f>
        <v>224</v>
      </c>
      <c r="Q105" s="1" cm="1">
        <f t="array" ref="Q105" xml:space="preserve"> 1 + ROW() - _xlfn.SINGLE(ROW(ChartLines.RowNum))</f>
        <v>100</v>
      </c>
      <c r="R105" s="1" t="str">
        <v>✓</v>
      </c>
    </row>
    <row r="106" spans="2:18" x14ac:dyDescent="0.2">
      <c r="B106" s="1" t="s">
        <v>554</v>
      </c>
      <c r="C106" s="1" t="str">
        <f t="shared" si="138"/>
        <v>CM</v>
      </c>
      <c r="D106" t="str">
        <v>✓</v>
      </c>
      <c r="H106" s="1" t="s">
        <v>92</v>
      </c>
      <c r="I106" s="1" t="s">
        <v>343</v>
      </c>
      <c r="K106" s="1">
        <f t="shared" ref="K106" si="244" xml:space="preserve"> IF(AND(LEN(ChartLines.ID)&gt;0,"Unused"&lt;&gt;ChartLines.ID), COUNTIFS(ChartLines.ID,ChartLines.ID), "·")</f>
        <v>2</v>
      </c>
      <c r="L106" s="1">
        <f t="shared" ref="L106" si="245" xml:space="preserve"> IF(AND(LEN(ChartLines.ID)&gt;0,"Unused"&lt;&gt;ChartLines.ID), COUNTIFS(ChartLines.ID,ChartLines.ID,   ChartLines.RowNum,"&lt;="&amp;ChartLines.RowNum), "·")</f>
        <v>2</v>
      </c>
      <c r="M106" s="1" t="str" cm="1">
        <f t="array" ref="M106" xml:space="preserve"> _xlfn.IFS(OR(LEN(_xlfn.SINGLE(ChartLines.ID))=0,"Unused"=_xlfn.SINGLE(ChartLines.ID)), "·",   1=_xlfn.SINGLE(ChartLines.NumInstances), IF("USD"=_xlfn.SINGLE(ChartLines.ID), "SoleBig", "SoleOrdinary"),   1=_xlfn.SINGLE(ChartLines.InstanceNum), "Outer",   TRUE, "Inner")</f>
        <v>Inner</v>
      </c>
      <c r="N106" s="1">
        <f t="shared" ref="N106" si="246" xml:space="preserve"> IF(LEN(ChartLines.Hex6)=6, HEX2DEC(LEFT(ChartLines.Hex6, 2)), "·")</f>
        <v>239</v>
      </c>
      <c r="O106" s="1">
        <f t="shared" ref="O106" si="247" xml:space="preserve"> IF(LEN(ChartLines.Hex6)=6, HEX2DEC(MID(ChartLines.Hex6, 3, 2)), "·")</f>
        <v>51</v>
      </c>
      <c r="P106" s="1">
        <f t="shared" ref="P106" si="248" xml:space="preserve"> IF(LEN(ChartLines.Hex6)=6, HEX2DEC(RIGHT(ChartLines.Hex6, 2)), "·")</f>
        <v>64</v>
      </c>
      <c r="Q106" s="1" cm="1">
        <f t="array" ref="Q106" xml:space="preserve"> 1 + ROW() - _xlfn.SINGLE(ROW(ChartLines.RowNum))</f>
        <v>101</v>
      </c>
      <c r="R106" s="1" t="str">
        <v>✓</v>
      </c>
    </row>
    <row r="107" spans="2:18" x14ac:dyDescent="0.2">
      <c r="B107" s="1" t="s">
        <v>475</v>
      </c>
      <c r="C107" s="1" t="str">
        <f t="shared" si="138"/>
        <v>AOA</v>
      </c>
      <c r="D107" t="str">
        <v>✓</v>
      </c>
      <c r="K107" s="1" t="str">
        <f t="shared" ref="K107" si="249" xml:space="preserve"> IF(AND(LEN(ChartLines.ID)&gt;0,"Unused"&lt;&gt;ChartLines.ID), COUNTIFS(ChartLines.ID,ChartLines.ID), "·")</f>
        <v>·</v>
      </c>
      <c r="L107" s="1" t="str">
        <f t="shared" ref="L107" si="250" xml:space="preserve"> IF(AND(LEN(ChartLines.ID)&gt;0,"Unused"&lt;&gt;ChartLines.ID), COUNTIFS(ChartLines.ID,ChartLines.ID,   ChartLines.RowNum,"&lt;="&amp;ChartLines.RowNum), "·")</f>
        <v>·</v>
      </c>
      <c r="M107" s="1" t="str" cm="1">
        <f t="array" ref="M107" xml:space="preserve"> _xlfn.IFS(OR(LEN(_xlfn.SINGLE(ChartLines.ID))=0,"Unused"=_xlfn.SINGLE(ChartLines.ID)), "·",   1=_xlfn.SINGLE(ChartLines.NumInstances), IF("USD"=_xlfn.SINGLE(ChartLines.ID), "SoleBig", "SoleOrdinary"),   1=_xlfn.SINGLE(ChartLines.InstanceNum), "Outer",   TRUE, "Inner")</f>
        <v>·</v>
      </c>
      <c r="N107" s="1" t="str">
        <f t="shared" ref="N107" si="251" xml:space="preserve"> IF(LEN(ChartLines.Hex6)=6, HEX2DEC(LEFT(ChartLines.Hex6, 2)), "·")</f>
        <v>·</v>
      </c>
      <c r="O107" s="1" t="str">
        <f t="shared" ref="O107" si="252" xml:space="preserve"> IF(LEN(ChartLines.Hex6)=6, HEX2DEC(MID(ChartLines.Hex6, 3, 2)), "·")</f>
        <v>·</v>
      </c>
      <c r="P107" s="1" t="str">
        <f t="shared" ref="P107" si="253" xml:space="preserve"> IF(LEN(ChartLines.Hex6)=6, HEX2DEC(RIGHT(ChartLines.Hex6, 2)), "·")</f>
        <v>·</v>
      </c>
      <c r="Q107" s="1" cm="1">
        <f t="array" ref="Q107" xml:space="preserve"> 1 + ROW() - _xlfn.SINGLE(ROW(ChartLines.RowNum))</f>
        <v>102</v>
      </c>
      <c r="R107" s="1" t="str">
        <v>·</v>
      </c>
    </row>
    <row r="108" spans="2:18" x14ac:dyDescent="0.2">
      <c r="B108" s="1" t="s">
        <v>150</v>
      </c>
      <c r="C108" s="1" t="str">
        <f t="shared" si="138"/>
        <v>MXN</v>
      </c>
      <c r="D108" t="str">
        <v>✓</v>
      </c>
      <c r="H108" s="1" t="s">
        <v>93</v>
      </c>
      <c r="I108" s="1" t="s">
        <v>361</v>
      </c>
      <c r="K108" s="1">
        <f t="shared" ref="K108" si="254" xml:space="preserve"> IF(AND(LEN(ChartLines.ID)&gt;0,"Unused"&lt;&gt;ChartLines.ID), COUNTIFS(ChartLines.ID,ChartLines.ID), "·")</f>
        <v>2</v>
      </c>
      <c r="L108" s="1">
        <f t="shared" ref="L108" si="255" xml:space="preserve"> IF(AND(LEN(ChartLines.ID)&gt;0,"Unused"&lt;&gt;ChartLines.ID), COUNTIFS(ChartLines.ID,ChartLines.ID,   ChartLines.RowNum,"&lt;="&amp;ChartLines.RowNum), "·")</f>
        <v>1</v>
      </c>
      <c r="M108" s="1" t="str" cm="1">
        <f t="array" ref="M108" xml:space="preserve"> _xlfn.IFS(OR(LEN(_xlfn.SINGLE(ChartLines.ID))=0,"Unused"=_xlfn.SINGLE(ChartLines.ID)), "·",   1=_xlfn.SINGLE(ChartLines.NumInstances), IF("USD"=_xlfn.SINGLE(ChartLines.ID), "SoleBig", "SoleOrdinary"),   1=_xlfn.SINGLE(ChartLines.InstanceNum), "Outer",   TRUE, "Inner")</f>
        <v>Outer</v>
      </c>
      <c r="N108" s="1">
        <f t="shared" ref="N108" si="256" xml:space="preserve"> IF(LEN(ChartLines.Hex6)=6, HEX2DEC(LEFT(ChartLines.Hex6, 2)), "·")</f>
        <v>218</v>
      </c>
      <c r="O108" s="1">
        <f t="shared" ref="O108" si="257" xml:space="preserve"> IF(LEN(ChartLines.Hex6)=6, HEX2DEC(MID(ChartLines.Hex6, 3, 2)), "·")</f>
        <v>41</v>
      </c>
      <c r="P108" s="1">
        <f t="shared" ref="P108" si="258" xml:space="preserve"> IF(LEN(ChartLines.Hex6)=6, HEX2DEC(RIGHT(ChartLines.Hex6, 2)), "·")</f>
        <v>28</v>
      </c>
      <c r="Q108" s="1" cm="1">
        <f t="array" ref="Q108" xml:space="preserve"> 1 + ROW() - _xlfn.SINGLE(ROW(ChartLines.RowNum))</f>
        <v>103</v>
      </c>
      <c r="R108" s="1" t="str">
        <v>✓</v>
      </c>
    </row>
    <row r="109" spans="2:18" x14ac:dyDescent="0.2">
      <c r="B109" s="1" t="s">
        <v>151</v>
      </c>
      <c r="C109" s="1" t="str">
        <f xml:space="preserve"> _xlfn.SINGLE(SeriesFormatAlias.SeriesName)</f>
        <v>BRL</v>
      </c>
      <c r="D109" t="str">
        <v>✓</v>
      </c>
      <c r="H109" s="1" t="s">
        <v>93</v>
      </c>
      <c r="I109" s="1" t="s">
        <v>345</v>
      </c>
      <c r="K109" s="1">
        <f t="shared" ref="K109" si="259" xml:space="preserve"> IF(AND(LEN(ChartLines.ID)&gt;0,"Unused"&lt;&gt;ChartLines.ID), COUNTIFS(ChartLines.ID,ChartLines.ID), "·")</f>
        <v>2</v>
      </c>
      <c r="L109" s="1">
        <f t="shared" ref="L109" si="260" xml:space="preserve"> IF(AND(LEN(ChartLines.ID)&gt;0,"Unused"&lt;&gt;ChartLines.ID), COUNTIFS(ChartLines.ID,ChartLines.ID,   ChartLines.RowNum,"&lt;="&amp;ChartLines.RowNum), "·")</f>
        <v>2</v>
      </c>
      <c r="M109" s="1" t="str" cm="1">
        <f t="array" ref="M109" xml:space="preserve"> _xlfn.IFS(OR(LEN(_xlfn.SINGLE(ChartLines.ID))=0,"Unused"=_xlfn.SINGLE(ChartLines.ID)), "·",   1=_xlfn.SINGLE(ChartLines.NumInstances), IF("USD"=_xlfn.SINGLE(ChartLines.ID), "SoleBig", "SoleOrdinary"),   1=_xlfn.SINGLE(ChartLines.InstanceNum), "Outer",   TRUE, "Inner")</f>
        <v>Inner</v>
      </c>
      <c r="N109" s="1">
        <f t="shared" ref="N109" si="261" xml:space="preserve"> IF(LEN(ChartLines.Hex6)=6, HEX2DEC(LEFT(ChartLines.Hex6, 2)), "·")</f>
        <v>255</v>
      </c>
      <c r="O109" s="1">
        <f t="shared" ref="O109" si="262" xml:space="preserve"> IF(LEN(ChartLines.Hex6)=6, HEX2DEC(MID(ChartLines.Hex6, 3, 2)), "·")</f>
        <v>255</v>
      </c>
      <c r="P109" s="1">
        <f t="shared" ref="P109" si="263" xml:space="preserve"> IF(LEN(ChartLines.Hex6)=6, HEX2DEC(RIGHT(ChartLines.Hex6, 2)), "·")</f>
        <v>255</v>
      </c>
      <c r="Q109" s="1" cm="1">
        <f t="array" ref="Q109" xml:space="preserve"> 1 + ROW() - _xlfn.SINGLE(ROW(ChartLines.RowNum))</f>
        <v>104</v>
      </c>
      <c r="R109" s="1" t="str">
        <v>✓</v>
      </c>
    </row>
    <row r="110" spans="2:18" x14ac:dyDescent="0.2">
      <c r="B110" s="1" t="s">
        <v>152</v>
      </c>
      <c r="C110" s="1" t="str">
        <f t="shared" ref="C110:C149" si="264" xml:space="preserve"> _xlfn.SINGLE(SeriesFormatAlias.SeriesName)</f>
        <v>CLP</v>
      </c>
      <c r="D110" t="str">
        <v>✓</v>
      </c>
      <c r="H110" s="1" t="s">
        <v>94</v>
      </c>
      <c r="I110" s="1" t="s">
        <v>378</v>
      </c>
      <c r="K110" s="1">
        <f t="shared" ref="K110" si="265" xml:space="preserve"> IF(AND(LEN(ChartLines.ID)&gt;0,"Unused"&lt;&gt;ChartLines.ID), COUNTIFS(ChartLines.ID,ChartLines.ID), "·")</f>
        <v>2</v>
      </c>
      <c r="L110" s="1">
        <f t="shared" ref="L110" si="266" xml:space="preserve"> IF(AND(LEN(ChartLines.ID)&gt;0,"Unused"&lt;&gt;ChartLines.ID), COUNTIFS(ChartLines.ID,ChartLines.ID,   ChartLines.RowNum,"&lt;="&amp;ChartLines.RowNum), "·")</f>
        <v>1</v>
      </c>
      <c r="M110" s="1" t="str" cm="1">
        <f t="array" ref="M110" xml:space="preserve"> _xlfn.IFS(OR(LEN(_xlfn.SINGLE(ChartLines.ID))=0,"Unused"=_xlfn.SINGLE(ChartLines.ID)), "·",   1=_xlfn.SINGLE(ChartLines.NumInstances), IF("USD"=_xlfn.SINGLE(ChartLines.ID), "SoleBig", "SoleOrdinary"),   1=_xlfn.SINGLE(ChartLines.InstanceNum), "Outer",   TRUE, "Inner")</f>
        <v>Outer</v>
      </c>
      <c r="N110" s="1">
        <f t="shared" ref="N110" si="267" xml:space="preserve"> IF(LEN(ChartLines.Hex6)=6, HEX2DEC(LEFT(ChartLines.Hex6, 2)), "·")</f>
        <v>2</v>
      </c>
      <c r="O110" s="1">
        <f t="shared" ref="O110" si="268" xml:space="preserve"> IF(LEN(ChartLines.Hex6)=6, HEX2DEC(MID(ChartLines.Hex6, 3, 2)), "·")</f>
        <v>82</v>
      </c>
      <c r="P110" s="1">
        <f t="shared" ref="P110" si="269" xml:space="preserve"> IF(LEN(ChartLines.Hex6)=6, HEX2DEC(RIGHT(ChartLines.Hex6, 2)), "·")</f>
        <v>156</v>
      </c>
      <c r="Q110" s="1" cm="1">
        <f t="array" ref="Q110" xml:space="preserve"> 1 + ROW() - _xlfn.SINGLE(ROW(ChartLines.RowNum))</f>
        <v>105</v>
      </c>
      <c r="R110" s="1" t="str">
        <v>✓</v>
      </c>
    </row>
    <row r="111" spans="2:18" x14ac:dyDescent="0.2">
      <c r="B111" s="1" t="s">
        <v>153</v>
      </c>
      <c r="C111" s="1" t="str">
        <f t="shared" si="264"/>
        <v>COP</v>
      </c>
      <c r="D111" t="str">
        <v>✓</v>
      </c>
      <c r="H111" s="1" t="s">
        <v>94</v>
      </c>
      <c r="I111" s="1" t="s">
        <v>379</v>
      </c>
      <c r="K111" s="1">
        <f t="shared" ref="K111" si="270" xml:space="preserve"> IF(AND(LEN(ChartLines.ID)&gt;0,"Unused"&lt;&gt;ChartLines.ID), COUNTIFS(ChartLines.ID,ChartLines.ID), "·")</f>
        <v>2</v>
      </c>
      <c r="L111" s="1">
        <f t="shared" ref="L111" si="271" xml:space="preserve"> IF(AND(LEN(ChartLines.ID)&gt;0,"Unused"&lt;&gt;ChartLines.ID), COUNTIFS(ChartLines.ID,ChartLines.ID,   ChartLines.RowNum,"&lt;="&amp;ChartLines.RowNum), "·")</f>
        <v>2</v>
      </c>
      <c r="M111" s="1" t="str" cm="1">
        <f t="array" ref="M111" xml:space="preserve"> _xlfn.IFS(OR(LEN(_xlfn.SINGLE(ChartLines.ID))=0,"Unused"=_xlfn.SINGLE(ChartLines.ID)), "·",   1=_xlfn.SINGLE(ChartLines.NumInstances), IF("USD"=_xlfn.SINGLE(ChartLines.ID), "SoleBig", "SoleOrdinary"),   1=_xlfn.SINGLE(ChartLines.InstanceNum), "Outer",   TRUE, "Inner")</f>
        <v>Inner</v>
      </c>
      <c r="N111" s="1">
        <f t="shared" ref="N111" si="272" xml:space="preserve"> IF(LEN(ChartLines.Hex6)=6, HEX2DEC(LEFT(ChartLines.Hex6, 2)), "·")</f>
        <v>220</v>
      </c>
      <c r="O111" s="1">
        <f t="shared" ref="O111" si="273" xml:space="preserve"> IF(LEN(ChartLines.Hex6)=6, HEX2DEC(MID(ChartLines.Hex6, 3, 2)), "·")</f>
        <v>30</v>
      </c>
      <c r="P111" s="1">
        <f t="shared" ref="P111" si="274" xml:space="preserve"> IF(LEN(ChartLines.Hex6)=6, HEX2DEC(RIGHT(ChartLines.Hex6, 2)), "·")</f>
        <v>53</v>
      </c>
      <c r="Q111" s="1" cm="1">
        <f t="array" ref="Q111" xml:space="preserve"> 1 + ROW() - _xlfn.SINGLE(ROW(ChartLines.RowNum))</f>
        <v>106</v>
      </c>
      <c r="R111" s="1" t="str">
        <v>✓</v>
      </c>
    </row>
    <row r="112" spans="2:18" x14ac:dyDescent="0.2">
      <c r="B112" s="1" t="s">
        <v>154</v>
      </c>
      <c r="C112" s="1" t="str">
        <f t="shared" si="264"/>
        <v>PEN</v>
      </c>
      <c r="D112" t="str">
        <v>✓</v>
      </c>
      <c r="H112" s="1" t="s">
        <v>95</v>
      </c>
      <c r="I112" s="1" t="s">
        <v>380</v>
      </c>
      <c r="K112" s="1">
        <f t="shared" ref="K112" si="275" xml:space="preserve"> IF(AND(LEN(ChartLines.ID)&gt;0,"Unused"&lt;&gt;ChartLines.ID), COUNTIFS(ChartLines.ID,ChartLines.ID), "·")</f>
        <v>1</v>
      </c>
      <c r="L112" s="1">
        <f t="shared" ref="L112" si="276" xml:space="preserve"> IF(AND(LEN(ChartLines.ID)&gt;0,"Unused"&lt;&gt;ChartLines.ID), COUNTIFS(ChartLines.ID,ChartLines.ID,   ChartLines.RowNum,"&lt;="&amp;ChartLines.RowNum), "·")</f>
        <v>1</v>
      </c>
      <c r="M112" s="1" t="str" cm="1">
        <f t="array" ref="M112" xml:space="preserve"> _xlfn.IFS(OR(LEN(_xlfn.SINGLE(ChartLines.ID))=0,"Unused"=_xlfn.SINGLE(ChartLines.ID)), "·",   1=_xlfn.SINGLE(ChartLines.NumInstances), IF("USD"=_xlfn.SINGLE(ChartLines.ID), "SoleBig", "SoleOrdinary"),   1=_xlfn.SINGLE(ChartLines.InstanceNum), "Outer",   TRUE, "Inner")</f>
        <v>SoleOrdinary</v>
      </c>
      <c r="N112" s="1">
        <f t="shared" ref="N112" si="277" xml:space="preserve"> IF(LEN(ChartLines.Hex6)=6, HEX2DEC(LEFT(ChartLines.Hex6, 2)), "·")</f>
        <v>210</v>
      </c>
      <c r="O112" s="1">
        <f t="shared" ref="O112" si="278" xml:space="preserve"> IF(LEN(ChartLines.Hex6)=6, HEX2DEC(MID(ChartLines.Hex6, 3, 2)), "·")</f>
        <v>38</v>
      </c>
      <c r="P112" s="1">
        <f t="shared" ref="P112" si="279" xml:space="preserve"> IF(LEN(ChartLines.Hex6)=6, HEX2DEC(RIGHT(ChartLines.Hex6, 2)), "·")</f>
        <v>48</v>
      </c>
      <c r="Q112" s="1" cm="1">
        <f t="array" ref="Q112" xml:space="preserve"> 1 + ROW() - _xlfn.SINGLE(ROW(ChartLines.RowNum))</f>
        <v>107</v>
      </c>
      <c r="R112" s="1" t="str">
        <v>✓</v>
      </c>
    </row>
    <row r="113" spans="2:18" x14ac:dyDescent="0.2">
      <c r="B113" s="1" t="s">
        <v>155</v>
      </c>
      <c r="C113" s="1" t="str">
        <f t="shared" si="264"/>
        <v>UYU</v>
      </c>
      <c r="D113" t="str">
        <v>✓</v>
      </c>
      <c r="H113" s="1" t="s">
        <v>341</v>
      </c>
      <c r="K113" s="1" t="str">
        <f t="shared" ref="K113" si="280" xml:space="preserve"> IF(AND(LEN(ChartLines.ID)&gt;0,"Unused"&lt;&gt;ChartLines.ID), COUNTIFS(ChartLines.ID,ChartLines.ID), "·")</f>
        <v>·</v>
      </c>
      <c r="L113" s="1" t="str">
        <f t="shared" ref="L113" si="281" xml:space="preserve"> IF(AND(LEN(ChartLines.ID)&gt;0,"Unused"&lt;&gt;ChartLines.ID), COUNTIFS(ChartLines.ID,ChartLines.ID,   ChartLines.RowNum,"&lt;="&amp;ChartLines.RowNum), "·")</f>
        <v>·</v>
      </c>
      <c r="M113" s="1" t="str" cm="1">
        <f t="array" ref="M113" xml:space="preserve"> _xlfn.IFS(OR(LEN(_xlfn.SINGLE(ChartLines.ID))=0,"Unused"=_xlfn.SINGLE(ChartLines.ID)), "·",   1=_xlfn.SINGLE(ChartLines.NumInstances), IF("USD"=_xlfn.SINGLE(ChartLines.ID), "SoleBig", "SoleOrdinary"),   1=_xlfn.SINGLE(ChartLines.InstanceNum), "Outer",   TRUE, "Inner")</f>
        <v>·</v>
      </c>
      <c r="N113" s="1" t="str">
        <f t="shared" ref="N113" si="282" xml:space="preserve"> IF(LEN(ChartLines.Hex6)=6, HEX2DEC(LEFT(ChartLines.Hex6, 2)), "·")</f>
        <v>·</v>
      </c>
      <c r="O113" s="1" t="str">
        <f t="shared" ref="O113" si="283" xml:space="preserve"> IF(LEN(ChartLines.Hex6)=6, HEX2DEC(MID(ChartLines.Hex6, 3, 2)), "·")</f>
        <v>·</v>
      </c>
      <c r="P113" s="1" t="str">
        <f t="shared" ref="P113" si="284" xml:space="preserve"> IF(LEN(ChartLines.Hex6)=6, HEX2DEC(RIGHT(ChartLines.Hex6, 2)), "·")</f>
        <v>·</v>
      </c>
      <c r="Q113" s="1" cm="1">
        <f t="array" ref="Q113" xml:space="preserve"> 1 + ROW() - _xlfn.SINGLE(ROW(ChartLines.RowNum))</f>
        <v>108</v>
      </c>
      <c r="R113" s="1" t="str">
        <v>·</v>
      </c>
    </row>
    <row r="114" spans="2:18" x14ac:dyDescent="0.2">
      <c r="B114" s="1" t="s">
        <v>156</v>
      </c>
      <c r="C114" s="1" t="str">
        <f t="shared" si="264"/>
        <v>ARS</v>
      </c>
      <c r="D114" t="str">
        <v>✓</v>
      </c>
      <c r="H114" s="1" t="s">
        <v>96</v>
      </c>
      <c r="I114" s="1" t="s">
        <v>382</v>
      </c>
      <c r="K114" s="1">
        <f t="shared" ref="K114" si="285" xml:space="preserve"> IF(AND(LEN(ChartLines.ID)&gt;0,"Unused"&lt;&gt;ChartLines.ID), COUNTIFS(ChartLines.ID,ChartLines.ID), "·")</f>
        <v>2</v>
      </c>
      <c r="L114" s="1">
        <f t="shared" ref="L114" si="286" xml:space="preserve"> IF(AND(LEN(ChartLines.ID)&gt;0,"Unused"&lt;&gt;ChartLines.ID), COUNTIFS(ChartLines.ID,ChartLines.ID,   ChartLines.RowNum,"&lt;="&amp;ChartLines.RowNum), "·")</f>
        <v>1</v>
      </c>
      <c r="M114" s="1" t="str" cm="1">
        <f t="array" ref="M114" xml:space="preserve"> _xlfn.IFS(OR(LEN(_xlfn.SINGLE(ChartLines.ID))=0,"Unused"=_xlfn.SINGLE(ChartLines.ID)), "·",   1=_xlfn.SINGLE(ChartLines.NumInstances), IF("USD"=_xlfn.SINGLE(ChartLines.ID), "SoleBig", "SoleOrdinary"),   1=_xlfn.SINGLE(ChartLines.InstanceNum), "Outer",   TRUE, "Inner")</f>
        <v>Outer</v>
      </c>
      <c r="N114" s="1">
        <f t="shared" ref="N114" si="287" xml:space="preserve"> IF(LEN(ChartLines.Hex6)=6, HEX2DEC(LEFT(ChartLines.Hex6, 2)), "·")</f>
        <v>215</v>
      </c>
      <c r="O114" s="1">
        <f t="shared" ref="O114" si="288" xml:space="preserve"> IF(LEN(ChartLines.Hex6)=6, HEX2DEC(MID(ChartLines.Hex6, 3, 2)), "·")</f>
        <v>20</v>
      </c>
      <c r="P114" s="1">
        <f t="shared" ref="P114" si="289" xml:space="preserve"> IF(LEN(ChartLines.Hex6)=6, HEX2DEC(RIGHT(ChartLines.Hex6, 2)), "·")</f>
        <v>26</v>
      </c>
      <c r="Q114" s="1" cm="1">
        <f t="array" ref="Q114" xml:space="preserve"> 1 + ROW() - _xlfn.SINGLE(ROW(ChartLines.RowNum))</f>
        <v>109</v>
      </c>
      <c r="R114" s="1" t="str">
        <v>✓</v>
      </c>
    </row>
    <row r="115" spans="2:18" x14ac:dyDescent="0.2">
      <c r="B115" s="1" t="s">
        <v>157</v>
      </c>
      <c r="C115" s="1" t="str">
        <f t="shared" si="264"/>
        <v>BOB</v>
      </c>
      <c r="D115" t="str">
        <v>✓</v>
      </c>
      <c r="H115" s="1" t="s">
        <v>96</v>
      </c>
      <c r="I115" s="1" t="s">
        <v>381</v>
      </c>
      <c r="K115" s="1">
        <f t="shared" ref="K115" si="290" xml:space="preserve"> IF(AND(LEN(ChartLines.ID)&gt;0,"Unused"&lt;&gt;ChartLines.ID), COUNTIFS(ChartLines.ID,ChartLines.ID), "·")</f>
        <v>2</v>
      </c>
      <c r="L115" s="1">
        <f t="shared" ref="L115" si="291" xml:space="preserve"> IF(AND(LEN(ChartLines.ID)&gt;0,"Unused"&lt;&gt;ChartLines.ID), COUNTIFS(ChartLines.ID,ChartLines.ID,   ChartLines.RowNum,"&lt;="&amp;ChartLines.RowNum), "·")</f>
        <v>2</v>
      </c>
      <c r="M115" s="1" t="str" cm="1">
        <f t="array" ref="M115" xml:space="preserve"> _xlfn.IFS(OR(LEN(_xlfn.SINGLE(ChartLines.ID))=0,"Unused"=_xlfn.SINGLE(ChartLines.ID)), "·",   1=_xlfn.SINGLE(ChartLines.NumInstances), IF("USD"=_xlfn.SINGLE(ChartLines.ID), "SoleBig", "SoleOrdinary"),   1=_xlfn.SINGLE(ChartLines.InstanceNum), "Outer",   TRUE, "Inner")</f>
        <v>Inner</v>
      </c>
      <c r="N115" s="1">
        <f t="shared" ref="N115" si="292" xml:space="preserve"> IF(LEN(ChartLines.Hex6)=6, HEX2DEC(LEFT(ChartLines.Hex6, 2)), "·")</f>
        <v>17</v>
      </c>
      <c r="O115" s="1">
        <f t="shared" ref="O115" si="293" xml:space="preserve"> IF(LEN(ChartLines.Hex6)=6, HEX2DEC(MID(ChartLines.Hex6, 3, 2)), "·")</f>
        <v>69</v>
      </c>
      <c r="P115" s="1">
        <f t="shared" ref="P115" si="294" xml:space="preserve"> IF(LEN(ChartLines.Hex6)=6, HEX2DEC(RIGHT(ChartLines.Hex6, 2)), "·")</f>
        <v>126</v>
      </c>
      <c r="Q115" s="1" cm="1">
        <f t="array" ref="Q115" xml:space="preserve"> 1 + ROW() - _xlfn.SINGLE(ROW(ChartLines.RowNum))</f>
        <v>110</v>
      </c>
      <c r="R115" s="1" t="str">
        <v>✓</v>
      </c>
    </row>
    <row r="116" spans="2:18" x14ac:dyDescent="0.2">
      <c r="B116" s="1" t="s">
        <v>158</v>
      </c>
      <c r="C116" s="1" t="str">
        <f t="shared" si="264"/>
        <v>BZD</v>
      </c>
      <c r="D116" t="str">
        <v>✓</v>
      </c>
      <c r="H116" s="1" t="s">
        <v>97</v>
      </c>
      <c r="I116" s="1" t="s">
        <v>346</v>
      </c>
      <c r="K116" s="1">
        <f t="shared" ref="K116" si="295" xml:space="preserve"> IF(AND(LEN(ChartLines.ID)&gt;0,"Unused"&lt;&gt;ChartLines.ID), COUNTIFS(ChartLines.ID,ChartLines.ID), "·")</f>
        <v>2</v>
      </c>
      <c r="L116" s="1">
        <f t="shared" ref="L116" si="296" xml:space="preserve"> IF(AND(LEN(ChartLines.ID)&gt;0,"Unused"&lt;&gt;ChartLines.ID), COUNTIFS(ChartLines.ID,ChartLines.ID,   ChartLines.RowNum,"&lt;="&amp;ChartLines.RowNum), "·")</f>
        <v>1</v>
      </c>
      <c r="M116" s="1" t="str" cm="1">
        <f t="array" ref="M116" xml:space="preserve"> _xlfn.IFS(OR(LEN(_xlfn.SINGLE(ChartLines.ID))=0,"Unused"=_xlfn.SINGLE(ChartLines.ID)), "·",   1=_xlfn.SINGLE(ChartLines.NumInstances), IF("USD"=_xlfn.SINGLE(ChartLines.ID), "SoleBig", "SoleOrdinary"),   1=_xlfn.SINGLE(ChartLines.InstanceNum), "Outer",   TRUE, "Inner")</f>
        <v>Outer</v>
      </c>
      <c r="N116" s="1">
        <f t="shared" ref="N116" si="297" xml:space="preserve"> IF(LEN(ChartLines.Hex6)=6, HEX2DEC(LEFT(ChartLines.Hex6, 2)), "·")</f>
        <v>0</v>
      </c>
      <c r="O116" s="1">
        <f t="shared" ref="O116" si="298" xml:space="preserve"> IF(LEN(ChartLines.Hex6)=6, HEX2DEC(MID(ChartLines.Hex6, 3, 2)), "·")</f>
        <v>132</v>
      </c>
      <c r="P116" s="1">
        <f t="shared" ref="P116" si="299" xml:space="preserve"> IF(LEN(ChartLines.Hex6)=6, HEX2DEC(RIGHT(ChartLines.Hex6, 2)), "·")</f>
        <v>61</v>
      </c>
      <c r="Q116" s="1" cm="1">
        <f t="array" ref="Q116" xml:space="preserve"> 1 + ROW() - _xlfn.SINGLE(ROW(ChartLines.RowNum))</f>
        <v>111</v>
      </c>
      <c r="R116" s="1" t="str">
        <v>✓</v>
      </c>
    </row>
    <row r="117" spans="2:18" x14ac:dyDescent="0.2">
      <c r="B117" s="1" t="s">
        <v>159</v>
      </c>
      <c r="C117" s="1" t="str">
        <f t="shared" si="264"/>
        <v>EC</v>
      </c>
      <c r="D117" t="str">
        <v>✓</v>
      </c>
      <c r="H117" s="1" t="s">
        <v>97</v>
      </c>
      <c r="I117" s="1" t="s">
        <v>383</v>
      </c>
      <c r="K117" s="1">
        <f t="shared" ref="K117" si="300" xml:space="preserve"> IF(AND(LEN(ChartLines.ID)&gt;0,"Unused"&lt;&gt;ChartLines.ID), COUNTIFS(ChartLines.ID,ChartLines.ID), "·")</f>
        <v>2</v>
      </c>
      <c r="L117" s="1">
        <f t="shared" ref="L117" si="301" xml:space="preserve"> IF(AND(LEN(ChartLines.ID)&gt;0,"Unused"&lt;&gt;ChartLines.ID), COUNTIFS(ChartLines.ID,ChartLines.ID,   ChartLines.RowNum,"&lt;="&amp;ChartLines.RowNum), "·")</f>
        <v>2</v>
      </c>
      <c r="M117" s="1" t="str" cm="1">
        <f t="array" ref="M117" xml:space="preserve"> _xlfn.IFS(OR(LEN(_xlfn.SINGLE(ChartLines.ID))=0,"Unused"=_xlfn.SINGLE(ChartLines.ID)), "·",   1=_xlfn.SINGLE(ChartLines.NumInstances), IF("USD"=_xlfn.SINGLE(ChartLines.ID), "SoleBig", "SoleOrdinary"),   1=_xlfn.SINGLE(ChartLines.InstanceNum), "Outer",   TRUE, "Inner")</f>
        <v>Inner</v>
      </c>
      <c r="N117" s="1">
        <f t="shared" ref="N117" si="302" xml:space="preserve"> IF(LEN(ChartLines.Hex6)=6, HEX2DEC(LEFT(ChartLines.Hex6, 2)), "·")</f>
        <v>206</v>
      </c>
      <c r="O117" s="1">
        <f t="shared" ref="O117" si="303" xml:space="preserve"> IF(LEN(ChartLines.Hex6)=6, HEX2DEC(MID(ChartLines.Hex6, 3, 2)), "·")</f>
        <v>41</v>
      </c>
      <c r="P117" s="1">
        <f t="shared" ref="P117" si="304" xml:space="preserve"> IF(LEN(ChartLines.Hex6)=6, HEX2DEC(RIGHT(ChartLines.Hex6, 2)), "·")</f>
        <v>57</v>
      </c>
      <c r="Q117" s="1" cm="1">
        <f t="array" ref="Q117" xml:space="preserve"> 1 + ROW() - _xlfn.SINGLE(ROW(ChartLines.RowNum))</f>
        <v>112</v>
      </c>
      <c r="R117" s="1" t="str">
        <v>✓</v>
      </c>
    </row>
    <row r="118" spans="2:18" x14ac:dyDescent="0.2">
      <c r="B118" s="1" t="s">
        <v>537</v>
      </c>
      <c r="C118" s="1" t="str">
        <f t="shared" si="264"/>
        <v>VED</v>
      </c>
      <c r="D118" t="str">
        <v>✓</v>
      </c>
      <c r="H118" s="1" t="s">
        <v>98</v>
      </c>
      <c r="I118" s="1" t="s">
        <v>384</v>
      </c>
      <c r="K118" s="1">
        <f t="shared" ref="K118" si="305" xml:space="preserve"> IF(AND(LEN(ChartLines.ID)&gt;0,"Unused"&lt;&gt;ChartLines.ID), COUNTIFS(ChartLines.ID,ChartLines.ID), "·")</f>
        <v>2</v>
      </c>
      <c r="L118" s="1">
        <f t="shared" ref="L118" si="306" xml:space="preserve"> IF(AND(LEN(ChartLines.ID)&gt;0,"Unused"&lt;&gt;ChartLines.ID), COUNTIFS(ChartLines.ID,ChartLines.ID,   ChartLines.RowNum,"&lt;="&amp;ChartLines.RowNum), "·")</f>
        <v>1</v>
      </c>
      <c r="M118" s="1" t="str" cm="1">
        <f t="array" ref="M118" xml:space="preserve"> _xlfn.IFS(OR(LEN(_xlfn.SINGLE(ChartLines.ID))=0,"Unused"=_xlfn.SINGLE(ChartLines.ID)), "·",   1=_xlfn.SINGLE(ChartLines.NumInstances), IF("USD"=_xlfn.SINGLE(ChartLines.ID), "SoleBig", "SoleOrdinary"),   1=_xlfn.SINGLE(ChartLines.InstanceNum), "Outer",   TRUE, "Inner")</f>
        <v>Outer</v>
      </c>
      <c r="N118" s="1">
        <f t="shared" ref="N118" si="307" xml:space="preserve"> IF(LEN(ChartLines.Hex6)=6, HEX2DEC(LEFT(ChartLines.Hex6, 2)), "·")</f>
        <v>0</v>
      </c>
      <c r="O118" s="1">
        <f t="shared" ref="O118" si="308" xml:space="preserve"> IF(LEN(ChartLines.Hex6)=6, HEX2DEC(MID(ChartLines.Hex6, 3, 2)), "·")</f>
        <v>43</v>
      </c>
      <c r="P118" s="1">
        <f t="shared" ref="P118" si="309" xml:space="preserve"> IF(LEN(ChartLines.Hex6)=6, HEX2DEC(RIGHT(ChartLines.Hex6, 2)), "·")</f>
        <v>127</v>
      </c>
      <c r="Q118" s="1" cm="1">
        <f t="array" ref="Q118" xml:space="preserve"> 1 + ROW() - _xlfn.SINGLE(ROW(ChartLines.RowNum))</f>
        <v>113</v>
      </c>
      <c r="R118" s="1" t="str">
        <v>✓</v>
      </c>
    </row>
    <row r="119" spans="2:18" x14ac:dyDescent="0.2">
      <c r="B119" s="1" t="s">
        <v>160</v>
      </c>
      <c r="C119" s="1" t="str">
        <f t="shared" si="264"/>
        <v>SV</v>
      </c>
      <c r="D119" t="str">
        <v>✓</v>
      </c>
      <c r="H119" s="1" t="s">
        <v>98</v>
      </c>
      <c r="I119" s="1" t="s">
        <v>385</v>
      </c>
      <c r="K119" s="1">
        <f t="shared" ref="K119" si="310" xml:space="preserve"> IF(AND(LEN(ChartLines.ID)&gt;0,"Unused"&lt;&gt;ChartLines.ID), COUNTIFS(ChartLines.ID,ChartLines.ID), "·")</f>
        <v>2</v>
      </c>
      <c r="L119" s="1">
        <f t="shared" ref="L119" si="311" xml:space="preserve"> IF(AND(LEN(ChartLines.ID)&gt;0,"Unused"&lt;&gt;ChartLines.ID), COUNTIFS(ChartLines.ID,ChartLines.ID,   ChartLines.RowNum,"&lt;="&amp;ChartLines.RowNum), "·")</f>
        <v>2</v>
      </c>
      <c r="M119" s="1" t="str" cm="1">
        <f t="array" ref="M119" xml:space="preserve"> _xlfn.IFS(OR(LEN(_xlfn.SINGLE(ChartLines.ID))=0,"Unused"=_xlfn.SINGLE(ChartLines.ID)), "·",   1=_xlfn.SINGLE(ChartLines.NumInstances), IF("USD"=_xlfn.SINGLE(ChartLines.ID), "SoleBig", "SoleOrdinary"),   1=_xlfn.SINGLE(ChartLines.InstanceNum), "Outer",   TRUE, "Inner")</f>
        <v>Inner</v>
      </c>
      <c r="N119" s="1">
        <f t="shared" ref="N119" si="312" xml:space="preserve"> IF(LEN(ChartLines.Hex6)=6, HEX2DEC(LEFT(ChartLines.Hex6, 2)), "·")</f>
        <v>252</v>
      </c>
      <c r="O119" s="1">
        <f t="shared" ref="O119" si="313" xml:space="preserve"> IF(LEN(ChartLines.Hex6)=6, HEX2DEC(MID(ChartLines.Hex6, 3, 2)), "·")</f>
        <v>209</v>
      </c>
      <c r="P119" s="1">
        <f t="shared" ref="P119" si="314" xml:space="preserve"> IF(LEN(ChartLines.Hex6)=6, HEX2DEC(RIGHT(ChartLines.Hex6, 2)), "·")</f>
        <v>22</v>
      </c>
      <c r="Q119" s="1" cm="1">
        <f t="array" ref="Q119" xml:space="preserve"> 1 + ROW() - _xlfn.SINGLE(ROW(ChartLines.RowNum))</f>
        <v>114</v>
      </c>
      <c r="R119" s="1" t="str">
        <v>✓</v>
      </c>
    </row>
    <row r="120" spans="2:18" x14ac:dyDescent="0.2">
      <c r="B120" s="1" t="s">
        <v>161</v>
      </c>
      <c r="C120" s="1" t="str">
        <f t="shared" si="264"/>
        <v>PAB</v>
      </c>
      <c r="D120" t="str">
        <v>✓</v>
      </c>
      <c r="H120" s="1" t="s">
        <v>99</v>
      </c>
      <c r="I120" s="1" t="s">
        <v>386</v>
      </c>
      <c r="K120" s="1">
        <f t="shared" ref="K120" si="315" xml:space="preserve"> IF(AND(LEN(ChartLines.ID)&gt;0,"Unused"&lt;&gt;ChartLines.ID), COUNTIFS(ChartLines.ID,ChartLines.ID), "·")</f>
        <v>2</v>
      </c>
      <c r="L120" s="1">
        <f t="shared" ref="L120" si="316" xml:space="preserve"> IF(AND(LEN(ChartLines.ID)&gt;0,"Unused"&lt;&gt;ChartLines.ID), COUNTIFS(ChartLines.ID,ChartLines.ID,   ChartLines.RowNum,"&lt;="&amp;ChartLines.RowNum), "·")</f>
        <v>1</v>
      </c>
      <c r="M120" s="1" t="str" cm="1">
        <f t="array" ref="M120" xml:space="preserve"> _xlfn.IFS(OR(LEN(_xlfn.SINGLE(ChartLines.ID))=0,"Unused"=_xlfn.SINGLE(ChartLines.ID)), "·",   1=_xlfn.SINGLE(ChartLines.NumInstances), IF("USD"=_xlfn.SINGLE(ChartLines.ID), "SoleBig", "SoleOrdinary"),   1=_xlfn.SINGLE(ChartLines.InstanceNum), "Outer",   TRUE, "Inner")</f>
        <v>Outer</v>
      </c>
      <c r="N120" s="1">
        <f t="shared" ref="N120" si="317" xml:space="preserve"> IF(LEN(ChartLines.Hex6)=6, HEX2DEC(LEFT(ChartLines.Hex6, 2)), "·")</f>
        <v>0</v>
      </c>
      <c r="O120" s="1">
        <f t="shared" ref="O120" si="318" xml:space="preserve"> IF(LEN(ChartLines.Hex6)=6, HEX2DEC(MID(ChartLines.Hex6, 3, 2)), "·")</f>
        <v>175</v>
      </c>
      <c r="P120" s="1">
        <f t="shared" ref="P120" si="319" xml:space="preserve"> IF(LEN(ChartLines.Hex6)=6, HEX2DEC(RIGHT(ChartLines.Hex6, 2)), "·")</f>
        <v>102</v>
      </c>
      <c r="Q120" s="1" cm="1">
        <f t="array" ref="Q120" xml:space="preserve"> 1 + ROW() - _xlfn.SINGLE(ROW(ChartLines.RowNum))</f>
        <v>115</v>
      </c>
      <c r="R120" s="1" t="str">
        <v>✓</v>
      </c>
    </row>
    <row r="121" spans="2:18" x14ac:dyDescent="0.2">
      <c r="B121" s="1" t="s">
        <v>162</v>
      </c>
      <c r="C121" s="1" t="str">
        <f t="shared" si="264"/>
        <v>DOP</v>
      </c>
      <c r="D121" t="str">
        <v>✓</v>
      </c>
      <c r="H121" s="1" t="s">
        <v>99</v>
      </c>
      <c r="I121" s="1" t="s">
        <v>345</v>
      </c>
      <c r="K121" s="1">
        <f t="shared" ref="K121" si="320" xml:space="preserve"> IF(AND(LEN(ChartLines.ID)&gt;0,"Unused"&lt;&gt;ChartLines.ID), COUNTIFS(ChartLines.ID,ChartLines.ID), "·")</f>
        <v>2</v>
      </c>
      <c r="L121" s="1">
        <f t="shared" ref="L121" si="321" xml:space="preserve"> IF(AND(LEN(ChartLines.ID)&gt;0,"Unused"&lt;&gt;ChartLines.ID), COUNTIFS(ChartLines.ID,ChartLines.ID,   ChartLines.RowNum,"&lt;="&amp;ChartLines.RowNum), "·")</f>
        <v>2</v>
      </c>
      <c r="M121" s="1" t="str" cm="1">
        <f t="array" ref="M121" xml:space="preserve"> _xlfn.IFS(OR(LEN(_xlfn.SINGLE(ChartLines.ID))=0,"Unused"=_xlfn.SINGLE(ChartLines.ID)), "·",   1=_xlfn.SINGLE(ChartLines.NumInstances), IF("USD"=_xlfn.SINGLE(ChartLines.ID), "SoleBig", "SoleOrdinary"),   1=_xlfn.SINGLE(ChartLines.InstanceNum), "Outer",   TRUE, "Inner")</f>
        <v>Inner</v>
      </c>
      <c r="N121" s="1">
        <f t="shared" ref="N121" si="322" xml:space="preserve"> IF(LEN(ChartLines.Hex6)=6, HEX2DEC(LEFT(ChartLines.Hex6, 2)), "·")</f>
        <v>255</v>
      </c>
      <c r="O121" s="1">
        <f t="shared" ref="O121" si="323" xml:space="preserve"> IF(LEN(ChartLines.Hex6)=6, HEX2DEC(MID(ChartLines.Hex6, 3, 2)), "·")</f>
        <v>255</v>
      </c>
      <c r="P121" s="1">
        <f t="shared" ref="P121" si="324" xml:space="preserve"> IF(LEN(ChartLines.Hex6)=6, HEX2DEC(RIGHT(ChartLines.Hex6, 2)), "·")</f>
        <v>255</v>
      </c>
      <c r="Q121" s="1" cm="1">
        <f t="array" ref="Q121" xml:space="preserve"> 1 + ROW() - _xlfn.SINGLE(ROW(ChartLines.RowNum))</f>
        <v>116</v>
      </c>
      <c r="R121" s="1" t="str">
        <v>✓</v>
      </c>
    </row>
    <row r="122" spans="2:18" x14ac:dyDescent="0.2">
      <c r="B122" s="1" t="s">
        <v>163</v>
      </c>
      <c r="C122" s="1" t="str">
        <f t="shared" si="264"/>
        <v>TTD</v>
      </c>
      <c r="D122" t="str">
        <v>✓</v>
      </c>
      <c r="K122" s="1" t="str">
        <f t="shared" ref="K122" si="325" xml:space="preserve"> IF(AND(LEN(ChartLines.ID)&gt;0,"Unused"&lt;&gt;ChartLines.ID), COUNTIFS(ChartLines.ID,ChartLines.ID), "·")</f>
        <v>·</v>
      </c>
      <c r="L122" s="1" t="str">
        <f t="shared" ref="L122" si="326" xml:space="preserve"> IF(AND(LEN(ChartLines.ID)&gt;0,"Unused"&lt;&gt;ChartLines.ID), COUNTIFS(ChartLines.ID,ChartLines.ID,   ChartLines.RowNum,"&lt;="&amp;ChartLines.RowNum), "·")</f>
        <v>·</v>
      </c>
      <c r="M122" s="1" t="str" cm="1">
        <f t="array" ref="M122" xml:space="preserve"> _xlfn.IFS(OR(LEN(_xlfn.SINGLE(ChartLines.ID))=0,"Unused"=_xlfn.SINGLE(ChartLines.ID)), "·",   1=_xlfn.SINGLE(ChartLines.NumInstances), IF("USD"=_xlfn.SINGLE(ChartLines.ID), "SoleBig", "SoleOrdinary"),   1=_xlfn.SINGLE(ChartLines.InstanceNum), "Outer",   TRUE, "Inner")</f>
        <v>·</v>
      </c>
      <c r="N122" s="1" t="str">
        <f t="shared" ref="N122" si="327" xml:space="preserve"> IF(LEN(ChartLines.Hex6)=6, HEX2DEC(LEFT(ChartLines.Hex6, 2)), "·")</f>
        <v>·</v>
      </c>
      <c r="O122" s="1" t="str">
        <f t="shared" ref="O122" si="328" xml:space="preserve"> IF(LEN(ChartLines.Hex6)=6, HEX2DEC(MID(ChartLines.Hex6, 3, 2)), "·")</f>
        <v>·</v>
      </c>
      <c r="P122" s="1" t="str">
        <f t="shared" ref="P122" si="329" xml:space="preserve"> IF(LEN(ChartLines.Hex6)=6, HEX2DEC(RIGHT(ChartLines.Hex6, 2)), "·")</f>
        <v>·</v>
      </c>
      <c r="Q122" s="1" cm="1">
        <f t="array" ref="Q122" xml:space="preserve"> 1 + ROW() - _xlfn.SINGLE(ROW(ChartLines.RowNum))</f>
        <v>117</v>
      </c>
      <c r="R122" s="1" t="str">
        <v>·</v>
      </c>
    </row>
    <row r="123" spans="2:18" x14ac:dyDescent="0.2">
      <c r="B123" s="1" t="s">
        <v>164</v>
      </c>
      <c r="C123" s="1" t="str">
        <f t="shared" si="264"/>
        <v>JMD</v>
      </c>
      <c r="D123" t="str">
        <v>✓</v>
      </c>
      <c r="H123" s="1" t="s">
        <v>100</v>
      </c>
      <c r="I123" s="1" t="s">
        <v>387</v>
      </c>
      <c r="K123" s="1">
        <f t="shared" ref="K123" si="330" xml:space="preserve"> IF(AND(LEN(ChartLines.ID)&gt;0,"Unused"&lt;&gt;ChartLines.ID), COUNTIFS(ChartLines.ID,ChartLines.ID), "·")</f>
        <v>2</v>
      </c>
      <c r="L123" s="1">
        <f t="shared" ref="L123" si="331" xml:space="preserve"> IF(AND(LEN(ChartLines.ID)&gt;0,"Unused"&lt;&gt;ChartLines.ID), COUNTIFS(ChartLines.ID,ChartLines.ID,   ChartLines.RowNum,"&lt;="&amp;ChartLines.RowNum), "·")</f>
        <v>1</v>
      </c>
      <c r="M123" s="1" t="str" cm="1">
        <f t="array" ref="M123" xml:space="preserve"> _xlfn.IFS(OR(LEN(_xlfn.SINGLE(ChartLines.ID))=0,"Unused"=_xlfn.SINGLE(ChartLines.ID)), "·",   1=_xlfn.SINGLE(ChartLines.NumInstances), IF("USD"=_xlfn.SINGLE(ChartLines.ID), "SoleBig", "SoleOrdinary"),   1=_xlfn.SINGLE(ChartLines.InstanceNum), "Outer",   TRUE, "Inner")</f>
        <v>Outer</v>
      </c>
      <c r="N123" s="1">
        <f t="shared" ref="N123" si="332" xml:space="preserve"> IF(LEN(ChartLines.Hex6)=6, HEX2DEC(LEFT(ChartLines.Hex6, 2)), "·")</f>
        <v>222</v>
      </c>
      <c r="O123" s="1">
        <f t="shared" ref="O123" si="333" xml:space="preserve"> IF(LEN(ChartLines.Hex6)=6, HEX2DEC(MID(ChartLines.Hex6, 3, 2)), "·")</f>
        <v>41</v>
      </c>
      <c r="P123" s="1">
        <f t="shared" ref="P123" si="334" xml:space="preserve"> IF(LEN(ChartLines.Hex6)=6, HEX2DEC(RIGHT(ChartLines.Hex6, 2)), "·")</f>
        <v>16</v>
      </c>
      <c r="Q123" s="1" cm="1">
        <f t="array" ref="Q123" xml:space="preserve"> 1 + ROW() - _xlfn.SINGLE(ROW(ChartLines.RowNum))</f>
        <v>118</v>
      </c>
      <c r="R123" s="1" t="str">
        <v>✓</v>
      </c>
    </row>
    <row r="124" spans="2:18" x14ac:dyDescent="0.2">
      <c r="B124" s="1" t="s">
        <v>165</v>
      </c>
      <c r="C124" s="1" t="str">
        <f t="shared" si="264"/>
        <v>BSD</v>
      </c>
      <c r="D124" t="str">
        <v>✓</v>
      </c>
      <c r="H124" s="1" t="s">
        <v>100</v>
      </c>
      <c r="I124" s="1" t="s">
        <v>388</v>
      </c>
      <c r="K124" s="1">
        <f t="shared" ref="K124" si="335" xml:space="preserve"> IF(AND(LEN(ChartLines.ID)&gt;0,"Unused"&lt;&gt;ChartLines.ID), COUNTIFS(ChartLines.ID,ChartLines.ID), "·")</f>
        <v>2</v>
      </c>
      <c r="L124" s="1">
        <f t="shared" ref="L124" si="336" xml:space="preserve"> IF(AND(LEN(ChartLines.ID)&gt;0,"Unused"&lt;&gt;ChartLines.ID), COUNTIFS(ChartLines.ID,ChartLines.ID,   ChartLines.RowNum,"&lt;="&amp;ChartLines.RowNum), "·")</f>
        <v>2</v>
      </c>
      <c r="M124" s="1" t="str" cm="1">
        <f t="array" ref="M124" xml:space="preserve"> _xlfn.IFS(OR(LEN(_xlfn.SINGLE(ChartLines.ID))=0,"Unused"=_xlfn.SINGLE(ChartLines.ID)), "·",   1=_xlfn.SINGLE(ChartLines.NumInstances), IF("USD"=_xlfn.SINGLE(ChartLines.ID), "SoleBig", "SoleOrdinary"),   1=_xlfn.SINGLE(ChartLines.InstanceNum), "Outer",   TRUE, "Inner")</f>
        <v>Inner</v>
      </c>
      <c r="N124" s="1">
        <f t="shared" ref="N124" si="337" xml:space="preserve"> IF(LEN(ChartLines.Hex6)=6, HEX2DEC(LEFT(ChartLines.Hex6, 2)), "·")</f>
        <v>255</v>
      </c>
      <c r="O124" s="1">
        <f t="shared" ref="O124" si="338" xml:space="preserve"> IF(LEN(ChartLines.Hex6)=6, HEX2DEC(MID(ChartLines.Hex6, 3, 2)), "·")</f>
        <v>222</v>
      </c>
      <c r="P124" s="1">
        <f t="shared" ref="P124" si="339" xml:space="preserve"> IF(LEN(ChartLines.Hex6)=6, HEX2DEC(RIGHT(ChartLines.Hex6, 2)), "·")</f>
        <v>0</v>
      </c>
      <c r="Q124" s="1" cm="1">
        <f t="array" ref="Q124" xml:space="preserve"> 1 + ROW() - _xlfn.SINGLE(ROW(ChartLines.RowNum))</f>
        <v>119</v>
      </c>
      <c r="R124" s="1" t="str">
        <v>✓</v>
      </c>
    </row>
    <row r="125" spans="2:18" x14ac:dyDescent="0.2">
      <c r="B125" s="1" t="s">
        <v>498</v>
      </c>
      <c r="C125" s="1" t="str">
        <f t="shared" si="264"/>
        <v>GB_ENG</v>
      </c>
      <c r="D125" t="str">
        <v>✓</v>
      </c>
      <c r="H125" s="1" t="s">
        <v>101</v>
      </c>
      <c r="I125" s="1" t="s">
        <v>344</v>
      </c>
      <c r="K125" s="1">
        <f t="shared" ref="K125" si="340" xml:space="preserve"> IF(AND(LEN(ChartLines.ID)&gt;0,"Unused"&lt;&gt;ChartLines.ID), COUNTIFS(ChartLines.ID,ChartLines.ID), "·")</f>
        <v>1</v>
      </c>
      <c r="L125" s="1">
        <f t="shared" ref="L125" si="341" xml:space="preserve"> IF(AND(LEN(ChartLines.ID)&gt;0,"Unused"&lt;&gt;ChartLines.ID), COUNTIFS(ChartLines.ID,ChartLines.ID,   ChartLines.RowNum,"&lt;="&amp;ChartLines.RowNum), "·")</f>
        <v>1</v>
      </c>
      <c r="M125" s="1" t="str" cm="1">
        <f t="array" ref="M125" xml:space="preserve"> _xlfn.IFS(OR(LEN(_xlfn.SINGLE(ChartLines.ID))=0,"Unused"=_xlfn.SINGLE(ChartLines.ID)), "·",   1=_xlfn.SINGLE(ChartLines.NumInstances), IF("USD"=_xlfn.SINGLE(ChartLines.ID), "SoleBig", "SoleOrdinary"),   1=_xlfn.SINGLE(ChartLines.InstanceNum), "Outer",   TRUE, "Inner")</f>
        <v>SoleOrdinary</v>
      </c>
      <c r="N125" s="1">
        <f t="shared" ref="N125" si="342" xml:space="preserve"> IF(LEN(ChartLines.Hex6)=6, HEX2DEC(LEFT(ChartLines.Hex6, 2)), "·")</f>
        <v>255</v>
      </c>
      <c r="O125" s="1">
        <f t="shared" ref="O125" si="343" xml:space="preserve"> IF(LEN(ChartLines.Hex6)=6, HEX2DEC(MID(ChartLines.Hex6, 3, 2)), "·")</f>
        <v>0</v>
      </c>
      <c r="P125" s="1">
        <f t="shared" ref="P125" si="344" xml:space="preserve"> IF(LEN(ChartLines.Hex6)=6, HEX2DEC(RIGHT(ChartLines.Hex6, 2)), "·")</f>
        <v>0</v>
      </c>
      <c r="Q125" s="1" cm="1">
        <f t="array" ref="Q125" xml:space="preserve"> 1 + ROW() - _xlfn.SINGLE(ROW(ChartLines.RowNum))</f>
        <v>120</v>
      </c>
      <c r="R125" s="1" t="str">
        <v>✓</v>
      </c>
    </row>
    <row r="126" spans="2:18" x14ac:dyDescent="0.2">
      <c r="B126" s="1" t="s">
        <v>499</v>
      </c>
      <c r="C126" s="1" t="str">
        <f t="shared" si="264"/>
        <v>GB_SCT</v>
      </c>
      <c r="D126" t="str">
        <v>✓</v>
      </c>
      <c r="H126" s="1" t="s">
        <v>341</v>
      </c>
      <c r="K126" s="1" t="str">
        <f t="shared" ref="K126" si="345" xml:space="preserve"> IF(AND(LEN(ChartLines.ID)&gt;0,"Unused"&lt;&gt;ChartLines.ID), COUNTIFS(ChartLines.ID,ChartLines.ID), "·")</f>
        <v>·</v>
      </c>
      <c r="L126" s="1" t="str">
        <f t="shared" ref="L126" si="346" xml:space="preserve"> IF(AND(LEN(ChartLines.ID)&gt;0,"Unused"&lt;&gt;ChartLines.ID), COUNTIFS(ChartLines.ID,ChartLines.ID,   ChartLines.RowNum,"&lt;="&amp;ChartLines.RowNum), "·")</f>
        <v>·</v>
      </c>
      <c r="M126" s="1" t="str" cm="1">
        <f t="array" ref="M126" xml:space="preserve"> _xlfn.IFS(OR(LEN(_xlfn.SINGLE(ChartLines.ID))=0,"Unused"=_xlfn.SINGLE(ChartLines.ID)), "·",   1=_xlfn.SINGLE(ChartLines.NumInstances), IF("USD"=_xlfn.SINGLE(ChartLines.ID), "SoleBig", "SoleOrdinary"),   1=_xlfn.SINGLE(ChartLines.InstanceNum), "Outer",   TRUE, "Inner")</f>
        <v>·</v>
      </c>
      <c r="N126" s="1" t="str">
        <f t="shared" ref="N126" si="347" xml:space="preserve"> IF(LEN(ChartLines.Hex6)=6, HEX2DEC(LEFT(ChartLines.Hex6, 2)), "·")</f>
        <v>·</v>
      </c>
      <c r="O126" s="1" t="str">
        <f t="shared" ref="O126" si="348" xml:space="preserve"> IF(LEN(ChartLines.Hex6)=6, HEX2DEC(MID(ChartLines.Hex6, 3, 2)), "·")</f>
        <v>·</v>
      </c>
      <c r="P126" s="1" t="str">
        <f t="shared" ref="P126" si="349" xml:space="preserve"> IF(LEN(ChartLines.Hex6)=6, HEX2DEC(RIGHT(ChartLines.Hex6, 2)), "·")</f>
        <v>·</v>
      </c>
      <c r="Q126" s="1" cm="1">
        <f t="array" ref="Q126" xml:space="preserve"> 1 + ROW() - _xlfn.SINGLE(ROW(ChartLines.RowNum))</f>
        <v>121</v>
      </c>
      <c r="R126" s="1" t="str">
        <v>·</v>
      </c>
    </row>
    <row r="127" spans="2:18" x14ac:dyDescent="0.2">
      <c r="B127" s="1" t="s">
        <v>500</v>
      </c>
      <c r="C127" s="1" t="str">
        <f t="shared" si="264"/>
        <v>GB_WLS</v>
      </c>
      <c r="D127" t="str">
        <v>✓</v>
      </c>
      <c r="H127" s="1" t="s">
        <v>102</v>
      </c>
      <c r="I127" s="1" t="s">
        <v>389</v>
      </c>
      <c r="K127" s="1">
        <f t="shared" ref="K127" si="350" xml:space="preserve"> IF(AND(LEN(ChartLines.ID)&gt;0,"Unused"&lt;&gt;ChartLines.ID), COUNTIFS(ChartLines.ID,ChartLines.ID), "·")</f>
        <v>2</v>
      </c>
      <c r="L127" s="1">
        <f t="shared" ref="L127" si="351" xml:space="preserve"> IF(AND(LEN(ChartLines.ID)&gt;0,"Unused"&lt;&gt;ChartLines.ID), COUNTIFS(ChartLines.ID,ChartLines.ID,   ChartLines.RowNum,"&lt;="&amp;ChartLines.RowNum), "·")</f>
        <v>1</v>
      </c>
      <c r="M127" s="1" t="str" cm="1">
        <f t="array" ref="M127" xml:space="preserve"> _xlfn.IFS(OR(LEN(_xlfn.SINGLE(ChartLines.ID))=0,"Unused"=_xlfn.SINGLE(ChartLines.ID)), "·",   1=_xlfn.SINGLE(ChartLines.NumInstances), IF("USD"=_xlfn.SINGLE(ChartLines.ID), "SoleBig", "SoleOrdinary"),   1=_xlfn.SINGLE(ChartLines.InstanceNum), "Outer",   TRUE, "Inner")</f>
        <v>Outer</v>
      </c>
      <c r="N127" s="1">
        <f t="shared" ref="N127" si="352" xml:space="preserve"> IF(LEN(ChartLines.Hex6)=6, HEX2DEC(LEFT(ChartLines.Hex6, 2)), "·")</f>
        <v>0</v>
      </c>
      <c r="O127" s="1">
        <f t="shared" ref="O127" si="353" xml:space="preserve"> IF(LEN(ChartLines.Hex6)=6, HEX2DEC(MID(ChartLines.Hex6, 3, 2)), "·")</f>
        <v>41</v>
      </c>
      <c r="P127" s="1">
        <f t="shared" ref="P127" si="354" xml:space="preserve"> IF(LEN(ChartLines.Hex6)=6, HEX2DEC(RIGHT(ChartLines.Hex6, 2)), "·")</f>
        <v>204</v>
      </c>
      <c r="Q127" s="1" cm="1">
        <f t="array" ref="Q127" xml:space="preserve"> 1 + ROW() - _xlfn.SINGLE(ROW(ChartLines.RowNum))</f>
        <v>122</v>
      </c>
      <c r="R127" s="1" t="str">
        <v>✓</v>
      </c>
    </row>
    <row r="128" spans="2:18" x14ac:dyDescent="0.2">
      <c r="B128" s="1" t="s">
        <v>501</v>
      </c>
      <c r="C128" s="1" t="str">
        <f t="shared" si="264"/>
        <v>GB_NIR</v>
      </c>
      <c r="D128" t="str">
        <v>✓</v>
      </c>
      <c r="H128" s="1" t="s">
        <v>102</v>
      </c>
      <c r="I128" s="1" t="s">
        <v>345</v>
      </c>
      <c r="K128" s="1">
        <f t="shared" ref="K128" si="355" xml:space="preserve"> IF(AND(LEN(ChartLines.ID)&gt;0,"Unused"&lt;&gt;ChartLines.ID), COUNTIFS(ChartLines.ID,ChartLines.ID), "·")</f>
        <v>2</v>
      </c>
      <c r="L128" s="1">
        <f t="shared" ref="L128" si="356" xml:space="preserve"> IF(AND(LEN(ChartLines.ID)&gt;0,"Unused"&lt;&gt;ChartLines.ID), COUNTIFS(ChartLines.ID,ChartLines.ID,   ChartLines.RowNum,"&lt;="&amp;ChartLines.RowNum), "·")</f>
        <v>2</v>
      </c>
      <c r="M128" s="1" t="str" cm="1">
        <f t="array" ref="M128" xml:space="preserve"> _xlfn.IFS(OR(LEN(_xlfn.SINGLE(ChartLines.ID))=0,"Unused"=_xlfn.SINGLE(ChartLines.ID)), "·",   1=_xlfn.SINGLE(ChartLines.NumInstances), IF("USD"=_xlfn.SINGLE(ChartLines.ID), "SoleBig", "SoleOrdinary"),   1=_xlfn.SINGLE(ChartLines.InstanceNum), "Outer",   TRUE, "Inner")</f>
        <v>Inner</v>
      </c>
      <c r="N128" s="1">
        <f t="shared" ref="N128" si="357" xml:space="preserve"> IF(LEN(ChartLines.Hex6)=6, HEX2DEC(LEFT(ChartLines.Hex6, 2)), "·")</f>
        <v>255</v>
      </c>
      <c r="O128" s="1">
        <f t="shared" ref="O128" si="358" xml:space="preserve"> IF(LEN(ChartLines.Hex6)=6, HEX2DEC(MID(ChartLines.Hex6, 3, 2)), "·")</f>
        <v>255</v>
      </c>
      <c r="P128" s="1">
        <f t="shared" ref="P128" si="359" xml:space="preserve"> IF(LEN(ChartLines.Hex6)=6, HEX2DEC(RIGHT(ChartLines.Hex6, 2)), "·")</f>
        <v>255</v>
      </c>
      <c r="Q128" s="1" cm="1">
        <f t="array" ref="Q128" xml:space="preserve"> 1 + ROW() - _xlfn.SINGLE(ROW(ChartLines.RowNum))</f>
        <v>123</v>
      </c>
      <c r="R128" s="1" t="str">
        <v>✓</v>
      </c>
    </row>
    <row r="129" spans="2:18" x14ac:dyDescent="0.2">
      <c r="B129" s="1" t="s">
        <v>502</v>
      </c>
      <c r="C129" s="1" t="str">
        <f t="shared" si="264"/>
        <v>GB_EAW</v>
      </c>
      <c r="D129" t="str">
        <v>✓</v>
      </c>
      <c r="H129" s="1" t="s">
        <v>103</v>
      </c>
      <c r="I129" s="1" t="s">
        <v>390</v>
      </c>
      <c r="K129" s="1">
        <f t="shared" ref="K129" si="360" xml:space="preserve"> IF(AND(LEN(ChartLines.ID)&gt;0,"Unused"&lt;&gt;ChartLines.ID), COUNTIFS(ChartLines.ID,ChartLines.ID), "·")</f>
        <v>2</v>
      </c>
      <c r="L129" s="1">
        <f t="shared" ref="L129" si="361" xml:space="preserve"> IF(AND(LEN(ChartLines.ID)&gt;0,"Unused"&lt;&gt;ChartLines.ID), COUNTIFS(ChartLines.ID,ChartLines.ID,   ChartLines.RowNum,"&lt;="&amp;ChartLines.RowNum), "·")</f>
        <v>1</v>
      </c>
      <c r="M129" s="1" t="str" cm="1">
        <f t="array" ref="M129" xml:space="preserve"> _xlfn.IFS(OR(LEN(_xlfn.SINGLE(ChartLines.ID))=0,"Unused"=_xlfn.SINGLE(ChartLines.ID)), "·",   1=_xlfn.SINGLE(ChartLines.NumInstances), IF("USD"=_xlfn.SINGLE(ChartLines.ID), "SoleBig", "SoleOrdinary"),   1=_xlfn.SINGLE(ChartLines.InstanceNum), "Outer",   TRUE, "Inner")</f>
        <v>Outer</v>
      </c>
      <c r="N129" s="1">
        <f t="shared" ref="N129" si="362" xml:space="preserve"> IF(LEN(ChartLines.Hex6)=6, HEX2DEC(LEFT(ChartLines.Hex6, 2)), "·")</f>
        <v>205</v>
      </c>
      <c r="O129" s="1">
        <f t="shared" ref="O129" si="363" xml:space="preserve"> IF(LEN(ChartLines.Hex6)=6, HEX2DEC(MID(ChartLines.Hex6, 3, 2)), "·")</f>
        <v>46</v>
      </c>
      <c r="P129" s="1">
        <f t="shared" ref="P129" si="364" xml:space="preserve"> IF(LEN(ChartLines.Hex6)=6, HEX2DEC(RIGHT(ChartLines.Hex6, 2)), "·")</f>
        <v>58</v>
      </c>
      <c r="Q129" s="1" cm="1">
        <f t="array" ref="Q129" xml:space="preserve"> 1 + ROW() - _xlfn.SINGLE(ROW(ChartLines.RowNum))</f>
        <v>124</v>
      </c>
      <c r="R129" s="1" t="str">
        <v>✓</v>
      </c>
    </row>
    <row r="130" spans="2:18" x14ac:dyDescent="0.2">
      <c r="B130" s="1" t="s">
        <v>166</v>
      </c>
      <c r="C130" s="1" t="str">
        <f t="shared" si="264"/>
        <v>_EIB</v>
      </c>
      <c r="D130" t="str">
        <v>✓</v>
      </c>
      <c r="H130" s="1" t="s">
        <v>103</v>
      </c>
      <c r="I130" s="1" t="s">
        <v>391</v>
      </c>
      <c r="K130" s="1">
        <f t="shared" ref="K130" si="365" xml:space="preserve"> IF(AND(LEN(ChartLines.ID)&gt;0,"Unused"&lt;&gt;ChartLines.ID), COUNTIFS(ChartLines.ID,ChartLines.ID), "·")</f>
        <v>2</v>
      </c>
      <c r="L130" s="1">
        <f t="shared" ref="L130" si="366" xml:space="preserve"> IF(AND(LEN(ChartLines.ID)&gt;0,"Unused"&lt;&gt;ChartLines.ID), COUNTIFS(ChartLines.ID,ChartLines.ID,   ChartLines.RowNum,"&lt;="&amp;ChartLines.RowNum), "·")</f>
        <v>2</v>
      </c>
      <c r="M130" s="1" t="str" cm="1">
        <f t="array" ref="M130" xml:space="preserve"> _xlfn.IFS(OR(LEN(_xlfn.SINGLE(ChartLines.ID))=0,"Unused"=_xlfn.SINGLE(ChartLines.ID)), "·",   1=_xlfn.SINGLE(ChartLines.NumInstances), IF("USD"=_xlfn.SINGLE(ChartLines.ID), "SoleBig", "SoleOrdinary"),   1=_xlfn.SINGLE(ChartLines.InstanceNum), "Outer",   TRUE, "Inner")</f>
        <v>Inner</v>
      </c>
      <c r="N130" s="1">
        <f t="shared" ref="N130" si="367" xml:space="preserve"> IF(LEN(ChartLines.Hex6)=6, HEX2DEC(LEFT(ChartLines.Hex6, 2)), "·")</f>
        <v>0</v>
      </c>
      <c r="O130" s="1">
        <f t="shared" ref="O130" si="368" xml:space="preserve"> IF(LEN(ChartLines.Hex6)=6, HEX2DEC(MID(ChartLines.Hex6, 3, 2)), "·")</f>
        <v>71</v>
      </c>
      <c r="P130" s="1">
        <f t="shared" ref="P130" si="369" xml:space="preserve"> IF(LEN(ChartLines.Hex6)=6, HEX2DEC(RIGHT(ChartLines.Hex6, 2)), "·")</f>
        <v>160</v>
      </c>
      <c r="Q130" s="1" cm="1">
        <f t="array" ref="Q130" xml:space="preserve"> 1 + ROW() - _xlfn.SINGLE(ROW(ChartLines.RowNum))</f>
        <v>125</v>
      </c>
      <c r="R130" s="1" t="str">
        <v>✓</v>
      </c>
    </row>
    <row r="131" spans="2:18" x14ac:dyDescent="0.2">
      <c r="B131" s="1" t="s">
        <v>167</v>
      </c>
      <c r="C131" s="1" t="str">
        <f t="shared" si="264"/>
        <v>_EBRD</v>
      </c>
      <c r="D131" t="str">
        <v>✓</v>
      </c>
      <c r="H131" s="1" t="s">
        <v>104</v>
      </c>
      <c r="I131" s="1" t="s">
        <v>392</v>
      </c>
      <c r="K131" s="1">
        <f t="shared" ref="K131" si="370" xml:space="preserve"> IF(AND(LEN(ChartLines.ID)&gt;0,"Unused"&lt;&gt;ChartLines.ID), COUNTIFS(ChartLines.ID,ChartLines.ID), "·")</f>
        <v>1</v>
      </c>
      <c r="L131" s="1">
        <f t="shared" ref="L131" si="371" xml:space="preserve"> IF(AND(LEN(ChartLines.ID)&gt;0,"Unused"&lt;&gt;ChartLines.ID), COUNTIFS(ChartLines.ID,ChartLines.ID,   ChartLines.RowNum,"&lt;="&amp;ChartLines.RowNum), "·")</f>
        <v>1</v>
      </c>
      <c r="M131" s="1" t="str" cm="1">
        <f t="array" ref="M131" xml:space="preserve"> _xlfn.IFS(OR(LEN(_xlfn.SINGLE(ChartLines.ID))=0,"Unused"=_xlfn.SINGLE(ChartLines.ID)), "·",   1=_xlfn.SINGLE(ChartLines.NumInstances), IF("USD"=_xlfn.SINGLE(ChartLines.ID), "SoleBig", "SoleOrdinary"),   1=_xlfn.SINGLE(ChartLines.InstanceNum), "Outer",   TRUE, "Inner")</f>
        <v>SoleOrdinary</v>
      </c>
      <c r="N131" s="1">
        <f t="shared" ref="N131" si="372" xml:space="preserve"> IF(LEN(ChartLines.Hex6)=6, HEX2DEC(LEFT(ChartLines.Hex6, 2)), "·")</f>
        <v>167</v>
      </c>
      <c r="O131" s="1">
        <f t="shared" ref="O131" si="373" xml:space="preserve"> IF(LEN(ChartLines.Hex6)=6, HEX2DEC(MID(ChartLines.Hex6, 3, 2)), "·")</f>
        <v>131</v>
      </c>
      <c r="P131" s="1">
        <f t="shared" ref="P131" si="374" xml:space="preserve"> IF(LEN(ChartLines.Hex6)=6, HEX2DEC(RIGHT(ChartLines.Hex6, 2)), "·")</f>
        <v>55</v>
      </c>
      <c r="Q131" s="1" cm="1">
        <f t="array" ref="Q131" xml:space="preserve"> 1 + ROW() - _xlfn.SINGLE(ROW(ChartLines.RowNum))</f>
        <v>126</v>
      </c>
      <c r="R131" s="1" t="str">
        <v>✓</v>
      </c>
    </row>
    <row r="132" spans="2:18" x14ac:dyDescent="0.2">
      <c r="B132" s="1" t="s">
        <v>493</v>
      </c>
      <c r="C132" s="1" t="str">
        <f t="shared" si="264"/>
        <v>_CoEDB</v>
      </c>
      <c r="D132" t="str">
        <v>✓</v>
      </c>
      <c r="H132" s="1" t="s">
        <v>341</v>
      </c>
      <c r="K132" s="1" t="str">
        <f t="shared" ref="K132" si="375" xml:space="preserve"> IF(AND(LEN(ChartLines.ID)&gt;0,"Unused"&lt;&gt;ChartLines.ID), COUNTIFS(ChartLines.ID,ChartLines.ID), "·")</f>
        <v>·</v>
      </c>
      <c r="L132" s="1" t="str">
        <f t="shared" ref="L132" si="376" xml:space="preserve"> IF(AND(LEN(ChartLines.ID)&gt;0,"Unused"&lt;&gt;ChartLines.ID), COUNTIFS(ChartLines.ID,ChartLines.ID,   ChartLines.RowNum,"&lt;="&amp;ChartLines.RowNum), "·")</f>
        <v>·</v>
      </c>
      <c r="M132" s="1" t="str" cm="1">
        <f t="array" ref="M132" xml:space="preserve"> _xlfn.IFS(OR(LEN(_xlfn.SINGLE(ChartLines.ID))=0,"Unused"=_xlfn.SINGLE(ChartLines.ID)), "·",   1=_xlfn.SINGLE(ChartLines.NumInstances), IF("USD"=_xlfn.SINGLE(ChartLines.ID), "SoleBig", "SoleOrdinary"),   1=_xlfn.SINGLE(ChartLines.InstanceNum), "Outer",   TRUE, "Inner")</f>
        <v>·</v>
      </c>
      <c r="N132" s="1" t="str">
        <f t="shared" ref="N132" si="377" xml:space="preserve"> IF(LEN(ChartLines.Hex6)=6, HEX2DEC(LEFT(ChartLines.Hex6, 2)), "·")</f>
        <v>·</v>
      </c>
      <c r="O132" s="1" t="str">
        <f t="shared" ref="O132" si="378" xml:space="preserve"> IF(LEN(ChartLines.Hex6)=6, HEX2DEC(MID(ChartLines.Hex6, 3, 2)), "·")</f>
        <v>·</v>
      </c>
      <c r="P132" s="1" t="str">
        <f t="shared" ref="P132" si="379" xml:space="preserve"> IF(LEN(ChartLines.Hex6)=6, HEX2DEC(RIGHT(ChartLines.Hex6, 2)), "·")</f>
        <v>·</v>
      </c>
      <c r="Q132" s="1" cm="1">
        <f t="array" ref="Q132" xml:space="preserve"> 1 + ROW() - _xlfn.SINGLE(ROW(ChartLines.RowNum))</f>
        <v>127</v>
      </c>
      <c r="R132" s="1" t="str">
        <v>·</v>
      </c>
    </row>
    <row r="133" spans="2:18" x14ac:dyDescent="0.2">
      <c r="B133" s="1" t="s">
        <v>168</v>
      </c>
      <c r="C133" s="1" t="str">
        <f t="shared" si="264"/>
        <v>_NIB</v>
      </c>
      <c r="D133" t="str">
        <v>✓</v>
      </c>
      <c r="H133" s="1" t="s">
        <v>105</v>
      </c>
      <c r="I133" s="1" t="str">
        <f xml:space="preserve"> "DECE05"</f>
        <v>DECE05</v>
      </c>
      <c r="K133" s="1">
        <f t="shared" ref="K133" si="380" xml:space="preserve"> IF(AND(LEN(ChartLines.ID)&gt;0,"Unused"&lt;&gt;ChartLines.ID), COUNTIFS(ChartLines.ID,ChartLines.ID), "·")</f>
        <v>2</v>
      </c>
      <c r="L133" s="1">
        <f t="shared" ref="L133" si="381" xml:space="preserve"> IF(AND(LEN(ChartLines.ID)&gt;0,"Unused"&lt;&gt;ChartLines.ID), COUNTIFS(ChartLines.ID,ChartLines.ID,   ChartLines.RowNum,"&lt;="&amp;ChartLines.RowNum), "·")</f>
        <v>1</v>
      </c>
      <c r="M133" s="1" t="str" cm="1">
        <f t="array" ref="M133" xml:space="preserve"> _xlfn.IFS(OR(LEN(_xlfn.SINGLE(ChartLines.ID))=0,"Unused"=_xlfn.SINGLE(ChartLines.ID)), "·",   1=_xlfn.SINGLE(ChartLines.NumInstances), IF("USD"=_xlfn.SINGLE(ChartLines.ID), "SoleBig", "SoleOrdinary"),   1=_xlfn.SINGLE(ChartLines.InstanceNum), "Outer",   TRUE, "Inner")</f>
        <v>Outer</v>
      </c>
      <c r="N133" s="1">
        <f t="shared" ref="N133" si="382" xml:space="preserve"> IF(LEN(ChartLines.Hex6)=6, HEX2DEC(LEFT(ChartLines.Hex6, 2)), "·")</f>
        <v>222</v>
      </c>
      <c r="O133" s="1">
        <f t="shared" ref="O133" si="383" xml:space="preserve"> IF(LEN(ChartLines.Hex6)=6, HEX2DEC(MID(ChartLines.Hex6, 3, 2)), "·")</f>
        <v>206</v>
      </c>
      <c r="P133" s="1">
        <f t="shared" ref="P133" si="384" xml:space="preserve"> IF(LEN(ChartLines.Hex6)=6, HEX2DEC(RIGHT(ChartLines.Hex6, 2)), "·")</f>
        <v>5</v>
      </c>
      <c r="Q133" s="1" cm="1">
        <f t="array" ref="Q133" xml:space="preserve"> 1 + ROW() - _xlfn.SINGLE(ROW(ChartLines.RowNum))</f>
        <v>128</v>
      </c>
      <c r="R133" s="1" t="str">
        <v>✓</v>
      </c>
    </row>
    <row r="134" spans="2:18" x14ac:dyDescent="0.2">
      <c r="B134" s="1" t="s">
        <v>169</v>
      </c>
      <c r="C134" s="1" t="str">
        <f t="shared" si="264"/>
        <v>_KfW</v>
      </c>
      <c r="D134" t="str">
        <v>✓</v>
      </c>
      <c r="H134" s="1" t="s">
        <v>105</v>
      </c>
      <c r="I134" s="1" t="s">
        <v>393</v>
      </c>
      <c r="K134" s="1">
        <f t="shared" ref="K134" si="385" xml:space="preserve"> IF(AND(LEN(ChartLines.ID)&gt;0,"Unused"&lt;&gt;ChartLines.ID), COUNTIFS(ChartLines.ID,ChartLines.ID), "·")</f>
        <v>2</v>
      </c>
      <c r="L134" s="1">
        <f t="shared" ref="L134" si="386" xml:space="preserve"> IF(AND(LEN(ChartLines.ID)&gt;0,"Unused"&lt;&gt;ChartLines.ID), COUNTIFS(ChartLines.ID,ChartLines.ID,   ChartLines.RowNum,"&lt;="&amp;ChartLines.RowNum), "·")</f>
        <v>2</v>
      </c>
      <c r="M134" s="1" t="str" cm="1">
        <f t="array" ref="M134" xml:space="preserve"> _xlfn.IFS(OR(LEN(_xlfn.SINGLE(ChartLines.ID))=0,"Unused"=_xlfn.SINGLE(ChartLines.ID)), "·",   1=_xlfn.SINGLE(ChartLines.NumInstances), IF("USD"=_xlfn.SINGLE(ChartLines.ID), "SoleBig", "SoleOrdinary"),   1=_xlfn.SINGLE(ChartLines.InstanceNum), "Outer",   TRUE, "Inner")</f>
        <v>Inner</v>
      </c>
      <c r="N134" s="1">
        <f t="shared" ref="N134" si="387" xml:space="preserve"> IF(LEN(ChartLines.Hex6)=6, HEX2DEC(LEFT(ChartLines.Hex6, 2)), "·")</f>
        <v>0</v>
      </c>
      <c r="O134" s="1">
        <f t="shared" ref="O134" si="388" xml:space="preserve"> IF(LEN(ChartLines.Hex6)=6, HEX2DEC(MID(ChartLines.Hex6, 3, 2)), "·")</f>
        <v>50</v>
      </c>
      <c r="P134" s="1">
        <f t="shared" ref="P134" si="389" xml:space="preserve"> IF(LEN(ChartLines.Hex6)=6, HEX2DEC(RIGHT(ChartLines.Hex6, 2)), "·")</f>
        <v>106</v>
      </c>
      <c r="Q134" s="1" cm="1">
        <f t="array" ref="Q134" xml:space="preserve"> 1 + ROW() - _xlfn.SINGLE(ROW(ChartLines.RowNum))</f>
        <v>129</v>
      </c>
      <c r="R134" s="1" t="str">
        <v>✓</v>
      </c>
    </row>
    <row r="135" spans="2:18" x14ac:dyDescent="0.2">
      <c r="B135" s="1" t="s">
        <v>491</v>
      </c>
      <c r="C135" s="1" t="str">
        <f t="shared" si="264"/>
        <v>_CADES</v>
      </c>
      <c r="D135" t="str">
        <v>✓</v>
      </c>
      <c r="H135" s="1" t="s">
        <v>106</v>
      </c>
      <c r="I135" s="1" t="s">
        <v>344</v>
      </c>
      <c r="K135" s="1">
        <f t="shared" ref="K135" si="390" xml:space="preserve"> IF(AND(LEN(ChartLines.ID)&gt;0,"Unused"&lt;&gt;ChartLines.ID), COUNTIFS(ChartLines.ID,ChartLines.ID), "·")</f>
        <v>2</v>
      </c>
      <c r="L135" s="1">
        <f t="shared" ref="L135" si="391" xml:space="preserve"> IF(AND(LEN(ChartLines.ID)&gt;0,"Unused"&lt;&gt;ChartLines.ID), COUNTIFS(ChartLines.ID,ChartLines.ID,   ChartLines.RowNum,"&lt;="&amp;ChartLines.RowNum), "·")</f>
        <v>1</v>
      </c>
      <c r="M135" s="1" t="str" cm="1">
        <f t="array" ref="M135" xml:space="preserve"> _xlfn.IFS(OR(LEN(_xlfn.SINGLE(ChartLines.ID))=0,"Unused"=_xlfn.SINGLE(ChartLines.ID)), "·",   1=_xlfn.SINGLE(ChartLines.NumInstances), IF("USD"=_xlfn.SINGLE(ChartLines.ID), "SoleBig", "SoleOrdinary"),   1=_xlfn.SINGLE(ChartLines.InstanceNum), "Outer",   TRUE, "Inner")</f>
        <v>Outer</v>
      </c>
      <c r="N135" s="1">
        <f t="shared" ref="N135" si="392" xml:space="preserve"> IF(LEN(ChartLines.Hex6)=6, HEX2DEC(LEFT(ChartLines.Hex6, 2)), "·")</f>
        <v>255</v>
      </c>
      <c r="O135" s="1">
        <f t="shared" ref="O135" si="393" xml:space="preserve"> IF(LEN(ChartLines.Hex6)=6, HEX2DEC(MID(ChartLines.Hex6, 3, 2)), "·")</f>
        <v>0</v>
      </c>
      <c r="P135" s="1">
        <f t="shared" ref="P135" si="394" xml:space="preserve"> IF(LEN(ChartLines.Hex6)=6, HEX2DEC(RIGHT(ChartLines.Hex6, 2)), "·")</f>
        <v>0</v>
      </c>
      <c r="Q135" s="1" cm="1">
        <f t="array" ref="Q135" xml:space="preserve"> 1 + ROW() - _xlfn.SINGLE(ROW(ChartLines.RowNum))</f>
        <v>130</v>
      </c>
      <c r="R135" s="1" t="str">
        <v>✓</v>
      </c>
    </row>
    <row r="136" spans="2:18" x14ac:dyDescent="0.2">
      <c r="B136" s="1" t="s">
        <v>170</v>
      </c>
      <c r="C136" s="1" t="str">
        <f t="shared" si="264"/>
        <v>_ADB</v>
      </c>
      <c r="D136" t="str">
        <v>✓</v>
      </c>
      <c r="H136" s="1" t="s">
        <v>106</v>
      </c>
      <c r="I136" s="1" t="s">
        <v>345</v>
      </c>
      <c r="K136" s="1">
        <f t="shared" ref="K136:K144" si="395" xml:space="preserve"> IF(AND(LEN(ChartLines.ID)&gt;0,"Unused"&lt;&gt;ChartLines.ID), COUNTIFS(ChartLines.ID,ChartLines.ID), "·")</f>
        <v>2</v>
      </c>
      <c r="L136" s="1">
        <f t="shared" ref="L136:L144" si="396" xml:space="preserve"> IF(AND(LEN(ChartLines.ID)&gt;0,"Unused"&lt;&gt;ChartLines.ID), COUNTIFS(ChartLines.ID,ChartLines.ID,   ChartLines.RowNum,"&lt;="&amp;ChartLines.RowNum), "·")</f>
        <v>2</v>
      </c>
      <c r="M136" s="1" t="str" cm="1">
        <f t="array" ref="M136" xml:space="preserve"> _xlfn.IFS(OR(LEN(_xlfn.SINGLE(ChartLines.ID))=0,"Unused"=_xlfn.SINGLE(ChartLines.ID)), "·",   1=_xlfn.SINGLE(ChartLines.NumInstances), IF("USD"=_xlfn.SINGLE(ChartLines.ID), "SoleBig", "SoleOrdinary"),   1=_xlfn.SINGLE(ChartLines.InstanceNum), "Outer",   TRUE, "Inner")</f>
        <v>Inner</v>
      </c>
      <c r="N136" s="1">
        <f t="shared" ref="N136:N144" si="397" xml:space="preserve"> IF(LEN(ChartLines.Hex6)=6, HEX2DEC(LEFT(ChartLines.Hex6, 2)), "·")</f>
        <v>255</v>
      </c>
      <c r="O136" s="1">
        <f t="shared" ref="O136:O144" si="398" xml:space="preserve"> IF(LEN(ChartLines.Hex6)=6, HEX2DEC(MID(ChartLines.Hex6, 3, 2)), "·")</f>
        <v>255</v>
      </c>
      <c r="P136" s="1">
        <f t="shared" ref="P136:P144" si="399" xml:space="preserve"> IF(LEN(ChartLines.Hex6)=6, HEX2DEC(RIGHT(ChartLines.Hex6, 2)), "·")</f>
        <v>255</v>
      </c>
      <c r="Q136" s="1" cm="1">
        <f t="array" ref="Q136" xml:space="preserve"> 1 + ROW() - _xlfn.SINGLE(ROW(ChartLines.RowNum))</f>
        <v>131</v>
      </c>
      <c r="R136" s="1" t="str">
        <v>✓</v>
      </c>
    </row>
    <row r="137" spans="2:18" x14ac:dyDescent="0.2">
      <c r="B137" s="1" t="s">
        <v>171</v>
      </c>
      <c r="C137" s="1" t="str">
        <f t="shared" si="264"/>
        <v>_AIIB</v>
      </c>
      <c r="D137" t="str">
        <v>✓</v>
      </c>
      <c r="H137" s="1" t="s">
        <v>107</v>
      </c>
      <c r="I137" s="1" t="s">
        <v>394</v>
      </c>
      <c r="K137" s="1">
        <f t="shared" si="395"/>
        <v>2</v>
      </c>
      <c r="L137" s="1">
        <f t="shared" si="396"/>
        <v>1</v>
      </c>
      <c r="M137" s="1" t="str" cm="1">
        <f t="array" ref="M137" xml:space="preserve"> _xlfn.IFS(OR(LEN(_xlfn.SINGLE(ChartLines.ID))=0,"Unused"=_xlfn.SINGLE(ChartLines.ID)), "·",   1=_xlfn.SINGLE(ChartLines.NumInstances), IF("USD"=_xlfn.SINGLE(ChartLines.ID), "SoleBig", "SoleOrdinary"),   1=_xlfn.SINGLE(ChartLines.InstanceNum), "Outer",   TRUE, "Inner")</f>
        <v>Outer</v>
      </c>
      <c r="N137" s="1">
        <f t="shared" si="397"/>
        <v>254</v>
      </c>
      <c r="O137" s="1">
        <f t="shared" si="398"/>
        <v>0</v>
      </c>
      <c r="P137" s="1">
        <f t="shared" si="399"/>
        <v>0</v>
      </c>
      <c r="Q137" s="1" cm="1">
        <f t="array" ref="Q137" xml:space="preserve"> 1 + ROW() - _xlfn.SINGLE(ROW(ChartLines.RowNum))</f>
        <v>132</v>
      </c>
      <c r="R137" s="1" t="str">
        <v>✓</v>
      </c>
    </row>
    <row r="138" spans="2:18" x14ac:dyDescent="0.2">
      <c r="B138" s="1" t="s">
        <v>172</v>
      </c>
      <c r="C138" s="1" t="str">
        <f t="shared" si="264"/>
        <v>_IsDB</v>
      </c>
      <c r="D138" t="str">
        <v>✓</v>
      </c>
      <c r="H138" s="1" t="s">
        <v>107</v>
      </c>
      <c r="I138" s="1" t="str">
        <f xml:space="preserve"> "010080"</f>
        <v>010080</v>
      </c>
      <c r="K138" s="1">
        <f t="shared" si="395"/>
        <v>2</v>
      </c>
      <c r="L138" s="1">
        <f t="shared" si="396"/>
        <v>2</v>
      </c>
      <c r="M138" s="1" t="str" cm="1">
        <f t="array" ref="M138" xml:space="preserve"> _xlfn.IFS(OR(LEN(_xlfn.SINGLE(ChartLines.ID))=0,"Unused"=_xlfn.SINGLE(ChartLines.ID)), "·",   1=_xlfn.SINGLE(ChartLines.NumInstances), IF("USD"=_xlfn.SINGLE(ChartLines.ID), "SoleBig", "SoleOrdinary"),   1=_xlfn.SINGLE(ChartLines.InstanceNum), "Outer",   TRUE, "Inner")</f>
        <v>Inner</v>
      </c>
      <c r="N138" s="1">
        <f t="shared" si="397"/>
        <v>1</v>
      </c>
      <c r="O138" s="1">
        <f t="shared" si="398"/>
        <v>0</v>
      </c>
      <c r="P138" s="1">
        <f t="shared" si="399"/>
        <v>128</v>
      </c>
      <c r="Q138" s="1" cm="1">
        <f t="array" ref="Q138" xml:space="preserve"> 1 + ROW() - _xlfn.SINGLE(ROW(ChartLines.RowNum))</f>
        <v>133</v>
      </c>
      <c r="R138" s="1" t="str">
        <v>✓</v>
      </c>
    </row>
    <row r="139" spans="2:18" x14ac:dyDescent="0.2">
      <c r="B139" s="1" t="s">
        <v>173</v>
      </c>
      <c r="C139" s="1" t="str">
        <f t="shared" si="264"/>
        <v>_AfDB</v>
      </c>
      <c r="D139" t="str">
        <v>✓</v>
      </c>
      <c r="H139" s="1" t="s">
        <v>519</v>
      </c>
      <c r="I139" s="1" t="s">
        <v>520</v>
      </c>
      <c r="K139" s="1">
        <f t="shared" si="395"/>
        <v>2</v>
      </c>
      <c r="L139" s="1">
        <f t="shared" si="396"/>
        <v>1</v>
      </c>
      <c r="M139" s="1" t="str" cm="1">
        <f t="array" ref="M139" xml:space="preserve"> _xlfn.IFS(OR(LEN(_xlfn.SINGLE(ChartLines.ID))=0,"Unused"=_xlfn.SINGLE(ChartLines.ID)), "·",   1=_xlfn.SINGLE(ChartLines.NumInstances), IF("USD"=_xlfn.SINGLE(ChartLines.ID), "SoleBig", "SoleOrdinary"),   1=_xlfn.SINGLE(ChartLines.InstanceNum), "Outer",   TRUE, "Inner")</f>
        <v>Outer</v>
      </c>
      <c r="N139" s="1">
        <f t="shared" si="397"/>
        <v>52</v>
      </c>
      <c r="O139" s="1">
        <f t="shared" si="398"/>
        <v>178</v>
      </c>
      <c r="P139" s="1">
        <f t="shared" si="399"/>
        <v>51</v>
      </c>
      <c r="Q139" s="1" cm="1">
        <f t="array" ref="Q139" xml:space="preserve"> 1 + ROW() - _xlfn.SINGLE(ROW(ChartLines.RowNum))</f>
        <v>134</v>
      </c>
      <c r="R139" s="1" t="str">
        <v>✓</v>
      </c>
    </row>
    <row r="140" spans="2:18" x14ac:dyDescent="0.2">
      <c r="B140" s="1" t="s">
        <v>174</v>
      </c>
      <c r="C140" s="1" t="str">
        <f t="shared" si="264"/>
        <v>_AfExIm</v>
      </c>
      <c r="D140" t="str">
        <v>✓</v>
      </c>
      <c r="H140" s="1" t="s">
        <v>519</v>
      </c>
      <c r="I140" s="1" t="s">
        <v>521</v>
      </c>
      <c r="K140" s="1">
        <f t="shared" si="395"/>
        <v>2</v>
      </c>
      <c r="L140" s="1">
        <f t="shared" si="396"/>
        <v>2</v>
      </c>
      <c r="M140" s="1" t="str" cm="1">
        <f t="array" ref="M140" xml:space="preserve"> _xlfn.IFS(OR(LEN(_xlfn.SINGLE(ChartLines.ID))=0,"Unused"=_xlfn.SINGLE(ChartLines.ID)), "·",   1=_xlfn.SINGLE(ChartLines.NumInstances), IF("USD"=_xlfn.SINGLE(ChartLines.ID), "SoleBig", "SoleOrdinary"),   1=_xlfn.SINGLE(ChartLines.InstanceNum), "Outer",   TRUE, "Inner")</f>
        <v>Inner</v>
      </c>
      <c r="N140" s="1">
        <f t="shared" si="397"/>
        <v>254</v>
      </c>
      <c r="O140" s="1">
        <f t="shared" si="398"/>
        <v>203</v>
      </c>
      <c r="P140" s="1">
        <f t="shared" si="399"/>
        <v>0</v>
      </c>
      <c r="Q140" s="1" cm="1">
        <f t="array" ref="Q140" xml:space="preserve"> 1 + ROW() - _xlfn.SINGLE(ROW(ChartLines.RowNum))</f>
        <v>135</v>
      </c>
      <c r="R140" s="1" t="str">
        <v>✓</v>
      </c>
    </row>
    <row r="141" spans="2:18" x14ac:dyDescent="0.2">
      <c r="B141" s="1" t="s">
        <v>175</v>
      </c>
      <c r="C141" s="1" t="str">
        <f t="shared" si="264"/>
        <v>_IADB</v>
      </c>
      <c r="D141" t="str">
        <v>✓</v>
      </c>
      <c r="H141" s="1" t="s">
        <v>108</v>
      </c>
      <c r="I141" s="1" t="s">
        <v>395</v>
      </c>
      <c r="K141" s="1">
        <f t="shared" si="395"/>
        <v>2</v>
      </c>
      <c r="L141" s="1">
        <f t="shared" si="396"/>
        <v>1</v>
      </c>
      <c r="M141" s="1" t="str" cm="1">
        <f t="array" ref="M141" xml:space="preserve"> _xlfn.IFS(OR(LEN(_xlfn.SINGLE(ChartLines.ID))=0,"Unused"=_xlfn.SINGLE(ChartLines.ID)), "·",   1=_xlfn.SINGLE(ChartLines.NumInstances), IF("USD"=_xlfn.SINGLE(ChartLines.ID), "SoleBig", "SoleOrdinary"),   1=_xlfn.SINGLE(ChartLines.InstanceNum), "Outer",   TRUE, "Inner")</f>
        <v>Outer</v>
      </c>
      <c r="N141" s="1">
        <f t="shared" si="397"/>
        <v>0</v>
      </c>
      <c r="O141" s="1">
        <f t="shared" si="398"/>
        <v>56</v>
      </c>
      <c r="P141" s="1">
        <f t="shared" si="399"/>
        <v>168</v>
      </c>
      <c r="Q141" s="1" cm="1">
        <f t="array" ref="Q141" xml:space="preserve"> 1 + ROW() - _xlfn.SINGLE(ROW(ChartLines.RowNum))</f>
        <v>136</v>
      </c>
      <c r="R141" s="1" t="str">
        <v>✓</v>
      </c>
    </row>
    <row r="142" spans="2:18" x14ac:dyDescent="0.2">
      <c r="B142" s="1" t="s">
        <v>176</v>
      </c>
      <c r="C142" s="1" t="str">
        <f t="shared" si="264"/>
        <v>_BCIE</v>
      </c>
      <c r="D142" t="str">
        <v>✓</v>
      </c>
      <c r="H142" s="1" t="s">
        <v>108</v>
      </c>
      <c r="I142" s="1" t="s">
        <v>385</v>
      </c>
      <c r="K142" s="1">
        <f t="shared" si="395"/>
        <v>2</v>
      </c>
      <c r="L142" s="1">
        <f t="shared" si="396"/>
        <v>2</v>
      </c>
      <c r="M142" s="1" t="str" cm="1">
        <f t="array" ref="M142" xml:space="preserve"> _xlfn.IFS(OR(LEN(_xlfn.SINGLE(ChartLines.ID))=0,"Unused"=_xlfn.SINGLE(ChartLines.ID)), "·",   1=_xlfn.SINGLE(ChartLines.NumInstances), IF("USD"=_xlfn.SINGLE(ChartLines.ID), "SoleBig", "SoleOrdinary"),   1=_xlfn.SINGLE(ChartLines.InstanceNum), "Outer",   TRUE, "Inner")</f>
        <v>Inner</v>
      </c>
      <c r="N142" s="1">
        <f t="shared" si="397"/>
        <v>252</v>
      </c>
      <c r="O142" s="1">
        <f t="shared" si="398"/>
        <v>209</v>
      </c>
      <c r="P142" s="1">
        <f t="shared" si="399"/>
        <v>22</v>
      </c>
      <c r="Q142" s="1" cm="1">
        <f t="array" ref="Q142" xml:space="preserve"> 1 + ROW() - _xlfn.SINGLE(ROW(ChartLines.RowNum))</f>
        <v>137</v>
      </c>
      <c r="R142" s="1" t="str">
        <v>✓</v>
      </c>
    </row>
    <row r="143" spans="2:18" x14ac:dyDescent="0.2">
      <c r="B143" s="1" t="s">
        <v>177</v>
      </c>
      <c r="C143" s="1" t="str">
        <f t="shared" si="264"/>
        <v>_CDB</v>
      </c>
      <c r="D143" t="str">
        <v>✓</v>
      </c>
      <c r="H143" s="1" t="s">
        <v>109</v>
      </c>
      <c r="I143" s="1" t="s">
        <v>396</v>
      </c>
      <c r="K143" s="1">
        <f t="shared" si="395"/>
        <v>2</v>
      </c>
      <c r="L143" s="1">
        <f t="shared" si="396"/>
        <v>1</v>
      </c>
      <c r="M143" s="1" t="str" cm="1">
        <f t="array" ref="M143" xml:space="preserve"> _xlfn.IFS(OR(LEN(_xlfn.SINGLE(ChartLines.ID))=0,"Unused"=_xlfn.SINGLE(ChartLines.ID)), "·",   1=_xlfn.SINGLE(ChartLines.NumInstances), IF("USD"=_xlfn.SINGLE(ChartLines.ID), "SoleBig", "SoleOrdinary"),   1=_xlfn.SINGLE(ChartLines.InstanceNum), "Outer",   TRUE, "Inner")</f>
        <v>Outer</v>
      </c>
      <c r="N143" s="1">
        <f t="shared" si="397"/>
        <v>255</v>
      </c>
      <c r="O143" s="1">
        <f t="shared" si="398"/>
        <v>255</v>
      </c>
      <c r="P143" s="1">
        <f t="shared" si="399"/>
        <v>0</v>
      </c>
      <c r="Q143" s="1" cm="1">
        <f t="array" ref="Q143" xml:space="preserve"> 1 + ROW() - _xlfn.SINGLE(ROW(ChartLines.RowNum))</f>
        <v>138</v>
      </c>
      <c r="R143" s="1" t="str">
        <v>✓</v>
      </c>
    </row>
    <row r="144" spans="2:18" x14ac:dyDescent="0.2">
      <c r="B144" s="1" t="s">
        <v>178</v>
      </c>
      <c r="C144" s="1" t="str">
        <f t="shared" si="264"/>
        <v>_NDB</v>
      </c>
      <c r="D144" t="str">
        <v>✓</v>
      </c>
      <c r="H144" s="1" t="s">
        <v>109</v>
      </c>
      <c r="I144" s="1" t="s">
        <v>397</v>
      </c>
      <c r="K144" s="1">
        <f t="shared" si="395"/>
        <v>2</v>
      </c>
      <c r="L144" s="1">
        <f t="shared" si="396"/>
        <v>2</v>
      </c>
      <c r="M144" s="1" t="str" cm="1">
        <f t="array" ref="M144" xml:space="preserve"> _xlfn.IFS(OR(LEN(_xlfn.SINGLE(ChartLines.ID))=0,"Unused"=_xlfn.SINGLE(ChartLines.ID)), "·",   1=_xlfn.SINGLE(ChartLines.NumInstances), IF("USD"=_xlfn.SINGLE(ChartLines.ID), "SoleBig", "SoleOrdinary"),   1=_xlfn.SINGLE(ChartLines.InstanceNum), "Outer",   TRUE, "Inner")</f>
        <v>Inner</v>
      </c>
      <c r="N144" s="1">
        <f t="shared" si="397"/>
        <v>218</v>
      </c>
      <c r="O144" s="1">
        <f t="shared" si="398"/>
        <v>37</v>
      </c>
      <c r="P144" s="1">
        <f t="shared" si="399"/>
        <v>29</v>
      </c>
      <c r="Q144" s="1" cm="1">
        <f t="array" ref="Q144" xml:space="preserve"> 1 + ROW() - _xlfn.SINGLE(ROW(ChartLines.RowNum))</f>
        <v>139</v>
      </c>
      <c r="R144" s="1" t="str">
        <v>✓</v>
      </c>
    </row>
    <row r="145" spans="2:18" x14ac:dyDescent="0.2">
      <c r="B145" s="1" t="s">
        <v>179</v>
      </c>
      <c r="C145" s="1" t="str">
        <f t="shared" si="264"/>
        <v>_IBRD</v>
      </c>
      <c r="D145" t="str">
        <v>✓</v>
      </c>
      <c r="H145" s="1" t="s">
        <v>110</v>
      </c>
      <c r="I145" s="1" t="str">
        <f xml:space="preserve"> "250E62"</f>
        <v>250E62</v>
      </c>
      <c r="K145" s="1">
        <f t="shared" ref="K145" si="400" xml:space="preserve"> IF(AND(LEN(ChartLines.ID)&gt;0,"Unused"&lt;&gt;ChartLines.ID), COUNTIFS(ChartLines.ID,ChartLines.ID), "·")</f>
        <v>2</v>
      </c>
      <c r="L145" s="1">
        <f t="shared" ref="L145" si="401" xml:space="preserve"> IF(AND(LEN(ChartLines.ID)&gt;0,"Unused"&lt;&gt;ChartLines.ID), COUNTIFS(ChartLines.ID,ChartLines.ID,   ChartLines.RowNum,"&lt;="&amp;ChartLines.RowNum), "·")</f>
        <v>1</v>
      </c>
      <c r="M145" s="1" t="str" cm="1">
        <f t="array" ref="M145" xml:space="preserve"> _xlfn.IFS(OR(LEN(_xlfn.SINGLE(ChartLines.ID))=0,"Unused"=_xlfn.SINGLE(ChartLines.ID)), "·",   1=_xlfn.SINGLE(ChartLines.NumInstances), IF("USD"=_xlfn.SINGLE(ChartLines.ID), "SoleBig", "SoleOrdinary"),   1=_xlfn.SINGLE(ChartLines.InstanceNum), "Outer",   TRUE, "Inner")</f>
        <v>Outer</v>
      </c>
      <c r="N145" s="1">
        <f t="shared" ref="N145" si="402" xml:space="preserve"> IF(LEN(ChartLines.Hex6)=6, HEX2DEC(LEFT(ChartLines.Hex6, 2)), "·")</f>
        <v>37</v>
      </c>
      <c r="O145" s="1">
        <f t="shared" ref="O145" si="403" xml:space="preserve"> IF(LEN(ChartLines.Hex6)=6, HEX2DEC(MID(ChartLines.Hex6, 3, 2)), "·")</f>
        <v>14</v>
      </c>
      <c r="P145" s="1">
        <f t="shared" ref="P145" si="404" xml:space="preserve"> IF(LEN(ChartLines.Hex6)=6, HEX2DEC(RIGHT(ChartLines.Hex6, 2)), "·")</f>
        <v>98</v>
      </c>
      <c r="Q145" s="1" cm="1">
        <f t="array" ref="Q145" xml:space="preserve"> 1 + ROW() - _xlfn.SINGLE(ROW(ChartLines.RowNum))</f>
        <v>140</v>
      </c>
      <c r="R145" s="1" t="str">
        <v>✓</v>
      </c>
    </row>
    <row r="146" spans="2:18" x14ac:dyDescent="0.2">
      <c r="B146" s="1" t="s">
        <v>180</v>
      </c>
      <c r="C146" s="1" t="str">
        <f t="shared" si="264"/>
        <v>XDR</v>
      </c>
      <c r="D146" t="str">
        <v>✓</v>
      </c>
      <c r="H146" s="1" t="s">
        <v>110</v>
      </c>
      <c r="I146" s="1" t="s">
        <v>345</v>
      </c>
      <c r="K146" s="1">
        <f t="shared" ref="K146" si="405" xml:space="preserve"> IF(AND(LEN(ChartLines.ID)&gt;0,"Unused"&lt;&gt;ChartLines.ID), COUNTIFS(ChartLines.ID,ChartLines.ID), "·")</f>
        <v>2</v>
      </c>
      <c r="L146" s="1">
        <f t="shared" ref="L146" si="406" xml:space="preserve"> IF(AND(LEN(ChartLines.ID)&gt;0,"Unused"&lt;&gt;ChartLines.ID), COUNTIFS(ChartLines.ID,ChartLines.ID,   ChartLines.RowNum,"&lt;="&amp;ChartLines.RowNum), "·")</f>
        <v>2</v>
      </c>
      <c r="M146" s="1" t="str" cm="1">
        <f t="array" ref="M146" xml:space="preserve"> _xlfn.IFS(OR(LEN(_xlfn.SINGLE(ChartLines.ID))=0,"Unused"=_xlfn.SINGLE(ChartLines.ID)), "·",   1=_xlfn.SINGLE(ChartLines.NumInstances), IF("USD"=_xlfn.SINGLE(ChartLines.ID), "SoleBig", "SoleOrdinary"),   1=_xlfn.SINGLE(ChartLines.InstanceNum), "Outer",   TRUE, "Inner")</f>
        <v>Inner</v>
      </c>
      <c r="N146" s="1">
        <f t="shared" ref="N146" si="407" xml:space="preserve"> IF(LEN(ChartLines.Hex6)=6, HEX2DEC(LEFT(ChartLines.Hex6, 2)), "·")</f>
        <v>255</v>
      </c>
      <c r="O146" s="1">
        <f t="shared" ref="O146" si="408" xml:space="preserve"> IF(LEN(ChartLines.Hex6)=6, HEX2DEC(MID(ChartLines.Hex6, 3, 2)), "·")</f>
        <v>255</v>
      </c>
      <c r="P146" s="1">
        <f t="shared" ref="P146" si="409" xml:space="preserve"> IF(LEN(ChartLines.Hex6)=6, HEX2DEC(RIGHT(ChartLines.Hex6, 2)), "·")</f>
        <v>255</v>
      </c>
      <c r="Q146" s="1" cm="1">
        <f t="array" ref="Q146" xml:space="preserve"> 1 + ROW() - _xlfn.SINGLE(ROW(ChartLines.RowNum))</f>
        <v>141</v>
      </c>
      <c r="R146" s="1" t="str">
        <v>✓</v>
      </c>
    </row>
    <row r="147" spans="2:18" x14ac:dyDescent="0.2">
      <c r="B147" s="1" t="s">
        <v>181</v>
      </c>
      <c r="C147" s="1" t="str">
        <f t="shared" si="264"/>
        <v>XAU</v>
      </c>
      <c r="D147" t="str">
        <v>✓</v>
      </c>
      <c r="H147" s="1" t="s">
        <v>111</v>
      </c>
      <c r="I147" s="1" t="s">
        <v>398</v>
      </c>
      <c r="K147" s="1">
        <f t="shared" ref="K147" si="410" xml:space="preserve"> IF(AND(LEN(ChartLines.ID)&gt;0,"Unused"&lt;&gt;ChartLines.ID), COUNTIFS(ChartLines.ID,ChartLines.ID), "·")</f>
        <v>2</v>
      </c>
      <c r="L147" s="1">
        <f t="shared" ref="L147" si="411" xml:space="preserve"> IF(AND(LEN(ChartLines.ID)&gt;0,"Unused"&lt;&gt;ChartLines.ID), COUNTIFS(ChartLines.ID,ChartLines.ID,   ChartLines.RowNum,"&lt;="&amp;ChartLines.RowNum), "·")</f>
        <v>1</v>
      </c>
      <c r="M147" s="1" t="str" cm="1">
        <f t="array" ref="M147" xml:space="preserve"> _xlfn.IFS(OR(LEN(_xlfn.SINGLE(ChartLines.ID))=0,"Unused"=_xlfn.SINGLE(ChartLines.ID)), "·",   1=_xlfn.SINGLE(ChartLines.NumInstances), IF("USD"=_xlfn.SINGLE(ChartLines.ID), "SoleBig", "SoleOrdinary"),   1=_xlfn.SINGLE(ChartLines.InstanceNum), "Outer",   TRUE, "Inner")</f>
        <v>Outer</v>
      </c>
      <c r="N147" s="1">
        <f t="shared" ref="N147" si="412" xml:space="preserve"> IF(LEN(ChartLines.Hex6)=6, HEX2DEC(LEFT(ChartLines.Hex6, 2)), "·")</f>
        <v>1</v>
      </c>
      <c r="O147" s="1">
        <f t="shared" ref="O147" si="413" xml:space="preserve"> IF(LEN(ChartLines.Hex6)=6, HEX2DEC(MID(ChartLines.Hex6, 3, 2)), "·")</f>
        <v>65</v>
      </c>
      <c r="P147" s="1">
        <f t="shared" ref="P147" si="414" xml:space="preserve"> IF(LEN(ChartLines.Hex6)=6, HEX2DEC(RIGHT(ChartLines.Hex6, 2)), "·")</f>
        <v>28</v>
      </c>
      <c r="Q147" s="1" cm="1">
        <f t="array" ref="Q147" xml:space="preserve"> 1 + ROW() - _xlfn.SINGLE(ROW(ChartLines.RowNum))</f>
        <v>142</v>
      </c>
      <c r="R147" s="1" t="str">
        <v>✓</v>
      </c>
    </row>
    <row r="148" spans="2:18" x14ac:dyDescent="0.2">
      <c r="B148" s="1" t="s">
        <v>182</v>
      </c>
      <c r="C148" s="1" t="str">
        <f t="shared" si="264"/>
        <v>XAG</v>
      </c>
      <c r="D148" t="str">
        <v>✓</v>
      </c>
      <c r="H148" s="1" t="s">
        <v>111</v>
      </c>
      <c r="I148" s="1" t="s">
        <v>345</v>
      </c>
      <c r="K148" s="1">
        <f t="shared" ref="K148" si="415" xml:space="preserve"> IF(AND(LEN(ChartLines.ID)&gt;0,"Unused"&lt;&gt;ChartLines.ID), COUNTIFS(ChartLines.ID,ChartLines.ID), "·")</f>
        <v>2</v>
      </c>
      <c r="L148" s="1">
        <f t="shared" ref="L148" si="416" xml:space="preserve"> IF(AND(LEN(ChartLines.ID)&gt;0,"Unused"&lt;&gt;ChartLines.ID), COUNTIFS(ChartLines.ID,ChartLines.ID,   ChartLines.RowNum,"&lt;="&amp;ChartLines.RowNum), "·")</f>
        <v>2</v>
      </c>
      <c r="M148" s="1" t="str" cm="1">
        <f t="array" ref="M148" xml:space="preserve"> _xlfn.IFS(OR(LEN(_xlfn.SINGLE(ChartLines.ID))=0,"Unused"=_xlfn.SINGLE(ChartLines.ID)), "·",   1=_xlfn.SINGLE(ChartLines.NumInstances), IF("USD"=_xlfn.SINGLE(ChartLines.ID), "SoleBig", "SoleOrdinary"),   1=_xlfn.SINGLE(ChartLines.InstanceNum), "Outer",   TRUE, "Inner")</f>
        <v>Inner</v>
      </c>
      <c r="N148" s="1">
        <f t="shared" ref="N148" si="417" xml:space="preserve"> IF(LEN(ChartLines.Hex6)=6, HEX2DEC(LEFT(ChartLines.Hex6, 2)), "·")</f>
        <v>255</v>
      </c>
      <c r="O148" s="1">
        <f t="shared" ref="O148" si="418" xml:space="preserve"> IF(LEN(ChartLines.Hex6)=6, HEX2DEC(MID(ChartLines.Hex6, 3, 2)), "·")</f>
        <v>255</v>
      </c>
      <c r="P148" s="1">
        <f t="shared" ref="P148" si="419" xml:space="preserve"> IF(LEN(ChartLines.Hex6)=6, HEX2DEC(RIGHT(ChartLines.Hex6, 2)), "·")</f>
        <v>255</v>
      </c>
      <c r="Q148" s="1" cm="1">
        <f t="array" ref="Q148" xml:space="preserve"> 1 + ROW() - _xlfn.SINGLE(ROW(ChartLines.RowNum))</f>
        <v>143</v>
      </c>
      <c r="R148" s="1" t="str">
        <v>✓</v>
      </c>
    </row>
    <row r="149" spans="2:18" x14ac:dyDescent="0.2">
      <c r="B149" s="1" t="s">
        <v>183</v>
      </c>
      <c r="C149" s="1" t="str">
        <f t="shared" si="264"/>
        <v>XPT</v>
      </c>
      <c r="D149" t="str">
        <v>✓</v>
      </c>
      <c r="H149" s="1" t="s">
        <v>112</v>
      </c>
      <c r="I149" s="1" t="s">
        <v>399</v>
      </c>
      <c r="K149" s="1">
        <f t="shared" ref="K149" si="420" xml:space="preserve"> IF(AND(LEN(ChartLines.ID)&gt;0,"Unused"&lt;&gt;ChartLines.ID), COUNTIFS(ChartLines.ID,ChartLines.ID), "·")</f>
        <v>2</v>
      </c>
      <c r="L149" s="1">
        <f t="shared" ref="L149" si="421" xml:space="preserve"> IF(AND(LEN(ChartLines.ID)&gt;0,"Unused"&lt;&gt;ChartLines.ID), COUNTIFS(ChartLines.ID,ChartLines.ID,   ChartLines.RowNum,"&lt;="&amp;ChartLines.RowNum), "·")</f>
        <v>1</v>
      </c>
      <c r="M149" s="1" t="str" cm="1">
        <f t="array" ref="M149" xml:space="preserve"> _xlfn.IFS(OR(LEN(_xlfn.SINGLE(ChartLines.ID))=0,"Unused"=_xlfn.SINGLE(ChartLines.ID)), "·",   1=_xlfn.SINGLE(ChartLines.NumInstances), IF("USD"=_xlfn.SINGLE(ChartLines.ID), "SoleBig", "SoleOrdinary"),   1=_xlfn.SINGLE(ChartLines.InstanceNum), "Outer",   TRUE, "Inner")</f>
        <v>Outer</v>
      </c>
      <c r="N149" s="1">
        <f t="shared" ref="N149" si="422" xml:space="preserve"> IF(LEN(ChartLines.Hex6)=6, HEX2DEC(LEFT(ChartLines.Hex6, 2)), "·")</f>
        <v>0</v>
      </c>
      <c r="O149" s="1">
        <f t="shared" ref="O149" si="423" xml:space="preserve"> IF(LEN(ChartLines.Hex6)=6, HEX2DEC(MID(ChartLines.Hex6, 3, 2)), "·")</f>
        <v>106</v>
      </c>
      <c r="P149" s="1">
        <f t="shared" ref="P149" si="424" xml:space="preserve"> IF(LEN(ChartLines.Hex6)=6, HEX2DEC(RIGHT(ChartLines.Hex6, 2)), "·")</f>
        <v>78</v>
      </c>
      <c r="Q149" s="1" cm="1">
        <f t="array" ref="Q149" xml:space="preserve"> 1 + ROW() - _xlfn.SINGLE(ROW(ChartLines.RowNum))</f>
        <v>144</v>
      </c>
      <c r="R149" s="1" t="str">
        <v>✓</v>
      </c>
    </row>
    <row r="150" spans="2:18" x14ac:dyDescent="0.2">
      <c r="B150" s="13" t="str">
        <f xml:space="preserve"> LEFT(SeriesFormatAlias.ID, 2)</f>
        <v>US</v>
      </c>
      <c r="C150" s="4" t="s">
        <v>61</v>
      </c>
      <c r="D150" t="str">
        <v>✓</v>
      </c>
      <c r="H150" s="1" t="s">
        <v>112</v>
      </c>
      <c r="I150" s="1" t="s">
        <v>400</v>
      </c>
      <c r="K150" s="1">
        <f t="shared" ref="K150" si="425" xml:space="preserve"> IF(AND(LEN(ChartLines.ID)&gt;0,"Unused"&lt;&gt;ChartLines.ID), COUNTIFS(ChartLines.ID,ChartLines.ID), "·")</f>
        <v>2</v>
      </c>
      <c r="L150" s="1">
        <f t="shared" ref="L150" si="426" xml:space="preserve"> IF(AND(LEN(ChartLines.ID)&gt;0,"Unused"&lt;&gt;ChartLines.ID), COUNTIFS(ChartLines.ID,ChartLines.ID,   ChartLines.RowNum,"&lt;="&amp;ChartLines.RowNum), "·")</f>
        <v>2</v>
      </c>
      <c r="M150" s="1" t="str" cm="1">
        <f t="array" ref="M150" xml:space="preserve"> _xlfn.IFS(OR(LEN(_xlfn.SINGLE(ChartLines.ID))=0,"Unused"=_xlfn.SINGLE(ChartLines.ID)), "·",   1=_xlfn.SINGLE(ChartLines.NumInstances), IF("USD"=_xlfn.SINGLE(ChartLines.ID), "SoleBig", "SoleOrdinary"),   1=_xlfn.SINGLE(ChartLines.InstanceNum), "Outer",   TRUE, "Inner")</f>
        <v>Inner</v>
      </c>
      <c r="N150" s="1">
        <f t="shared" ref="N150" si="427" xml:space="preserve"> IF(LEN(ChartLines.Hex6)=6, HEX2DEC(LEFT(ChartLines.Hex6, 2)), "·")</f>
        <v>244</v>
      </c>
      <c r="O150" s="1">
        <f t="shared" ref="O150" si="428" xml:space="preserve"> IF(LEN(ChartLines.Hex6)=6, HEX2DEC(MID(ChartLines.Hex6, 3, 2)), "·")</f>
        <v>42</v>
      </c>
      <c r="P150" s="1">
        <f t="shared" ref="P150" si="429" xml:space="preserve"> IF(LEN(ChartLines.Hex6)=6, HEX2DEC(RIGHT(ChartLines.Hex6, 2)), "·")</f>
        <v>65</v>
      </c>
      <c r="Q150" s="1" cm="1">
        <f t="array" ref="Q150" xml:space="preserve"> 1 + ROW() - _xlfn.SINGLE(ROW(ChartLines.RowNum))</f>
        <v>145</v>
      </c>
      <c r="R150" s="1" t="str">
        <v>✓</v>
      </c>
    </row>
    <row r="151" spans="2:18" x14ac:dyDescent="0.2">
      <c r="B151" s="13" t="str">
        <f xml:space="preserve"> LEFT(SeriesFormatAlias.ID, 2)</f>
        <v>GB</v>
      </c>
      <c r="C151" s="4" t="s">
        <v>63</v>
      </c>
      <c r="D151" t="str">
        <v>✓</v>
      </c>
      <c r="H151" s="1" t="s">
        <v>113</v>
      </c>
      <c r="I151" s="1" t="s">
        <v>401</v>
      </c>
      <c r="K151" s="1">
        <f t="shared" ref="K151" si="430" xml:space="preserve"> IF(AND(LEN(ChartLines.ID)&gt;0,"Unused"&lt;&gt;ChartLines.ID), COUNTIFS(ChartLines.ID,ChartLines.ID), "·")</f>
        <v>2</v>
      </c>
      <c r="L151" s="1">
        <f t="shared" ref="L151" si="431" xml:space="preserve"> IF(AND(LEN(ChartLines.ID)&gt;0,"Unused"&lt;&gt;ChartLines.ID), COUNTIFS(ChartLines.ID,ChartLines.ID,   ChartLines.RowNum,"&lt;="&amp;ChartLines.RowNum), "·")</f>
        <v>1</v>
      </c>
      <c r="M151" s="1" t="str" cm="1">
        <f t="array" ref="M151" xml:space="preserve"> _xlfn.IFS(OR(LEN(_xlfn.SINGLE(ChartLines.ID))=0,"Unused"=_xlfn.SINGLE(ChartLines.ID)), "·",   1=_xlfn.SINGLE(ChartLines.NumInstances), IF("USD"=_xlfn.SINGLE(ChartLines.ID), "SoleBig", "SoleOrdinary"),   1=_xlfn.SINGLE(ChartLines.InstanceNum), "Outer",   TRUE, "Inner")</f>
        <v>Outer</v>
      </c>
      <c r="N151" s="1">
        <f t="shared" ref="N151" si="432" xml:space="preserve"> IF(LEN(ChartLines.Hex6)=6, HEX2DEC(LEFT(ChartLines.Hex6, 2)), "·")</f>
        <v>121</v>
      </c>
      <c r="O151" s="1">
        <f t="shared" ref="O151" si="433" xml:space="preserve"> IF(LEN(ChartLines.Hex6)=6, HEX2DEC(MID(ChartLines.Hex6, 3, 2)), "·")</f>
        <v>5</v>
      </c>
      <c r="P151" s="1">
        <f t="shared" ref="P151" si="434" xml:space="preserve"> IF(LEN(ChartLines.Hex6)=6, HEX2DEC(RIGHT(ChartLines.Hex6, 2)), "·")</f>
        <v>44</v>
      </c>
      <c r="Q151" s="1" cm="1">
        <f t="array" ref="Q151" xml:space="preserve"> 1 + ROW() - _xlfn.SINGLE(ROW(ChartLines.RowNum))</f>
        <v>146</v>
      </c>
      <c r="R151" s="1" t="str">
        <v>✓</v>
      </c>
    </row>
    <row r="152" spans="2:18" x14ac:dyDescent="0.2">
      <c r="B152" s="1" t="s">
        <v>184</v>
      </c>
      <c r="C152" s="4" t="s">
        <v>63</v>
      </c>
      <c r="D152" t="str">
        <v>✓</v>
      </c>
      <c r="H152" s="1" t="s">
        <v>113</v>
      </c>
      <c r="I152" s="1" t="s">
        <v>402</v>
      </c>
      <c r="K152" s="1">
        <f t="shared" ref="K152" si="435" xml:space="preserve"> IF(AND(LEN(ChartLines.ID)&gt;0,"Unused"&lt;&gt;ChartLines.ID), COUNTIFS(ChartLines.ID,ChartLines.ID), "·")</f>
        <v>2</v>
      </c>
      <c r="L152" s="1">
        <f t="shared" ref="L152" si="436" xml:space="preserve"> IF(AND(LEN(ChartLines.ID)&gt;0,"Unused"&lt;&gt;ChartLines.ID), COUNTIFS(ChartLines.ID,ChartLines.ID,   ChartLines.RowNum,"&lt;="&amp;ChartLines.RowNum), "·")</f>
        <v>2</v>
      </c>
      <c r="M152" s="1" t="str" cm="1">
        <f t="array" ref="M152" xml:space="preserve"> _xlfn.IFS(OR(LEN(_xlfn.SINGLE(ChartLines.ID))=0,"Unused"=_xlfn.SINGLE(ChartLines.ID)), "·",   1=_xlfn.SINGLE(ChartLines.NumInstances), IF("USD"=_xlfn.SINGLE(ChartLines.ID), "SoleBig", "SoleOrdinary"),   1=_xlfn.SINGLE(ChartLines.InstanceNum), "Outer",   TRUE, "Inner")</f>
        <v>Inner</v>
      </c>
      <c r="N152" s="1">
        <f t="shared" ref="N152" si="437" xml:space="preserve"> IF(LEN(ChartLines.Hex6)=6, HEX2DEC(LEFT(ChartLines.Hex6, 2)), "·")</f>
        <v>253</v>
      </c>
      <c r="O152" s="1">
        <f t="shared" ref="O152" si="438" xml:space="preserve"> IF(LEN(ChartLines.Hex6)=6, HEX2DEC(MID(ChartLines.Hex6, 3, 2)), "·")</f>
        <v>178</v>
      </c>
      <c r="P152" s="1">
        <f t="shared" ref="P152" si="439" xml:space="preserve"> IF(LEN(ChartLines.Hex6)=6, HEX2DEC(RIGHT(ChartLines.Hex6, 2)), "·")</f>
        <v>33</v>
      </c>
      <c r="Q152" s="1" cm="1">
        <f t="array" ref="Q152" xml:space="preserve"> 1 + ROW() - _xlfn.SINGLE(ROW(ChartLines.RowNum))</f>
        <v>147</v>
      </c>
      <c r="R152" s="1" t="str">
        <v>✓</v>
      </c>
    </row>
    <row r="153" spans="2:18" x14ac:dyDescent="0.2">
      <c r="B153" s="13" t="str">
        <f xml:space="preserve"> LEFT(SeriesFormatAlias.ID, 2)</f>
        <v>JP</v>
      </c>
      <c r="C153" s="4" t="s">
        <v>64</v>
      </c>
      <c r="D153" t="str">
        <v>✓</v>
      </c>
      <c r="H153" s="1" t="s">
        <v>114</v>
      </c>
      <c r="I153" s="1" t="s">
        <v>403</v>
      </c>
      <c r="K153" s="1">
        <f t="shared" ref="K153" si="440" xml:space="preserve"> IF(AND(LEN(ChartLines.ID)&gt;0,"Unused"&lt;&gt;ChartLines.ID), COUNTIFS(ChartLines.ID,ChartLines.ID), "·")</f>
        <v>2</v>
      </c>
      <c r="L153" s="1">
        <f t="shared" ref="L153" si="441" xml:space="preserve"> IF(AND(LEN(ChartLines.ID)&gt;0,"Unused"&lt;&gt;ChartLines.ID), COUNTIFS(ChartLines.ID,ChartLines.ID,   ChartLines.RowNum,"&lt;="&amp;ChartLines.RowNum), "·")</f>
        <v>1</v>
      </c>
      <c r="M153" s="1" t="str" cm="1">
        <f t="array" ref="M153" xml:space="preserve"> _xlfn.IFS(OR(LEN(_xlfn.SINGLE(ChartLines.ID))=0,"Unused"=_xlfn.SINGLE(ChartLines.ID)), "·",   1=_xlfn.SINGLE(ChartLines.NumInstances), IF("USD"=_xlfn.SINGLE(ChartLines.ID), "SoleBig", "SoleOrdinary"),   1=_xlfn.SINGLE(ChartLines.InstanceNum), "Outer",   TRUE, "Inner")</f>
        <v>Outer</v>
      </c>
      <c r="N153" s="1">
        <f t="shared" ref="N153" si="442" xml:space="preserve"> IF(LEN(ChartLines.Hex6)=6, HEX2DEC(LEFT(ChartLines.Hex6, 2)), "·")</f>
        <v>0</v>
      </c>
      <c r="O153" s="1">
        <f t="shared" ref="O153" si="443" xml:space="preserve"> IF(LEN(ChartLines.Hex6)=6, HEX2DEC(MID(ChartLines.Hex6, 3, 2)), "·")</f>
        <v>174</v>
      </c>
      <c r="P153" s="1">
        <f t="shared" ref="P153" si="444" xml:space="preserve"> IF(LEN(ChartLines.Hex6)=6, HEX2DEC(RIGHT(ChartLines.Hex6, 2)), "·")</f>
        <v>199</v>
      </c>
      <c r="Q153" s="1" cm="1">
        <f t="array" ref="Q153" xml:space="preserve"> 1 + ROW() - _xlfn.SINGLE(ROW(ChartLines.RowNum))</f>
        <v>148</v>
      </c>
      <c r="R153" s="1" t="str">
        <v>✓</v>
      </c>
    </row>
    <row r="154" spans="2:18" x14ac:dyDescent="0.2">
      <c r="B154" s="13" t="str">
        <f xml:space="preserve"> LEFT(SeriesFormatAlias.ID, 2)</f>
        <v>CH</v>
      </c>
      <c r="C154" s="4" t="s">
        <v>65</v>
      </c>
      <c r="D154" t="str">
        <v>✓</v>
      </c>
      <c r="H154" s="1" t="s">
        <v>114</v>
      </c>
      <c r="I154" s="1" t="s">
        <v>404</v>
      </c>
      <c r="K154" s="1">
        <f t="shared" ref="K154:K163" si="445" xml:space="preserve"> IF(AND(LEN(ChartLines.ID)&gt;0,"Unused"&lt;&gt;ChartLines.ID), COUNTIFS(ChartLines.ID,ChartLines.ID), "·")</f>
        <v>2</v>
      </c>
      <c r="L154" s="1">
        <f t="shared" ref="L154:L163" si="446" xml:space="preserve"> IF(AND(LEN(ChartLines.ID)&gt;0,"Unused"&lt;&gt;ChartLines.ID), COUNTIFS(ChartLines.ID,ChartLines.ID,   ChartLines.RowNum,"&lt;="&amp;ChartLines.RowNum), "·")</f>
        <v>2</v>
      </c>
      <c r="M154" s="1" t="str" cm="1">
        <f t="array" ref="M154" xml:space="preserve"> _xlfn.IFS(OR(LEN(_xlfn.SINGLE(ChartLines.ID))=0,"Unused"=_xlfn.SINGLE(ChartLines.ID)), "·",   1=_xlfn.SINGLE(ChartLines.NumInstances), IF("USD"=_xlfn.SINGLE(ChartLines.ID), "SoleBig", "SoleOrdinary"),   1=_xlfn.SINGLE(ChartLines.InstanceNum), "Outer",   TRUE, "Inner")</f>
        <v>Inner</v>
      </c>
      <c r="N154" s="1">
        <f t="shared" ref="N154:N163" si="447" xml:space="preserve"> IF(LEN(ChartLines.Hex6)=6, HEX2DEC(LEFT(ChartLines.Hex6, 2)), "·")</f>
        <v>246</v>
      </c>
      <c r="O154" s="1">
        <f t="shared" ref="O154:O163" si="448" xml:space="preserve"> IF(LEN(ChartLines.Hex6)=6, HEX2DEC(MID(ChartLines.Hex6, 3, 2)), "·")</f>
        <v>229</v>
      </c>
      <c r="P154" s="1">
        <f t="shared" ref="P154:P163" si="449" xml:space="preserve"> IF(LEN(ChartLines.Hex6)=6, HEX2DEC(RIGHT(ChartLines.Hex6, 2)), "·")</f>
        <v>0</v>
      </c>
      <c r="Q154" s="1" cm="1">
        <f t="array" ref="Q154" xml:space="preserve"> 1 + ROW() - _xlfn.SINGLE(ROW(ChartLines.RowNum))</f>
        <v>149</v>
      </c>
      <c r="R154" s="1" t="str">
        <v>✓</v>
      </c>
    </row>
    <row r="155" spans="2:18" x14ac:dyDescent="0.2">
      <c r="B155" s="13" t="str">
        <f xml:space="preserve"> LEFT(SeriesFormatAlias.ID, 2)</f>
        <v>CA</v>
      </c>
      <c r="C155" s="4" t="s">
        <v>66</v>
      </c>
      <c r="D155" t="str">
        <v>✓</v>
      </c>
      <c r="H155" s="1" t="s">
        <v>522</v>
      </c>
      <c r="I155" s="1" t="s">
        <v>523</v>
      </c>
      <c r="K155" s="1">
        <f t="shared" si="445"/>
        <v>2</v>
      </c>
      <c r="L155" s="1">
        <f t="shared" si="446"/>
        <v>1</v>
      </c>
      <c r="M155" s="1" t="str" cm="1">
        <f t="array" ref="M155" xml:space="preserve"> _xlfn.IFS(OR(LEN(_xlfn.SINGLE(ChartLines.ID))=0,"Unused"=_xlfn.SINGLE(ChartLines.ID)), "·",   1=_xlfn.SINGLE(ChartLines.NumInstances), IF("USD"=_xlfn.SINGLE(ChartLines.ID), "SoleBig", "SoleOrdinary"),   1=_xlfn.SINGLE(ChartLines.InstanceNum), "Outer",   TRUE, "Inner")</f>
        <v>Outer</v>
      </c>
      <c r="N155" s="1">
        <f t="shared" si="447"/>
        <v>30</v>
      </c>
      <c r="O155" s="1">
        <f t="shared" si="448"/>
        <v>181</v>
      </c>
      <c r="P155" s="1">
        <f t="shared" si="449"/>
        <v>58</v>
      </c>
      <c r="Q155" s="1" cm="1">
        <f t="array" ref="Q155" xml:space="preserve"> 1 + ROW() - _xlfn.SINGLE(ROW(ChartLines.RowNum))</f>
        <v>150</v>
      </c>
      <c r="R155" s="1" t="str">
        <v>✓</v>
      </c>
    </row>
    <row r="156" spans="2:18" x14ac:dyDescent="0.2">
      <c r="B156" s="13" t="str">
        <f xml:space="preserve"> LEFT(SeriesFormatAlias.ID, 2)</f>
        <v>AU</v>
      </c>
      <c r="C156" s="4" t="s">
        <v>67</v>
      </c>
      <c r="D156" t="str">
        <v>✓</v>
      </c>
      <c r="H156" s="1" t="s">
        <v>522</v>
      </c>
      <c r="I156" s="1" t="s">
        <v>524</v>
      </c>
      <c r="K156" s="1">
        <f t="shared" si="445"/>
        <v>2</v>
      </c>
      <c r="L156" s="1">
        <f t="shared" si="446"/>
        <v>2</v>
      </c>
      <c r="M156" s="1" t="str" cm="1">
        <f t="array" ref="M156" xml:space="preserve"> _xlfn.IFS(OR(LEN(_xlfn.SINGLE(ChartLines.ID))=0,"Unused"=_xlfn.SINGLE(ChartLines.ID)), "·",   1=_xlfn.SINGLE(ChartLines.NumInstances), IF("USD"=_xlfn.SINGLE(ChartLines.ID), "SoleBig", "SoleOrdinary"),   1=_xlfn.SINGLE(ChartLines.InstanceNum), "Outer",   TRUE, "Inner")</f>
        <v>Inner</v>
      </c>
      <c r="N156" s="1">
        <f t="shared" si="447"/>
        <v>0</v>
      </c>
      <c r="O156" s="1">
        <f t="shared" si="448"/>
        <v>153</v>
      </c>
      <c r="P156" s="1">
        <f t="shared" si="449"/>
        <v>181</v>
      </c>
      <c r="Q156" s="1" cm="1">
        <f t="array" ref="Q156" xml:space="preserve"> 1 + ROW() - _xlfn.SINGLE(ROW(ChartLines.RowNum))</f>
        <v>151</v>
      </c>
      <c r="R156" s="1" t="str">
        <v>✓</v>
      </c>
    </row>
    <row r="157" spans="2:18" x14ac:dyDescent="0.2">
      <c r="B157" s="13" t="str">
        <f xml:space="preserve"> LEFT(SeriesFormatAlias.ID, 2)</f>
        <v>NZ</v>
      </c>
      <c r="C157" s="4" t="s">
        <v>68</v>
      </c>
      <c r="D157" t="str">
        <v>✓</v>
      </c>
      <c r="H157" s="1" t="s">
        <v>525</v>
      </c>
      <c r="I157" s="1" t="s">
        <v>443</v>
      </c>
      <c r="K157" s="1">
        <f t="shared" si="445"/>
        <v>2</v>
      </c>
      <c r="L157" s="1">
        <f t="shared" si="446"/>
        <v>1</v>
      </c>
      <c r="M157" s="1" t="str" cm="1">
        <f t="array" ref="M157" xml:space="preserve"> _xlfn.IFS(OR(LEN(_xlfn.SINGLE(ChartLines.ID))=0,"Unused"=_xlfn.SINGLE(ChartLines.ID)), "·",   1=_xlfn.SINGLE(ChartLines.NumInstances), IF("USD"=_xlfn.SINGLE(ChartLines.ID), "SoleBig", "SoleOrdinary"),   1=_xlfn.SINGLE(ChartLines.InstanceNum), "Outer",   TRUE, "Inner")</f>
        <v>Outer</v>
      </c>
      <c r="N157" s="1">
        <f t="shared" si="447"/>
        <v>255</v>
      </c>
      <c r="O157" s="1">
        <f t="shared" si="448"/>
        <v>199</v>
      </c>
      <c r="P157" s="1">
        <f t="shared" si="449"/>
        <v>44</v>
      </c>
      <c r="Q157" s="1" cm="1">
        <f t="array" ref="Q157" xml:space="preserve"> 1 + ROW() - _xlfn.SINGLE(ROW(ChartLines.RowNum))</f>
        <v>152</v>
      </c>
      <c r="R157" s="1" t="str">
        <v>✓</v>
      </c>
    </row>
    <row r="158" spans="2:18" x14ac:dyDescent="0.2">
      <c r="B158" s="13" t="str">
        <f xml:space="preserve"> LEFT(SeriesFormatAlias.ID, 2)</f>
        <v>SE</v>
      </c>
      <c r="C158" s="4" t="s">
        <v>69</v>
      </c>
      <c r="D158" t="str">
        <v>✓</v>
      </c>
      <c r="H158" s="1" t="s">
        <v>525</v>
      </c>
      <c r="I158" s="1" t="s">
        <v>526</v>
      </c>
      <c r="K158" s="1">
        <f t="shared" si="445"/>
        <v>2</v>
      </c>
      <c r="L158" s="1">
        <f t="shared" si="446"/>
        <v>2</v>
      </c>
      <c r="M158" s="1" t="str" cm="1">
        <f t="array" ref="M158" xml:space="preserve"> _xlfn.IFS(OR(LEN(_xlfn.SINGLE(ChartLines.ID))=0,"Unused"=_xlfn.SINGLE(ChartLines.ID)), "·",   1=_xlfn.SINGLE(ChartLines.NumInstances), IF("USD"=_xlfn.SINGLE(ChartLines.ID), "SoleBig", "SoleOrdinary"),   1=_xlfn.SINGLE(ChartLines.InstanceNum), "Outer",   TRUE, "Inner")</f>
        <v>Inner</v>
      </c>
      <c r="N158" s="1">
        <f t="shared" si="447"/>
        <v>0</v>
      </c>
      <c r="O158" s="1">
        <f t="shared" si="448"/>
        <v>133</v>
      </c>
      <c r="P158" s="1">
        <f t="shared" si="449"/>
        <v>58</v>
      </c>
      <c r="Q158" s="1" cm="1">
        <f t="array" ref="Q158" xml:space="preserve"> 1 + ROW() - _xlfn.SINGLE(ROW(ChartLines.RowNum))</f>
        <v>153</v>
      </c>
      <c r="R158" s="1" t="str">
        <v>✓</v>
      </c>
    </row>
    <row r="159" spans="2:18" x14ac:dyDescent="0.2">
      <c r="B159" s="13" t="str">
        <f xml:space="preserve"> LEFT(SeriesFormatAlias.ID, 2)</f>
        <v>NO</v>
      </c>
      <c r="C159" s="4" t="s">
        <v>70</v>
      </c>
      <c r="D159" t="str">
        <v>✓</v>
      </c>
      <c r="H159" s="1" t="s">
        <v>115</v>
      </c>
      <c r="I159" s="1" t="s">
        <v>405</v>
      </c>
      <c r="K159" s="1">
        <f t="shared" si="445"/>
        <v>2</v>
      </c>
      <c r="L159" s="1">
        <f t="shared" si="446"/>
        <v>1</v>
      </c>
      <c r="M159" s="1" t="str" cm="1">
        <f t="array" ref="M159" xml:space="preserve"> _xlfn.IFS(OR(LEN(_xlfn.SINGLE(ChartLines.ID))=0,"Unused"=_xlfn.SINGLE(ChartLines.ID)), "·",   1=_xlfn.SINGLE(ChartLines.NumInstances), IF("USD"=_xlfn.SINGLE(ChartLines.ID), "SoleBig", "SoleOrdinary"),   1=_xlfn.SINGLE(ChartLines.InstanceNum), "Outer",   TRUE, "Inner")</f>
        <v>Outer</v>
      </c>
      <c r="N159" s="1">
        <f t="shared" si="447"/>
        <v>0</v>
      </c>
      <c r="O159" s="1">
        <f t="shared" si="448"/>
        <v>102</v>
      </c>
      <c r="P159" s="1">
        <f t="shared" si="449"/>
        <v>179</v>
      </c>
      <c r="Q159" s="1" cm="1">
        <f t="array" ref="Q159" xml:space="preserve"> 1 + ROW() - _xlfn.SINGLE(ROW(ChartLines.RowNum))</f>
        <v>154</v>
      </c>
      <c r="R159" s="1" t="str">
        <v>✓</v>
      </c>
    </row>
    <row r="160" spans="2:18" x14ac:dyDescent="0.2">
      <c r="B160" s="13" t="str">
        <f xml:space="preserve"> LEFT(SeriesFormatAlias.ID, 2)</f>
        <v>DK</v>
      </c>
      <c r="C160" s="4" t="s">
        <v>93</v>
      </c>
      <c r="D160" t="str">
        <v>✓</v>
      </c>
      <c r="H160" s="1" t="s">
        <v>115</v>
      </c>
      <c r="I160" s="1" t="s">
        <v>406</v>
      </c>
      <c r="K160" s="1">
        <f t="shared" si="445"/>
        <v>2</v>
      </c>
      <c r="L160" s="1">
        <f t="shared" si="446"/>
        <v>2</v>
      </c>
      <c r="M160" s="1" t="str" cm="1">
        <f t="array" ref="M160" xml:space="preserve"> _xlfn.IFS(OR(LEN(_xlfn.SINGLE(ChartLines.ID))=0,"Unused"=_xlfn.SINGLE(ChartLines.ID)), "·",   1=_xlfn.SINGLE(ChartLines.NumInstances), IF("USD"=_xlfn.SINGLE(ChartLines.ID), "SoleBig", "SoleOrdinary"),   1=_xlfn.SINGLE(ChartLines.InstanceNum), "Outer",   TRUE, "Inner")</f>
        <v>Inner</v>
      </c>
      <c r="N160" s="1">
        <f t="shared" si="447"/>
        <v>218</v>
      </c>
      <c r="O160" s="1">
        <f t="shared" si="448"/>
        <v>32</v>
      </c>
      <c r="P160" s="1">
        <f t="shared" si="449"/>
        <v>50</v>
      </c>
      <c r="Q160" s="1" cm="1">
        <f t="array" ref="Q160" xml:space="preserve"> 1 + ROW() - _xlfn.SINGLE(ROW(ChartLines.RowNum))</f>
        <v>155</v>
      </c>
      <c r="R160" s="1" t="str">
        <v>✓</v>
      </c>
    </row>
    <row r="161" spans="2:18" x14ac:dyDescent="0.2">
      <c r="B161" s="13" t="str">
        <f xml:space="preserve"> LEFT(SeriesFormatAlias.ID, 2)</f>
        <v>IS</v>
      </c>
      <c r="C161" s="4" t="s">
        <v>94</v>
      </c>
      <c r="D161" t="str">
        <v>✓</v>
      </c>
      <c r="H161" s="1" t="s">
        <v>555</v>
      </c>
      <c r="I161" s="1" t="s">
        <v>556</v>
      </c>
      <c r="K161" s="1">
        <f t="shared" si="445"/>
        <v>2</v>
      </c>
      <c r="L161" s="1">
        <f t="shared" si="446"/>
        <v>1</v>
      </c>
      <c r="M161" s="1" t="str" cm="1">
        <f t="array" ref="M161" xml:space="preserve"> _xlfn.IFS(OR(LEN(_xlfn.SINGLE(ChartLines.ID))=0,"Unused"=_xlfn.SINGLE(ChartLines.ID)), "·",   1=_xlfn.SINGLE(ChartLines.NumInstances), IF("USD"=_xlfn.SINGLE(ChartLines.ID), "SoleBig", "SoleOrdinary"),   1=_xlfn.SINGLE(ChartLines.InstanceNum), "Outer",   TRUE, "Inner")</f>
        <v>Outer</v>
      </c>
      <c r="N161" s="1">
        <f t="shared" si="447"/>
        <v>220</v>
      </c>
      <c r="O161" s="1">
        <f t="shared" si="448"/>
        <v>20</v>
      </c>
      <c r="P161" s="1">
        <f t="shared" si="449"/>
        <v>60</v>
      </c>
      <c r="Q161" s="1" cm="1">
        <f t="array" ref="Q161" xml:space="preserve"> 1 + ROW() - _xlfn.SINGLE(ROW(ChartLines.RowNum))</f>
        <v>156</v>
      </c>
      <c r="R161" s="1" t="str">
        <v>✓</v>
      </c>
    </row>
    <row r="162" spans="2:18" x14ac:dyDescent="0.2">
      <c r="B162" s="13" t="str">
        <f xml:space="preserve"> LEFT(SeriesFormatAlias.ID, 2)</f>
        <v>PL</v>
      </c>
      <c r="C162" s="4" t="s">
        <v>95</v>
      </c>
      <c r="D162" t="str">
        <v>✓</v>
      </c>
      <c r="H162" s="1" t="s">
        <v>555</v>
      </c>
      <c r="I162" s="1" t="str">
        <f xml:space="preserve"> "000000"</f>
        <v>000000</v>
      </c>
      <c r="K162" s="1">
        <f t="shared" si="445"/>
        <v>2</v>
      </c>
      <c r="L162" s="1">
        <f t="shared" si="446"/>
        <v>2</v>
      </c>
      <c r="M162" s="1" t="str" cm="1">
        <f t="array" ref="M162" xml:space="preserve"> _xlfn.IFS(OR(LEN(_xlfn.SINGLE(ChartLines.ID))=0,"Unused"=_xlfn.SINGLE(ChartLines.ID)), "·",   1=_xlfn.SINGLE(ChartLines.NumInstances), IF("USD"=_xlfn.SINGLE(ChartLines.ID), "SoleBig", "SoleOrdinary"),   1=_xlfn.SINGLE(ChartLines.InstanceNum), "Outer",   TRUE, "Inner")</f>
        <v>Inner</v>
      </c>
      <c r="N162" s="1">
        <f t="shared" si="447"/>
        <v>0</v>
      </c>
      <c r="O162" s="1">
        <f t="shared" si="448"/>
        <v>0</v>
      </c>
      <c r="P162" s="1">
        <f t="shared" si="449"/>
        <v>0</v>
      </c>
      <c r="Q162" s="1" cm="1">
        <f t="array" ref="Q162" xml:space="preserve"> 1 + ROW() - _xlfn.SINGLE(ROW(ChartLines.RowNum))</f>
        <v>157</v>
      </c>
      <c r="R162" s="1" t="str">
        <v>✓</v>
      </c>
    </row>
    <row r="163" spans="2:18" x14ac:dyDescent="0.2">
      <c r="B163" s="13" t="str">
        <f xml:space="preserve"> LEFT(SeriesFormatAlias.ID, 2)</f>
        <v>CZ</v>
      </c>
      <c r="C163" s="4" t="s">
        <v>96</v>
      </c>
      <c r="D163" t="str">
        <v>✓</v>
      </c>
      <c r="H163" s="1" t="s">
        <v>527</v>
      </c>
      <c r="I163" s="1" t="str">
        <f xml:space="preserve"> "000000"</f>
        <v>000000</v>
      </c>
      <c r="K163" s="1">
        <f t="shared" si="445"/>
        <v>2</v>
      </c>
      <c r="L163" s="1">
        <f t="shared" si="446"/>
        <v>1</v>
      </c>
      <c r="M163" s="1" t="str" cm="1">
        <f t="array" ref="M163" xml:space="preserve"> _xlfn.IFS(OR(LEN(_xlfn.SINGLE(ChartLines.ID))=0,"Unused"=_xlfn.SINGLE(ChartLines.ID)), "·",   1=_xlfn.SINGLE(ChartLines.NumInstances), IF("USD"=_xlfn.SINGLE(ChartLines.ID), "SoleBig", "SoleOrdinary"),   1=_xlfn.SINGLE(ChartLines.InstanceNum), "Outer",   TRUE, "Inner")</f>
        <v>Outer</v>
      </c>
      <c r="N163" s="1">
        <f t="shared" si="447"/>
        <v>0</v>
      </c>
      <c r="O163" s="1">
        <f t="shared" si="448"/>
        <v>0</v>
      </c>
      <c r="P163" s="1">
        <f t="shared" si="449"/>
        <v>0</v>
      </c>
      <c r="Q163" s="1" cm="1">
        <f t="array" ref="Q163" xml:space="preserve"> 1 + ROW() - _xlfn.SINGLE(ROW(ChartLines.RowNum))</f>
        <v>158</v>
      </c>
      <c r="R163" s="1" t="str">
        <v>✓</v>
      </c>
    </row>
    <row r="164" spans="2:18" x14ac:dyDescent="0.2">
      <c r="B164" s="13" t="str">
        <f xml:space="preserve"> LEFT(SeriesFormatAlias.ID, 2)</f>
        <v>HU</v>
      </c>
      <c r="C164" s="4" t="s">
        <v>97</v>
      </c>
      <c r="D164" t="str">
        <v>✓</v>
      </c>
      <c r="H164" s="1" t="s">
        <v>527</v>
      </c>
      <c r="I164" s="1" t="s">
        <v>528</v>
      </c>
      <c r="K164" s="1">
        <f t="shared" ref="K160:K165" si="450" xml:space="preserve"> IF(AND(LEN(ChartLines.ID)&gt;0,"Unused"&lt;&gt;ChartLines.ID), COUNTIFS(ChartLines.ID,ChartLines.ID), "·")</f>
        <v>2</v>
      </c>
      <c r="L164" s="1">
        <f t="shared" ref="L160:L165" si="451" xml:space="preserve"> IF(AND(LEN(ChartLines.ID)&gt;0,"Unused"&lt;&gt;ChartLines.ID), COUNTIFS(ChartLines.ID,ChartLines.ID,   ChartLines.RowNum,"&lt;="&amp;ChartLines.RowNum), "·")</f>
        <v>2</v>
      </c>
      <c r="M164" s="1" t="str" cm="1">
        <f t="array" ref="M164" xml:space="preserve"> _xlfn.IFS(OR(LEN(_xlfn.SINGLE(ChartLines.ID))=0,"Unused"=_xlfn.SINGLE(ChartLines.ID)), "·",   1=_xlfn.SINGLE(ChartLines.NumInstances), IF("USD"=_xlfn.SINGLE(ChartLines.ID), "SoleBig", "SoleOrdinary"),   1=_xlfn.SINGLE(ChartLines.InstanceNum), "Outer",   TRUE, "Inner")</f>
        <v>Inner</v>
      </c>
      <c r="N164" s="1">
        <f t="shared" ref="N160:N165" si="452" xml:space="preserve"> IF(LEN(ChartLines.Hex6)=6, HEX2DEC(LEFT(ChartLines.Hex6, 2)), "·")</f>
        <v>237</v>
      </c>
      <c r="O164" s="1">
        <f t="shared" ref="O160:O165" si="453" xml:space="preserve"> IF(LEN(ChartLines.Hex6)=6, HEX2DEC(MID(ChartLines.Hex6, 3, 2)), "·")</f>
        <v>28</v>
      </c>
      <c r="P164" s="1">
        <f t="shared" ref="P160:P165" si="454" xml:space="preserve"> IF(LEN(ChartLines.Hex6)=6, HEX2DEC(RIGHT(ChartLines.Hex6, 2)), "·")</f>
        <v>39</v>
      </c>
      <c r="Q164" s="1" cm="1">
        <f t="array" ref="Q164" xml:space="preserve"> 1 + ROW() - _xlfn.SINGLE(ROW(ChartLines.RowNum))</f>
        <v>159</v>
      </c>
      <c r="R164" s="1" t="str">
        <v>✓</v>
      </c>
    </row>
    <row r="165" spans="2:18" x14ac:dyDescent="0.2">
      <c r="B165" s="13" t="str">
        <f xml:space="preserve"> LEFT(SeriesFormatAlias.ID, 2)</f>
        <v>RO</v>
      </c>
      <c r="C165" s="4" t="s">
        <v>98</v>
      </c>
      <c r="D165" t="str">
        <v>✓</v>
      </c>
      <c r="K165" s="1" t="str">
        <f t="shared" si="450"/>
        <v>·</v>
      </c>
      <c r="L165" s="1" t="str">
        <f t="shared" si="451"/>
        <v>·</v>
      </c>
      <c r="M165" s="1" t="str" cm="1">
        <f t="array" ref="M165" xml:space="preserve"> _xlfn.IFS(OR(LEN(_xlfn.SINGLE(ChartLines.ID))=0,"Unused"=_xlfn.SINGLE(ChartLines.ID)), "·",   1=_xlfn.SINGLE(ChartLines.NumInstances), IF("USD"=_xlfn.SINGLE(ChartLines.ID), "SoleBig", "SoleOrdinary"),   1=_xlfn.SINGLE(ChartLines.InstanceNum), "Outer",   TRUE, "Inner")</f>
        <v>·</v>
      </c>
      <c r="N165" s="1" t="str">
        <f t="shared" si="452"/>
        <v>·</v>
      </c>
      <c r="O165" s="1" t="str">
        <f t="shared" si="453"/>
        <v>·</v>
      </c>
      <c r="P165" s="1" t="str">
        <f t="shared" si="454"/>
        <v>·</v>
      </c>
      <c r="Q165" s="1" cm="1">
        <f t="array" ref="Q165" xml:space="preserve"> 1 + ROW() - _xlfn.SINGLE(ROW(ChartLines.RowNum))</f>
        <v>160</v>
      </c>
      <c r="R165" s="1" t="str">
        <v>·</v>
      </c>
    </row>
    <row r="166" spans="2:18" x14ac:dyDescent="0.2">
      <c r="B166" s="13" t="str">
        <f xml:space="preserve"> LEFT(SeriesFormatAlias.ID, 2)</f>
        <v>BG</v>
      </c>
      <c r="C166" s="4" t="s">
        <v>99</v>
      </c>
      <c r="D166" t="str">
        <v>✓</v>
      </c>
      <c r="H166" s="1" t="s">
        <v>116</v>
      </c>
      <c r="I166" s="1" t="s">
        <v>407</v>
      </c>
      <c r="K166" s="1">
        <f t="shared" ref="K166" si="455" xml:space="preserve"> IF(AND(LEN(ChartLines.ID)&gt;0,"Unused"&lt;&gt;ChartLines.ID), COUNTIFS(ChartLines.ID,ChartLines.ID), "·")</f>
        <v>2</v>
      </c>
      <c r="L166" s="1">
        <f t="shared" ref="L166" si="456" xml:space="preserve"> IF(AND(LEN(ChartLines.ID)&gt;0,"Unused"&lt;&gt;ChartLines.ID), COUNTIFS(ChartLines.ID,ChartLines.ID,   ChartLines.RowNum,"&lt;="&amp;ChartLines.RowNum), "·")</f>
        <v>1</v>
      </c>
      <c r="M166" s="1" t="str" cm="1">
        <f t="array" ref="M166" xml:space="preserve"> _xlfn.IFS(OR(LEN(_xlfn.SINGLE(ChartLines.ID))=0,"Unused"=_xlfn.SINGLE(ChartLines.ID)), "·",   1=_xlfn.SINGLE(ChartLines.NumInstances), IF("USD"=_xlfn.SINGLE(ChartLines.ID), "SoleBig", "SoleOrdinary"),   1=_xlfn.SINGLE(ChartLines.InstanceNum), "Outer",   TRUE, "Inner")</f>
        <v>Outer</v>
      </c>
      <c r="N166" s="1">
        <f t="shared" ref="N166" si="457" xml:space="preserve"> IF(LEN(ChartLines.Hex6)=6, HEX2DEC(LEFT(ChartLines.Hex6, 2)), "·")</f>
        <v>199</v>
      </c>
      <c r="O166" s="1">
        <f t="shared" ref="O166" si="458" xml:space="preserve"> IF(LEN(ChartLines.Hex6)=6, HEX2DEC(MID(ChartLines.Hex6, 3, 2)), "·")</f>
        <v>54</v>
      </c>
      <c r="P166" s="1">
        <f t="shared" ref="P166" si="459" xml:space="preserve"> IF(LEN(ChartLines.Hex6)=6, HEX2DEC(RIGHT(ChartLines.Hex6, 2)), "·")</f>
        <v>61</v>
      </c>
      <c r="Q166" s="1" cm="1">
        <f t="array" ref="Q166" xml:space="preserve"> 1 + ROW() - _xlfn.SINGLE(ROW(ChartLines.RowNum))</f>
        <v>161</v>
      </c>
      <c r="R166" s="1" t="str">
        <v>✓</v>
      </c>
    </row>
    <row r="167" spans="2:18" x14ac:dyDescent="0.2">
      <c r="B167" s="13" t="str">
        <f xml:space="preserve"> LEFT(SeriesFormatAlias.ID, 2)</f>
        <v>CN</v>
      </c>
      <c r="C167" s="4" t="s">
        <v>100</v>
      </c>
      <c r="D167" t="str">
        <v>✓</v>
      </c>
      <c r="H167" s="1" t="s">
        <v>116</v>
      </c>
      <c r="I167" s="1" t="s">
        <v>408</v>
      </c>
      <c r="K167" s="1">
        <f t="shared" ref="K167" si="460" xml:space="preserve"> IF(AND(LEN(ChartLines.ID)&gt;0,"Unused"&lt;&gt;ChartLines.ID), COUNTIFS(ChartLines.ID,ChartLines.ID), "·")</f>
        <v>2</v>
      </c>
      <c r="L167" s="1">
        <f t="shared" ref="L167" si="461" xml:space="preserve"> IF(AND(LEN(ChartLines.ID)&gt;0,"Unused"&lt;&gt;ChartLines.ID), COUNTIFS(ChartLines.ID,ChartLines.ID,   ChartLines.RowNum,"&lt;="&amp;ChartLines.RowNum), "·")</f>
        <v>2</v>
      </c>
      <c r="M167" s="1" t="str" cm="1">
        <f t="array" ref="M167" xml:space="preserve"> _xlfn.IFS(OR(LEN(_xlfn.SINGLE(ChartLines.ID))=0,"Unused"=_xlfn.SINGLE(ChartLines.ID)), "·",   1=_xlfn.SINGLE(ChartLines.NumInstances), IF("USD"=_xlfn.SINGLE(ChartLines.ID), "SoleBig", "SoleOrdinary"),   1=_xlfn.SINGLE(ChartLines.InstanceNum), "Outer",   TRUE, "Inner")</f>
        <v>Inner</v>
      </c>
      <c r="N167" s="1">
        <f t="shared" ref="N167" si="462" xml:space="preserve"> IF(LEN(ChartLines.Hex6)=6, HEX2DEC(LEFT(ChartLines.Hex6, 2)), "·")</f>
        <v>12</v>
      </c>
      <c r="O167" s="1">
        <f t="shared" ref="O167" si="463" xml:space="preserve"> IF(LEN(ChartLines.Hex6)=6, HEX2DEC(MID(ChartLines.Hex6, 3, 2)), "·")</f>
        <v>64</v>
      </c>
      <c r="P167" s="1">
        <f t="shared" ref="P167" si="464" xml:space="preserve"> IF(LEN(ChartLines.Hex6)=6, HEX2DEC(RIGHT(ChartLines.Hex6, 2)), "·")</f>
        <v>119</v>
      </c>
      <c r="Q167" s="1" cm="1">
        <f t="array" ref="Q167" xml:space="preserve"> 1 + ROW() - _xlfn.SINGLE(ROW(ChartLines.RowNum))</f>
        <v>162</v>
      </c>
      <c r="R167" s="1" t="str">
        <v>✓</v>
      </c>
    </row>
    <row r="168" spans="2:18" x14ac:dyDescent="0.2">
      <c r="B168" s="13" t="str">
        <f xml:space="preserve"> LEFT(SeriesFormatAlias.ID, 2)</f>
        <v>HK</v>
      </c>
      <c r="C168" s="4" t="s">
        <v>101</v>
      </c>
      <c r="D168" t="str">
        <v>✓</v>
      </c>
      <c r="H168" s="1" t="s">
        <v>117</v>
      </c>
      <c r="I168" s="1" t="str">
        <f xml:space="preserve"> "000000"</f>
        <v>000000</v>
      </c>
      <c r="K168" s="1">
        <f t="shared" ref="K168" si="465" xml:space="preserve"> IF(AND(LEN(ChartLines.ID)&gt;0,"Unused"&lt;&gt;ChartLines.ID), COUNTIFS(ChartLines.ID,ChartLines.ID), "·")</f>
        <v>2</v>
      </c>
      <c r="L168" s="1">
        <f t="shared" ref="L168" si="466" xml:space="preserve"> IF(AND(LEN(ChartLines.ID)&gt;0,"Unused"&lt;&gt;ChartLines.ID), COUNTIFS(ChartLines.ID,ChartLines.ID,   ChartLines.RowNum,"&lt;="&amp;ChartLines.RowNum), "·")</f>
        <v>1</v>
      </c>
      <c r="M168" s="1" t="str" cm="1">
        <f t="array" ref="M168" xml:space="preserve"> _xlfn.IFS(OR(LEN(_xlfn.SINGLE(ChartLines.ID))=0,"Unused"=_xlfn.SINGLE(ChartLines.ID)), "·",   1=_xlfn.SINGLE(ChartLines.NumInstances), IF("USD"=_xlfn.SINGLE(ChartLines.ID), "SoleBig", "SoleOrdinary"),   1=_xlfn.SINGLE(ChartLines.InstanceNum), "Outer",   TRUE, "Inner")</f>
        <v>Outer</v>
      </c>
      <c r="N168" s="1">
        <f t="shared" ref="N168" si="467" xml:space="preserve"> IF(LEN(ChartLines.Hex6)=6, HEX2DEC(LEFT(ChartLines.Hex6, 2)), "·")</f>
        <v>0</v>
      </c>
      <c r="O168" s="1">
        <f t="shared" ref="O168" si="468" xml:space="preserve"> IF(LEN(ChartLines.Hex6)=6, HEX2DEC(MID(ChartLines.Hex6, 3, 2)), "·")</f>
        <v>0</v>
      </c>
      <c r="P168" s="1">
        <f t="shared" ref="P168" si="469" xml:space="preserve"> IF(LEN(ChartLines.Hex6)=6, HEX2DEC(RIGHT(ChartLines.Hex6, 2)), "·")</f>
        <v>0</v>
      </c>
      <c r="Q168" s="1" cm="1">
        <f t="array" ref="Q168" xml:space="preserve"> 1 + ROW() - _xlfn.SINGLE(ROW(ChartLines.RowNum))</f>
        <v>163</v>
      </c>
      <c r="R168" s="1" t="str">
        <v>✓</v>
      </c>
    </row>
    <row r="169" spans="2:18" x14ac:dyDescent="0.2">
      <c r="B169" s="13" t="str">
        <f xml:space="preserve"> LEFT(SeriesFormatAlias.ID, 2)</f>
        <v>TW</v>
      </c>
      <c r="C169" s="4" t="s">
        <v>102</v>
      </c>
      <c r="D169" t="str">
        <v>✓</v>
      </c>
      <c r="H169" s="1" t="s">
        <v>117</v>
      </c>
      <c r="I169" s="1" t="s">
        <v>361</v>
      </c>
      <c r="K169" s="1">
        <f t="shared" ref="K169" si="470" xml:space="preserve"> IF(AND(LEN(ChartLines.ID)&gt;0,"Unused"&lt;&gt;ChartLines.ID), COUNTIFS(ChartLines.ID,ChartLines.ID), "·")</f>
        <v>2</v>
      </c>
      <c r="L169" s="1">
        <f t="shared" ref="L169" si="471" xml:space="preserve"> IF(AND(LEN(ChartLines.ID)&gt;0,"Unused"&lt;&gt;ChartLines.ID), COUNTIFS(ChartLines.ID,ChartLines.ID,   ChartLines.RowNum,"&lt;="&amp;ChartLines.RowNum), "·")</f>
        <v>2</v>
      </c>
      <c r="M169" s="1" t="str" cm="1">
        <f t="array" ref="M169" xml:space="preserve"> _xlfn.IFS(OR(LEN(_xlfn.SINGLE(ChartLines.ID))=0,"Unused"=_xlfn.SINGLE(ChartLines.ID)), "·",   1=_xlfn.SINGLE(ChartLines.NumInstances), IF("USD"=_xlfn.SINGLE(ChartLines.ID), "SoleBig", "SoleOrdinary"),   1=_xlfn.SINGLE(ChartLines.InstanceNum), "Outer",   TRUE, "Inner")</f>
        <v>Inner</v>
      </c>
      <c r="N169" s="1">
        <f t="shared" ref="N169" si="472" xml:space="preserve"> IF(LEN(ChartLines.Hex6)=6, HEX2DEC(LEFT(ChartLines.Hex6, 2)), "·")</f>
        <v>218</v>
      </c>
      <c r="O169" s="1">
        <f t="shared" ref="O169" si="473" xml:space="preserve"> IF(LEN(ChartLines.Hex6)=6, HEX2DEC(MID(ChartLines.Hex6, 3, 2)), "·")</f>
        <v>41</v>
      </c>
      <c r="P169" s="1">
        <f t="shared" ref="P169" si="474" xml:space="preserve"> IF(LEN(ChartLines.Hex6)=6, HEX2DEC(RIGHT(ChartLines.Hex6, 2)), "·")</f>
        <v>28</v>
      </c>
      <c r="Q169" s="1" cm="1">
        <f t="array" ref="Q169" xml:space="preserve"> 1 + ROW() - _xlfn.SINGLE(ROW(ChartLines.RowNum))</f>
        <v>164</v>
      </c>
      <c r="R169" s="1" t="str">
        <v>✓</v>
      </c>
    </row>
    <row r="170" spans="2:18" x14ac:dyDescent="0.2">
      <c r="B170" s="13" t="str">
        <f xml:space="preserve"> LEFT(SeriesFormatAlias.ID, 2)</f>
        <v>KR</v>
      </c>
      <c r="C170" s="4" t="s">
        <v>103</v>
      </c>
      <c r="D170" t="str">
        <v>✓</v>
      </c>
      <c r="H170" s="1" t="s">
        <v>118</v>
      </c>
      <c r="I170" s="1" t="s">
        <v>409</v>
      </c>
      <c r="K170" s="1">
        <f t="shared" ref="K170" si="475" xml:space="preserve"> IF(AND(LEN(ChartLines.ID)&gt;0,"Unused"&lt;&gt;ChartLines.ID), COUNTIFS(ChartLines.ID,ChartLines.ID), "·")</f>
        <v>2</v>
      </c>
      <c r="L170" s="1">
        <f t="shared" ref="L170" si="476" xml:space="preserve"> IF(AND(LEN(ChartLines.ID)&gt;0,"Unused"&lt;&gt;ChartLines.ID), COUNTIFS(ChartLines.ID,ChartLines.ID,   ChartLines.RowNum,"&lt;="&amp;ChartLines.RowNum), "·")</f>
        <v>1</v>
      </c>
      <c r="M170" s="1" t="str" cm="1">
        <f t="array" ref="M170" xml:space="preserve"> _xlfn.IFS(OR(LEN(_xlfn.SINGLE(ChartLines.ID))=0,"Unused"=_xlfn.SINGLE(ChartLines.ID)), "·",   1=_xlfn.SINGLE(ChartLines.NumInstances), IF("USD"=_xlfn.SINGLE(ChartLines.ID), "SoleBig", "SoleOrdinary"),   1=_xlfn.SINGLE(ChartLines.InstanceNum), "Outer",   TRUE, "Inner")</f>
        <v>Outer</v>
      </c>
      <c r="N170" s="1">
        <f t="shared" ref="N170" si="477" xml:space="preserve"> IF(LEN(ChartLines.Hex6)=6, HEX2DEC(LEFT(ChartLines.Hex6, 2)), "·")</f>
        <v>206</v>
      </c>
      <c r="O170" s="1">
        <f t="shared" ref="O170" si="478" xml:space="preserve"> IF(LEN(ChartLines.Hex6)=6, HEX2DEC(MID(ChartLines.Hex6, 3, 2)), "·")</f>
        <v>32</v>
      </c>
      <c r="P170" s="1">
        <f t="shared" ref="P170" si="479" xml:space="preserve"> IF(LEN(ChartLines.Hex6)=6, HEX2DEC(RIGHT(ChartLines.Hex6, 2)), "·")</f>
        <v>40</v>
      </c>
      <c r="Q170" s="1" cm="1">
        <f t="array" ref="Q170" xml:space="preserve"> 1 + ROW() - _xlfn.SINGLE(ROW(ChartLines.RowNum))</f>
        <v>165</v>
      </c>
      <c r="R170" s="1" t="str">
        <v>✓</v>
      </c>
    </row>
    <row r="171" spans="2:18" x14ac:dyDescent="0.2">
      <c r="B171" s="13" t="str">
        <f xml:space="preserve"> LEFT(SeriesFormatAlias.ID, 2)</f>
        <v>SG</v>
      </c>
      <c r="C171" s="4" t="s">
        <v>104</v>
      </c>
      <c r="D171" t="str">
        <v>✓</v>
      </c>
      <c r="H171" s="1" t="s">
        <v>118</v>
      </c>
      <c r="I171" s="1" t="s">
        <v>410</v>
      </c>
      <c r="K171" s="1">
        <f t="shared" ref="K171" si="480" xml:space="preserve"> IF(AND(LEN(ChartLines.ID)&gt;0,"Unused"&lt;&gt;ChartLines.ID), COUNTIFS(ChartLines.ID,ChartLines.ID), "·")</f>
        <v>2</v>
      </c>
      <c r="L171" s="1">
        <f t="shared" ref="L171" si="481" xml:space="preserve"> IF(AND(LEN(ChartLines.ID)&gt;0,"Unused"&lt;&gt;ChartLines.ID), COUNTIFS(ChartLines.ID,ChartLines.ID,   ChartLines.RowNum,"&lt;="&amp;ChartLines.RowNum), "·")</f>
        <v>2</v>
      </c>
      <c r="M171" s="1" t="str" cm="1">
        <f t="array" ref="M171" xml:space="preserve"> _xlfn.IFS(OR(LEN(_xlfn.SINGLE(ChartLines.ID))=0,"Unused"=_xlfn.SINGLE(ChartLines.ID)), "·",   1=_xlfn.SINGLE(ChartLines.NumInstances), IF("USD"=_xlfn.SINGLE(ChartLines.ID), "SoleBig", "SoleOrdinary"),   1=_xlfn.SINGLE(ChartLines.InstanceNum), "Outer",   TRUE, "Inner")</f>
        <v>Inner</v>
      </c>
      <c r="N171" s="1">
        <f t="shared" ref="N171" si="482" xml:space="preserve"> IF(LEN(ChartLines.Hex6)=6, HEX2DEC(LEFT(ChartLines.Hex6, 2)), "·")</f>
        <v>249</v>
      </c>
      <c r="O171" s="1">
        <f t="shared" ref="O171" si="483" xml:space="preserve"> IF(LEN(ChartLines.Hex6)=6, HEX2DEC(MID(ChartLines.Hex6, 3, 2)), "·")</f>
        <v>214</v>
      </c>
      <c r="P171" s="1">
        <f t="shared" ref="P171" si="484" xml:space="preserve"> IF(LEN(ChartLines.Hex6)=6, HEX2DEC(RIGHT(ChartLines.Hex6, 2)), "·")</f>
        <v>22</v>
      </c>
      <c r="Q171" s="1" cm="1">
        <f t="array" ref="Q171" xml:space="preserve"> 1 + ROW() - _xlfn.SINGLE(ROW(ChartLines.RowNum))</f>
        <v>166</v>
      </c>
      <c r="R171" s="1" t="str">
        <v>✓</v>
      </c>
    </row>
    <row r="172" spans="2:18" x14ac:dyDescent="0.2">
      <c r="B172" s="13" t="str">
        <f xml:space="preserve"> LEFT(SeriesFormatAlias.ID, 2)</f>
        <v>MY</v>
      </c>
      <c r="C172" s="4" t="s">
        <v>105</v>
      </c>
      <c r="D172" t="str">
        <v>✓</v>
      </c>
      <c r="H172" s="1" t="s">
        <v>119</v>
      </c>
      <c r="I172" s="1" t="s">
        <v>411</v>
      </c>
      <c r="K172" s="1">
        <f t="shared" ref="K172" si="485" xml:space="preserve"> IF(AND(LEN(ChartLines.ID)&gt;0,"Unused"&lt;&gt;ChartLines.ID), COUNTIFS(ChartLines.ID,ChartLines.ID), "·")</f>
        <v>2</v>
      </c>
      <c r="L172" s="1">
        <f t="shared" ref="L172" si="486" xml:space="preserve"> IF(AND(LEN(ChartLines.ID)&gt;0,"Unused"&lt;&gt;ChartLines.ID), COUNTIFS(ChartLines.ID,ChartLines.ID,   ChartLines.RowNum,"&lt;="&amp;ChartLines.RowNum), "·")</f>
        <v>1</v>
      </c>
      <c r="M172" s="1" t="str" cm="1">
        <f t="array" ref="M172" xml:space="preserve"> _xlfn.IFS(OR(LEN(_xlfn.SINGLE(ChartLines.ID))=0,"Unused"=_xlfn.SINGLE(ChartLines.ID)), "·",   1=_xlfn.SINGLE(ChartLines.NumInstances), IF("USD"=_xlfn.SINGLE(ChartLines.ID), "SoleBig", "SoleOrdinary"),   1=_xlfn.SINGLE(ChartLines.InstanceNum), "Outer",   TRUE, "Inner")</f>
        <v>Outer</v>
      </c>
      <c r="N172" s="1">
        <f t="shared" ref="N172" si="487" xml:space="preserve"> IF(LEN(ChartLines.Hex6)=6, HEX2DEC(LEFT(ChartLines.Hex6, 2)), "·")</f>
        <v>255</v>
      </c>
      <c r="O172" s="1">
        <f t="shared" ref="O172" si="488" xml:space="preserve"> IF(LEN(ChartLines.Hex6)=6, HEX2DEC(MID(ChartLines.Hex6, 3, 2)), "·")</f>
        <v>210</v>
      </c>
      <c r="P172" s="1">
        <f t="shared" ref="P172" si="489" xml:space="preserve"> IF(LEN(ChartLines.Hex6)=6, HEX2DEC(RIGHT(ChartLines.Hex6, 2)), "·")</f>
        <v>0</v>
      </c>
      <c r="Q172" s="1" cm="1">
        <f t="array" ref="Q172" xml:space="preserve"> 1 + ROW() - _xlfn.SINGLE(ROW(ChartLines.RowNum))</f>
        <v>167</v>
      </c>
      <c r="R172" s="1" t="str">
        <v>✓</v>
      </c>
    </row>
    <row r="173" spans="2:18" x14ac:dyDescent="0.2">
      <c r="B173" s="13" t="str">
        <f xml:space="preserve"> LEFT(SeriesFormatAlias.ID, 2)</f>
        <v>ID</v>
      </c>
      <c r="C173" s="4" t="s">
        <v>106</v>
      </c>
      <c r="D173" t="str">
        <v>✓</v>
      </c>
      <c r="H173" s="1" t="s">
        <v>119</v>
      </c>
      <c r="I173" s="1" t="s">
        <v>412</v>
      </c>
      <c r="K173" s="1">
        <f t="shared" ref="K173" si="490" xml:space="preserve"> IF(AND(LEN(ChartLines.ID)&gt;0,"Unused"&lt;&gt;ChartLines.ID), COUNTIFS(ChartLines.ID,ChartLines.ID), "·")</f>
        <v>2</v>
      </c>
      <c r="L173" s="1">
        <f t="shared" ref="L173" si="491" xml:space="preserve"> IF(AND(LEN(ChartLines.ID)&gt;0,"Unused"&lt;&gt;ChartLines.ID), COUNTIFS(ChartLines.ID,ChartLines.ID,   ChartLines.RowNum,"&lt;="&amp;ChartLines.RowNum), "·")</f>
        <v>2</v>
      </c>
      <c r="M173" s="1" t="str" cm="1">
        <f t="array" ref="M173" xml:space="preserve"> _xlfn.IFS(OR(LEN(_xlfn.SINGLE(ChartLines.ID))=0,"Unused"=_xlfn.SINGLE(ChartLines.ID)), "·",   1=_xlfn.SINGLE(ChartLines.NumInstances), IF("USD"=_xlfn.SINGLE(ChartLines.ID), "SoleBig", "SoleOrdinary"),   1=_xlfn.SINGLE(ChartLines.InstanceNum), "Outer",   TRUE, "Inner")</f>
        <v>Inner</v>
      </c>
      <c r="N173" s="1">
        <f t="shared" ref="N173" si="492" xml:space="preserve"> IF(LEN(ChartLines.Hex6)=6, HEX2DEC(LEFT(ChartLines.Hex6, 2)), "·")</f>
        <v>204</v>
      </c>
      <c r="O173" s="1">
        <f t="shared" ref="O173" si="493" xml:space="preserve"> IF(LEN(ChartLines.Hex6)=6, HEX2DEC(MID(ChartLines.Hex6, 3, 2)), "·")</f>
        <v>9</v>
      </c>
      <c r="P173" s="1">
        <f t="shared" ref="P173" si="494" xml:space="preserve"> IF(LEN(ChartLines.Hex6)=6, HEX2DEC(RIGHT(ChartLines.Hex6, 2)), "·")</f>
        <v>47</v>
      </c>
      <c r="Q173" s="1" cm="1">
        <f t="array" ref="Q173" xml:space="preserve"> 1 + ROW() - _xlfn.SINGLE(ROW(ChartLines.RowNum))</f>
        <v>168</v>
      </c>
      <c r="R173" s="1" t="str">
        <v>✓</v>
      </c>
    </row>
    <row r="174" spans="2:18" x14ac:dyDescent="0.2">
      <c r="B174" s="13" t="str">
        <f xml:space="preserve"> LEFT(SeriesFormatAlias.ID, 2)</f>
        <v>TH</v>
      </c>
      <c r="C174" s="4" t="s">
        <v>107</v>
      </c>
      <c r="D174" t="str">
        <v>✓</v>
      </c>
      <c r="H174" s="1" t="s">
        <v>121</v>
      </c>
      <c r="I174" s="1" t="s">
        <v>413</v>
      </c>
      <c r="K174" s="1">
        <f t="shared" ref="K174" si="495" xml:space="preserve"> IF(AND(LEN(ChartLines.ID)&gt;0,"Unused"&lt;&gt;ChartLines.ID), COUNTIFS(ChartLines.ID,ChartLines.ID), "·")</f>
        <v>2</v>
      </c>
      <c r="L174" s="1">
        <f t="shared" ref="L174" si="496" xml:space="preserve"> IF(AND(LEN(ChartLines.ID)&gt;0,"Unused"&lt;&gt;ChartLines.ID), COUNTIFS(ChartLines.ID,ChartLines.ID,   ChartLines.RowNum,"&lt;="&amp;ChartLines.RowNum), "·")</f>
        <v>1</v>
      </c>
      <c r="M174" s="1" t="str" cm="1">
        <f t="array" ref="M174" xml:space="preserve"> _xlfn.IFS(OR(LEN(_xlfn.SINGLE(ChartLines.ID))=0,"Unused"=_xlfn.SINGLE(ChartLines.ID)), "·",   1=_xlfn.SINGLE(ChartLines.NumInstances), IF("USD"=_xlfn.SINGLE(ChartLines.ID), "SoleBig", "SoleOrdinary"),   1=_xlfn.SINGLE(ChartLines.InstanceNum), "Outer",   TRUE, "Inner")</f>
        <v>Outer</v>
      </c>
      <c r="N174" s="1">
        <f t="shared" ref="N174" si="497" xml:space="preserve"> IF(LEN(ChartLines.Hex6)=6, HEX2DEC(LEFT(ChartLines.Hex6, 2)), "·")</f>
        <v>0</v>
      </c>
      <c r="O174" s="1">
        <f t="shared" ref="O174" si="498" xml:space="preserve"> IF(LEN(ChartLines.Hex6)=6, HEX2DEC(MID(ChartLines.Hex6, 3, 2)), "·")</f>
        <v>87</v>
      </c>
      <c r="P174" s="1">
        <f t="shared" ref="P174" si="499" xml:space="preserve"> IF(LEN(ChartLines.Hex6)=6, HEX2DEC(RIGHT(ChartLines.Hex6, 2)), "·")</f>
        <v>183</v>
      </c>
      <c r="Q174" s="1" cm="1">
        <f t="array" ref="Q174" xml:space="preserve"> 1 + ROW() - _xlfn.SINGLE(ROW(ChartLines.RowNum))</f>
        <v>169</v>
      </c>
      <c r="R174" s="1" t="str">
        <v>✓</v>
      </c>
    </row>
    <row r="175" spans="2:18" x14ac:dyDescent="0.2">
      <c r="B175" s="13" t="str">
        <f xml:space="preserve"> LEFT(SeriesFormatAlias.ID, 2)</f>
        <v>PH</v>
      </c>
      <c r="C175" s="4" t="s">
        <v>108</v>
      </c>
      <c r="D175" t="str">
        <v>✓</v>
      </c>
      <c r="H175" s="1" t="s">
        <v>121</v>
      </c>
      <c r="I175" s="1" t="s">
        <v>414</v>
      </c>
      <c r="K175" s="1">
        <f t="shared" ref="K175" si="500" xml:space="preserve"> IF(AND(LEN(ChartLines.ID)&gt;0,"Unused"&lt;&gt;ChartLines.ID), COUNTIFS(ChartLines.ID,ChartLines.ID), "·")</f>
        <v>2</v>
      </c>
      <c r="L175" s="1">
        <f t="shared" ref="L175" si="501" xml:space="preserve"> IF(AND(LEN(ChartLines.ID)&gt;0,"Unused"&lt;&gt;ChartLines.ID), COUNTIFS(ChartLines.ID,ChartLines.ID,   ChartLines.RowNum,"&lt;="&amp;ChartLines.RowNum), "·")</f>
        <v>2</v>
      </c>
      <c r="M175" s="1" t="str" cm="1">
        <f t="array" ref="M175" xml:space="preserve"> _xlfn.IFS(OR(LEN(_xlfn.SINGLE(ChartLines.ID))=0,"Unused"=_xlfn.SINGLE(ChartLines.ID)), "·",   1=_xlfn.SINGLE(ChartLines.NumInstances), IF("USD"=_xlfn.SINGLE(ChartLines.ID), "SoleBig", "SoleOrdinary"),   1=_xlfn.SINGLE(ChartLines.InstanceNum), "Outer",   TRUE, "Inner")</f>
        <v>Inner</v>
      </c>
      <c r="N175" s="1">
        <f t="shared" ref="N175" si="502" xml:space="preserve"> IF(LEN(ChartLines.Hex6)=6, HEX2DEC(LEFT(ChartLines.Hex6, 2)), "·")</f>
        <v>255</v>
      </c>
      <c r="O175" s="1">
        <f t="shared" ref="O175" si="503" xml:space="preserve"> IF(LEN(ChartLines.Hex6)=6, HEX2DEC(MID(ChartLines.Hex6, 3, 2)), "·")</f>
        <v>215</v>
      </c>
      <c r="P175" s="1">
        <f t="shared" ref="P175" si="504" xml:space="preserve"> IF(LEN(ChartLines.Hex6)=6, HEX2DEC(RIGHT(ChartLines.Hex6, 2)), "·")</f>
        <v>0</v>
      </c>
      <c r="Q175" s="1" cm="1">
        <f t="array" ref="Q175" xml:space="preserve"> 1 + ROW() - _xlfn.SINGLE(ROW(ChartLines.RowNum))</f>
        <v>170</v>
      </c>
      <c r="R175" s="1" t="str">
        <v>✓</v>
      </c>
    </row>
    <row r="176" spans="2:18" x14ac:dyDescent="0.2">
      <c r="B176" s="13" t="str">
        <f xml:space="preserve"> LEFT(SeriesFormatAlias.ID, 2)</f>
        <v>VN</v>
      </c>
      <c r="C176" s="4" t="s">
        <v>109</v>
      </c>
      <c r="D176" t="str">
        <v>✓</v>
      </c>
      <c r="H176" s="1" t="s">
        <v>122</v>
      </c>
      <c r="I176" s="1" t="s">
        <v>344</v>
      </c>
      <c r="K176" s="1">
        <f t="shared" ref="K176" si="505" xml:space="preserve"> IF(AND(LEN(ChartLines.ID)&gt;0,"Unused"&lt;&gt;ChartLines.ID), COUNTIFS(ChartLines.ID,ChartLines.ID), "·")</f>
        <v>2</v>
      </c>
      <c r="L176" s="1">
        <f t="shared" ref="L176" si="506" xml:space="preserve"> IF(AND(LEN(ChartLines.ID)&gt;0,"Unused"&lt;&gt;ChartLines.ID), COUNTIFS(ChartLines.ID,ChartLines.ID,   ChartLines.RowNum,"&lt;="&amp;ChartLines.RowNum), "·")</f>
        <v>1</v>
      </c>
      <c r="M176" s="1" t="str" cm="1">
        <f t="array" ref="M176" xml:space="preserve"> _xlfn.IFS(OR(LEN(_xlfn.SINGLE(ChartLines.ID))=0,"Unused"=_xlfn.SINGLE(ChartLines.ID)), "·",   1=_xlfn.SINGLE(ChartLines.NumInstances), IF("USD"=_xlfn.SINGLE(ChartLines.ID), "SoleBig", "SoleOrdinary"),   1=_xlfn.SINGLE(ChartLines.InstanceNum), "Outer",   TRUE, "Inner")</f>
        <v>Outer</v>
      </c>
      <c r="N176" s="1">
        <f t="shared" ref="N176" si="507" xml:space="preserve"> IF(LEN(ChartLines.Hex6)=6, HEX2DEC(LEFT(ChartLines.Hex6, 2)), "·")</f>
        <v>255</v>
      </c>
      <c r="O176" s="1">
        <f t="shared" ref="O176" si="508" xml:space="preserve"> IF(LEN(ChartLines.Hex6)=6, HEX2DEC(MID(ChartLines.Hex6, 3, 2)), "·")</f>
        <v>0</v>
      </c>
      <c r="P176" s="1">
        <f t="shared" ref="P176" si="509" xml:space="preserve"> IF(LEN(ChartLines.Hex6)=6, HEX2DEC(RIGHT(ChartLines.Hex6, 2)), "·")</f>
        <v>0</v>
      </c>
      <c r="Q176" s="1" cm="1">
        <f t="array" ref="Q176" xml:space="preserve"> 1 + ROW() - _xlfn.SINGLE(ROW(ChartLines.RowNum))</f>
        <v>171</v>
      </c>
      <c r="R176" s="1" t="str">
        <v>✓</v>
      </c>
    </row>
    <row r="177" spans="2:18" x14ac:dyDescent="0.2">
      <c r="B177" s="13" t="str">
        <f xml:space="preserve"> LEFT(SeriesFormatAlias.ID, 2)</f>
        <v>IN</v>
      </c>
      <c r="C177" s="4" t="s">
        <v>110</v>
      </c>
      <c r="D177" t="str">
        <v>✓</v>
      </c>
      <c r="H177" s="1" t="s">
        <v>122</v>
      </c>
      <c r="I177" s="1" t="s">
        <v>345</v>
      </c>
      <c r="K177" s="1">
        <f t="shared" ref="K177:K181" si="510" xml:space="preserve"> IF(AND(LEN(ChartLines.ID)&gt;0,"Unused"&lt;&gt;ChartLines.ID), COUNTIFS(ChartLines.ID,ChartLines.ID), "·")</f>
        <v>2</v>
      </c>
      <c r="L177" s="1">
        <f t="shared" ref="L177:L181" si="511" xml:space="preserve"> IF(AND(LEN(ChartLines.ID)&gt;0,"Unused"&lt;&gt;ChartLines.ID), COUNTIFS(ChartLines.ID,ChartLines.ID,   ChartLines.RowNum,"&lt;="&amp;ChartLines.RowNum), "·")</f>
        <v>2</v>
      </c>
      <c r="M177" s="1" t="str" cm="1">
        <f t="array" ref="M177" xml:space="preserve"> _xlfn.IFS(OR(LEN(_xlfn.SINGLE(ChartLines.ID))=0,"Unused"=_xlfn.SINGLE(ChartLines.ID)), "·",   1=_xlfn.SINGLE(ChartLines.NumInstances), IF("USD"=_xlfn.SINGLE(ChartLines.ID), "SoleBig", "SoleOrdinary"),   1=_xlfn.SINGLE(ChartLines.InstanceNum), "Outer",   TRUE, "Inner")</f>
        <v>Inner</v>
      </c>
      <c r="N177" s="1">
        <f t="shared" ref="N177:N181" si="512" xml:space="preserve"> IF(LEN(ChartLines.Hex6)=6, HEX2DEC(LEFT(ChartLines.Hex6, 2)), "·")</f>
        <v>255</v>
      </c>
      <c r="O177" s="1">
        <f t="shared" ref="O177:O181" si="513" xml:space="preserve"> IF(LEN(ChartLines.Hex6)=6, HEX2DEC(MID(ChartLines.Hex6, 3, 2)), "·")</f>
        <v>255</v>
      </c>
      <c r="P177" s="1">
        <f t="shared" ref="P177:P181" si="514" xml:space="preserve"> IF(LEN(ChartLines.Hex6)=6, HEX2DEC(RIGHT(ChartLines.Hex6, 2)), "·")</f>
        <v>255</v>
      </c>
      <c r="Q177" s="1" cm="1">
        <f t="array" ref="Q177" xml:space="preserve"> 1 + ROW() - _xlfn.SINGLE(ROW(ChartLines.RowNum))</f>
        <v>172</v>
      </c>
      <c r="R177" s="1" t="str">
        <v>✓</v>
      </c>
    </row>
    <row r="178" spans="2:18" x14ac:dyDescent="0.2">
      <c r="B178" s="13" t="str">
        <f xml:space="preserve"> LEFT(SeriesFormatAlias.ID, 2)</f>
        <v>PK</v>
      </c>
      <c r="C178" s="4" t="s">
        <v>111</v>
      </c>
      <c r="D178" t="str">
        <v>✓</v>
      </c>
      <c r="H178" s="1" t="s">
        <v>529</v>
      </c>
      <c r="I178" s="1" t="s">
        <v>530</v>
      </c>
      <c r="K178" s="1">
        <f t="shared" si="510"/>
        <v>2</v>
      </c>
      <c r="L178" s="1">
        <f t="shared" si="511"/>
        <v>1</v>
      </c>
      <c r="M178" s="1" t="str" cm="1">
        <f t="array" ref="M178" xml:space="preserve"> _xlfn.IFS(OR(LEN(_xlfn.SINGLE(ChartLines.ID))=0,"Unused"=_xlfn.SINGLE(ChartLines.ID)), "·",   1=_xlfn.SINGLE(ChartLines.NumInstances), IF("USD"=_xlfn.SINGLE(ChartLines.ID), "SoleBig", "SoleOrdinary"),   1=_xlfn.SINGLE(ChartLines.InstanceNum), "Outer",   TRUE, "Inner")</f>
        <v>Outer</v>
      </c>
      <c r="N178" s="1">
        <f t="shared" si="512"/>
        <v>0</v>
      </c>
      <c r="O178" s="1">
        <f t="shared" si="513"/>
        <v>152</v>
      </c>
      <c r="P178" s="1">
        <f t="shared" si="514"/>
        <v>195</v>
      </c>
      <c r="Q178" s="1" cm="1">
        <f t="array" ref="Q178" xml:space="preserve"> 1 + ROW() - _xlfn.SINGLE(ROW(ChartLines.RowNum))</f>
        <v>173</v>
      </c>
      <c r="R178" s="1" t="str">
        <v>✘✘✘</v>
      </c>
    </row>
    <row r="179" spans="2:18" x14ac:dyDescent="0.2">
      <c r="B179" s="13" t="str">
        <f xml:space="preserve"> LEFT(SeriesFormatAlias.ID, 2)</f>
        <v>BD</v>
      </c>
      <c r="C179" s="4" t="s">
        <v>112</v>
      </c>
      <c r="D179" t="str">
        <v>✓</v>
      </c>
      <c r="H179" s="1" t="s">
        <v>529</v>
      </c>
      <c r="I179" s="1" t="s">
        <v>345</v>
      </c>
      <c r="K179" s="1">
        <f t="shared" si="510"/>
        <v>2</v>
      </c>
      <c r="L179" s="1">
        <f t="shared" si="511"/>
        <v>2</v>
      </c>
      <c r="M179" s="1" t="str" cm="1">
        <f t="array" ref="M179" xml:space="preserve"> _xlfn.IFS(OR(LEN(_xlfn.SINGLE(ChartLines.ID))=0,"Unused"=_xlfn.SINGLE(ChartLines.ID)), "·",   1=_xlfn.SINGLE(ChartLines.NumInstances), IF("USD"=_xlfn.SINGLE(ChartLines.ID), "SoleBig", "SoleOrdinary"),   1=_xlfn.SINGLE(ChartLines.InstanceNum), "Outer",   TRUE, "Inner")</f>
        <v>Inner</v>
      </c>
      <c r="N179" s="1">
        <f t="shared" si="512"/>
        <v>255</v>
      </c>
      <c r="O179" s="1">
        <f t="shared" si="513"/>
        <v>255</v>
      </c>
      <c r="P179" s="1">
        <f t="shared" si="514"/>
        <v>255</v>
      </c>
      <c r="Q179" s="1" cm="1">
        <f t="array" ref="Q179" xml:space="preserve"> 1 + ROW() - _xlfn.SINGLE(ROW(ChartLines.RowNum))</f>
        <v>174</v>
      </c>
      <c r="R179" s="1" t="str">
        <v>✘✘✘</v>
      </c>
    </row>
    <row r="180" spans="2:18" x14ac:dyDescent="0.2">
      <c r="B180" s="13" t="str">
        <f xml:space="preserve"> LEFT(SeriesFormatAlias.ID, 2)</f>
        <v>LK</v>
      </c>
      <c r="C180" s="4" t="s">
        <v>113</v>
      </c>
      <c r="D180" t="str">
        <v>✓</v>
      </c>
      <c r="H180" s="1" t="s">
        <v>531</v>
      </c>
      <c r="I180" s="1" t="s">
        <v>438</v>
      </c>
      <c r="K180" s="1">
        <f t="shared" si="510"/>
        <v>2</v>
      </c>
      <c r="L180" s="1">
        <f t="shared" si="511"/>
        <v>1</v>
      </c>
      <c r="M180" s="1" t="str" cm="1">
        <f t="array" ref="M180" xml:space="preserve"> _xlfn.IFS(OR(LEN(_xlfn.SINGLE(ChartLines.ID))=0,"Unused"=_xlfn.SINGLE(ChartLines.ID)), "·",   1=_xlfn.SINGLE(ChartLines.NumInstances), IF("USD"=_xlfn.SINGLE(ChartLines.ID), "SoleBig", "SoleOrdinary"),   1=_xlfn.SINGLE(ChartLines.InstanceNum), "Outer",   TRUE, "Inner")</f>
        <v>Outer</v>
      </c>
      <c r="N180" s="1">
        <f t="shared" si="512"/>
        <v>0</v>
      </c>
      <c r="O180" s="1">
        <f t="shared" si="513"/>
        <v>51</v>
      </c>
      <c r="P180" s="1">
        <f t="shared" si="514"/>
        <v>160</v>
      </c>
      <c r="Q180" s="1" cm="1">
        <f t="array" ref="Q180" xml:space="preserve"> 1 + ROW() - _xlfn.SINGLE(ROW(ChartLines.RowNum))</f>
        <v>175</v>
      </c>
      <c r="R180" s="1" t="str">
        <v>✘✘✘</v>
      </c>
    </row>
    <row r="181" spans="2:18" x14ac:dyDescent="0.2">
      <c r="B181" s="13" t="str">
        <f xml:space="preserve"> LEFT(SeriesFormatAlias.ID, 2)</f>
        <v>KZ</v>
      </c>
      <c r="C181" s="4" t="s">
        <v>114</v>
      </c>
      <c r="D181" t="str">
        <v>✓</v>
      </c>
      <c r="H181" s="1" t="s">
        <v>531</v>
      </c>
      <c r="I181" s="1" t="s">
        <v>532</v>
      </c>
      <c r="K181" s="1">
        <f t="shared" si="510"/>
        <v>2</v>
      </c>
      <c r="L181" s="1">
        <f t="shared" si="511"/>
        <v>2</v>
      </c>
      <c r="M181" s="1" t="str" cm="1">
        <f t="array" ref="M181" xml:space="preserve"> _xlfn.IFS(OR(LEN(_xlfn.SINGLE(ChartLines.ID))=0,"Unused"=_xlfn.SINGLE(ChartLines.ID)), "·",   1=_xlfn.SINGLE(ChartLines.NumInstances), IF("USD"=_xlfn.SINGLE(ChartLines.ID), "SoleBig", "SoleOrdinary"),   1=_xlfn.SINGLE(ChartLines.InstanceNum), "Outer",   TRUE, "Inner")</f>
        <v>Inner</v>
      </c>
      <c r="N181" s="1">
        <f t="shared" si="512"/>
        <v>242</v>
      </c>
      <c r="O181" s="1">
        <f t="shared" si="513"/>
        <v>168</v>
      </c>
      <c r="P181" s="1">
        <f t="shared" si="514"/>
        <v>0</v>
      </c>
      <c r="Q181" s="1" cm="1">
        <f t="array" ref="Q181" xml:space="preserve"> 1 + ROW() - _xlfn.SINGLE(ROW(ChartLines.RowNum))</f>
        <v>176</v>
      </c>
      <c r="R181" s="1" t="str">
        <v>✘✘✘</v>
      </c>
    </row>
    <row r="182" spans="2:18" x14ac:dyDescent="0.2">
      <c r="B182" s="13" t="str">
        <f xml:space="preserve"> LEFT(SeriesFormatAlias.ID, 2)</f>
        <v>MN</v>
      </c>
      <c r="C182" s="4" t="s">
        <v>115</v>
      </c>
      <c r="D182" t="str">
        <v>✓</v>
      </c>
      <c r="H182" s="1" t="s">
        <v>478</v>
      </c>
      <c r="I182" s="1" t="s">
        <v>415</v>
      </c>
      <c r="K182" s="1">
        <f t="shared" ref="K182" si="515" xml:space="preserve"> IF(AND(LEN(ChartLines.ID)&gt;0,"Unused"&lt;&gt;ChartLines.ID), COUNTIFS(ChartLines.ID,ChartLines.ID), "·")</f>
        <v>2</v>
      </c>
      <c r="L182" s="1">
        <f t="shared" ref="L182" si="516" xml:space="preserve"> IF(AND(LEN(ChartLines.ID)&gt;0,"Unused"&lt;&gt;ChartLines.ID), COUNTIFS(ChartLines.ID,ChartLines.ID,   ChartLines.RowNum,"&lt;="&amp;ChartLines.RowNum), "·")</f>
        <v>1</v>
      </c>
      <c r="M182" s="1" t="str" cm="1">
        <f t="array" ref="M182" xml:space="preserve"> _xlfn.IFS(OR(LEN(_xlfn.SINGLE(ChartLines.ID))=0,"Unused"=_xlfn.SINGLE(ChartLines.ID)), "·",   1=_xlfn.SINGLE(ChartLines.NumInstances), IF("USD"=_xlfn.SINGLE(ChartLines.ID), "SoleBig", "SoleOrdinary"),   1=_xlfn.SINGLE(ChartLines.InstanceNum), "Outer",   TRUE, "Inner")</f>
        <v>Outer</v>
      </c>
      <c r="N182" s="1">
        <f t="shared" ref="N182" si="517" xml:space="preserve"> IF(LEN(ChartLines.Hex6)=6, HEX2DEC(LEFT(ChartLines.Hex6, 2)), "·")</f>
        <v>207</v>
      </c>
      <c r="O182" s="1">
        <f t="shared" ref="O182" si="518" xml:space="preserve"> IF(LEN(ChartLines.Hex6)=6, HEX2DEC(MID(ChartLines.Hex6, 3, 2)), "·")</f>
        <v>16</v>
      </c>
      <c r="P182" s="1">
        <f t="shared" ref="P182" si="519" xml:space="preserve"> IF(LEN(ChartLines.Hex6)=6, HEX2DEC(RIGHT(ChartLines.Hex6, 2)), "·")</f>
        <v>26</v>
      </c>
      <c r="Q182" s="1" cm="1">
        <f t="array" ref="Q182" xml:space="preserve"> 1 + ROW() - _xlfn.SINGLE(ROW(ChartLines.RowNum))</f>
        <v>177</v>
      </c>
      <c r="R182" s="1" t="str">
        <v>✓</v>
      </c>
    </row>
    <row r="183" spans="2:18" x14ac:dyDescent="0.2">
      <c r="B183" s="13" t="str">
        <f xml:space="preserve"> LEFT(SeriesFormatAlias.ID, 2)</f>
        <v>NP</v>
      </c>
      <c r="C183" s="4" t="s">
        <v>555</v>
      </c>
      <c r="D183" t="str">
        <v>✓</v>
      </c>
      <c r="H183" s="1" t="s">
        <v>478</v>
      </c>
      <c r="I183" s="1" t="s">
        <v>345</v>
      </c>
      <c r="K183" s="1">
        <f t="shared" ref="K183" si="520" xml:space="preserve"> IF(AND(LEN(ChartLines.ID)&gt;0,"Unused"&lt;&gt;ChartLines.ID), COUNTIFS(ChartLines.ID,ChartLines.ID), "·")</f>
        <v>2</v>
      </c>
      <c r="L183" s="1">
        <f t="shared" ref="L183" si="521" xml:space="preserve"> IF(AND(LEN(ChartLines.ID)&gt;0,"Unused"&lt;&gt;ChartLines.ID), COUNTIFS(ChartLines.ID,ChartLines.ID,   ChartLines.RowNum,"&lt;="&amp;ChartLines.RowNum), "·")</f>
        <v>2</v>
      </c>
      <c r="M183" s="1" t="str" cm="1">
        <f t="array" ref="M183" xml:space="preserve"> _xlfn.IFS(OR(LEN(_xlfn.SINGLE(ChartLines.ID))=0,"Unused"=_xlfn.SINGLE(ChartLines.ID)), "·",   1=_xlfn.SINGLE(ChartLines.NumInstances), IF("USD"=_xlfn.SINGLE(ChartLines.ID), "SoleBig", "SoleOrdinary"),   1=_xlfn.SINGLE(ChartLines.InstanceNum), "Outer",   TRUE, "Inner")</f>
        <v>Inner</v>
      </c>
      <c r="N183" s="1">
        <f t="shared" ref="N183" si="522" xml:space="preserve"> IF(LEN(ChartLines.Hex6)=6, HEX2DEC(LEFT(ChartLines.Hex6, 2)), "·")</f>
        <v>255</v>
      </c>
      <c r="O183" s="1">
        <f t="shared" ref="O183" si="523" xml:space="preserve"> IF(LEN(ChartLines.Hex6)=6, HEX2DEC(MID(ChartLines.Hex6, 3, 2)), "·")</f>
        <v>255</v>
      </c>
      <c r="P183" s="1">
        <f t="shared" ref="P183" si="524" xml:space="preserve"> IF(LEN(ChartLines.Hex6)=6, HEX2DEC(RIGHT(ChartLines.Hex6, 2)), "·")</f>
        <v>255</v>
      </c>
      <c r="Q183" s="1" cm="1">
        <f t="array" ref="Q183" xml:space="preserve"> 1 + ROW() - _xlfn.SINGLE(ROW(ChartLines.RowNum))</f>
        <v>178</v>
      </c>
      <c r="R183" s="1" t="str">
        <v>✓</v>
      </c>
    </row>
    <row r="184" spans="2:18" x14ac:dyDescent="0.2">
      <c r="B184" s="13" t="str">
        <f xml:space="preserve"> LEFT(SeriesFormatAlias.ID, 2)</f>
        <v>KP</v>
      </c>
      <c r="C184" s="4" t="s">
        <v>527</v>
      </c>
      <c r="D184" t="str">
        <v>✓</v>
      </c>
      <c r="H184" s="1" t="s">
        <v>120</v>
      </c>
      <c r="I184" s="1" t="s">
        <v>416</v>
      </c>
      <c r="K184" s="1">
        <f t="shared" ref="K184" si="525" xml:space="preserve"> IF(AND(LEN(ChartLines.ID)&gt;0,"Unused"&lt;&gt;ChartLines.ID), COUNTIFS(ChartLines.ID,ChartLines.ID), "·")</f>
        <v>2</v>
      </c>
      <c r="L184" s="1">
        <f t="shared" ref="L184" si="526" xml:space="preserve"> IF(AND(LEN(ChartLines.ID)&gt;0,"Unused"&lt;&gt;ChartLines.ID), COUNTIFS(ChartLines.ID,ChartLines.ID,   ChartLines.RowNum,"&lt;="&amp;ChartLines.RowNum), "·")</f>
        <v>1</v>
      </c>
      <c r="M184" s="1" t="str" cm="1">
        <f t="array" ref="M184" xml:space="preserve"> _xlfn.IFS(OR(LEN(_xlfn.SINGLE(ChartLines.ID))=0,"Unused"=_xlfn.SINGLE(ChartLines.ID)), "·",   1=_xlfn.SINGLE(ChartLines.NumInstances), IF("USD"=_xlfn.SINGLE(ChartLines.ID), "SoleBig", "SoleOrdinary"),   1=_xlfn.SINGLE(ChartLines.InstanceNum), "Outer",   TRUE, "Inner")</f>
        <v>Outer</v>
      </c>
      <c r="N184" s="1">
        <f t="shared" ref="N184" si="527" xml:space="preserve"> IF(LEN(ChartLines.Hex6)=6, HEX2DEC(LEFT(ChartLines.Hex6, 2)), "·")</f>
        <v>106</v>
      </c>
      <c r="O184" s="1">
        <f t="shared" ref="O184" si="528" xml:space="preserve"> IF(LEN(ChartLines.Hex6)=6, HEX2DEC(MID(ChartLines.Hex6, 3, 2)), "·")</f>
        <v>87</v>
      </c>
      <c r="P184" s="1">
        <f t="shared" ref="P184" si="529" xml:space="preserve"> IF(LEN(ChartLines.Hex6)=6, HEX2DEC(RIGHT(ChartLines.Hex6, 2)), "·")</f>
        <v>27</v>
      </c>
      <c r="Q184" s="1" cm="1">
        <f t="array" ref="Q184" xml:space="preserve"> 1 + ROW() - _xlfn.SINGLE(ROW(ChartLines.RowNum))</f>
        <v>179</v>
      </c>
      <c r="R184" s="1" t="str">
        <v>✓</v>
      </c>
    </row>
    <row r="185" spans="2:18" x14ac:dyDescent="0.2">
      <c r="B185" s="13" t="str">
        <f xml:space="preserve"> LEFT(SeriesFormatAlias.ID, 2)</f>
        <v>RS</v>
      </c>
      <c r="C185" s="4" t="s">
        <v>116</v>
      </c>
      <c r="D185" t="str">
        <v>✓</v>
      </c>
      <c r="H185" s="1" t="s">
        <v>120</v>
      </c>
      <c r="I185" s="1" t="s">
        <v>417</v>
      </c>
      <c r="K185" s="1">
        <f t="shared" ref="K185" si="530" xml:space="preserve"> IF(AND(LEN(ChartLines.ID)&gt;0,"Unused"&lt;&gt;ChartLines.ID), COUNTIFS(ChartLines.ID,ChartLines.ID), "·")</f>
        <v>2</v>
      </c>
      <c r="L185" s="1">
        <f t="shared" ref="L185" si="531" xml:space="preserve"> IF(AND(LEN(ChartLines.ID)&gt;0,"Unused"&lt;&gt;ChartLines.ID), COUNTIFS(ChartLines.ID,ChartLines.ID,   ChartLines.RowNum,"&lt;="&amp;ChartLines.RowNum), "·")</f>
        <v>2</v>
      </c>
      <c r="M185" s="1" t="str" cm="1">
        <f t="array" ref="M185" xml:space="preserve"> _xlfn.IFS(OR(LEN(_xlfn.SINGLE(ChartLines.ID))=0,"Unused"=_xlfn.SINGLE(ChartLines.ID)), "·",   1=_xlfn.SINGLE(ChartLines.NumInstances), IF("USD"=_xlfn.SINGLE(ChartLines.ID), "SoleBig", "SoleOrdinary"),   1=_xlfn.SINGLE(ChartLines.InstanceNum), "Outer",   TRUE, "Inner")</f>
        <v>Inner</v>
      </c>
      <c r="N185" s="1">
        <f t="shared" ref="N185" si="532" xml:space="preserve"> IF(LEN(ChartLines.Hex6)=6, HEX2DEC(LEFT(ChartLines.Hex6, 2)), "·")</f>
        <v>212</v>
      </c>
      <c r="O185" s="1">
        <f t="shared" ref="O185" si="533" xml:space="preserve"> IF(LEN(ChartLines.Hex6)=6, HEX2DEC(MID(ChartLines.Hex6, 3, 2)), "·")</f>
        <v>175</v>
      </c>
      <c r="P185" s="1">
        <f t="shared" ref="P185" si="534" xml:space="preserve"> IF(LEN(ChartLines.Hex6)=6, HEX2DEC(RIGHT(ChartLines.Hex6, 2)), "·")</f>
        <v>55</v>
      </c>
      <c r="Q185" s="1" cm="1">
        <f t="array" ref="Q185" xml:space="preserve"> 1 + ROW() - _xlfn.SINGLE(ROW(ChartLines.RowNum))</f>
        <v>180</v>
      </c>
      <c r="R185" s="1" t="str">
        <v>✓</v>
      </c>
    </row>
    <row r="186" spans="2:18" x14ac:dyDescent="0.2">
      <c r="B186" s="13" t="str">
        <f xml:space="preserve"> LEFT(SeriesFormatAlias.ID, 2)</f>
        <v>AL</v>
      </c>
      <c r="C186" s="4" t="s">
        <v>117</v>
      </c>
      <c r="D186" t="str">
        <v>✓</v>
      </c>
      <c r="K186" s="1" t="str">
        <f t="shared" ref="K186" si="535" xml:space="preserve"> IF(AND(LEN(ChartLines.ID)&gt;0,"Unused"&lt;&gt;ChartLines.ID), COUNTIFS(ChartLines.ID,ChartLines.ID), "·")</f>
        <v>·</v>
      </c>
      <c r="L186" s="1" t="str">
        <f t="shared" ref="L186" si="536" xml:space="preserve"> IF(AND(LEN(ChartLines.ID)&gt;0,"Unused"&lt;&gt;ChartLines.ID), COUNTIFS(ChartLines.ID,ChartLines.ID,   ChartLines.RowNum,"&lt;="&amp;ChartLines.RowNum), "·")</f>
        <v>·</v>
      </c>
      <c r="M186" s="1" t="str" cm="1">
        <f t="array" ref="M186" xml:space="preserve"> _xlfn.IFS(OR(LEN(_xlfn.SINGLE(ChartLines.ID))=0,"Unused"=_xlfn.SINGLE(ChartLines.ID)), "·",   1=_xlfn.SINGLE(ChartLines.NumInstances), IF("USD"=_xlfn.SINGLE(ChartLines.ID), "SoleBig", "SoleOrdinary"),   1=_xlfn.SINGLE(ChartLines.InstanceNum), "Outer",   TRUE, "Inner")</f>
        <v>·</v>
      </c>
      <c r="N186" s="1" t="str">
        <f t="shared" ref="N186" si="537" xml:space="preserve"> IF(LEN(ChartLines.Hex6)=6, HEX2DEC(LEFT(ChartLines.Hex6, 2)), "·")</f>
        <v>·</v>
      </c>
      <c r="O186" s="1" t="str">
        <f t="shared" ref="O186" si="538" xml:space="preserve"> IF(LEN(ChartLines.Hex6)=6, HEX2DEC(MID(ChartLines.Hex6, 3, 2)), "·")</f>
        <v>·</v>
      </c>
      <c r="P186" s="1" t="str">
        <f t="shared" ref="P186" si="539" xml:space="preserve"> IF(LEN(ChartLines.Hex6)=6, HEX2DEC(RIGHT(ChartLines.Hex6, 2)), "·")</f>
        <v>·</v>
      </c>
      <c r="Q186" s="1" cm="1">
        <f t="array" ref="Q186" xml:space="preserve"> 1 + ROW() - _xlfn.SINGLE(ROW(ChartLines.RowNum))</f>
        <v>181</v>
      </c>
      <c r="R186" s="1" t="str">
        <v>·</v>
      </c>
    </row>
    <row r="187" spans="2:18" x14ac:dyDescent="0.2">
      <c r="B187" s="13" t="str">
        <f xml:space="preserve"> LEFT(SeriesFormatAlias.ID, 2)</f>
        <v>MK</v>
      </c>
      <c r="C187" s="4" t="s">
        <v>118</v>
      </c>
      <c r="D187" t="str">
        <v>✓</v>
      </c>
      <c r="H187" s="1" t="s">
        <v>123</v>
      </c>
      <c r="I187" s="1" t="s">
        <v>418</v>
      </c>
      <c r="K187" s="1">
        <f t="shared" ref="K187" si="540" xml:space="preserve"> IF(AND(LEN(ChartLines.ID)&gt;0,"Unused"&lt;&gt;ChartLines.ID), COUNTIFS(ChartLines.ID,ChartLines.ID), "·")</f>
        <v>1</v>
      </c>
      <c r="L187" s="1">
        <f t="shared" ref="L187" si="541" xml:space="preserve"> IF(AND(LEN(ChartLines.ID)&gt;0,"Unused"&lt;&gt;ChartLines.ID), COUNTIFS(ChartLines.ID,ChartLines.ID,   ChartLines.RowNum,"&lt;="&amp;ChartLines.RowNum), "·")</f>
        <v>1</v>
      </c>
      <c r="M187" s="1" t="str" cm="1">
        <f t="array" ref="M187" xml:space="preserve"> _xlfn.IFS(OR(LEN(_xlfn.SINGLE(ChartLines.ID))=0,"Unused"=_xlfn.SINGLE(ChartLines.ID)), "·",   1=_xlfn.SINGLE(ChartLines.NumInstances), IF("USD"=_xlfn.SINGLE(ChartLines.ID), "SoleBig", "SoleOrdinary"),   1=_xlfn.SINGLE(ChartLines.InstanceNum), "Outer",   TRUE, "Inner")</f>
        <v>SoleOrdinary</v>
      </c>
      <c r="N187" s="1">
        <f t="shared" ref="N187" si="542" xml:space="preserve"> IF(LEN(ChartLines.Hex6)=6, HEX2DEC(LEFT(ChartLines.Hex6, 2)), "·")</f>
        <v>227</v>
      </c>
      <c r="O187" s="1">
        <f t="shared" ref="O187" si="543" xml:space="preserve"> IF(LEN(ChartLines.Hex6)=6, HEX2DEC(MID(ChartLines.Hex6, 3, 2)), "·")</f>
        <v>10</v>
      </c>
      <c r="P187" s="1">
        <f t="shared" ref="P187" si="544" xml:space="preserve"> IF(LEN(ChartLines.Hex6)=6, HEX2DEC(RIGHT(ChartLines.Hex6, 2)), "·")</f>
        <v>23</v>
      </c>
      <c r="Q187" s="1" cm="1">
        <f t="array" ref="Q187" xml:space="preserve"> 1 + ROW() - _xlfn.SINGLE(ROW(ChartLines.RowNum))</f>
        <v>182</v>
      </c>
      <c r="R187" s="1" t="str">
        <v>✓</v>
      </c>
    </row>
    <row r="188" spans="2:18" x14ac:dyDescent="0.2">
      <c r="B188" s="13" t="str">
        <f xml:space="preserve"> LEFT(SeriesFormatAlias.ID, 2)</f>
        <v>MD</v>
      </c>
      <c r="C188" s="4" t="s">
        <v>119</v>
      </c>
      <c r="D188" t="str">
        <v>✓</v>
      </c>
      <c r="H188" s="1" t="s">
        <v>341</v>
      </c>
      <c r="K188" s="1" t="str">
        <f t="shared" ref="K188" si="545" xml:space="preserve"> IF(AND(LEN(ChartLines.ID)&gt;0,"Unused"&lt;&gt;ChartLines.ID), COUNTIFS(ChartLines.ID,ChartLines.ID), "·")</f>
        <v>·</v>
      </c>
      <c r="L188" s="1" t="str">
        <f t="shared" ref="L188" si="546" xml:space="preserve"> IF(AND(LEN(ChartLines.ID)&gt;0,"Unused"&lt;&gt;ChartLines.ID), COUNTIFS(ChartLines.ID,ChartLines.ID,   ChartLines.RowNum,"&lt;="&amp;ChartLines.RowNum), "·")</f>
        <v>·</v>
      </c>
      <c r="M188" s="1" t="str" cm="1">
        <f t="array" ref="M188" xml:space="preserve"> _xlfn.IFS(OR(LEN(_xlfn.SINGLE(ChartLines.ID))=0,"Unused"=_xlfn.SINGLE(ChartLines.ID)), "·",   1=_xlfn.SINGLE(ChartLines.NumInstances), IF("USD"=_xlfn.SINGLE(ChartLines.ID), "SoleBig", "SoleOrdinary"),   1=_xlfn.SINGLE(ChartLines.InstanceNum), "Outer",   TRUE, "Inner")</f>
        <v>·</v>
      </c>
      <c r="N188" s="1" t="str">
        <f t="shared" ref="N188" si="547" xml:space="preserve"> IF(LEN(ChartLines.Hex6)=6, HEX2DEC(LEFT(ChartLines.Hex6, 2)), "·")</f>
        <v>·</v>
      </c>
      <c r="O188" s="1" t="str">
        <f t="shared" ref="O188" si="548" xml:space="preserve"> IF(LEN(ChartLines.Hex6)=6, HEX2DEC(MID(ChartLines.Hex6, 3, 2)), "·")</f>
        <v>·</v>
      </c>
      <c r="P188" s="1" t="str">
        <f t="shared" ref="P188" si="549" xml:space="preserve"> IF(LEN(ChartLines.Hex6)=6, HEX2DEC(RIGHT(ChartLines.Hex6, 2)), "·")</f>
        <v>·</v>
      </c>
      <c r="Q188" s="1" cm="1">
        <f t="array" ref="Q188" xml:space="preserve"> 1 + ROW() - _xlfn.SINGLE(ROW(ChartLines.RowNum))</f>
        <v>183</v>
      </c>
      <c r="R188" s="1" t="str">
        <v>·</v>
      </c>
    </row>
    <row r="189" spans="2:18" x14ac:dyDescent="0.2">
      <c r="B189" s="13" t="str">
        <f xml:space="preserve"> LEFT(SeriesFormatAlias.ID, 2)</f>
        <v>RU</v>
      </c>
      <c r="C189" s="4" t="s">
        <v>120</v>
      </c>
      <c r="D189" t="str">
        <v>✓</v>
      </c>
      <c r="H189" s="1" t="s">
        <v>124</v>
      </c>
      <c r="I189" s="1" t="str">
        <f xml:space="preserve"> "009639"</f>
        <v>009639</v>
      </c>
      <c r="K189" s="1">
        <f t="shared" ref="K189" si="550" xml:space="preserve"> IF(AND(LEN(ChartLines.ID)&gt;0,"Unused"&lt;&gt;ChartLines.ID), COUNTIFS(ChartLines.ID,ChartLines.ID), "·")</f>
        <v>2</v>
      </c>
      <c r="L189" s="1">
        <f t="shared" ref="L189" si="551" xml:space="preserve"> IF(AND(LEN(ChartLines.ID)&gt;0,"Unused"&lt;&gt;ChartLines.ID), COUNTIFS(ChartLines.ID,ChartLines.ID,   ChartLines.RowNum,"&lt;="&amp;ChartLines.RowNum), "·")</f>
        <v>1</v>
      </c>
      <c r="M189" s="1" t="str" cm="1">
        <f t="array" ref="M189" xml:space="preserve"> _xlfn.IFS(OR(LEN(_xlfn.SINGLE(ChartLines.ID))=0,"Unused"=_xlfn.SINGLE(ChartLines.ID)), "·",   1=_xlfn.SINGLE(ChartLines.NumInstances), IF("USD"=_xlfn.SINGLE(ChartLines.ID), "SoleBig", "SoleOrdinary"),   1=_xlfn.SINGLE(ChartLines.InstanceNum), "Outer",   TRUE, "Inner")</f>
        <v>Outer</v>
      </c>
      <c r="N189" s="1">
        <f t="shared" ref="N189" si="552" xml:space="preserve"> IF(LEN(ChartLines.Hex6)=6, HEX2DEC(LEFT(ChartLines.Hex6, 2)), "·")</f>
        <v>0</v>
      </c>
      <c r="O189" s="1">
        <f t="shared" ref="O189" si="553" xml:space="preserve"> IF(LEN(ChartLines.Hex6)=6, HEX2DEC(MID(ChartLines.Hex6, 3, 2)), "·")</f>
        <v>150</v>
      </c>
      <c r="P189" s="1">
        <f t="shared" ref="P189" si="554" xml:space="preserve"> IF(LEN(ChartLines.Hex6)=6, HEX2DEC(RIGHT(ChartLines.Hex6, 2)), "·")</f>
        <v>57</v>
      </c>
      <c r="Q189" s="1" cm="1">
        <f t="array" ref="Q189" xml:space="preserve"> 1 + ROW() - _xlfn.SINGLE(ROW(ChartLines.RowNum))</f>
        <v>184</v>
      </c>
      <c r="R189" s="1" t="str">
        <v>✓</v>
      </c>
    </row>
    <row r="190" spans="2:18" x14ac:dyDescent="0.2">
      <c r="B190" s="13" t="str">
        <f xml:space="preserve"> LEFT(SeriesFormatAlias.ID, 2)</f>
        <v>BY</v>
      </c>
      <c r="C190" s="4" t="s">
        <v>478</v>
      </c>
      <c r="D190" t="str">
        <v>✓</v>
      </c>
      <c r="H190" s="1" t="s">
        <v>124</v>
      </c>
      <c r="I190" s="1" t="s">
        <v>345</v>
      </c>
      <c r="K190" s="1">
        <f t="shared" ref="K190" si="555" xml:space="preserve"> IF(AND(LEN(ChartLines.ID)&gt;0,"Unused"&lt;&gt;ChartLines.ID), COUNTIFS(ChartLines.ID,ChartLines.ID), "·")</f>
        <v>2</v>
      </c>
      <c r="L190" s="1">
        <f t="shared" ref="L190" si="556" xml:space="preserve"> IF(AND(LEN(ChartLines.ID)&gt;0,"Unused"&lt;&gt;ChartLines.ID), COUNTIFS(ChartLines.ID,ChartLines.ID,   ChartLines.RowNum,"&lt;="&amp;ChartLines.RowNum), "·")</f>
        <v>2</v>
      </c>
      <c r="M190" s="1" t="str" cm="1">
        <f t="array" ref="M190" xml:space="preserve"> _xlfn.IFS(OR(LEN(_xlfn.SINGLE(ChartLines.ID))=0,"Unused"=_xlfn.SINGLE(ChartLines.ID)), "·",   1=_xlfn.SINGLE(ChartLines.NumInstances), IF("USD"=_xlfn.SINGLE(ChartLines.ID), "SoleBig", "SoleOrdinary"),   1=_xlfn.SINGLE(ChartLines.InstanceNum), "Outer",   TRUE, "Inner")</f>
        <v>Inner</v>
      </c>
      <c r="N190" s="1">
        <f t="shared" ref="N190" si="557" xml:space="preserve"> IF(LEN(ChartLines.Hex6)=6, HEX2DEC(LEFT(ChartLines.Hex6, 2)), "·")</f>
        <v>255</v>
      </c>
      <c r="O190" s="1">
        <f t="shared" ref="O190" si="558" xml:space="preserve"> IF(LEN(ChartLines.Hex6)=6, HEX2DEC(MID(ChartLines.Hex6, 3, 2)), "·")</f>
        <v>255</v>
      </c>
      <c r="P190" s="1">
        <f t="shared" ref="P190" si="559" xml:space="preserve"> IF(LEN(ChartLines.Hex6)=6, HEX2DEC(RIGHT(ChartLines.Hex6, 2)), "·")</f>
        <v>255</v>
      </c>
      <c r="Q190" s="1" cm="1">
        <f t="array" ref="Q190" xml:space="preserve"> 1 + ROW() - _xlfn.SINGLE(ROW(ChartLines.RowNum))</f>
        <v>185</v>
      </c>
      <c r="R190" s="1" t="str">
        <v>✓</v>
      </c>
    </row>
    <row r="191" spans="2:18" x14ac:dyDescent="0.2">
      <c r="B191" s="13" t="str">
        <f xml:space="preserve"> LEFT(SeriesFormatAlias.ID, 2)</f>
        <v>UA</v>
      </c>
      <c r="C191" s="4" t="s">
        <v>121</v>
      </c>
      <c r="D191" t="str">
        <v>✓</v>
      </c>
      <c r="H191" s="1" t="s">
        <v>125</v>
      </c>
      <c r="I191" s="1" t="str">
        <f xml:space="preserve"> "009639"</f>
        <v>009639</v>
      </c>
      <c r="K191" s="1">
        <f t="shared" ref="K191" si="560" xml:space="preserve"> IF(AND(LEN(ChartLines.ID)&gt;0,"Unused"&lt;&gt;ChartLines.ID), COUNTIFS(ChartLines.ID,ChartLines.ID), "·")</f>
        <v>2</v>
      </c>
      <c r="L191" s="1">
        <f t="shared" ref="L191" si="561" xml:space="preserve"> IF(AND(LEN(ChartLines.ID)&gt;0,"Unused"&lt;&gt;ChartLines.ID), COUNTIFS(ChartLines.ID,ChartLines.ID,   ChartLines.RowNum,"&lt;="&amp;ChartLines.RowNum), "·")</f>
        <v>1</v>
      </c>
      <c r="M191" s="1" t="str" cm="1">
        <f t="array" ref="M191" xml:space="preserve"> _xlfn.IFS(OR(LEN(_xlfn.SINGLE(ChartLines.ID))=0,"Unused"=_xlfn.SINGLE(ChartLines.ID)), "·",   1=_xlfn.SINGLE(ChartLines.NumInstances), IF("USD"=_xlfn.SINGLE(ChartLines.ID), "SoleBig", "SoleOrdinary"),   1=_xlfn.SINGLE(ChartLines.InstanceNum), "Outer",   TRUE, "Inner")</f>
        <v>Outer</v>
      </c>
      <c r="N191" s="1">
        <f t="shared" ref="N191" si="562" xml:space="preserve"> IF(LEN(ChartLines.Hex6)=6, HEX2DEC(LEFT(ChartLines.Hex6, 2)), "·")</f>
        <v>0</v>
      </c>
      <c r="O191" s="1">
        <f t="shared" ref="O191" si="563" xml:space="preserve"> IF(LEN(ChartLines.Hex6)=6, HEX2DEC(MID(ChartLines.Hex6, 3, 2)), "·")</f>
        <v>150</v>
      </c>
      <c r="P191" s="1">
        <f t="shared" ref="P191" si="564" xml:space="preserve"> IF(LEN(ChartLines.Hex6)=6, HEX2DEC(RIGHT(ChartLines.Hex6, 2)), "·")</f>
        <v>57</v>
      </c>
      <c r="Q191" s="1" cm="1">
        <f t="array" ref="Q191" xml:space="preserve"> 1 + ROW() - _xlfn.SINGLE(ROW(ChartLines.RowNum))</f>
        <v>186</v>
      </c>
      <c r="R191" s="1" t="str">
        <v>✓</v>
      </c>
    </row>
    <row r="192" spans="2:18" x14ac:dyDescent="0.2">
      <c r="B192" s="13" t="str">
        <f xml:space="preserve"> LEFT(SeriesFormatAlias.ID, 2)</f>
        <v>GE</v>
      </c>
      <c r="C192" s="4" t="s">
        <v>122</v>
      </c>
      <c r="D192" t="str">
        <v>✓</v>
      </c>
      <c r="H192" s="1" t="s">
        <v>125</v>
      </c>
      <c r="I192" s="1" t="s">
        <v>343</v>
      </c>
      <c r="K192" s="1">
        <f t="shared" ref="K192" si="565" xml:space="preserve"> IF(AND(LEN(ChartLines.ID)&gt;0,"Unused"&lt;&gt;ChartLines.ID), COUNTIFS(ChartLines.ID,ChartLines.ID), "·")</f>
        <v>2</v>
      </c>
      <c r="L192" s="1">
        <f t="shared" ref="L192" si="566" xml:space="preserve"> IF(AND(LEN(ChartLines.ID)&gt;0,"Unused"&lt;&gt;ChartLines.ID), COUNTIFS(ChartLines.ID,ChartLines.ID,   ChartLines.RowNum,"&lt;="&amp;ChartLines.RowNum), "·")</f>
        <v>2</v>
      </c>
      <c r="M192" s="1" t="str" cm="1">
        <f t="array" ref="M192" xml:space="preserve"> _xlfn.IFS(OR(LEN(_xlfn.SINGLE(ChartLines.ID))=0,"Unused"=_xlfn.SINGLE(ChartLines.ID)), "·",   1=_xlfn.SINGLE(ChartLines.NumInstances), IF("USD"=_xlfn.SINGLE(ChartLines.ID), "SoleBig", "SoleOrdinary"),   1=_xlfn.SINGLE(ChartLines.InstanceNum), "Outer",   TRUE, "Inner")</f>
        <v>Inner</v>
      </c>
      <c r="N192" s="1">
        <f t="shared" ref="N192" si="567" xml:space="preserve"> IF(LEN(ChartLines.Hex6)=6, HEX2DEC(LEFT(ChartLines.Hex6, 2)), "·")</f>
        <v>239</v>
      </c>
      <c r="O192" s="1">
        <f t="shared" ref="O192" si="568" xml:space="preserve"> IF(LEN(ChartLines.Hex6)=6, HEX2DEC(MID(ChartLines.Hex6, 3, 2)), "·")</f>
        <v>51</v>
      </c>
      <c r="P192" s="1">
        <f t="shared" ref="P192" si="569" xml:space="preserve"> IF(LEN(ChartLines.Hex6)=6, HEX2DEC(RIGHT(ChartLines.Hex6, 2)), "·")</f>
        <v>64</v>
      </c>
      <c r="Q192" s="1" cm="1">
        <f t="array" ref="Q192" xml:space="preserve"> 1 + ROW() - _xlfn.SINGLE(ROW(ChartLines.RowNum))</f>
        <v>187</v>
      </c>
      <c r="R192" s="1" t="str">
        <v>✓</v>
      </c>
    </row>
    <row r="193" spans="2:18" x14ac:dyDescent="0.2">
      <c r="B193" s="13" t="str">
        <f xml:space="preserve"> LEFT(SeriesFormatAlias.ID, 2)</f>
        <v>TR</v>
      </c>
      <c r="C193" s="4" t="s">
        <v>123</v>
      </c>
      <c r="D193" t="str">
        <v>✓</v>
      </c>
      <c r="H193" s="1" t="s">
        <v>127</v>
      </c>
      <c r="I193" s="1" t="s">
        <v>348</v>
      </c>
      <c r="K193" s="1">
        <f t="shared" ref="K193" si="570" xml:space="preserve"> IF(AND(LEN(ChartLines.ID)&gt;0,"Unused"&lt;&gt;ChartLines.ID), COUNTIFS(ChartLines.ID,ChartLines.ID), "·")</f>
        <v>2</v>
      </c>
      <c r="L193" s="1">
        <f t="shared" ref="L193" si="571" xml:space="preserve"> IF(AND(LEN(ChartLines.ID)&gt;0,"Unused"&lt;&gt;ChartLines.ID), COUNTIFS(ChartLines.ID,ChartLines.ID,   ChartLines.RowNum,"&lt;="&amp;ChartLines.RowNum), "·")</f>
        <v>1</v>
      </c>
      <c r="M193" s="1" t="str" cm="1">
        <f t="array" ref="M193" xml:space="preserve"> _xlfn.IFS(OR(LEN(_xlfn.SINGLE(ChartLines.ID))=0,"Unused"=_xlfn.SINGLE(ChartLines.ID)), "·",   1=_xlfn.SINGLE(ChartLines.NumInstances), IF("USD"=_xlfn.SINGLE(ChartLines.ID), "SoleBig", "SoleOrdinary"),   1=_xlfn.SINGLE(ChartLines.InstanceNum), "Outer",   TRUE, "Inner")</f>
        <v>Outer</v>
      </c>
      <c r="N193" s="1">
        <f t="shared" ref="N193" si="572" xml:space="preserve"> IF(LEN(ChartLines.Hex6)=6, HEX2DEC(LEFT(ChartLines.Hex6, 2)), "·")</f>
        <v>200</v>
      </c>
      <c r="O193" s="1">
        <f t="shared" ref="O193" si="573" xml:space="preserve"> IF(LEN(ChartLines.Hex6)=6, HEX2DEC(MID(ChartLines.Hex6, 3, 2)), "·")</f>
        <v>16</v>
      </c>
      <c r="P193" s="1">
        <f t="shared" ref="P193" si="574" xml:space="preserve"> IF(LEN(ChartLines.Hex6)=6, HEX2DEC(RIGHT(ChartLines.Hex6, 2)), "·")</f>
        <v>46</v>
      </c>
      <c r="Q193" s="1" cm="1">
        <f t="array" ref="Q193" xml:space="preserve"> 1 + ROW() - _xlfn.SINGLE(ROW(ChartLines.RowNum))</f>
        <v>188</v>
      </c>
      <c r="R193" s="1" t="str">
        <v>✓</v>
      </c>
    </row>
    <row r="194" spans="2:18" x14ac:dyDescent="0.2">
      <c r="B194" s="13" t="str">
        <f xml:space="preserve"> LEFT(SeriesFormatAlias.ID, 2)</f>
        <v>SA</v>
      </c>
      <c r="C194" s="4" t="s">
        <v>124</v>
      </c>
      <c r="D194" t="str">
        <v>✓</v>
      </c>
      <c r="H194" s="1" t="s">
        <v>127</v>
      </c>
      <c r="I194" s="1" t="s">
        <v>414</v>
      </c>
      <c r="K194" s="1">
        <f t="shared" ref="K194" si="575" xml:space="preserve"> IF(AND(LEN(ChartLines.ID)&gt;0,"Unused"&lt;&gt;ChartLines.ID), COUNTIFS(ChartLines.ID,ChartLines.ID), "·")</f>
        <v>2</v>
      </c>
      <c r="L194" s="1">
        <f t="shared" ref="L194" si="576" xml:space="preserve"> IF(AND(LEN(ChartLines.ID)&gt;0,"Unused"&lt;&gt;ChartLines.ID), COUNTIFS(ChartLines.ID,ChartLines.ID,   ChartLines.RowNum,"&lt;="&amp;ChartLines.RowNum), "·")</f>
        <v>2</v>
      </c>
      <c r="M194" s="1" t="str" cm="1">
        <f t="array" ref="M194" xml:space="preserve"> _xlfn.IFS(OR(LEN(_xlfn.SINGLE(ChartLines.ID))=0,"Unused"=_xlfn.SINGLE(ChartLines.ID)), "·",   1=_xlfn.SINGLE(ChartLines.NumInstances), IF("USD"=_xlfn.SINGLE(ChartLines.ID), "SoleBig", "SoleOrdinary"),   1=_xlfn.SINGLE(ChartLines.InstanceNum), "Outer",   TRUE, "Inner")</f>
        <v>Inner</v>
      </c>
      <c r="N194" s="1">
        <f t="shared" ref="N194" si="577" xml:space="preserve"> IF(LEN(ChartLines.Hex6)=6, HEX2DEC(LEFT(ChartLines.Hex6, 2)), "·")</f>
        <v>255</v>
      </c>
      <c r="O194" s="1">
        <f t="shared" ref="O194" si="578" xml:space="preserve"> IF(LEN(ChartLines.Hex6)=6, HEX2DEC(MID(ChartLines.Hex6, 3, 2)), "·")</f>
        <v>215</v>
      </c>
      <c r="P194" s="1">
        <f t="shared" ref="P194" si="579" xml:space="preserve"> IF(LEN(ChartLines.Hex6)=6, HEX2DEC(RIGHT(ChartLines.Hex6, 2)), "·")</f>
        <v>0</v>
      </c>
      <c r="Q194" s="1" cm="1">
        <f t="array" ref="Q194" xml:space="preserve"> 1 + ROW() - _xlfn.SINGLE(ROW(ChartLines.RowNum))</f>
        <v>189</v>
      </c>
      <c r="R194" s="1" t="str">
        <v>✓</v>
      </c>
    </row>
    <row r="195" spans="2:18" x14ac:dyDescent="0.2">
      <c r="B195" s="13" t="str">
        <f xml:space="preserve"> LEFT(SeriesFormatAlias.ID, 2)</f>
        <v>AE</v>
      </c>
      <c r="C195" s="4" t="s">
        <v>125</v>
      </c>
      <c r="D195" t="str">
        <v>✓</v>
      </c>
      <c r="H195" s="1" t="s">
        <v>126</v>
      </c>
      <c r="I195" s="1" t="s">
        <v>419</v>
      </c>
      <c r="K195" s="1">
        <f t="shared" ref="K195:K214" si="580" xml:space="preserve"> IF(AND(LEN(ChartLines.ID)&gt;0,"Unused"&lt;&gt;ChartLines.ID), COUNTIFS(ChartLines.ID,ChartLines.ID), "·")</f>
        <v>2</v>
      </c>
      <c r="L195" s="1">
        <f t="shared" ref="L195:L214" si="581" xml:space="preserve"> IF(AND(LEN(ChartLines.ID)&gt;0,"Unused"&lt;&gt;ChartLines.ID), COUNTIFS(ChartLines.ID,ChartLines.ID,   ChartLines.RowNum,"&lt;="&amp;ChartLines.RowNum), "·")</f>
        <v>1</v>
      </c>
      <c r="M195" s="1" t="str" cm="1">
        <f t="array" ref="M195" xml:space="preserve"> _xlfn.IFS(OR(LEN(_xlfn.SINGLE(ChartLines.ID))=0,"Unused"=_xlfn.SINGLE(ChartLines.ID)), "·",   1=_xlfn.SINGLE(ChartLines.NumInstances), IF("USD"=_xlfn.SINGLE(ChartLines.ID), "SoleBig", "SoleOrdinary"),   1=_xlfn.SINGLE(ChartLines.InstanceNum), "Outer",   TRUE, "Inner")</f>
        <v>Outer</v>
      </c>
      <c r="N195" s="1">
        <f t="shared" ref="N195:N214" si="582" xml:space="preserve"> IF(LEN(ChartLines.Hex6)=6, HEX2DEC(LEFT(ChartLines.Hex6, 2)), "·")</f>
        <v>108</v>
      </c>
      <c r="O195" s="1">
        <f t="shared" ref="O195:O214" si="583" xml:space="preserve"> IF(LEN(ChartLines.Hex6)=6, HEX2DEC(MID(ChartLines.Hex6, 3, 2)), "·")</f>
        <v>29</v>
      </c>
      <c r="P195" s="1">
        <f t="shared" ref="P195:P214" si="584" xml:space="preserve"> IF(LEN(ChartLines.Hex6)=6, HEX2DEC(RIGHT(ChartLines.Hex6, 2)), "·")</f>
        <v>69</v>
      </c>
      <c r="Q195" s="1" cm="1">
        <f t="array" ref="Q195" xml:space="preserve"> 1 + ROW() - _xlfn.SINGLE(ROW(ChartLines.RowNum))</f>
        <v>190</v>
      </c>
      <c r="R195" s="1" t="str">
        <v>✓</v>
      </c>
    </row>
    <row r="196" spans="2:18" x14ac:dyDescent="0.2">
      <c r="B196" s="13" t="str">
        <f xml:space="preserve"> LEFT(SeriesFormatAlias.ID, 2)</f>
        <v>QA</v>
      </c>
      <c r="C196" s="4" t="s">
        <v>126</v>
      </c>
      <c r="D196" t="str">
        <v>✓</v>
      </c>
      <c r="H196" s="1" t="s">
        <v>126</v>
      </c>
      <c r="I196" s="1" t="s">
        <v>345</v>
      </c>
      <c r="K196" s="1">
        <f t="shared" si="580"/>
        <v>2</v>
      </c>
      <c r="L196" s="1">
        <f t="shared" si="581"/>
        <v>2</v>
      </c>
      <c r="M196" s="1" t="str" cm="1">
        <f t="array" ref="M196" xml:space="preserve"> _xlfn.IFS(OR(LEN(_xlfn.SINGLE(ChartLines.ID))=0,"Unused"=_xlfn.SINGLE(ChartLines.ID)), "·",   1=_xlfn.SINGLE(ChartLines.NumInstances), IF("USD"=_xlfn.SINGLE(ChartLines.ID), "SoleBig", "SoleOrdinary"),   1=_xlfn.SINGLE(ChartLines.InstanceNum), "Outer",   TRUE, "Inner")</f>
        <v>Inner</v>
      </c>
      <c r="N196" s="1">
        <f t="shared" si="582"/>
        <v>255</v>
      </c>
      <c r="O196" s="1">
        <f t="shared" si="583"/>
        <v>255</v>
      </c>
      <c r="P196" s="1">
        <f t="shared" si="584"/>
        <v>255</v>
      </c>
      <c r="Q196" s="1" cm="1">
        <f t="array" ref="Q196" xml:space="preserve"> 1 + ROW() - _xlfn.SINGLE(ROW(ChartLines.RowNum))</f>
        <v>191</v>
      </c>
      <c r="R196" s="1" t="str">
        <v>✓</v>
      </c>
    </row>
    <row r="197" spans="2:18" x14ac:dyDescent="0.2">
      <c r="B197" s="13" t="str">
        <f xml:space="preserve"> LEFT(SeriesFormatAlias.ID, 2)</f>
        <v>OM</v>
      </c>
      <c r="C197" s="4" t="s">
        <v>127</v>
      </c>
      <c r="D197" t="str">
        <v>✓</v>
      </c>
      <c r="H197" s="1" t="s">
        <v>533</v>
      </c>
      <c r="I197" s="1" t="s">
        <v>361</v>
      </c>
      <c r="K197" s="1">
        <f t="shared" si="580"/>
        <v>1</v>
      </c>
      <c r="L197" s="1">
        <f t="shared" si="581"/>
        <v>1</v>
      </c>
      <c r="M197" s="1" t="str" cm="1">
        <f t="array" ref="M197" xml:space="preserve"> _xlfn.IFS(OR(LEN(_xlfn.SINGLE(ChartLines.ID))=0,"Unused"=_xlfn.SINGLE(ChartLines.ID)), "·",   1=_xlfn.SINGLE(ChartLines.NumInstances), IF("USD"=_xlfn.SINGLE(ChartLines.ID), "SoleBig", "SoleOrdinary"),   1=_xlfn.SINGLE(ChartLines.InstanceNum), "Outer",   TRUE, "Inner")</f>
        <v>SoleOrdinary</v>
      </c>
      <c r="N197" s="1">
        <f t="shared" si="582"/>
        <v>218</v>
      </c>
      <c r="O197" s="1">
        <f t="shared" si="583"/>
        <v>41</v>
      </c>
      <c r="P197" s="1">
        <f t="shared" si="584"/>
        <v>28</v>
      </c>
      <c r="Q197" s="1" cm="1">
        <f t="array" ref="Q197" xml:space="preserve"> 1 + ROW() - _xlfn.SINGLE(ROW(ChartLines.RowNum))</f>
        <v>192</v>
      </c>
      <c r="R197" s="1" t="str">
        <v>✘✘✘</v>
      </c>
    </row>
    <row r="198" spans="2:18" x14ac:dyDescent="0.2">
      <c r="B198" s="13" t="str">
        <f xml:space="preserve"> LEFT(SeriesFormatAlias.ID, 2)</f>
        <v>KW</v>
      </c>
      <c r="C198" s="4" t="s">
        <v>128</v>
      </c>
      <c r="D198" t="str">
        <v>✓</v>
      </c>
      <c r="H198" s="1" t="s">
        <v>341</v>
      </c>
      <c r="K198" s="1" t="str">
        <f t="shared" si="580"/>
        <v>·</v>
      </c>
      <c r="L198" s="1" t="str">
        <f t="shared" si="581"/>
        <v>·</v>
      </c>
      <c r="M198" s="1" t="str" cm="1">
        <f t="array" ref="M198" xml:space="preserve"> _xlfn.IFS(OR(LEN(_xlfn.SINGLE(ChartLines.ID))=0,"Unused"=_xlfn.SINGLE(ChartLines.ID)), "·",   1=_xlfn.SINGLE(ChartLines.NumInstances), IF("USD"=_xlfn.SINGLE(ChartLines.ID), "SoleBig", "SoleOrdinary"),   1=_xlfn.SINGLE(ChartLines.InstanceNum), "Outer",   TRUE, "Inner")</f>
        <v>·</v>
      </c>
      <c r="N198" s="1" t="str">
        <f t="shared" si="582"/>
        <v>·</v>
      </c>
      <c r="O198" s="1" t="str">
        <f t="shared" si="583"/>
        <v>·</v>
      </c>
      <c r="P198" s="1" t="str">
        <f t="shared" si="584"/>
        <v>·</v>
      </c>
      <c r="Q198" s="1" cm="1">
        <f t="array" ref="Q198" xml:space="preserve"> 1 + ROW() - _xlfn.SINGLE(ROW(ChartLines.RowNum))</f>
        <v>193</v>
      </c>
      <c r="R198" s="1" t="str">
        <v>·</v>
      </c>
    </row>
    <row r="199" spans="2:18" x14ac:dyDescent="0.2">
      <c r="B199" s="13" t="str">
        <f xml:space="preserve"> LEFT(SeriesFormatAlias.ID, 2)</f>
        <v>YE</v>
      </c>
      <c r="C199" s="4" t="s">
        <v>421</v>
      </c>
      <c r="D199" t="str">
        <v>✓</v>
      </c>
      <c r="H199" s="1" t="s">
        <v>128</v>
      </c>
      <c r="I199" s="1" t="str">
        <f xml:space="preserve"> "000000"</f>
        <v>000000</v>
      </c>
      <c r="K199" s="1">
        <f t="shared" si="580"/>
        <v>2</v>
      </c>
      <c r="L199" s="1">
        <f t="shared" si="581"/>
        <v>1</v>
      </c>
      <c r="M199" s="1" t="str" cm="1">
        <f t="array" ref="M199" xml:space="preserve"> _xlfn.IFS(OR(LEN(_xlfn.SINGLE(ChartLines.ID))=0,"Unused"=_xlfn.SINGLE(ChartLines.ID)), "·",   1=_xlfn.SINGLE(ChartLines.NumInstances), IF("USD"=_xlfn.SINGLE(ChartLines.ID), "SoleBig", "SoleOrdinary"),   1=_xlfn.SINGLE(ChartLines.InstanceNum), "Outer",   TRUE, "Inner")</f>
        <v>Outer</v>
      </c>
      <c r="N199" s="1">
        <f t="shared" si="582"/>
        <v>0</v>
      </c>
      <c r="O199" s="1">
        <f t="shared" si="583"/>
        <v>0</v>
      </c>
      <c r="P199" s="1">
        <f t="shared" si="584"/>
        <v>0</v>
      </c>
      <c r="Q199" s="1" cm="1">
        <f t="array" ref="Q199" xml:space="preserve"> 1 + ROW() - _xlfn.SINGLE(ROW(ChartLines.RowNum))</f>
        <v>194</v>
      </c>
      <c r="R199" s="1" t="str">
        <v>✓</v>
      </c>
    </row>
    <row r="200" spans="2:18" x14ac:dyDescent="0.2">
      <c r="B200" s="13" t="str">
        <f xml:space="preserve"> LEFT(SeriesFormatAlias.ID, 2)</f>
        <v>JO</v>
      </c>
      <c r="C200" s="4" t="s">
        <v>129</v>
      </c>
      <c r="D200" t="str">
        <v>✓</v>
      </c>
      <c r="H200" s="1" t="s">
        <v>128</v>
      </c>
      <c r="I200" s="1" t="s">
        <v>420</v>
      </c>
      <c r="K200" s="1">
        <f t="shared" si="580"/>
        <v>2</v>
      </c>
      <c r="L200" s="1">
        <f t="shared" si="581"/>
        <v>2</v>
      </c>
      <c r="M200" s="1" t="str" cm="1">
        <f t="array" ref="M200" xml:space="preserve"> _xlfn.IFS(OR(LEN(_xlfn.SINGLE(ChartLines.ID))=0,"Unused"=_xlfn.SINGLE(ChartLines.ID)), "·",   1=_xlfn.SINGLE(ChartLines.NumInstances), IF("USD"=_xlfn.SINGLE(ChartLines.ID), "SoleBig", "SoleOrdinary"),   1=_xlfn.SINGLE(ChartLines.InstanceNum), "Outer",   TRUE, "Inner")</f>
        <v>Inner</v>
      </c>
      <c r="N200" s="1">
        <f t="shared" si="582"/>
        <v>206</v>
      </c>
      <c r="O200" s="1">
        <f t="shared" si="583"/>
        <v>17</v>
      </c>
      <c r="P200" s="1">
        <f t="shared" si="584"/>
        <v>38</v>
      </c>
      <c r="Q200" s="1" cm="1">
        <f t="array" ref="Q200" xml:space="preserve"> 1 + ROW() - _xlfn.SINGLE(ROW(ChartLines.RowNum))</f>
        <v>195</v>
      </c>
      <c r="R200" s="1" t="str">
        <v>✓</v>
      </c>
    </row>
    <row r="201" spans="2:18" x14ac:dyDescent="0.2">
      <c r="B201" s="13" t="str">
        <f xml:space="preserve"> LEFT(SeriesFormatAlias.ID, 2)</f>
        <v>LB</v>
      </c>
      <c r="C201" s="4" t="s">
        <v>130</v>
      </c>
      <c r="D201" t="str">
        <v>✓</v>
      </c>
      <c r="H201" s="1" t="s">
        <v>421</v>
      </c>
      <c r="I201" s="1" t="s">
        <v>422</v>
      </c>
      <c r="K201" s="1">
        <f t="shared" si="580"/>
        <v>2</v>
      </c>
      <c r="L201" s="1">
        <f t="shared" si="581"/>
        <v>1</v>
      </c>
      <c r="M201" s="1" t="str" cm="1">
        <f t="array" ref="M201" xml:space="preserve"> _xlfn.IFS(OR(LEN(_xlfn.SINGLE(ChartLines.ID))=0,"Unused"=_xlfn.SINGLE(ChartLines.ID)), "·",   1=_xlfn.SINGLE(ChartLines.NumInstances), IF("USD"=_xlfn.SINGLE(ChartLines.ID), "SoleBig", "SoleOrdinary"),   1=_xlfn.SINGLE(ChartLines.InstanceNum), "Outer",   TRUE, "Inner")</f>
        <v>Outer</v>
      </c>
      <c r="N201" s="1">
        <f t="shared" si="582"/>
        <v>196</v>
      </c>
      <c r="O201" s="1">
        <f t="shared" si="583"/>
        <v>156</v>
      </c>
      <c r="P201" s="1">
        <f t="shared" si="584"/>
        <v>91</v>
      </c>
      <c r="Q201" s="1" cm="1">
        <f t="array" ref="Q201" xml:space="preserve"> 1 + ROW() - _xlfn.SINGLE(ROW(ChartLines.RowNum))</f>
        <v>196</v>
      </c>
      <c r="R201" s="1" t="str">
        <v>✓</v>
      </c>
    </row>
    <row r="202" spans="2:18" x14ac:dyDescent="0.2">
      <c r="B202" s="13" t="str">
        <f xml:space="preserve"> LEFT(SeriesFormatAlias.ID, 2)</f>
        <v>EG</v>
      </c>
      <c r="C202" s="4" t="s">
        <v>131</v>
      </c>
      <c r="D202" t="str">
        <v>✓</v>
      </c>
      <c r="H202" s="1" t="s">
        <v>421</v>
      </c>
      <c r="I202" s="1" t="str">
        <f xml:space="preserve"> "000000"</f>
        <v>000000</v>
      </c>
      <c r="K202" s="1">
        <f t="shared" si="580"/>
        <v>2</v>
      </c>
      <c r="L202" s="1">
        <f t="shared" si="581"/>
        <v>2</v>
      </c>
      <c r="M202" s="1" t="str" cm="1">
        <f t="array" ref="M202" xml:space="preserve"> _xlfn.IFS(OR(LEN(_xlfn.SINGLE(ChartLines.ID))=0,"Unused"=_xlfn.SINGLE(ChartLines.ID)), "·",   1=_xlfn.SINGLE(ChartLines.NumInstances), IF("USD"=_xlfn.SINGLE(ChartLines.ID), "SoleBig", "SoleOrdinary"),   1=_xlfn.SINGLE(ChartLines.InstanceNum), "Outer",   TRUE, "Inner")</f>
        <v>Inner</v>
      </c>
      <c r="N202" s="1">
        <f t="shared" si="582"/>
        <v>0</v>
      </c>
      <c r="O202" s="1">
        <f t="shared" si="583"/>
        <v>0</v>
      </c>
      <c r="P202" s="1">
        <f t="shared" si="584"/>
        <v>0</v>
      </c>
      <c r="Q202" s="1" cm="1">
        <f t="array" ref="Q202" xml:space="preserve"> 1 + ROW() - _xlfn.SINGLE(ROW(ChartLines.RowNum))</f>
        <v>197</v>
      </c>
      <c r="R202" s="1" t="str">
        <v>✓</v>
      </c>
    </row>
    <row r="203" spans="2:18" x14ac:dyDescent="0.2">
      <c r="B203" s="13" t="str">
        <f xml:space="preserve"> LEFT(SeriesFormatAlias.ID, 2)</f>
        <v>TN</v>
      </c>
      <c r="C203" s="4" t="s">
        <v>132</v>
      </c>
      <c r="D203" t="str">
        <v>✓</v>
      </c>
      <c r="H203" s="1" t="s">
        <v>534</v>
      </c>
      <c r="I203" s="1" t="s">
        <v>535</v>
      </c>
      <c r="K203" s="1">
        <f t="shared" si="580"/>
        <v>2</v>
      </c>
      <c r="L203" s="1">
        <f t="shared" si="581"/>
        <v>1</v>
      </c>
      <c r="M203" s="1" t="str" cm="1">
        <f t="array" ref="M203" xml:space="preserve"> _xlfn.IFS(OR(LEN(_xlfn.SINGLE(ChartLines.ID))=0,"Unused"=_xlfn.SINGLE(ChartLines.ID)), "·",   1=_xlfn.SINGLE(ChartLines.NumInstances), IF("USD"=_xlfn.SINGLE(ChartLines.ID), "SoleBig", "SoleOrdinary"),   1=_xlfn.SINGLE(ChartLines.InstanceNum), "Outer",   TRUE, "Inner")</f>
        <v>Outer</v>
      </c>
      <c r="N203" s="1">
        <f t="shared" si="582"/>
        <v>0</v>
      </c>
      <c r="O203" s="1">
        <f t="shared" si="583"/>
        <v>122</v>
      </c>
      <c r="P203" s="1">
        <f t="shared" si="584"/>
        <v>61</v>
      </c>
      <c r="Q203" s="1" cm="1">
        <f t="array" ref="Q203" xml:space="preserve"> 1 + ROW() - _xlfn.SINGLE(ROW(ChartLines.RowNum))</f>
        <v>198</v>
      </c>
      <c r="R203" s="1" t="str">
        <v>✘✘✘</v>
      </c>
    </row>
    <row r="204" spans="2:18" x14ac:dyDescent="0.2">
      <c r="B204" s="13" t="str">
        <f xml:space="preserve"> LEFT(SeriesFormatAlias.ID, 2)</f>
        <v>MA</v>
      </c>
      <c r="C204" s="4" t="s">
        <v>133</v>
      </c>
      <c r="D204" t="str">
        <v>✓</v>
      </c>
      <c r="H204" s="1" t="s">
        <v>534</v>
      </c>
      <c r="I204" s="1" t="str">
        <f xml:space="preserve"> "000000"</f>
        <v>000000</v>
      </c>
      <c r="K204" s="1">
        <f t="shared" si="580"/>
        <v>2</v>
      </c>
      <c r="L204" s="1">
        <f t="shared" si="581"/>
        <v>2</v>
      </c>
      <c r="M204" s="1" t="str" cm="1">
        <f t="array" ref="M204" xml:space="preserve"> _xlfn.IFS(OR(LEN(_xlfn.SINGLE(ChartLines.ID))=0,"Unused"=_xlfn.SINGLE(ChartLines.ID)), "·",   1=_xlfn.SINGLE(ChartLines.NumInstances), IF("USD"=_xlfn.SINGLE(ChartLines.ID), "SoleBig", "SoleOrdinary"),   1=_xlfn.SINGLE(ChartLines.InstanceNum), "Outer",   TRUE, "Inner")</f>
        <v>Inner</v>
      </c>
      <c r="N204" s="1">
        <f t="shared" si="582"/>
        <v>0</v>
      </c>
      <c r="O204" s="1">
        <f t="shared" si="583"/>
        <v>0</v>
      </c>
      <c r="P204" s="1">
        <f t="shared" si="584"/>
        <v>0</v>
      </c>
      <c r="Q204" s="1" cm="1">
        <f t="array" ref="Q204" xml:space="preserve"> 1 + ROW() - _xlfn.SINGLE(ROW(ChartLines.RowNum))</f>
        <v>199</v>
      </c>
      <c r="R204" s="1" t="str">
        <v>✘✘✘</v>
      </c>
    </row>
    <row r="205" spans="2:18" x14ac:dyDescent="0.2">
      <c r="B205" s="13" t="str">
        <f xml:space="preserve"> LEFT(SeriesFormatAlias.ID, 2)</f>
        <v>DZ</v>
      </c>
      <c r="C205" s="4" t="s">
        <v>134</v>
      </c>
      <c r="D205" t="str">
        <v>✓</v>
      </c>
      <c r="H205" s="1" t="s">
        <v>129</v>
      </c>
      <c r="I205" s="1" t="s">
        <v>420</v>
      </c>
      <c r="K205" s="1">
        <f t="shared" si="580"/>
        <v>2</v>
      </c>
      <c r="L205" s="1">
        <f t="shared" si="581"/>
        <v>1</v>
      </c>
      <c r="M205" s="1" t="str" cm="1">
        <f t="array" ref="M205" xml:space="preserve"> _xlfn.IFS(OR(LEN(_xlfn.SINGLE(ChartLines.ID))=0,"Unused"=_xlfn.SINGLE(ChartLines.ID)), "·",   1=_xlfn.SINGLE(ChartLines.NumInstances), IF("USD"=_xlfn.SINGLE(ChartLines.ID), "SoleBig", "SoleOrdinary"),   1=_xlfn.SINGLE(ChartLines.InstanceNum), "Outer",   TRUE, "Inner")</f>
        <v>Outer</v>
      </c>
      <c r="N205" s="1">
        <f t="shared" si="582"/>
        <v>206</v>
      </c>
      <c r="O205" s="1">
        <f t="shared" si="583"/>
        <v>17</v>
      </c>
      <c r="P205" s="1">
        <f t="shared" si="584"/>
        <v>38</v>
      </c>
      <c r="Q205" s="1" cm="1">
        <f t="array" ref="Q205" xml:space="preserve"> 1 + ROW() - _xlfn.SINGLE(ROW(ChartLines.RowNum))</f>
        <v>200</v>
      </c>
      <c r="R205" s="1" t="str">
        <v>✓</v>
      </c>
    </row>
    <row r="206" spans="2:18" x14ac:dyDescent="0.2">
      <c r="B206" s="13" t="str">
        <f xml:space="preserve"> LEFT(SeriesFormatAlias.ID, 2)</f>
        <v>IR</v>
      </c>
      <c r="C206" s="4" t="s">
        <v>135</v>
      </c>
      <c r="D206" t="str">
        <v>✓</v>
      </c>
      <c r="H206" s="1" t="s">
        <v>129</v>
      </c>
      <c r="I206" s="1" t="str">
        <f xml:space="preserve"> "000000"</f>
        <v>000000</v>
      </c>
      <c r="K206" s="1">
        <f t="shared" si="580"/>
        <v>2</v>
      </c>
      <c r="L206" s="1">
        <f t="shared" si="581"/>
        <v>2</v>
      </c>
      <c r="M206" s="1" t="str" cm="1">
        <f t="array" ref="M206" xml:space="preserve"> _xlfn.IFS(OR(LEN(_xlfn.SINGLE(ChartLines.ID))=0,"Unused"=_xlfn.SINGLE(ChartLines.ID)), "·",   1=_xlfn.SINGLE(ChartLines.NumInstances), IF("USD"=_xlfn.SINGLE(ChartLines.ID), "SoleBig", "SoleOrdinary"),   1=_xlfn.SINGLE(ChartLines.InstanceNum), "Outer",   TRUE, "Inner")</f>
        <v>Inner</v>
      </c>
      <c r="N206" s="1">
        <f t="shared" si="582"/>
        <v>0</v>
      </c>
      <c r="O206" s="1">
        <f t="shared" si="583"/>
        <v>0</v>
      </c>
      <c r="P206" s="1">
        <f t="shared" si="584"/>
        <v>0</v>
      </c>
      <c r="Q206" s="1" cm="1">
        <f t="array" ref="Q206" xml:space="preserve"> 1 + ROW() - _xlfn.SINGLE(ROW(ChartLines.RowNum))</f>
        <v>201</v>
      </c>
      <c r="R206" s="1" t="str">
        <v>✓</v>
      </c>
    </row>
    <row r="207" spans="2:18" x14ac:dyDescent="0.2">
      <c r="B207" s="13" t="str">
        <f xml:space="preserve"> LEFT(SeriesFormatAlias.ID, 2)</f>
        <v>IQ</v>
      </c>
      <c r="C207" s="4" t="s">
        <v>136</v>
      </c>
      <c r="D207" t="str">
        <v>✓</v>
      </c>
      <c r="H207" s="1" t="s">
        <v>130</v>
      </c>
      <c r="I207" s="1" t="s">
        <v>343</v>
      </c>
      <c r="K207" s="1">
        <f t="shared" si="580"/>
        <v>2</v>
      </c>
      <c r="L207" s="1">
        <f t="shared" si="581"/>
        <v>1</v>
      </c>
      <c r="M207" s="1" t="str" cm="1">
        <f t="array" ref="M207" xml:space="preserve"> _xlfn.IFS(OR(LEN(_xlfn.SINGLE(ChartLines.ID))=0,"Unused"=_xlfn.SINGLE(ChartLines.ID)), "·",   1=_xlfn.SINGLE(ChartLines.NumInstances), IF("USD"=_xlfn.SINGLE(ChartLines.ID), "SoleBig", "SoleOrdinary"),   1=_xlfn.SINGLE(ChartLines.InstanceNum), "Outer",   TRUE, "Inner")</f>
        <v>Outer</v>
      </c>
      <c r="N207" s="1">
        <f t="shared" si="582"/>
        <v>239</v>
      </c>
      <c r="O207" s="1">
        <f t="shared" si="583"/>
        <v>51</v>
      </c>
      <c r="P207" s="1">
        <f t="shared" si="584"/>
        <v>64</v>
      </c>
      <c r="Q207" s="1" cm="1">
        <f t="array" ref="Q207" xml:space="preserve"> 1 + ROW() - _xlfn.SINGLE(ROW(ChartLines.RowNum))</f>
        <v>202</v>
      </c>
      <c r="R207" s="1" t="str">
        <v>✓</v>
      </c>
    </row>
    <row r="208" spans="2:18" x14ac:dyDescent="0.2">
      <c r="B208" s="13" t="str">
        <f xml:space="preserve"> LEFT(SeriesFormatAlias.ID, 2)</f>
        <v>IL</v>
      </c>
      <c r="C208" s="4" t="s">
        <v>137</v>
      </c>
      <c r="D208" t="str">
        <v>✓</v>
      </c>
      <c r="H208" s="1" t="s">
        <v>130</v>
      </c>
      <c r="I208" s="1" t="str">
        <f xml:space="preserve"> "009639"</f>
        <v>009639</v>
      </c>
      <c r="K208" s="1">
        <f t="shared" si="580"/>
        <v>2</v>
      </c>
      <c r="L208" s="1">
        <f t="shared" si="581"/>
        <v>2</v>
      </c>
      <c r="M208" s="1" t="str" cm="1">
        <f t="array" ref="M208" xml:space="preserve"> _xlfn.IFS(OR(LEN(_xlfn.SINGLE(ChartLines.ID))=0,"Unused"=_xlfn.SINGLE(ChartLines.ID)), "·",   1=_xlfn.SINGLE(ChartLines.NumInstances), IF("USD"=_xlfn.SINGLE(ChartLines.ID), "SoleBig", "SoleOrdinary"),   1=_xlfn.SINGLE(ChartLines.InstanceNum), "Outer",   TRUE, "Inner")</f>
        <v>Inner</v>
      </c>
      <c r="N208" s="1">
        <f t="shared" si="582"/>
        <v>0</v>
      </c>
      <c r="O208" s="1">
        <f t="shared" si="583"/>
        <v>150</v>
      </c>
      <c r="P208" s="1">
        <f t="shared" si="584"/>
        <v>57</v>
      </c>
      <c r="Q208" s="1" cm="1">
        <f t="array" ref="Q208" xml:space="preserve"> 1 + ROW() - _xlfn.SINGLE(ROW(ChartLines.RowNum))</f>
        <v>203</v>
      </c>
      <c r="R208" s="1" t="str">
        <v>✓</v>
      </c>
    </row>
    <row r="209" spans="2:18" x14ac:dyDescent="0.2">
      <c r="B209" s="13" t="str">
        <f xml:space="preserve"> LEFT(SeriesFormatAlias.ID, 2)</f>
        <v>ZA</v>
      </c>
      <c r="C209" s="4" t="s">
        <v>138</v>
      </c>
      <c r="D209" t="str">
        <v>✓</v>
      </c>
      <c r="H209" s="1" t="s">
        <v>536</v>
      </c>
      <c r="I209" s="1" t="str">
        <f xml:space="preserve"> "009736"</f>
        <v>009736</v>
      </c>
      <c r="K209" s="1">
        <f t="shared" si="580"/>
        <v>2</v>
      </c>
      <c r="L209" s="1">
        <f t="shared" si="581"/>
        <v>1</v>
      </c>
      <c r="M209" s="1" t="str" cm="1">
        <f t="array" ref="M209" xml:space="preserve"> _xlfn.IFS(OR(LEN(_xlfn.SINGLE(ChartLines.ID))=0,"Unused"=_xlfn.SINGLE(ChartLines.ID)), "·",   1=_xlfn.SINGLE(ChartLines.NumInstances), IF("USD"=_xlfn.SINGLE(ChartLines.ID), "SoleBig", "SoleOrdinary"),   1=_xlfn.SINGLE(ChartLines.InstanceNum), "Outer",   TRUE, "Inner")</f>
        <v>Outer</v>
      </c>
      <c r="N209" s="1">
        <f t="shared" si="582"/>
        <v>0</v>
      </c>
      <c r="O209" s="1">
        <f t="shared" si="583"/>
        <v>151</v>
      </c>
      <c r="P209" s="1">
        <f t="shared" si="584"/>
        <v>54</v>
      </c>
      <c r="Q209" s="1" cm="1">
        <f t="array" ref="Q209" xml:space="preserve"> 1 + ROW() - _xlfn.SINGLE(ROW(ChartLines.RowNum))</f>
        <v>204</v>
      </c>
      <c r="R209" s="1" t="str">
        <v>✘✘✘</v>
      </c>
    </row>
    <row r="210" spans="2:18" x14ac:dyDescent="0.2">
      <c r="B210" s="13" t="str">
        <f xml:space="preserve"> LEFT(SeriesFormatAlias.ID, 2)</f>
        <v>NG</v>
      </c>
      <c r="C210" s="4" t="s">
        <v>139</v>
      </c>
      <c r="D210" t="str">
        <v>✓</v>
      </c>
      <c r="H210" s="1" t="s">
        <v>536</v>
      </c>
      <c r="I210" s="1" t="str">
        <f xml:space="preserve"> "000000"</f>
        <v>000000</v>
      </c>
      <c r="K210" s="1">
        <f t="shared" si="580"/>
        <v>2</v>
      </c>
      <c r="L210" s="1">
        <f t="shared" si="581"/>
        <v>2</v>
      </c>
      <c r="M210" s="1" t="str" cm="1">
        <f t="array" ref="M210" xml:space="preserve"> _xlfn.IFS(OR(LEN(_xlfn.SINGLE(ChartLines.ID))=0,"Unused"=_xlfn.SINGLE(ChartLines.ID)), "·",   1=_xlfn.SINGLE(ChartLines.NumInstances), IF("USD"=_xlfn.SINGLE(ChartLines.ID), "SoleBig", "SoleOrdinary"),   1=_xlfn.SINGLE(ChartLines.InstanceNum), "Outer",   TRUE, "Inner")</f>
        <v>Inner</v>
      </c>
      <c r="N210" s="1">
        <f t="shared" si="582"/>
        <v>0</v>
      </c>
      <c r="O210" s="1">
        <f t="shared" si="583"/>
        <v>0</v>
      </c>
      <c r="P210" s="1">
        <f t="shared" si="584"/>
        <v>0</v>
      </c>
      <c r="Q210" s="1" cm="1">
        <f t="array" ref="Q210" xml:space="preserve"> 1 + ROW() - _xlfn.SINGLE(ROW(ChartLines.RowNum))</f>
        <v>205</v>
      </c>
      <c r="R210" s="1" t="str">
        <v>✘✘✘</v>
      </c>
    </row>
    <row r="211" spans="2:18" x14ac:dyDescent="0.2">
      <c r="B211" s="13" t="str">
        <f xml:space="preserve"> LEFT(SeriesFormatAlias.ID, 2)</f>
        <v>ET</v>
      </c>
      <c r="C211" s="4" t="s">
        <v>140</v>
      </c>
      <c r="D211" t="str">
        <v>✓</v>
      </c>
      <c r="H211" s="1" t="s">
        <v>131</v>
      </c>
      <c r="I211" s="1" t="str">
        <f xml:space="preserve"> "000000"</f>
        <v>000000</v>
      </c>
      <c r="K211" s="1">
        <f t="shared" si="580"/>
        <v>2</v>
      </c>
      <c r="L211" s="1">
        <f t="shared" si="581"/>
        <v>1</v>
      </c>
      <c r="M211" s="1" t="str" cm="1">
        <f t="array" ref="M211" xml:space="preserve"> _xlfn.IFS(OR(LEN(_xlfn.SINGLE(ChartLines.ID))=0,"Unused"=_xlfn.SINGLE(ChartLines.ID)), "·",   1=_xlfn.SINGLE(ChartLines.NumInstances), IF("USD"=_xlfn.SINGLE(ChartLines.ID), "SoleBig", "SoleOrdinary"),   1=_xlfn.SINGLE(ChartLines.InstanceNum), "Outer",   TRUE, "Inner")</f>
        <v>Outer</v>
      </c>
      <c r="N211" s="1">
        <f t="shared" si="582"/>
        <v>0</v>
      </c>
      <c r="O211" s="1">
        <f t="shared" si="583"/>
        <v>0</v>
      </c>
      <c r="P211" s="1">
        <f t="shared" si="584"/>
        <v>0</v>
      </c>
      <c r="Q211" s="1" cm="1">
        <f t="array" ref="Q211" xml:space="preserve"> 1 + ROW() - _xlfn.SINGLE(ROW(ChartLines.RowNum))</f>
        <v>206</v>
      </c>
      <c r="R211" s="1" t="str">
        <v>✓</v>
      </c>
    </row>
    <row r="212" spans="2:18" x14ac:dyDescent="0.2">
      <c r="B212" s="13" t="str">
        <f xml:space="preserve"> LEFT(SeriesFormatAlias.ID, 2)</f>
        <v>SD</v>
      </c>
      <c r="C212" s="4" t="s">
        <v>141</v>
      </c>
      <c r="D212" t="str">
        <v>✓</v>
      </c>
      <c r="H212" s="1" t="s">
        <v>131</v>
      </c>
      <c r="I212" s="1" t="s">
        <v>345</v>
      </c>
      <c r="K212" s="1">
        <f t="shared" si="580"/>
        <v>2</v>
      </c>
      <c r="L212" s="1">
        <f t="shared" si="581"/>
        <v>2</v>
      </c>
      <c r="M212" s="1" t="str" cm="1">
        <f t="array" ref="M212" xml:space="preserve"> _xlfn.IFS(OR(LEN(_xlfn.SINGLE(ChartLines.ID))=0,"Unused"=_xlfn.SINGLE(ChartLines.ID)), "·",   1=_xlfn.SINGLE(ChartLines.NumInstances), IF("USD"=_xlfn.SINGLE(ChartLines.ID), "SoleBig", "SoleOrdinary"),   1=_xlfn.SINGLE(ChartLines.InstanceNum), "Outer",   TRUE, "Inner")</f>
        <v>Inner</v>
      </c>
      <c r="N212" s="1">
        <f t="shared" si="582"/>
        <v>255</v>
      </c>
      <c r="O212" s="1">
        <f t="shared" si="583"/>
        <v>255</v>
      </c>
      <c r="P212" s="1">
        <f t="shared" si="584"/>
        <v>255</v>
      </c>
      <c r="Q212" s="1" cm="1">
        <f t="array" ref="Q212" xml:space="preserve"> 1 + ROW() - _xlfn.SINGLE(ROW(ChartLines.RowNum))</f>
        <v>207</v>
      </c>
      <c r="R212" s="1" t="str">
        <v>✓</v>
      </c>
    </row>
    <row r="213" spans="2:18" x14ac:dyDescent="0.2">
      <c r="B213" s="13" t="str">
        <f xml:space="preserve"> LEFT(SeriesFormatAlias.ID, 2)</f>
        <v>KY</v>
      </c>
      <c r="C213" s="4" t="s">
        <v>142</v>
      </c>
      <c r="D213" t="str">
        <v>✓</v>
      </c>
      <c r="H213" s="1" t="s">
        <v>132</v>
      </c>
      <c r="I213" s="1" t="s">
        <v>423</v>
      </c>
      <c r="K213" s="1">
        <f t="shared" si="580"/>
        <v>2</v>
      </c>
      <c r="L213" s="1">
        <f t="shared" si="581"/>
        <v>1</v>
      </c>
      <c r="M213" s="1" t="str" cm="1">
        <f t="array" ref="M213" xml:space="preserve"> _xlfn.IFS(OR(LEN(_xlfn.SINGLE(ChartLines.ID))=0,"Unused"=_xlfn.SINGLE(ChartLines.ID)), "·",   1=_xlfn.SINGLE(ChartLines.NumInstances), IF("USD"=_xlfn.SINGLE(ChartLines.ID), "SoleBig", "SoleOrdinary"),   1=_xlfn.SINGLE(ChartLines.InstanceNum), "Outer",   TRUE, "Inner")</f>
        <v>Outer</v>
      </c>
      <c r="N213" s="1">
        <f t="shared" si="582"/>
        <v>231</v>
      </c>
      <c r="O213" s="1">
        <f t="shared" si="583"/>
        <v>0</v>
      </c>
      <c r="P213" s="1">
        <f t="shared" si="584"/>
        <v>19</v>
      </c>
      <c r="Q213" s="1" cm="1">
        <f t="array" ref="Q213" xml:space="preserve"> 1 + ROW() - _xlfn.SINGLE(ROW(ChartLines.RowNum))</f>
        <v>208</v>
      </c>
      <c r="R213" s="1" t="str">
        <v>✓</v>
      </c>
    </row>
    <row r="214" spans="2:18" x14ac:dyDescent="0.2">
      <c r="B214" s="13" t="str">
        <f xml:space="preserve"> LEFT(SeriesFormatAlias.ID, 2)</f>
        <v>TZ</v>
      </c>
      <c r="C214" s="4" t="s">
        <v>143</v>
      </c>
      <c r="D214" t="str">
        <v>✓</v>
      </c>
      <c r="H214" s="1" t="s">
        <v>132</v>
      </c>
      <c r="I214" s="1" t="s">
        <v>345</v>
      </c>
      <c r="K214" s="1">
        <f t="shared" si="580"/>
        <v>2</v>
      </c>
      <c r="L214" s="1">
        <f t="shared" si="581"/>
        <v>2</v>
      </c>
      <c r="M214" s="1" t="str" cm="1">
        <f t="array" ref="M214" xml:space="preserve"> _xlfn.IFS(OR(LEN(_xlfn.SINGLE(ChartLines.ID))=0,"Unused"=_xlfn.SINGLE(ChartLines.ID)), "·",   1=_xlfn.SINGLE(ChartLines.NumInstances), IF("USD"=_xlfn.SINGLE(ChartLines.ID), "SoleBig", "SoleOrdinary"),   1=_xlfn.SINGLE(ChartLines.InstanceNum), "Outer",   TRUE, "Inner")</f>
        <v>Inner</v>
      </c>
      <c r="N214" s="1">
        <f t="shared" si="582"/>
        <v>255</v>
      </c>
      <c r="O214" s="1">
        <f t="shared" si="583"/>
        <v>255</v>
      </c>
      <c r="P214" s="1">
        <f t="shared" si="584"/>
        <v>255</v>
      </c>
      <c r="Q214" s="1" cm="1">
        <f t="array" ref="Q214" xml:space="preserve"> 1 + ROW() - _xlfn.SINGLE(ROW(ChartLines.RowNum))</f>
        <v>209</v>
      </c>
      <c r="R214" s="1" t="str">
        <v>✓</v>
      </c>
    </row>
    <row r="215" spans="2:18" x14ac:dyDescent="0.2">
      <c r="B215" s="13" t="str">
        <f xml:space="preserve"> LEFT(SeriesFormatAlias.ID, 2)</f>
        <v>UG</v>
      </c>
      <c r="C215" s="4" t="s">
        <v>144</v>
      </c>
      <c r="D215" t="str">
        <v>✓</v>
      </c>
      <c r="H215" s="1" t="s">
        <v>133</v>
      </c>
      <c r="I215" s="1" t="str">
        <f xml:space="preserve"> "006233"</f>
        <v>006233</v>
      </c>
      <c r="K215" s="1">
        <f t="shared" ref="K215" si="585" xml:space="preserve"> IF(AND(LEN(ChartLines.ID)&gt;0,"Unused"&lt;&gt;ChartLines.ID), COUNTIFS(ChartLines.ID,ChartLines.ID), "·")</f>
        <v>2</v>
      </c>
      <c r="L215" s="1">
        <f t="shared" ref="L215" si="586" xml:space="preserve"> IF(AND(LEN(ChartLines.ID)&gt;0,"Unused"&lt;&gt;ChartLines.ID), COUNTIFS(ChartLines.ID,ChartLines.ID,   ChartLines.RowNum,"&lt;="&amp;ChartLines.RowNum), "·")</f>
        <v>1</v>
      </c>
      <c r="M215" s="1" t="str" cm="1">
        <f t="array" ref="M215" xml:space="preserve"> _xlfn.IFS(OR(LEN(_xlfn.SINGLE(ChartLines.ID))=0,"Unused"=_xlfn.SINGLE(ChartLines.ID)), "·",   1=_xlfn.SINGLE(ChartLines.NumInstances), IF("USD"=_xlfn.SINGLE(ChartLines.ID), "SoleBig", "SoleOrdinary"),   1=_xlfn.SINGLE(ChartLines.InstanceNum), "Outer",   TRUE, "Inner")</f>
        <v>Outer</v>
      </c>
      <c r="N215" s="1">
        <f t="shared" ref="N215" si="587" xml:space="preserve"> IF(LEN(ChartLines.Hex6)=6, HEX2DEC(LEFT(ChartLines.Hex6, 2)), "·")</f>
        <v>0</v>
      </c>
      <c r="O215" s="1">
        <f t="shared" ref="O215" si="588" xml:space="preserve"> IF(LEN(ChartLines.Hex6)=6, HEX2DEC(MID(ChartLines.Hex6, 3, 2)), "·")</f>
        <v>98</v>
      </c>
      <c r="P215" s="1">
        <f t="shared" ref="P215" si="589" xml:space="preserve"> IF(LEN(ChartLines.Hex6)=6, HEX2DEC(RIGHT(ChartLines.Hex6, 2)), "·")</f>
        <v>51</v>
      </c>
      <c r="Q215" s="1" cm="1">
        <f t="array" ref="Q215" xml:space="preserve"> 1 + ROW() - _xlfn.SINGLE(ROW(ChartLines.RowNum))</f>
        <v>210</v>
      </c>
      <c r="R215" s="1" t="str">
        <v>✓</v>
      </c>
    </row>
    <row r="216" spans="2:18" x14ac:dyDescent="0.2">
      <c r="B216" s="13" t="str">
        <f xml:space="preserve"> LEFT(SeriesFormatAlias.ID, 2)</f>
        <v>CD</v>
      </c>
      <c r="C216" s="4" t="s">
        <v>145</v>
      </c>
      <c r="D216" t="str">
        <v>✓</v>
      </c>
      <c r="H216" s="1" t="s">
        <v>133</v>
      </c>
      <c r="I216" s="1" t="s">
        <v>424</v>
      </c>
      <c r="K216" s="1">
        <f t="shared" ref="K216" si="590" xml:space="preserve"> IF(AND(LEN(ChartLines.ID)&gt;0,"Unused"&lt;&gt;ChartLines.ID), COUNTIFS(ChartLines.ID,ChartLines.ID), "·")</f>
        <v>2</v>
      </c>
      <c r="L216" s="1">
        <f t="shared" ref="L216" si="591" xml:space="preserve"> IF(AND(LEN(ChartLines.ID)&gt;0,"Unused"&lt;&gt;ChartLines.ID), COUNTIFS(ChartLines.ID,ChartLines.ID,   ChartLines.RowNum,"&lt;="&amp;ChartLines.RowNum), "·")</f>
        <v>2</v>
      </c>
      <c r="M216" s="1" t="str" cm="1">
        <f t="array" ref="M216" xml:space="preserve"> _xlfn.IFS(OR(LEN(_xlfn.SINGLE(ChartLines.ID))=0,"Unused"=_xlfn.SINGLE(ChartLines.ID)), "·",   1=_xlfn.SINGLE(ChartLines.NumInstances), IF("USD"=_xlfn.SINGLE(ChartLines.ID), "SoleBig", "SoleOrdinary"),   1=_xlfn.SINGLE(ChartLines.InstanceNum), "Outer",   TRUE, "Inner")</f>
        <v>Inner</v>
      </c>
      <c r="N216" s="1">
        <f t="shared" ref="N216" si="592" xml:space="preserve"> IF(LEN(ChartLines.Hex6)=6, HEX2DEC(LEFT(ChartLines.Hex6, 2)), "·")</f>
        <v>251</v>
      </c>
      <c r="O216" s="1">
        <f t="shared" ref="O216" si="593" xml:space="preserve"> IF(LEN(ChartLines.Hex6)=6, HEX2DEC(MID(ChartLines.Hex6, 3, 2)), "·")</f>
        <v>15</v>
      </c>
      <c r="P216" s="1">
        <f t="shared" ref="P216" si="594" xml:space="preserve"> IF(LEN(ChartLines.Hex6)=6, HEX2DEC(RIGHT(ChartLines.Hex6, 2)), "·")</f>
        <v>12</v>
      </c>
      <c r="Q216" s="1" cm="1">
        <f t="array" ref="Q216" xml:space="preserve"> 1 + ROW() - _xlfn.SINGLE(ROW(ChartLines.RowNum))</f>
        <v>211</v>
      </c>
      <c r="R216" s="1" t="str">
        <v>✓</v>
      </c>
    </row>
    <row r="217" spans="2:18" x14ac:dyDescent="0.2">
      <c r="B217" s="13" t="str">
        <f xml:space="preserve"> LEFT(SeriesFormatAlias.ID, 2)</f>
        <v>GH</v>
      </c>
      <c r="C217" s="4" t="s">
        <v>146</v>
      </c>
      <c r="D217" t="str">
        <v>✓</v>
      </c>
      <c r="H217" s="1" t="s">
        <v>134</v>
      </c>
      <c r="I217" s="1" t="str">
        <f xml:space="preserve"> "006633"</f>
        <v>006633</v>
      </c>
      <c r="K217" s="1">
        <f t="shared" ref="K217" si="595" xml:space="preserve"> IF(AND(LEN(ChartLines.ID)&gt;0,"Unused"&lt;&gt;ChartLines.ID), COUNTIFS(ChartLines.ID,ChartLines.ID), "·")</f>
        <v>2</v>
      </c>
      <c r="L217" s="1">
        <f t="shared" ref="L217" si="596" xml:space="preserve"> IF(AND(LEN(ChartLines.ID)&gt;0,"Unused"&lt;&gt;ChartLines.ID), COUNTIFS(ChartLines.ID,ChartLines.ID,   ChartLines.RowNum,"&lt;="&amp;ChartLines.RowNum), "·")</f>
        <v>1</v>
      </c>
      <c r="M217" s="1" t="str" cm="1">
        <f t="array" ref="M217" xml:space="preserve"> _xlfn.IFS(OR(LEN(_xlfn.SINGLE(ChartLines.ID))=0,"Unused"=_xlfn.SINGLE(ChartLines.ID)), "·",   1=_xlfn.SINGLE(ChartLines.NumInstances), IF("USD"=_xlfn.SINGLE(ChartLines.ID), "SoleBig", "SoleOrdinary"),   1=_xlfn.SINGLE(ChartLines.InstanceNum), "Outer",   TRUE, "Inner")</f>
        <v>Outer</v>
      </c>
      <c r="N217" s="1">
        <f t="shared" ref="N217" si="597" xml:space="preserve"> IF(LEN(ChartLines.Hex6)=6, HEX2DEC(LEFT(ChartLines.Hex6, 2)), "·")</f>
        <v>0</v>
      </c>
      <c r="O217" s="1">
        <f t="shared" ref="O217" si="598" xml:space="preserve"> IF(LEN(ChartLines.Hex6)=6, HEX2DEC(MID(ChartLines.Hex6, 3, 2)), "·")</f>
        <v>102</v>
      </c>
      <c r="P217" s="1">
        <f t="shared" ref="P217" si="599" xml:space="preserve"> IF(LEN(ChartLines.Hex6)=6, HEX2DEC(RIGHT(ChartLines.Hex6, 2)), "·")</f>
        <v>51</v>
      </c>
      <c r="Q217" s="1" cm="1">
        <f t="array" ref="Q217" xml:space="preserve"> 1 + ROW() - _xlfn.SINGLE(ROW(ChartLines.RowNum))</f>
        <v>212</v>
      </c>
      <c r="R217" s="1" t="str">
        <v>✓</v>
      </c>
    </row>
    <row r="218" spans="2:18" x14ac:dyDescent="0.2">
      <c r="B218" s="13" t="str">
        <f xml:space="preserve"> LEFT(SeriesFormatAlias.ID, 2)</f>
        <v>AO</v>
      </c>
      <c r="C218" s="4" t="s">
        <v>475</v>
      </c>
      <c r="D218" t="str">
        <v>✓</v>
      </c>
      <c r="H218" s="1" t="s">
        <v>134</v>
      </c>
      <c r="I218" s="1" t="s">
        <v>345</v>
      </c>
      <c r="K218" s="1">
        <f t="shared" ref="K218" si="600" xml:space="preserve"> IF(AND(LEN(ChartLines.ID)&gt;0,"Unused"&lt;&gt;ChartLines.ID), COUNTIFS(ChartLines.ID,ChartLines.ID), "·")</f>
        <v>2</v>
      </c>
      <c r="L218" s="1">
        <f t="shared" ref="L218" si="601" xml:space="preserve"> IF(AND(LEN(ChartLines.ID)&gt;0,"Unused"&lt;&gt;ChartLines.ID), COUNTIFS(ChartLines.ID,ChartLines.ID,   ChartLines.RowNum,"&lt;="&amp;ChartLines.RowNum), "·")</f>
        <v>2</v>
      </c>
      <c r="M218" s="1" t="str" cm="1">
        <f t="array" ref="M218" xml:space="preserve"> _xlfn.IFS(OR(LEN(_xlfn.SINGLE(ChartLines.ID))=0,"Unused"=_xlfn.SINGLE(ChartLines.ID)), "·",   1=_xlfn.SINGLE(ChartLines.NumInstances), IF("USD"=_xlfn.SINGLE(ChartLines.ID), "SoleBig", "SoleOrdinary"),   1=_xlfn.SINGLE(ChartLines.InstanceNum), "Outer",   TRUE, "Inner")</f>
        <v>Inner</v>
      </c>
      <c r="N218" s="1">
        <f t="shared" ref="N218" si="602" xml:space="preserve"> IF(LEN(ChartLines.Hex6)=6, HEX2DEC(LEFT(ChartLines.Hex6, 2)), "·")</f>
        <v>255</v>
      </c>
      <c r="O218" s="1">
        <f t="shared" ref="O218" si="603" xml:space="preserve"> IF(LEN(ChartLines.Hex6)=6, HEX2DEC(MID(ChartLines.Hex6, 3, 2)), "·")</f>
        <v>255</v>
      </c>
      <c r="P218" s="1">
        <f t="shared" ref="P218" si="604" xml:space="preserve"> IF(LEN(ChartLines.Hex6)=6, HEX2DEC(RIGHT(ChartLines.Hex6, 2)), "·")</f>
        <v>255</v>
      </c>
      <c r="Q218" s="1" cm="1">
        <f t="array" ref="Q218" xml:space="preserve"> 1 + ROW() - _xlfn.SINGLE(ROW(ChartLines.RowNum))</f>
        <v>213</v>
      </c>
      <c r="R218" s="1" t="str">
        <v>✓</v>
      </c>
    </row>
    <row r="219" spans="2:18" x14ac:dyDescent="0.2">
      <c r="B219" s="13" t="str">
        <f xml:space="preserve"> LEFT(SeriesFormatAlias.ID, 2)</f>
        <v>MX</v>
      </c>
      <c r="C219" s="4" t="s">
        <v>150</v>
      </c>
      <c r="D219" t="str">
        <v>✓</v>
      </c>
      <c r="H219" s="1" t="s">
        <v>135</v>
      </c>
      <c r="I219" s="1" t="s">
        <v>425</v>
      </c>
      <c r="K219" s="1">
        <f t="shared" ref="K219" si="605" xml:space="preserve"> IF(AND(LEN(ChartLines.ID)&gt;0,"Unused"&lt;&gt;ChartLines.ID), COUNTIFS(ChartLines.ID,ChartLines.ID), "·")</f>
        <v>2</v>
      </c>
      <c r="L219" s="1">
        <f t="shared" ref="L219" si="606" xml:space="preserve"> IF(AND(LEN(ChartLines.ID)&gt;0,"Unused"&lt;&gt;ChartLines.ID), COUNTIFS(ChartLines.ID,ChartLines.ID,   ChartLines.RowNum,"&lt;="&amp;ChartLines.RowNum), "·")</f>
        <v>1</v>
      </c>
      <c r="M219" s="1" t="str" cm="1">
        <f t="array" ref="M219" xml:space="preserve"> _xlfn.IFS(OR(LEN(_xlfn.SINGLE(ChartLines.ID))=0,"Unused"=_xlfn.SINGLE(ChartLines.ID)), "·",   1=_xlfn.SINGLE(ChartLines.NumInstances), IF("USD"=_xlfn.SINGLE(ChartLines.ID), "SoleBig", "SoleOrdinary"),   1=_xlfn.SINGLE(ChartLines.InstanceNum), "Outer",   TRUE, "Inner")</f>
        <v>Outer</v>
      </c>
      <c r="N219" s="1">
        <f t="shared" ref="N219" si="607" xml:space="preserve"> IF(LEN(ChartLines.Hex6)=6, HEX2DEC(LEFT(ChartLines.Hex6, 2)), "·")</f>
        <v>35</v>
      </c>
      <c r="O219" s="1">
        <f t="shared" ref="O219" si="608" xml:space="preserve"> IF(LEN(ChartLines.Hex6)=6, HEX2DEC(MID(ChartLines.Hex6, 3, 2)), "·")</f>
        <v>159</v>
      </c>
      <c r="P219" s="1">
        <f t="shared" ref="P219" si="609" xml:space="preserve"> IF(LEN(ChartLines.Hex6)=6, HEX2DEC(RIGHT(ChartLines.Hex6, 2)), "·")</f>
        <v>64</v>
      </c>
      <c r="Q219" s="1" cm="1">
        <f t="array" ref="Q219" xml:space="preserve"> 1 + ROW() - _xlfn.SINGLE(ROW(ChartLines.RowNum))</f>
        <v>214</v>
      </c>
      <c r="R219" s="1" t="str">
        <v>✓</v>
      </c>
    </row>
    <row r="220" spans="2:18" x14ac:dyDescent="0.2">
      <c r="B220" s="13" t="str">
        <f xml:space="preserve"> LEFT(SeriesFormatAlias.ID, 2)</f>
        <v>BR</v>
      </c>
      <c r="C220" s="4" t="s">
        <v>151</v>
      </c>
      <c r="D220" t="str">
        <v>✓</v>
      </c>
      <c r="H220" s="1" t="s">
        <v>135</v>
      </c>
      <c r="I220" s="1" t="s">
        <v>345</v>
      </c>
      <c r="K220" s="1">
        <f t="shared" ref="K220" si="610" xml:space="preserve"> IF(AND(LEN(ChartLines.ID)&gt;0,"Unused"&lt;&gt;ChartLines.ID), COUNTIFS(ChartLines.ID,ChartLines.ID), "·")</f>
        <v>2</v>
      </c>
      <c r="L220" s="1">
        <f t="shared" ref="L220" si="611" xml:space="preserve"> IF(AND(LEN(ChartLines.ID)&gt;0,"Unused"&lt;&gt;ChartLines.ID), COUNTIFS(ChartLines.ID,ChartLines.ID,   ChartLines.RowNum,"&lt;="&amp;ChartLines.RowNum), "·")</f>
        <v>2</v>
      </c>
      <c r="M220" s="1" t="str" cm="1">
        <f t="array" ref="M220" xml:space="preserve"> _xlfn.IFS(OR(LEN(_xlfn.SINGLE(ChartLines.ID))=0,"Unused"=_xlfn.SINGLE(ChartLines.ID)), "·",   1=_xlfn.SINGLE(ChartLines.NumInstances), IF("USD"=_xlfn.SINGLE(ChartLines.ID), "SoleBig", "SoleOrdinary"),   1=_xlfn.SINGLE(ChartLines.InstanceNum), "Outer",   TRUE, "Inner")</f>
        <v>Inner</v>
      </c>
      <c r="N220" s="1">
        <f t="shared" ref="N220" si="612" xml:space="preserve"> IF(LEN(ChartLines.Hex6)=6, HEX2DEC(LEFT(ChartLines.Hex6, 2)), "·")</f>
        <v>255</v>
      </c>
      <c r="O220" s="1">
        <f t="shared" ref="O220" si="613" xml:space="preserve"> IF(LEN(ChartLines.Hex6)=6, HEX2DEC(MID(ChartLines.Hex6, 3, 2)), "·")</f>
        <v>255</v>
      </c>
      <c r="P220" s="1">
        <f t="shared" ref="P220" si="614" xml:space="preserve"> IF(LEN(ChartLines.Hex6)=6, HEX2DEC(RIGHT(ChartLines.Hex6, 2)), "·")</f>
        <v>255</v>
      </c>
      <c r="Q220" s="1" cm="1">
        <f t="array" ref="Q220" xml:space="preserve"> 1 + ROW() - _xlfn.SINGLE(ROW(ChartLines.RowNum))</f>
        <v>215</v>
      </c>
      <c r="R220" s="1" t="str">
        <v>✓</v>
      </c>
    </row>
    <row r="221" spans="2:18" x14ac:dyDescent="0.2">
      <c r="B221" s="13" t="str">
        <f xml:space="preserve"> LEFT(SeriesFormatAlias.ID, 2)</f>
        <v>CL</v>
      </c>
      <c r="C221" s="4" t="s">
        <v>152</v>
      </c>
      <c r="D221" t="str">
        <v>✓</v>
      </c>
      <c r="H221" s="1" t="s">
        <v>136</v>
      </c>
      <c r="I221" s="1" t="str">
        <f xml:space="preserve"> "000000"</f>
        <v>000000</v>
      </c>
      <c r="K221" s="1">
        <f t="shared" ref="K221" si="615" xml:space="preserve"> IF(AND(LEN(ChartLines.ID)&gt;0,"Unused"&lt;&gt;ChartLines.ID), COUNTIFS(ChartLines.ID,ChartLines.ID), "·")</f>
        <v>2</v>
      </c>
      <c r="L221" s="1">
        <f t="shared" ref="L221" si="616" xml:space="preserve"> IF(AND(LEN(ChartLines.ID)&gt;0,"Unused"&lt;&gt;ChartLines.ID), COUNTIFS(ChartLines.ID,ChartLines.ID,   ChartLines.RowNum,"&lt;="&amp;ChartLines.RowNum), "·")</f>
        <v>1</v>
      </c>
      <c r="M221" s="1" t="str" cm="1">
        <f t="array" ref="M221" xml:space="preserve"> _xlfn.IFS(OR(LEN(_xlfn.SINGLE(ChartLines.ID))=0,"Unused"=_xlfn.SINGLE(ChartLines.ID)), "·",   1=_xlfn.SINGLE(ChartLines.NumInstances), IF("USD"=_xlfn.SINGLE(ChartLines.ID), "SoleBig", "SoleOrdinary"),   1=_xlfn.SINGLE(ChartLines.InstanceNum), "Outer",   TRUE, "Inner")</f>
        <v>Outer</v>
      </c>
      <c r="N221" s="1">
        <f t="shared" ref="N221" si="617" xml:space="preserve"> IF(LEN(ChartLines.Hex6)=6, HEX2DEC(LEFT(ChartLines.Hex6, 2)), "·")</f>
        <v>0</v>
      </c>
      <c r="O221" s="1">
        <f t="shared" ref="O221" si="618" xml:space="preserve"> IF(LEN(ChartLines.Hex6)=6, HEX2DEC(MID(ChartLines.Hex6, 3, 2)), "·")</f>
        <v>0</v>
      </c>
      <c r="P221" s="1">
        <f t="shared" ref="P221" si="619" xml:space="preserve"> IF(LEN(ChartLines.Hex6)=6, HEX2DEC(RIGHT(ChartLines.Hex6, 2)), "·")</f>
        <v>0</v>
      </c>
      <c r="Q221" s="1" cm="1">
        <f t="array" ref="Q221" xml:space="preserve"> 1 + ROW() - _xlfn.SINGLE(ROW(ChartLines.RowNum))</f>
        <v>216</v>
      </c>
      <c r="R221" s="1" t="str">
        <v>✓</v>
      </c>
    </row>
    <row r="222" spans="2:18" x14ac:dyDescent="0.2">
      <c r="B222" s="13" t="str">
        <f xml:space="preserve"> LEFT(SeriesFormatAlias.ID, 2)</f>
        <v>CO</v>
      </c>
      <c r="C222" s="4" t="s">
        <v>153</v>
      </c>
      <c r="D222" t="str">
        <v>✓</v>
      </c>
      <c r="H222" s="1" t="s">
        <v>136</v>
      </c>
      <c r="I222" s="1" t="s">
        <v>426</v>
      </c>
      <c r="K222" s="1">
        <f t="shared" ref="K222" si="620" xml:space="preserve"> IF(AND(LEN(ChartLines.ID)&gt;0,"Unused"&lt;&gt;ChartLines.ID), COUNTIFS(ChartLines.ID,ChartLines.ID), "·")</f>
        <v>2</v>
      </c>
      <c r="L222" s="1">
        <f t="shared" ref="L222" si="621" xml:space="preserve"> IF(AND(LEN(ChartLines.ID)&gt;0,"Unused"&lt;&gt;ChartLines.ID), COUNTIFS(ChartLines.ID,ChartLines.ID,   ChartLines.RowNum,"&lt;="&amp;ChartLines.RowNum), "·")</f>
        <v>2</v>
      </c>
      <c r="M222" s="1" t="str" cm="1">
        <f t="array" ref="M222" xml:space="preserve"> _xlfn.IFS(OR(LEN(_xlfn.SINGLE(ChartLines.ID))=0,"Unused"=_xlfn.SINGLE(ChartLines.ID)), "·",   1=_xlfn.SINGLE(ChartLines.NumInstances), IF("USD"=_xlfn.SINGLE(ChartLines.ID), "SoleBig", "SoleOrdinary"),   1=_xlfn.SINGLE(ChartLines.InstanceNum), "Outer",   TRUE, "Inner")</f>
        <v>Inner</v>
      </c>
      <c r="N222" s="1">
        <f t="shared" ref="N222" si="622" xml:space="preserve"> IF(LEN(ChartLines.Hex6)=6, HEX2DEC(LEFT(ChartLines.Hex6, 2)), "·")</f>
        <v>227</v>
      </c>
      <c r="O222" s="1">
        <f t="shared" ref="O222" si="623" xml:space="preserve"> IF(LEN(ChartLines.Hex6)=6, HEX2DEC(MID(ChartLines.Hex6, 3, 2)), "·")</f>
        <v>179</v>
      </c>
      <c r="P222" s="1">
        <f t="shared" ref="P222" si="624" xml:space="preserve"> IF(LEN(ChartLines.Hex6)=6, HEX2DEC(RIGHT(ChartLines.Hex6, 2)), "·")</f>
        <v>41</v>
      </c>
      <c r="Q222" s="1" cm="1">
        <f t="array" ref="Q222" xml:space="preserve"> 1 + ROW() - _xlfn.SINGLE(ROW(ChartLines.RowNum))</f>
        <v>217</v>
      </c>
      <c r="R222" s="1" t="str">
        <v>✓</v>
      </c>
    </row>
    <row r="223" spans="2:18" x14ac:dyDescent="0.2">
      <c r="B223" s="13" t="str">
        <f xml:space="preserve"> LEFT(SeriesFormatAlias.ID, 2)</f>
        <v>PE</v>
      </c>
      <c r="C223" s="4" t="s">
        <v>154</v>
      </c>
      <c r="D223" t="str">
        <v>✓</v>
      </c>
      <c r="H223" s="1" t="s">
        <v>137</v>
      </c>
      <c r="I223" s="1" t="s">
        <v>427</v>
      </c>
      <c r="K223" s="1">
        <f t="shared" ref="K223" si="625" xml:space="preserve"> IF(AND(LEN(ChartLines.ID)&gt;0,"Unused"&lt;&gt;ChartLines.ID), COUNTIFS(ChartLines.ID,ChartLines.ID), "·")</f>
        <v>2</v>
      </c>
      <c r="L223" s="1">
        <f t="shared" ref="L223" si="626" xml:space="preserve"> IF(AND(LEN(ChartLines.ID)&gt;0,"Unused"&lt;&gt;ChartLines.ID), COUNTIFS(ChartLines.ID,ChartLines.ID,   ChartLines.RowNum,"&lt;="&amp;ChartLines.RowNum), "·")</f>
        <v>1</v>
      </c>
      <c r="M223" s="1" t="str" cm="1">
        <f t="array" ref="M223" xml:space="preserve"> _xlfn.IFS(OR(LEN(_xlfn.SINGLE(ChartLines.ID))=0,"Unused"=_xlfn.SINGLE(ChartLines.ID)), "·",   1=_xlfn.SINGLE(ChartLines.NumInstances), IF("USD"=_xlfn.SINGLE(ChartLines.ID), "SoleBig", "SoleOrdinary"),   1=_xlfn.SINGLE(ChartLines.InstanceNum), "Outer",   TRUE, "Inner")</f>
        <v>Outer</v>
      </c>
      <c r="N223" s="1">
        <f t="shared" ref="N223" si="627" xml:space="preserve"> IF(LEN(ChartLines.Hex6)=6, HEX2DEC(LEFT(ChartLines.Hex6, 2)), "·")</f>
        <v>0</v>
      </c>
      <c r="O223" s="1">
        <f t="shared" ref="O223" si="628" xml:space="preserve"> IF(LEN(ChartLines.Hex6)=6, HEX2DEC(MID(ChartLines.Hex6, 3, 2)), "·")</f>
        <v>94</v>
      </c>
      <c r="P223" s="1">
        <f t="shared" ref="P223" si="629" xml:space="preserve"> IF(LEN(ChartLines.Hex6)=6, HEX2DEC(RIGHT(ChartLines.Hex6, 2)), "·")</f>
        <v>184</v>
      </c>
      <c r="Q223" s="1" cm="1">
        <f t="array" ref="Q223" xml:space="preserve"> 1 + ROW() - _xlfn.SINGLE(ROW(ChartLines.RowNum))</f>
        <v>218</v>
      </c>
      <c r="R223" s="1" t="str">
        <v>✓</v>
      </c>
    </row>
    <row r="224" spans="2:18" x14ac:dyDescent="0.2">
      <c r="B224" s="13" t="str">
        <f xml:space="preserve"> LEFT(SeriesFormatAlias.ID, 2)</f>
        <v>UY</v>
      </c>
      <c r="C224" s="4" t="s">
        <v>155</v>
      </c>
      <c r="D224" t="str">
        <v>✓</v>
      </c>
      <c r="H224" s="1" t="s">
        <v>137</v>
      </c>
      <c r="I224" s="1" t="s">
        <v>345</v>
      </c>
      <c r="K224" s="1">
        <f t="shared" ref="K224" si="630" xml:space="preserve"> IF(AND(LEN(ChartLines.ID)&gt;0,"Unused"&lt;&gt;ChartLines.ID), COUNTIFS(ChartLines.ID,ChartLines.ID), "·")</f>
        <v>2</v>
      </c>
      <c r="L224" s="1">
        <f t="shared" ref="L224" si="631" xml:space="preserve"> IF(AND(LEN(ChartLines.ID)&gt;0,"Unused"&lt;&gt;ChartLines.ID), COUNTIFS(ChartLines.ID,ChartLines.ID,   ChartLines.RowNum,"&lt;="&amp;ChartLines.RowNum), "·")</f>
        <v>2</v>
      </c>
      <c r="M224" s="1" t="str" cm="1">
        <f t="array" ref="M224" xml:space="preserve"> _xlfn.IFS(OR(LEN(_xlfn.SINGLE(ChartLines.ID))=0,"Unused"=_xlfn.SINGLE(ChartLines.ID)), "·",   1=_xlfn.SINGLE(ChartLines.NumInstances), IF("USD"=_xlfn.SINGLE(ChartLines.ID), "SoleBig", "SoleOrdinary"),   1=_xlfn.SINGLE(ChartLines.InstanceNum), "Outer",   TRUE, "Inner")</f>
        <v>Inner</v>
      </c>
      <c r="N224" s="1">
        <f t="shared" ref="N224" si="632" xml:space="preserve"> IF(LEN(ChartLines.Hex6)=6, HEX2DEC(LEFT(ChartLines.Hex6, 2)), "·")</f>
        <v>255</v>
      </c>
      <c r="O224" s="1">
        <f t="shared" ref="O224" si="633" xml:space="preserve"> IF(LEN(ChartLines.Hex6)=6, HEX2DEC(MID(ChartLines.Hex6, 3, 2)), "·")</f>
        <v>255</v>
      </c>
      <c r="P224" s="1">
        <f t="shared" ref="P224" si="634" xml:space="preserve"> IF(LEN(ChartLines.Hex6)=6, HEX2DEC(RIGHT(ChartLines.Hex6, 2)), "·")</f>
        <v>255</v>
      </c>
      <c r="Q224" s="1" cm="1">
        <f t="array" ref="Q224" xml:space="preserve"> 1 + ROW() - _xlfn.SINGLE(ROW(ChartLines.RowNum))</f>
        <v>219</v>
      </c>
      <c r="R224" s="1" t="str">
        <v>✓</v>
      </c>
    </row>
    <row r="225" spans="2:18" x14ac:dyDescent="0.2">
      <c r="B225" s="13" t="str">
        <f xml:space="preserve"> LEFT(SeriesFormatAlias.ID, 2)</f>
        <v>AR</v>
      </c>
      <c r="C225" s="4" t="s">
        <v>156</v>
      </c>
      <c r="D225" t="str">
        <v>✓</v>
      </c>
      <c r="K225" s="1" t="str">
        <f t="shared" ref="K225" si="635" xml:space="preserve"> IF(AND(LEN(ChartLines.ID)&gt;0,"Unused"&lt;&gt;ChartLines.ID), COUNTIFS(ChartLines.ID,ChartLines.ID), "·")</f>
        <v>·</v>
      </c>
      <c r="L225" s="1" t="str">
        <f t="shared" ref="L225" si="636" xml:space="preserve"> IF(AND(LEN(ChartLines.ID)&gt;0,"Unused"&lt;&gt;ChartLines.ID), COUNTIFS(ChartLines.ID,ChartLines.ID,   ChartLines.RowNum,"&lt;="&amp;ChartLines.RowNum), "·")</f>
        <v>·</v>
      </c>
      <c r="M225" s="1" t="str" cm="1">
        <f t="array" ref="M225" xml:space="preserve"> _xlfn.IFS(OR(LEN(_xlfn.SINGLE(ChartLines.ID))=0,"Unused"=_xlfn.SINGLE(ChartLines.ID)), "·",   1=_xlfn.SINGLE(ChartLines.NumInstances), IF("USD"=_xlfn.SINGLE(ChartLines.ID), "SoleBig", "SoleOrdinary"),   1=_xlfn.SINGLE(ChartLines.InstanceNum), "Outer",   TRUE, "Inner")</f>
        <v>·</v>
      </c>
      <c r="N225" s="1" t="str">
        <f t="shared" ref="N225" si="637" xml:space="preserve"> IF(LEN(ChartLines.Hex6)=6, HEX2DEC(LEFT(ChartLines.Hex6, 2)), "·")</f>
        <v>·</v>
      </c>
      <c r="O225" s="1" t="str">
        <f t="shared" ref="O225" si="638" xml:space="preserve"> IF(LEN(ChartLines.Hex6)=6, HEX2DEC(MID(ChartLines.Hex6, 3, 2)), "·")</f>
        <v>·</v>
      </c>
      <c r="P225" s="1" t="str">
        <f t="shared" ref="P225" si="639" xml:space="preserve"> IF(LEN(ChartLines.Hex6)=6, HEX2DEC(RIGHT(ChartLines.Hex6, 2)), "·")</f>
        <v>·</v>
      </c>
      <c r="Q225" s="1" cm="1">
        <f t="array" ref="Q225" xml:space="preserve"> 1 + ROW() - _xlfn.SINGLE(ROW(ChartLines.RowNum))</f>
        <v>220</v>
      </c>
      <c r="R225" s="1" t="str">
        <v>·</v>
      </c>
    </row>
    <row r="226" spans="2:18" x14ac:dyDescent="0.2">
      <c r="B226" s="13" t="str">
        <f xml:space="preserve"> LEFT(SeriesFormatAlias.ID, 2)</f>
        <v>BO</v>
      </c>
      <c r="C226" s="4" t="s">
        <v>157</v>
      </c>
      <c r="D226" t="str">
        <v>✓</v>
      </c>
      <c r="H226" s="1" t="s">
        <v>138</v>
      </c>
      <c r="I226" s="1" t="str">
        <f xml:space="preserve"> "007749"</f>
        <v>007749</v>
      </c>
      <c r="K226" s="1">
        <f t="shared" ref="K226" si="640" xml:space="preserve"> IF(AND(LEN(ChartLines.ID)&gt;0,"Unused"&lt;&gt;ChartLines.ID), COUNTIFS(ChartLines.ID,ChartLines.ID), "·")</f>
        <v>2</v>
      </c>
      <c r="L226" s="1">
        <f t="shared" ref="L226" si="641" xml:space="preserve"> IF(AND(LEN(ChartLines.ID)&gt;0,"Unused"&lt;&gt;ChartLines.ID), COUNTIFS(ChartLines.ID,ChartLines.ID,   ChartLines.RowNum,"&lt;="&amp;ChartLines.RowNum), "·")</f>
        <v>1</v>
      </c>
      <c r="M226" s="1" t="str" cm="1">
        <f t="array" ref="M226" xml:space="preserve"> _xlfn.IFS(OR(LEN(_xlfn.SINGLE(ChartLines.ID))=0,"Unused"=_xlfn.SINGLE(ChartLines.ID)), "·",   1=_xlfn.SINGLE(ChartLines.NumInstances), IF("USD"=_xlfn.SINGLE(ChartLines.ID), "SoleBig", "SoleOrdinary"),   1=_xlfn.SINGLE(ChartLines.InstanceNum), "Outer",   TRUE, "Inner")</f>
        <v>Outer</v>
      </c>
      <c r="N226" s="1">
        <f t="shared" ref="N226" si="642" xml:space="preserve"> IF(LEN(ChartLines.Hex6)=6, HEX2DEC(LEFT(ChartLines.Hex6, 2)), "·")</f>
        <v>0</v>
      </c>
      <c r="O226" s="1">
        <f t="shared" ref="O226" si="643" xml:space="preserve"> IF(LEN(ChartLines.Hex6)=6, HEX2DEC(MID(ChartLines.Hex6, 3, 2)), "·")</f>
        <v>119</v>
      </c>
      <c r="P226" s="1">
        <f t="shared" ref="P226" si="644" xml:space="preserve"> IF(LEN(ChartLines.Hex6)=6, HEX2DEC(RIGHT(ChartLines.Hex6, 2)), "·")</f>
        <v>73</v>
      </c>
      <c r="Q226" s="1" cm="1">
        <f t="array" ref="Q226" xml:space="preserve"> 1 + ROW() - _xlfn.SINGLE(ROW(ChartLines.RowNum))</f>
        <v>221</v>
      </c>
      <c r="R226" s="1" t="str">
        <v>✓</v>
      </c>
    </row>
    <row r="227" spans="2:18" x14ac:dyDescent="0.2">
      <c r="B227" s="13" t="str">
        <f xml:space="preserve"> LEFT(SeriesFormatAlias.ID, 2)</f>
        <v>BZ</v>
      </c>
      <c r="C227" s="4" t="s">
        <v>158</v>
      </c>
      <c r="D227" t="str">
        <v>✓</v>
      </c>
      <c r="H227" s="1" t="s">
        <v>138</v>
      </c>
      <c r="I227" s="1" t="str">
        <f xml:space="preserve"> "FFA500"</f>
        <v>FFA500</v>
      </c>
      <c r="K227" s="1">
        <f t="shared" ref="K227" si="645" xml:space="preserve"> IF(AND(LEN(ChartLines.ID)&gt;0,"Unused"&lt;&gt;ChartLines.ID), COUNTIFS(ChartLines.ID,ChartLines.ID), "·")</f>
        <v>2</v>
      </c>
      <c r="L227" s="1">
        <f t="shared" ref="L227" si="646" xml:space="preserve"> IF(AND(LEN(ChartLines.ID)&gt;0,"Unused"&lt;&gt;ChartLines.ID), COUNTIFS(ChartLines.ID,ChartLines.ID,   ChartLines.RowNum,"&lt;="&amp;ChartLines.RowNum), "·")</f>
        <v>2</v>
      </c>
      <c r="M227" s="1" t="str" cm="1">
        <f t="array" ref="M227" xml:space="preserve"> _xlfn.IFS(OR(LEN(_xlfn.SINGLE(ChartLines.ID))=0,"Unused"=_xlfn.SINGLE(ChartLines.ID)), "·",   1=_xlfn.SINGLE(ChartLines.NumInstances), IF("USD"=_xlfn.SINGLE(ChartLines.ID), "SoleBig", "SoleOrdinary"),   1=_xlfn.SINGLE(ChartLines.InstanceNum), "Outer",   TRUE, "Inner")</f>
        <v>Inner</v>
      </c>
      <c r="N227" s="1">
        <f t="shared" ref="N227" si="647" xml:space="preserve"> IF(LEN(ChartLines.Hex6)=6, HEX2DEC(LEFT(ChartLines.Hex6, 2)), "·")</f>
        <v>255</v>
      </c>
      <c r="O227" s="1">
        <f t="shared" ref="O227" si="648" xml:space="preserve"> IF(LEN(ChartLines.Hex6)=6, HEX2DEC(MID(ChartLines.Hex6, 3, 2)), "·")</f>
        <v>165</v>
      </c>
      <c r="P227" s="1">
        <f t="shared" ref="P227" si="649" xml:space="preserve"> IF(LEN(ChartLines.Hex6)=6, HEX2DEC(RIGHT(ChartLines.Hex6, 2)), "·")</f>
        <v>0</v>
      </c>
      <c r="Q227" s="1" cm="1">
        <f t="array" ref="Q227" xml:space="preserve"> 1 + ROW() - _xlfn.SINGLE(ROW(ChartLines.RowNum))</f>
        <v>222</v>
      </c>
      <c r="R227" s="1" t="str">
        <v>✓</v>
      </c>
    </row>
    <row r="228" spans="2:18" x14ac:dyDescent="0.2">
      <c r="B228" s="13" t="str">
        <f xml:space="preserve"> LEFT(SeriesFormatAlias.ID, 2)</f>
        <v>PA</v>
      </c>
      <c r="C228" s="4" t="s">
        <v>161</v>
      </c>
      <c r="D228" t="str">
        <v>✓</v>
      </c>
      <c r="H228" s="1" t="s">
        <v>139</v>
      </c>
      <c r="I228" s="1" t="str">
        <f xml:space="preserve"> "009639"</f>
        <v>009639</v>
      </c>
      <c r="K228" s="1">
        <f t="shared" ref="K228" si="650" xml:space="preserve"> IF(AND(LEN(ChartLines.ID)&gt;0,"Unused"&lt;&gt;ChartLines.ID), COUNTIFS(ChartLines.ID,ChartLines.ID), "·")</f>
        <v>2</v>
      </c>
      <c r="L228" s="1">
        <f t="shared" ref="L228" si="651" xml:space="preserve"> IF(AND(LEN(ChartLines.ID)&gt;0,"Unused"&lt;&gt;ChartLines.ID), COUNTIFS(ChartLines.ID,ChartLines.ID,   ChartLines.RowNum,"&lt;="&amp;ChartLines.RowNum), "·")</f>
        <v>1</v>
      </c>
      <c r="M228" s="1" t="str" cm="1">
        <f t="array" ref="M228" xml:space="preserve"> _xlfn.IFS(OR(LEN(_xlfn.SINGLE(ChartLines.ID))=0,"Unused"=_xlfn.SINGLE(ChartLines.ID)), "·",   1=_xlfn.SINGLE(ChartLines.NumInstances), IF("USD"=_xlfn.SINGLE(ChartLines.ID), "SoleBig", "SoleOrdinary"),   1=_xlfn.SINGLE(ChartLines.InstanceNum), "Outer",   TRUE, "Inner")</f>
        <v>Outer</v>
      </c>
      <c r="N228" s="1">
        <f t="shared" ref="N228" si="652" xml:space="preserve"> IF(LEN(ChartLines.Hex6)=6, HEX2DEC(LEFT(ChartLines.Hex6, 2)), "·")</f>
        <v>0</v>
      </c>
      <c r="O228" s="1">
        <f t="shared" ref="O228" si="653" xml:space="preserve"> IF(LEN(ChartLines.Hex6)=6, HEX2DEC(MID(ChartLines.Hex6, 3, 2)), "·")</f>
        <v>150</v>
      </c>
      <c r="P228" s="1">
        <f t="shared" ref="P228" si="654" xml:space="preserve"> IF(LEN(ChartLines.Hex6)=6, HEX2DEC(RIGHT(ChartLines.Hex6, 2)), "·")</f>
        <v>57</v>
      </c>
      <c r="Q228" s="1" cm="1">
        <f t="array" ref="Q228" xml:space="preserve"> 1 + ROW() - _xlfn.SINGLE(ROW(ChartLines.RowNum))</f>
        <v>223</v>
      </c>
      <c r="R228" s="1" t="str">
        <v>✓</v>
      </c>
    </row>
    <row r="229" spans="2:18" x14ac:dyDescent="0.2">
      <c r="B229" s="13" t="str">
        <f xml:space="preserve"> LEFT(SeriesFormatAlias.ID, 2)</f>
        <v>DO</v>
      </c>
      <c r="C229" s="4" t="s">
        <v>162</v>
      </c>
      <c r="D229" t="str">
        <v>✓</v>
      </c>
      <c r="H229" s="1" t="s">
        <v>139</v>
      </c>
      <c r="I229" s="1" t="s">
        <v>345</v>
      </c>
      <c r="K229" s="1">
        <f t="shared" ref="K229" si="655" xml:space="preserve"> IF(AND(LEN(ChartLines.ID)&gt;0,"Unused"&lt;&gt;ChartLines.ID), COUNTIFS(ChartLines.ID,ChartLines.ID), "·")</f>
        <v>2</v>
      </c>
      <c r="L229" s="1">
        <f t="shared" ref="L229" si="656" xml:space="preserve"> IF(AND(LEN(ChartLines.ID)&gt;0,"Unused"&lt;&gt;ChartLines.ID), COUNTIFS(ChartLines.ID,ChartLines.ID,   ChartLines.RowNum,"&lt;="&amp;ChartLines.RowNum), "·")</f>
        <v>2</v>
      </c>
      <c r="M229" s="1" t="str" cm="1">
        <f t="array" ref="M229" xml:space="preserve"> _xlfn.IFS(OR(LEN(_xlfn.SINGLE(ChartLines.ID))=0,"Unused"=_xlfn.SINGLE(ChartLines.ID)), "·",   1=_xlfn.SINGLE(ChartLines.NumInstances), IF("USD"=_xlfn.SINGLE(ChartLines.ID), "SoleBig", "SoleOrdinary"),   1=_xlfn.SINGLE(ChartLines.InstanceNum), "Outer",   TRUE, "Inner")</f>
        <v>Inner</v>
      </c>
      <c r="N229" s="1">
        <f t="shared" ref="N229" si="657" xml:space="preserve"> IF(LEN(ChartLines.Hex6)=6, HEX2DEC(LEFT(ChartLines.Hex6, 2)), "·")</f>
        <v>255</v>
      </c>
      <c r="O229" s="1">
        <f t="shared" ref="O229" si="658" xml:space="preserve"> IF(LEN(ChartLines.Hex6)=6, HEX2DEC(MID(ChartLines.Hex6, 3, 2)), "·")</f>
        <v>255</v>
      </c>
      <c r="P229" s="1">
        <f t="shared" ref="P229" si="659" xml:space="preserve"> IF(LEN(ChartLines.Hex6)=6, HEX2DEC(RIGHT(ChartLines.Hex6, 2)), "·")</f>
        <v>255</v>
      </c>
      <c r="Q229" s="1" cm="1">
        <f t="array" ref="Q229" xml:space="preserve"> 1 + ROW() - _xlfn.SINGLE(ROW(ChartLines.RowNum))</f>
        <v>224</v>
      </c>
      <c r="R229" s="1" t="str">
        <v>✓</v>
      </c>
    </row>
    <row r="230" spans="2:18" x14ac:dyDescent="0.2">
      <c r="B230" s="13" t="str">
        <f xml:space="preserve"> LEFT(SeriesFormatAlias.ID, 2)</f>
        <v>TT</v>
      </c>
      <c r="C230" s="4" t="s">
        <v>163</v>
      </c>
      <c r="D230" t="str">
        <v>✓</v>
      </c>
      <c r="H230" s="1" t="s">
        <v>140</v>
      </c>
      <c r="I230" s="1" t="str">
        <f xml:space="preserve"> "0F47AF"</f>
        <v>0F47AF</v>
      </c>
      <c r="K230" s="1">
        <f t="shared" ref="K230" si="660" xml:space="preserve"> IF(AND(LEN(ChartLines.ID)&gt;0,"Unused"&lt;&gt;ChartLines.ID), COUNTIFS(ChartLines.ID,ChartLines.ID), "·")</f>
        <v>2</v>
      </c>
      <c r="L230" s="1">
        <f t="shared" ref="L230" si="661" xml:space="preserve"> IF(AND(LEN(ChartLines.ID)&gt;0,"Unused"&lt;&gt;ChartLines.ID), COUNTIFS(ChartLines.ID,ChartLines.ID,   ChartLines.RowNum,"&lt;="&amp;ChartLines.RowNum), "·")</f>
        <v>1</v>
      </c>
      <c r="M230" s="1" t="str" cm="1">
        <f t="array" ref="M230" xml:space="preserve"> _xlfn.IFS(OR(LEN(_xlfn.SINGLE(ChartLines.ID))=0,"Unused"=_xlfn.SINGLE(ChartLines.ID)), "·",   1=_xlfn.SINGLE(ChartLines.NumInstances), IF("USD"=_xlfn.SINGLE(ChartLines.ID), "SoleBig", "SoleOrdinary"),   1=_xlfn.SINGLE(ChartLines.InstanceNum), "Outer",   TRUE, "Inner")</f>
        <v>Outer</v>
      </c>
      <c r="N230" s="1">
        <f t="shared" ref="N230" si="662" xml:space="preserve"> IF(LEN(ChartLines.Hex6)=6, HEX2DEC(LEFT(ChartLines.Hex6, 2)), "·")</f>
        <v>15</v>
      </c>
      <c r="O230" s="1">
        <f t="shared" ref="O230" si="663" xml:space="preserve"> IF(LEN(ChartLines.Hex6)=6, HEX2DEC(MID(ChartLines.Hex6, 3, 2)), "·")</f>
        <v>71</v>
      </c>
      <c r="P230" s="1">
        <f t="shared" ref="P230" si="664" xml:space="preserve"> IF(LEN(ChartLines.Hex6)=6, HEX2DEC(RIGHT(ChartLines.Hex6, 2)), "·")</f>
        <v>175</v>
      </c>
      <c r="Q230" s="1" cm="1">
        <f t="array" ref="Q230" xml:space="preserve"> 1 + ROW() - _xlfn.SINGLE(ROW(ChartLines.RowNum))</f>
        <v>225</v>
      </c>
      <c r="R230" s="1" t="str">
        <v>✓</v>
      </c>
    </row>
    <row r="231" spans="2:18" x14ac:dyDescent="0.2">
      <c r="B231" s="13" t="str">
        <f xml:space="preserve"> LEFT(SeriesFormatAlias.ID, 2)</f>
        <v>JM</v>
      </c>
      <c r="C231" s="4" t="s">
        <v>164</v>
      </c>
      <c r="D231" t="str">
        <v>✓</v>
      </c>
      <c r="H231" s="1" t="s">
        <v>140</v>
      </c>
      <c r="I231" s="1" t="s">
        <v>428</v>
      </c>
      <c r="K231" s="1">
        <f t="shared" ref="K231" si="665" xml:space="preserve"> IF(AND(LEN(ChartLines.ID)&gt;0,"Unused"&lt;&gt;ChartLines.ID), COUNTIFS(ChartLines.ID,ChartLines.ID), "·")</f>
        <v>2</v>
      </c>
      <c r="L231" s="1">
        <f t="shared" ref="L231" si="666" xml:space="preserve"> IF(AND(LEN(ChartLines.ID)&gt;0,"Unused"&lt;&gt;ChartLines.ID), COUNTIFS(ChartLines.ID,ChartLines.ID,   ChartLines.RowNum,"&lt;="&amp;ChartLines.RowNum), "·")</f>
        <v>2</v>
      </c>
      <c r="M231" s="1" t="str" cm="1">
        <f t="array" ref="M231" xml:space="preserve"> _xlfn.IFS(OR(LEN(_xlfn.SINGLE(ChartLines.ID))=0,"Unused"=_xlfn.SINGLE(ChartLines.ID)), "·",   1=_xlfn.SINGLE(ChartLines.NumInstances), IF("USD"=_xlfn.SINGLE(ChartLines.ID), "SoleBig", "SoleOrdinary"),   1=_xlfn.SINGLE(ChartLines.InstanceNum), "Outer",   TRUE, "Inner")</f>
        <v>Inner</v>
      </c>
      <c r="N231" s="1">
        <f t="shared" ref="N231" si="667" xml:space="preserve"> IF(LEN(ChartLines.Hex6)=6, HEX2DEC(LEFT(ChartLines.Hex6, 2)), "·")</f>
        <v>252</v>
      </c>
      <c r="O231" s="1">
        <f t="shared" ref="O231" si="668" xml:space="preserve"> IF(LEN(ChartLines.Hex6)=6, HEX2DEC(MID(ChartLines.Hex6, 3, 2)), "·")</f>
        <v>221</v>
      </c>
      <c r="P231" s="1">
        <f t="shared" ref="P231" si="669" xml:space="preserve"> IF(LEN(ChartLines.Hex6)=6, HEX2DEC(RIGHT(ChartLines.Hex6, 2)), "·")</f>
        <v>9</v>
      </c>
      <c r="Q231" s="1" cm="1">
        <f t="array" ref="Q231" xml:space="preserve"> 1 + ROW() - _xlfn.SINGLE(ROW(ChartLines.RowNum))</f>
        <v>226</v>
      </c>
      <c r="R231" s="1" t="str">
        <v>✓</v>
      </c>
    </row>
    <row r="232" spans="2:18" x14ac:dyDescent="0.2">
      <c r="B232" s="13" t="str">
        <f xml:space="preserve"> LEFT(SeriesFormatAlias.ID, 2)</f>
        <v>BS</v>
      </c>
      <c r="C232" s="4" t="s">
        <v>165</v>
      </c>
      <c r="D232" t="str">
        <v>✓</v>
      </c>
      <c r="H232" s="1" t="s">
        <v>141</v>
      </c>
      <c r="I232" s="1" t="str">
        <f xml:space="preserve"> "000000"</f>
        <v>000000</v>
      </c>
      <c r="K232" s="1">
        <f t="shared" ref="K232" si="670" xml:space="preserve"> IF(AND(LEN(ChartLines.ID)&gt;0,"Unused"&lt;&gt;ChartLines.ID), COUNTIFS(ChartLines.ID,ChartLines.ID), "·")</f>
        <v>2</v>
      </c>
      <c r="L232" s="1">
        <f t="shared" ref="L232" si="671" xml:space="preserve"> IF(AND(LEN(ChartLines.ID)&gt;0,"Unused"&lt;&gt;ChartLines.ID), COUNTIFS(ChartLines.ID,ChartLines.ID,   ChartLines.RowNum,"&lt;="&amp;ChartLines.RowNum), "·")</f>
        <v>1</v>
      </c>
      <c r="M232" s="1" t="str" cm="1">
        <f t="array" ref="M232" xml:space="preserve"> _xlfn.IFS(OR(LEN(_xlfn.SINGLE(ChartLines.ID))=0,"Unused"=_xlfn.SINGLE(ChartLines.ID)), "·",   1=_xlfn.SINGLE(ChartLines.NumInstances), IF("USD"=_xlfn.SINGLE(ChartLines.ID), "SoleBig", "SoleOrdinary"),   1=_xlfn.SINGLE(ChartLines.InstanceNum), "Outer",   TRUE, "Inner")</f>
        <v>Outer</v>
      </c>
      <c r="N232" s="1">
        <f t="shared" ref="N232" si="672" xml:space="preserve"> IF(LEN(ChartLines.Hex6)=6, HEX2DEC(LEFT(ChartLines.Hex6, 2)), "·")</f>
        <v>0</v>
      </c>
      <c r="O232" s="1">
        <f t="shared" ref="O232" si="673" xml:space="preserve"> IF(LEN(ChartLines.Hex6)=6, HEX2DEC(MID(ChartLines.Hex6, 3, 2)), "·")</f>
        <v>0</v>
      </c>
      <c r="P232" s="1">
        <f t="shared" ref="P232" si="674" xml:space="preserve"> IF(LEN(ChartLines.Hex6)=6, HEX2DEC(RIGHT(ChartLines.Hex6, 2)), "·")</f>
        <v>0</v>
      </c>
      <c r="Q232" s="1" cm="1">
        <f t="array" ref="Q232" xml:space="preserve"> 1 + ROW() - _xlfn.SINGLE(ROW(ChartLines.RowNum))</f>
        <v>227</v>
      </c>
      <c r="R232" s="1" t="str">
        <v>✓</v>
      </c>
    </row>
    <row r="233" spans="2:18" x14ac:dyDescent="0.2">
      <c r="B233" s="1" t="s">
        <v>185</v>
      </c>
      <c r="C233" s="4" t="s">
        <v>61</v>
      </c>
      <c r="D233" t="str">
        <v>✓</v>
      </c>
      <c r="H233" s="1" t="s">
        <v>141</v>
      </c>
      <c r="I233" s="1" t="s">
        <v>345</v>
      </c>
      <c r="K233" s="1">
        <f t="shared" ref="K233" si="675" xml:space="preserve"> IF(AND(LEN(ChartLines.ID)&gt;0,"Unused"&lt;&gt;ChartLines.ID), COUNTIFS(ChartLines.ID,ChartLines.ID), "·")</f>
        <v>2</v>
      </c>
      <c r="L233" s="1">
        <f t="shared" ref="L233" si="676" xml:space="preserve"> IF(AND(LEN(ChartLines.ID)&gt;0,"Unused"&lt;&gt;ChartLines.ID), COUNTIFS(ChartLines.ID,ChartLines.ID,   ChartLines.RowNum,"&lt;="&amp;ChartLines.RowNum), "·")</f>
        <v>2</v>
      </c>
      <c r="M233" s="1" t="str" cm="1">
        <f t="array" ref="M233" xml:space="preserve"> _xlfn.IFS(OR(LEN(_xlfn.SINGLE(ChartLines.ID))=0,"Unused"=_xlfn.SINGLE(ChartLines.ID)), "·",   1=_xlfn.SINGLE(ChartLines.NumInstances), IF("USD"=_xlfn.SINGLE(ChartLines.ID), "SoleBig", "SoleOrdinary"),   1=_xlfn.SINGLE(ChartLines.InstanceNum), "Outer",   TRUE, "Inner")</f>
        <v>Inner</v>
      </c>
      <c r="N233" s="1">
        <f t="shared" ref="N233" si="677" xml:space="preserve"> IF(LEN(ChartLines.Hex6)=6, HEX2DEC(LEFT(ChartLines.Hex6, 2)), "·")</f>
        <v>255</v>
      </c>
      <c r="O233" s="1">
        <f t="shared" ref="O233" si="678" xml:space="preserve"> IF(LEN(ChartLines.Hex6)=6, HEX2DEC(MID(ChartLines.Hex6, 3, 2)), "·")</f>
        <v>255</v>
      </c>
      <c r="P233" s="1">
        <f t="shared" ref="P233" si="679" xml:space="preserve"> IF(LEN(ChartLines.Hex6)=6, HEX2DEC(RIGHT(ChartLines.Hex6, 2)), "·")</f>
        <v>255</v>
      </c>
      <c r="Q233" s="1" cm="1">
        <f t="array" ref="Q233" xml:space="preserve"> 1 + ROW() - _xlfn.SINGLE(ROW(ChartLines.RowNum))</f>
        <v>228</v>
      </c>
      <c r="R233" s="1" t="str">
        <v>✓</v>
      </c>
    </row>
    <row r="234" spans="2:18" x14ac:dyDescent="0.2">
      <c r="B234" s="1" t="s">
        <v>186</v>
      </c>
      <c r="C234" s="4" t="s">
        <v>62</v>
      </c>
      <c r="D234" t="str">
        <v>✓</v>
      </c>
      <c r="H234" s="1" t="s">
        <v>142</v>
      </c>
      <c r="I234" s="1" t="s">
        <v>429</v>
      </c>
      <c r="K234" s="1">
        <f t="shared" ref="K234" si="680" xml:space="preserve"> IF(AND(LEN(ChartLines.ID)&gt;0,"Unused"&lt;&gt;ChartLines.ID), COUNTIFS(ChartLines.ID,ChartLines.ID), "·")</f>
        <v>2</v>
      </c>
      <c r="L234" s="1">
        <f t="shared" ref="L234" si="681" xml:space="preserve"> IF(AND(LEN(ChartLines.ID)&gt;0,"Unused"&lt;&gt;ChartLines.ID), COUNTIFS(ChartLines.ID,ChartLines.ID,   ChartLines.RowNum,"&lt;="&amp;ChartLines.RowNum), "·")</f>
        <v>1</v>
      </c>
      <c r="M234" s="1" t="str" cm="1">
        <f t="array" ref="M234" xml:space="preserve"> _xlfn.IFS(OR(LEN(_xlfn.SINGLE(ChartLines.ID))=0,"Unused"=_xlfn.SINGLE(ChartLines.ID)), "·",   1=_xlfn.SINGLE(ChartLines.NumInstances), IF("USD"=_xlfn.SINGLE(ChartLines.ID), "SoleBig", "SoleOrdinary"),   1=_xlfn.SINGLE(ChartLines.InstanceNum), "Outer",   TRUE, "Inner")</f>
        <v>Outer</v>
      </c>
      <c r="N234" s="1">
        <f t="shared" ref="N234" si="682" xml:space="preserve"> IF(LEN(ChartLines.Hex6)=6, HEX2DEC(LEFT(ChartLines.Hex6, 2)), "·")</f>
        <v>187</v>
      </c>
      <c r="O234" s="1">
        <f t="shared" ref="O234" si="683" xml:space="preserve"> IF(LEN(ChartLines.Hex6)=6, HEX2DEC(MID(ChartLines.Hex6, 3, 2)), "·")</f>
        <v>0</v>
      </c>
      <c r="P234" s="1">
        <f t="shared" ref="P234" si="684" xml:space="preserve"> IF(LEN(ChartLines.Hex6)=6, HEX2DEC(RIGHT(ChartLines.Hex6, 2)), "·")</f>
        <v>0</v>
      </c>
      <c r="Q234" s="1" cm="1">
        <f t="array" ref="Q234" xml:space="preserve"> 1 + ROW() - _xlfn.SINGLE(ROW(ChartLines.RowNum))</f>
        <v>229</v>
      </c>
      <c r="R234" s="1" t="str">
        <v>✓</v>
      </c>
    </row>
    <row r="235" spans="2:18" x14ac:dyDescent="0.2">
      <c r="B235" s="1" t="s">
        <v>187</v>
      </c>
      <c r="C235" s="4" t="s">
        <v>63</v>
      </c>
      <c r="D235" t="str">
        <v>✓</v>
      </c>
      <c r="H235" s="1" t="s">
        <v>142</v>
      </c>
      <c r="I235" s="1" t="str">
        <f xml:space="preserve"> "000000"</f>
        <v>000000</v>
      </c>
      <c r="K235" s="1">
        <f t="shared" ref="K235" si="685" xml:space="preserve"> IF(AND(LEN(ChartLines.ID)&gt;0,"Unused"&lt;&gt;ChartLines.ID), COUNTIFS(ChartLines.ID,ChartLines.ID), "·")</f>
        <v>2</v>
      </c>
      <c r="L235" s="1">
        <f t="shared" ref="L235" si="686" xml:space="preserve"> IF(AND(LEN(ChartLines.ID)&gt;0,"Unused"&lt;&gt;ChartLines.ID), COUNTIFS(ChartLines.ID,ChartLines.ID,   ChartLines.RowNum,"&lt;="&amp;ChartLines.RowNum), "·")</f>
        <v>2</v>
      </c>
      <c r="M235" s="1" t="str" cm="1">
        <f t="array" ref="M235" xml:space="preserve"> _xlfn.IFS(OR(LEN(_xlfn.SINGLE(ChartLines.ID))=0,"Unused"=_xlfn.SINGLE(ChartLines.ID)), "·",   1=_xlfn.SINGLE(ChartLines.NumInstances), IF("USD"=_xlfn.SINGLE(ChartLines.ID), "SoleBig", "SoleOrdinary"),   1=_xlfn.SINGLE(ChartLines.InstanceNum), "Outer",   TRUE, "Inner")</f>
        <v>Inner</v>
      </c>
      <c r="N235" s="1">
        <f t="shared" ref="N235" si="687" xml:space="preserve"> IF(LEN(ChartLines.Hex6)=6, HEX2DEC(LEFT(ChartLines.Hex6, 2)), "·")</f>
        <v>0</v>
      </c>
      <c r="O235" s="1">
        <f t="shared" ref="O235" si="688" xml:space="preserve"> IF(LEN(ChartLines.Hex6)=6, HEX2DEC(MID(ChartLines.Hex6, 3, 2)), "·")</f>
        <v>0</v>
      </c>
      <c r="P235" s="1">
        <f t="shared" ref="P235" si="689" xml:space="preserve"> IF(LEN(ChartLines.Hex6)=6, HEX2DEC(RIGHT(ChartLines.Hex6, 2)), "·")</f>
        <v>0</v>
      </c>
      <c r="Q235" s="1" cm="1">
        <f t="array" ref="Q235" xml:space="preserve"> 1 + ROW() - _xlfn.SINGLE(ROW(ChartLines.RowNum))</f>
        <v>230</v>
      </c>
      <c r="R235" s="1" t="str">
        <v>✓</v>
      </c>
    </row>
    <row r="236" spans="2:18" x14ac:dyDescent="0.2">
      <c r="B236" s="1" t="s">
        <v>188</v>
      </c>
      <c r="C236" s="4" t="s">
        <v>63</v>
      </c>
      <c r="D236" t="str">
        <v>✓</v>
      </c>
      <c r="H236" s="1" t="s">
        <v>143</v>
      </c>
      <c r="I236" s="1" t="s">
        <v>385</v>
      </c>
      <c r="K236" s="1">
        <f t="shared" ref="K236" si="690" xml:space="preserve"> IF(AND(LEN(ChartLines.ID)&gt;0,"Unused"&lt;&gt;ChartLines.ID), COUNTIFS(ChartLines.ID,ChartLines.ID), "·")</f>
        <v>2</v>
      </c>
      <c r="L236" s="1">
        <f t="shared" ref="L236" si="691" xml:space="preserve"> IF(AND(LEN(ChartLines.ID)&gt;0,"Unused"&lt;&gt;ChartLines.ID), COUNTIFS(ChartLines.ID,ChartLines.ID,   ChartLines.RowNum,"&lt;="&amp;ChartLines.RowNum), "·")</f>
        <v>1</v>
      </c>
      <c r="M236" s="1" t="str" cm="1">
        <f t="array" ref="M236" xml:space="preserve"> _xlfn.IFS(OR(LEN(_xlfn.SINGLE(ChartLines.ID))=0,"Unused"=_xlfn.SINGLE(ChartLines.ID)), "·",   1=_xlfn.SINGLE(ChartLines.NumInstances), IF("USD"=_xlfn.SINGLE(ChartLines.ID), "SoleBig", "SoleOrdinary"),   1=_xlfn.SINGLE(ChartLines.InstanceNum), "Outer",   TRUE, "Inner")</f>
        <v>Outer</v>
      </c>
      <c r="N236" s="1">
        <f t="shared" ref="N236" si="692" xml:space="preserve"> IF(LEN(ChartLines.Hex6)=6, HEX2DEC(LEFT(ChartLines.Hex6, 2)), "·")</f>
        <v>252</v>
      </c>
      <c r="O236" s="1">
        <f t="shared" ref="O236" si="693" xml:space="preserve"> IF(LEN(ChartLines.Hex6)=6, HEX2DEC(MID(ChartLines.Hex6, 3, 2)), "·")</f>
        <v>209</v>
      </c>
      <c r="P236" s="1">
        <f t="shared" ref="P236" si="694" xml:space="preserve"> IF(LEN(ChartLines.Hex6)=6, HEX2DEC(RIGHT(ChartLines.Hex6, 2)), "·")</f>
        <v>22</v>
      </c>
      <c r="Q236" s="1" cm="1">
        <f t="array" ref="Q236" xml:space="preserve"> 1 + ROW() - _xlfn.SINGLE(ROW(ChartLines.RowNum))</f>
        <v>231</v>
      </c>
      <c r="R236" s="1" t="str">
        <v>✓</v>
      </c>
    </row>
    <row r="237" spans="2:18" x14ac:dyDescent="0.2">
      <c r="B237" s="1" t="s">
        <v>189</v>
      </c>
      <c r="C237" s="4" t="s">
        <v>64</v>
      </c>
      <c r="D237" t="str">
        <v>✓</v>
      </c>
      <c r="H237" s="1" t="s">
        <v>143</v>
      </c>
      <c r="I237" s="1" t="str">
        <f xml:space="preserve"> "000000"</f>
        <v>000000</v>
      </c>
      <c r="K237" s="1">
        <f t="shared" ref="K237" si="695" xml:space="preserve"> IF(AND(LEN(ChartLines.ID)&gt;0,"Unused"&lt;&gt;ChartLines.ID), COUNTIFS(ChartLines.ID,ChartLines.ID), "·")</f>
        <v>2</v>
      </c>
      <c r="L237" s="1">
        <f t="shared" ref="L237" si="696" xml:space="preserve"> IF(AND(LEN(ChartLines.ID)&gt;0,"Unused"&lt;&gt;ChartLines.ID), COUNTIFS(ChartLines.ID,ChartLines.ID,   ChartLines.RowNum,"&lt;="&amp;ChartLines.RowNum), "·")</f>
        <v>2</v>
      </c>
      <c r="M237" s="1" t="str" cm="1">
        <f t="array" ref="M237" xml:space="preserve"> _xlfn.IFS(OR(LEN(_xlfn.SINGLE(ChartLines.ID))=0,"Unused"=_xlfn.SINGLE(ChartLines.ID)), "·",   1=_xlfn.SINGLE(ChartLines.NumInstances), IF("USD"=_xlfn.SINGLE(ChartLines.ID), "SoleBig", "SoleOrdinary"),   1=_xlfn.SINGLE(ChartLines.InstanceNum), "Outer",   TRUE, "Inner")</f>
        <v>Inner</v>
      </c>
      <c r="N237" s="1">
        <f t="shared" ref="N237" si="697" xml:space="preserve"> IF(LEN(ChartLines.Hex6)=6, HEX2DEC(LEFT(ChartLines.Hex6, 2)), "·")</f>
        <v>0</v>
      </c>
      <c r="O237" s="1">
        <f t="shared" ref="O237" si="698" xml:space="preserve"> IF(LEN(ChartLines.Hex6)=6, HEX2DEC(MID(ChartLines.Hex6, 3, 2)), "·")</f>
        <v>0</v>
      </c>
      <c r="P237" s="1">
        <f t="shared" ref="P237" si="699" xml:space="preserve"> IF(LEN(ChartLines.Hex6)=6, HEX2DEC(RIGHT(ChartLines.Hex6, 2)), "·")</f>
        <v>0</v>
      </c>
      <c r="Q237" s="1" cm="1">
        <f t="array" ref="Q237" xml:space="preserve"> 1 + ROW() - _xlfn.SINGLE(ROW(ChartLines.RowNum))</f>
        <v>232</v>
      </c>
      <c r="R237" s="1" t="str">
        <v>✓</v>
      </c>
    </row>
    <row r="238" spans="2:18" x14ac:dyDescent="0.2">
      <c r="B238" s="1" t="s">
        <v>190</v>
      </c>
      <c r="C238" s="4" t="s">
        <v>65</v>
      </c>
      <c r="D238" t="str">
        <v>✓</v>
      </c>
      <c r="H238" s="1" t="s">
        <v>144</v>
      </c>
      <c r="I238" s="1" t="str">
        <f xml:space="preserve"> "000000"</f>
        <v>000000</v>
      </c>
      <c r="K238" s="1">
        <f t="shared" ref="K238" si="700" xml:space="preserve"> IF(AND(LEN(ChartLines.ID)&gt;0,"Unused"&lt;&gt;ChartLines.ID), COUNTIFS(ChartLines.ID,ChartLines.ID), "·")</f>
        <v>2</v>
      </c>
      <c r="L238" s="1">
        <f t="shared" ref="L238" si="701" xml:space="preserve"> IF(AND(LEN(ChartLines.ID)&gt;0,"Unused"&lt;&gt;ChartLines.ID), COUNTIFS(ChartLines.ID,ChartLines.ID,   ChartLines.RowNum,"&lt;="&amp;ChartLines.RowNum), "·")</f>
        <v>1</v>
      </c>
      <c r="M238" s="1" t="str" cm="1">
        <f t="array" ref="M238" xml:space="preserve"> _xlfn.IFS(OR(LEN(_xlfn.SINGLE(ChartLines.ID))=0,"Unused"=_xlfn.SINGLE(ChartLines.ID)), "·",   1=_xlfn.SINGLE(ChartLines.NumInstances), IF("USD"=_xlfn.SINGLE(ChartLines.ID), "SoleBig", "SoleOrdinary"),   1=_xlfn.SINGLE(ChartLines.InstanceNum), "Outer",   TRUE, "Inner")</f>
        <v>Outer</v>
      </c>
      <c r="N238" s="1">
        <f t="shared" ref="N238" si="702" xml:space="preserve"> IF(LEN(ChartLines.Hex6)=6, HEX2DEC(LEFT(ChartLines.Hex6, 2)), "·")</f>
        <v>0</v>
      </c>
      <c r="O238" s="1">
        <f t="shared" ref="O238" si="703" xml:space="preserve"> IF(LEN(ChartLines.Hex6)=6, HEX2DEC(MID(ChartLines.Hex6, 3, 2)), "·")</f>
        <v>0</v>
      </c>
      <c r="P238" s="1">
        <f t="shared" ref="P238" si="704" xml:space="preserve"> IF(LEN(ChartLines.Hex6)=6, HEX2DEC(RIGHT(ChartLines.Hex6, 2)), "·")</f>
        <v>0</v>
      </c>
      <c r="Q238" s="1" cm="1">
        <f t="array" ref="Q238" xml:space="preserve"> 1 + ROW() - _xlfn.SINGLE(ROW(ChartLines.RowNum))</f>
        <v>233</v>
      </c>
      <c r="R238" s="1" t="str">
        <v>✓</v>
      </c>
    </row>
    <row r="239" spans="2:18" x14ac:dyDescent="0.2">
      <c r="B239" s="1" t="s">
        <v>191</v>
      </c>
      <c r="C239" s="4" t="s">
        <v>66</v>
      </c>
      <c r="D239" t="str">
        <v>✓</v>
      </c>
      <c r="H239" s="1" t="s">
        <v>144</v>
      </c>
      <c r="I239" s="1" t="s">
        <v>430</v>
      </c>
      <c r="K239" s="1">
        <f t="shared" ref="K239" si="705" xml:space="preserve"> IF(AND(LEN(ChartLines.ID)&gt;0,"Unused"&lt;&gt;ChartLines.ID), COUNTIFS(ChartLines.ID,ChartLines.ID), "·")</f>
        <v>2</v>
      </c>
      <c r="L239" s="1">
        <f t="shared" ref="L239" si="706" xml:space="preserve"> IF(AND(LEN(ChartLines.ID)&gt;0,"Unused"&lt;&gt;ChartLines.ID), COUNTIFS(ChartLines.ID,ChartLines.ID,   ChartLines.RowNum,"&lt;="&amp;ChartLines.RowNum), "·")</f>
        <v>2</v>
      </c>
      <c r="M239" s="1" t="str" cm="1">
        <f t="array" ref="M239" xml:space="preserve"> _xlfn.IFS(OR(LEN(_xlfn.SINGLE(ChartLines.ID))=0,"Unused"=_xlfn.SINGLE(ChartLines.ID)), "·",   1=_xlfn.SINGLE(ChartLines.NumInstances), IF("USD"=_xlfn.SINGLE(ChartLines.ID), "SoleBig", "SoleOrdinary"),   1=_xlfn.SINGLE(ChartLines.InstanceNum), "Outer",   TRUE, "Inner")</f>
        <v>Inner</v>
      </c>
      <c r="N239" s="1">
        <f t="shared" ref="N239" si="707" xml:space="preserve"> IF(LEN(ChartLines.Hex6)=6, HEX2DEC(LEFT(ChartLines.Hex6, 2)), "·")</f>
        <v>217</v>
      </c>
      <c r="O239" s="1">
        <f t="shared" ref="O239" si="708" xml:space="preserve"> IF(LEN(ChartLines.Hex6)=6, HEX2DEC(MID(ChartLines.Hex6, 3, 2)), "·")</f>
        <v>0</v>
      </c>
      <c r="P239" s="1">
        <f t="shared" ref="P239" si="709" xml:space="preserve"> IF(LEN(ChartLines.Hex6)=6, HEX2DEC(RIGHT(ChartLines.Hex6, 2)), "·")</f>
        <v>0</v>
      </c>
      <c r="Q239" s="1" cm="1">
        <f t="array" ref="Q239" xml:space="preserve"> 1 + ROW() - _xlfn.SINGLE(ROW(ChartLines.RowNum))</f>
        <v>234</v>
      </c>
      <c r="R239" s="1" t="str">
        <v>✓</v>
      </c>
    </row>
    <row r="240" spans="2:18" x14ac:dyDescent="0.2">
      <c r="B240" s="1" t="s">
        <v>192</v>
      </c>
      <c r="C240" s="4" t="s">
        <v>67</v>
      </c>
      <c r="D240" t="str">
        <v>✓</v>
      </c>
      <c r="H240" s="1" t="s">
        <v>145</v>
      </c>
      <c r="I240" s="1" t="str">
        <f xml:space="preserve"> "007FFF"</f>
        <v>007FFF</v>
      </c>
      <c r="K240" s="1">
        <f t="shared" ref="K240" si="710" xml:space="preserve"> IF(AND(LEN(ChartLines.ID)&gt;0,"Unused"&lt;&gt;ChartLines.ID), COUNTIFS(ChartLines.ID,ChartLines.ID), "·")</f>
        <v>2</v>
      </c>
      <c r="L240" s="1">
        <f t="shared" ref="L240" si="711" xml:space="preserve"> IF(AND(LEN(ChartLines.ID)&gt;0,"Unused"&lt;&gt;ChartLines.ID), COUNTIFS(ChartLines.ID,ChartLines.ID,   ChartLines.RowNum,"&lt;="&amp;ChartLines.RowNum), "·")</f>
        <v>1</v>
      </c>
      <c r="M240" s="1" t="str" cm="1">
        <f t="array" ref="M240" xml:space="preserve"> _xlfn.IFS(OR(LEN(_xlfn.SINGLE(ChartLines.ID))=0,"Unused"=_xlfn.SINGLE(ChartLines.ID)), "·",   1=_xlfn.SINGLE(ChartLines.NumInstances), IF("USD"=_xlfn.SINGLE(ChartLines.ID), "SoleBig", "SoleOrdinary"),   1=_xlfn.SINGLE(ChartLines.InstanceNum), "Outer",   TRUE, "Inner")</f>
        <v>Outer</v>
      </c>
      <c r="N240" s="1">
        <f t="shared" ref="N240" si="712" xml:space="preserve"> IF(LEN(ChartLines.Hex6)=6, HEX2DEC(LEFT(ChartLines.Hex6, 2)), "·")</f>
        <v>0</v>
      </c>
      <c r="O240" s="1">
        <f t="shared" ref="O240" si="713" xml:space="preserve"> IF(LEN(ChartLines.Hex6)=6, HEX2DEC(MID(ChartLines.Hex6, 3, 2)), "·")</f>
        <v>127</v>
      </c>
      <c r="P240" s="1">
        <f t="shared" ref="P240" si="714" xml:space="preserve"> IF(LEN(ChartLines.Hex6)=6, HEX2DEC(RIGHT(ChartLines.Hex6, 2)), "·")</f>
        <v>255</v>
      </c>
      <c r="Q240" s="1" cm="1">
        <f t="array" ref="Q240" xml:space="preserve"> 1 + ROW() - _xlfn.SINGLE(ROW(ChartLines.RowNum))</f>
        <v>235</v>
      </c>
      <c r="R240" s="1" t="str">
        <v>✓</v>
      </c>
    </row>
    <row r="241" spans="2:18" x14ac:dyDescent="0.2">
      <c r="B241" s="1" t="s">
        <v>193</v>
      </c>
      <c r="C241" s="4" t="s">
        <v>68</v>
      </c>
      <c r="D241" t="str">
        <v>✓</v>
      </c>
      <c r="H241" s="1" t="s">
        <v>145</v>
      </c>
      <c r="I241" s="1" t="s">
        <v>431</v>
      </c>
      <c r="K241" s="1">
        <f t="shared" ref="K241" si="715" xml:space="preserve"> IF(AND(LEN(ChartLines.ID)&gt;0,"Unused"&lt;&gt;ChartLines.ID), COUNTIFS(ChartLines.ID,ChartLines.ID), "·")</f>
        <v>2</v>
      </c>
      <c r="L241" s="1">
        <f t="shared" ref="L241" si="716" xml:space="preserve"> IF(AND(LEN(ChartLines.ID)&gt;0,"Unused"&lt;&gt;ChartLines.ID), COUNTIFS(ChartLines.ID,ChartLines.ID,   ChartLines.RowNum,"&lt;="&amp;ChartLines.RowNum), "·")</f>
        <v>2</v>
      </c>
      <c r="M241" s="1" t="str" cm="1">
        <f t="array" ref="M241" xml:space="preserve"> _xlfn.IFS(OR(LEN(_xlfn.SINGLE(ChartLines.ID))=0,"Unused"=_xlfn.SINGLE(ChartLines.ID)), "·",   1=_xlfn.SINGLE(ChartLines.NumInstances), IF("USD"=_xlfn.SINGLE(ChartLines.ID), "SoleBig", "SoleOrdinary"),   1=_xlfn.SINGLE(ChartLines.InstanceNum), "Outer",   TRUE, "Inner")</f>
        <v>Inner</v>
      </c>
      <c r="N241" s="1">
        <f t="shared" ref="N241" si="717" xml:space="preserve"> IF(LEN(ChartLines.Hex6)=6, HEX2DEC(LEFT(ChartLines.Hex6, 2)), "·")</f>
        <v>247</v>
      </c>
      <c r="O241" s="1">
        <f t="shared" ref="O241" si="718" xml:space="preserve"> IF(LEN(ChartLines.Hex6)=6, HEX2DEC(MID(ChartLines.Hex6, 3, 2)), "·")</f>
        <v>214</v>
      </c>
      <c r="P241" s="1">
        <f t="shared" ref="P241" si="719" xml:space="preserve"> IF(LEN(ChartLines.Hex6)=6, HEX2DEC(RIGHT(ChartLines.Hex6, 2)), "·")</f>
        <v>24</v>
      </c>
      <c r="Q241" s="1" cm="1">
        <f t="array" ref="Q241" xml:space="preserve"> 1 + ROW() - _xlfn.SINGLE(ROW(ChartLines.RowNum))</f>
        <v>236</v>
      </c>
      <c r="R241" s="1" t="str">
        <v>✓</v>
      </c>
    </row>
    <row r="242" spans="2:18" x14ac:dyDescent="0.2">
      <c r="B242" s="1" t="s">
        <v>194</v>
      </c>
      <c r="C242" s="4" t="s">
        <v>69</v>
      </c>
      <c r="D242" t="str">
        <v>✓</v>
      </c>
      <c r="H242" s="1" t="s">
        <v>146</v>
      </c>
      <c r="I242" s="1" t="str">
        <f xml:space="preserve"> "000000"</f>
        <v>000000</v>
      </c>
      <c r="K242" s="1">
        <f t="shared" ref="K242" si="720" xml:space="preserve"> IF(AND(LEN(ChartLines.ID)&gt;0,"Unused"&lt;&gt;ChartLines.ID), COUNTIFS(ChartLines.ID,ChartLines.ID), "·")</f>
        <v>2</v>
      </c>
      <c r="L242" s="1">
        <f t="shared" ref="L242" si="721" xml:space="preserve"> IF(AND(LEN(ChartLines.ID)&gt;0,"Unused"&lt;&gt;ChartLines.ID), COUNTIFS(ChartLines.ID,ChartLines.ID,   ChartLines.RowNum,"&lt;="&amp;ChartLines.RowNum), "·")</f>
        <v>1</v>
      </c>
      <c r="M242" s="1" t="str" cm="1">
        <f t="array" ref="M242" xml:space="preserve"> _xlfn.IFS(OR(LEN(_xlfn.SINGLE(ChartLines.ID))=0,"Unused"=_xlfn.SINGLE(ChartLines.ID)), "·",   1=_xlfn.SINGLE(ChartLines.NumInstances), IF("USD"=_xlfn.SINGLE(ChartLines.ID), "SoleBig", "SoleOrdinary"),   1=_xlfn.SINGLE(ChartLines.InstanceNum), "Outer",   TRUE, "Inner")</f>
        <v>Outer</v>
      </c>
      <c r="N242" s="1">
        <f t="shared" ref="N242" si="722" xml:space="preserve"> IF(LEN(ChartLines.Hex6)=6, HEX2DEC(LEFT(ChartLines.Hex6, 2)), "·")</f>
        <v>0</v>
      </c>
      <c r="O242" s="1">
        <f t="shared" ref="O242" si="723" xml:space="preserve"> IF(LEN(ChartLines.Hex6)=6, HEX2DEC(MID(ChartLines.Hex6, 3, 2)), "·")</f>
        <v>0</v>
      </c>
      <c r="P242" s="1">
        <f t="shared" ref="P242" si="724" xml:space="preserve"> IF(LEN(ChartLines.Hex6)=6, HEX2DEC(RIGHT(ChartLines.Hex6, 2)), "·")</f>
        <v>0</v>
      </c>
      <c r="Q242" s="1" cm="1">
        <f t="array" ref="Q242" xml:space="preserve"> 1 + ROW() - _xlfn.SINGLE(ROW(ChartLines.RowNum))</f>
        <v>237</v>
      </c>
      <c r="R242" s="1" t="str">
        <v>✓</v>
      </c>
    </row>
    <row r="243" spans="2:18" x14ac:dyDescent="0.2">
      <c r="B243" s="1" t="s">
        <v>195</v>
      </c>
      <c r="C243" s="4" t="s">
        <v>70</v>
      </c>
      <c r="D243" t="str">
        <v>✓</v>
      </c>
      <c r="H243" s="1" t="s">
        <v>146</v>
      </c>
      <c r="I243" s="1" t="s">
        <v>349</v>
      </c>
      <c r="K243" s="1">
        <f t="shared" ref="K243" si="725" xml:space="preserve"> IF(AND(LEN(ChartLines.ID)&gt;0,"Unused"&lt;&gt;ChartLines.ID), COUNTIFS(ChartLines.ID,ChartLines.ID), "·")</f>
        <v>2</v>
      </c>
      <c r="L243" s="1">
        <f t="shared" ref="L243" si="726" xml:space="preserve"> IF(AND(LEN(ChartLines.ID)&gt;0,"Unused"&lt;&gt;ChartLines.ID), COUNTIFS(ChartLines.ID,ChartLines.ID,   ChartLines.RowNum,"&lt;="&amp;ChartLines.RowNum), "·")</f>
        <v>2</v>
      </c>
      <c r="M243" s="1" t="str" cm="1">
        <f t="array" ref="M243" xml:space="preserve"> _xlfn.IFS(OR(LEN(_xlfn.SINGLE(ChartLines.ID))=0,"Unused"=_xlfn.SINGLE(ChartLines.ID)), "·",   1=_xlfn.SINGLE(ChartLines.NumInstances), IF("USD"=_xlfn.SINGLE(ChartLines.ID), "SoleBig", "SoleOrdinary"),   1=_xlfn.SINGLE(ChartLines.InstanceNum), "Outer",   TRUE, "Inner")</f>
        <v>Inner</v>
      </c>
      <c r="N243" s="1">
        <f t="shared" ref="N243" si="727" xml:space="preserve"> IF(LEN(ChartLines.Hex6)=6, HEX2DEC(LEFT(ChartLines.Hex6, 2)), "·")</f>
        <v>255</v>
      </c>
      <c r="O243" s="1">
        <f t="shared" ref="O243" si="728" xml:space="preserve"> IF(LEN(ChartLines.Hex6)=6, HEX2DEC(MID(ChartLines.Hex6, 3, 2)), "·")</f>
        <v>209</v>
      </c>
      <c r="P243" s="1">
        <f t="shared" ref="P243" si="729" xml:space="preserve"> IF(LEN(ChartLines.Hex6)=6, HEX2DEC(RIGHT(ChartLines.Hex6, 2)), "·")</f>
        <v>0</v>
      </c>
      <c r="Q243" s="1" cm="1">
        <f t="array" ref="Q243" xml:space="preserve"> 1 + ROW() - _xlfn.SINGLE(ROW(ChartLines.RowNum))</f>
        <v>238</v>
      </c>
      <c r="R243" s="1" t="str">
        <v>✓</v>
      </c>
    </row>
    <row r="244" spans="2:18" x14ac:dyDescent="0.2">
      <c r="B244" s="1" t="s">
        <v>196</v>
      </c>
      <c r="C244" s="4" t="s">
        <v>72</v>
      </c>
      <c r="D244" t="str">
        <v>✓</v>
      </c>
      <c r="H244" s="1" t="s">
        <v>147</v>
      </c>
      <c r="I244" s="1" t="s">
        <v>433</v>
      </c>
      <c r="K244" s="1">
        <f t="shared" ref="K244" si="730" xml:space="preserve"> IF(AND(LEN(ChartLines.ID)&gt;0,"Unused"&lt;&gt;ChartLines.ID), COUNTIFS(ChartLines.ID,ChartLines.ID), "·")</f>
        <v>2</v>
      </c>
      <c r="L244" s="1">
        <f t="shared" ref="L244" si="731" xml:space="preserve"> IF(AND(LEN(ChartLines.ID)&gt;0,"Unused"&lt;&gt;ChartLines.ID), COUNTIFS(ChartLines.ID,ChartLines.ID,   ChartLines.RowNum,"&lt;="&amp;ChartLines.RowNum), "·")</f>
        <v>1</v>
      </c>
      <c r="M244" s="1" t="str" cm="1">
        <f t="array" ref="M244" xml:space="preserve"> _xlfn.IFS(OR(LEN(_xlfn.SINGLE(ChartLines.ID))=0,"Unused"=_xlfn.SINGLE(ChartLines.ID)), "·",   1=_xlfn.SINGLE(ChartLines.NumInstances), IF("USD"=_xlfn.SINGLE(ChartLines.ID), "SoleBig", "SoleOrdinary"),   1=_xlfn.SINGLE(ChartLines.InstanceNum), "Outer",   TRUE, "Inner")</f>
        <v>Outer</v>
      </c>
      <c r="N244" s="1">
        <f t="shared" ref="N244" si="732" xml:space="preserve"> IF(LEN(ChartLines.Hex6)=6, HEX2DEC(LEFT(ChartLines.Hex6, 2)), "·")</f>
        <v>253</v>
      </c>
      <c r="O244" s="1">
        <f t="shared" ref="O244" si="733" xml:space="preserve"> IF(LEN(ChartLines.Hex6)=6, HEX2DEC(MID(ChartLines.Hex6, 3, 2)), "·")</f>
        <v>239</v>
      </c>
      <c r="P244" s="1">
        <f t="shared" ref="P244" si="734" xml:space="preserve"> IF(LEN(ChartLines.Hex6)=6, HEX2DEC(RIGHT(ChartLines.Hex6, 2)), "·")</f>
        <v>66</v>
      </c>
      <c r="Q244" s="1" cm="1">
        <f t="array" ref="Q244" xml:space="preserve"> 1 + ROW() - _xlfn.SINGLE(ROW(ChartLines.RowNum))</f>
        <v>239</v>
      </c>
      <c r="R244" s="1" t="str">
        <v>✓</v>
      </c>
    </row>
    <row r="245" spans="2:18" x14ac:dyDescent="0.2">
      <c r="B245" s="1" t="s">
        <v>197</v>
      </c>
      <c r="C245" s="4" t="s">
        <v>54</v>
      </c>
      <c r="D245" t="str">
        <v>✓</v>
      </c>
      <c r="H245" s="1" t="s">
        <v>147</v>
      </c>
      <c r="I245" s="1" t="s">
        <v>432</v>
      </c>
      <c r="K245" s="1">
        <f t="shared" ref="K245" si="735" xml:space="preserve"> IF(AND(LEN(ChartLines.ID)&gt;0,"Unused"&lt;&gt;ChartLines.ID), COUNTIFS(ChartLines.ID,ChartLines.ID), "·")</f>
        <v>2</v>
      </c>
      <c r="L245" s="1">
        <f t="shared" ref="L245" si="736" xml:space="preserve"> IF(AND(LEN(ChartLines.ID)&gt;0,"Unused"&lt;&gt;ChartLines.ID), COUNTIFS(ChartLines.ID,ChartLines.ID,   ChartLines.RowNum,"&lt;="&amp;ChartLines.RowNum), "·")</f>
        <v>2</v>
      </c>
      <c r="M245" s="1" t="str" cm="1">
        <f t="array" ref="M245" xml:space="preserve"> _xlfn.IFS(OR(LEN(_xlfn.SINGLE(ChartLines.ID))=0,"Unused"=_xlfn.SINGLE(ChartLines.ID)), "·",   1=_xlfn.SINGLE(ChartLines.NumInstances), IF("USD"=_xlfn.SINGLE(ChartLines.ID), "SoleBig", "SoleOrdinary"),   1=_xlfn.SINGLE(ChartLines.InstanceNum), "Outer",   TRUE, "Inner")</f>
        <v>Inner</v>
      </c>
      <c r="N245" s="1">
        <f t="shared" ref="N245" si="737" xml:space="preserve"> IF(LEN(ChartLines.Hex6)=6, HEX2DEC(LEFT(ChartLines.Hex6, 2)), "·")</f>
        <v>29</v>
      </c>
      <c r="O245" s="1">
        <f t="shared" ref="O245" si="738" xml:space="preserve"> IF(LEN(ChartLines.Hex6)=6, HEX2DEC(MID(ChartLines.Hex6, 3, 2)), "·")</f>
        <v>98</v>
      </c>
      <c r="P245" s="1">
        <f t="shared" ref="P245" si="739" xml:space="preserve"> IF(LEN(ChartLines.Hex6)=6, HEX2DEC(RIGHT(ChartLines.Hex6, 2)), "·")</f>
        <v>51</v>
      </c>
      <c r="Q245" s="1" cm="1">
        <f t="array" ref="Q245" xml:space="preserve"> 1 + ROW() - _xlfn.SINGLE(ROW(ChartLines.RowNum))</f>
        <v>240</v>
      </c>
      <c r="R245" s="1" t="str">
        <v>✓</v>
      </c>
    </row>
    <row r="246" spans="2:18" x14ac:dyDescent="0.2">
      <c r="B246" s="1" t="s">
        <v>198</v>
      </c>
      <c r="C246" s="4" t="s">
        <v>55</v>
      </c>
      <c r="D246" t="str">
        <v>✓</v>
      </c>
      <c r="H246" s="1" t="s">
        <v>148</v>
      </c>
      <c r="I246" s="1" t="s">
        <v>356</v>
      </c>
      <c r="K246" s="1">
        <f t="shared" ref="K246" si="740" xml:space="preserve"> IF(AND(LEN(ChartLines.ID)&gt;0,"Unused"&lt;&gt;ChartLines.ID), COUNTIFS(ChartLines.ID,ChartLines.ID), "·")</f>
        <v>2</v>
      </c>
      <c r="L246" s="1">
        <f t="shared" ref="L246" si="741" xml:space="preserve"> IF(AND(LEN(ChartLines.ID)&gt;0,"Unused"&lt;&gt;ChartLines.ID), COUNTIFS(ChartLines.ID,ChartLines.ID,   ChartLines.RowNum,"&lt;="&amp;ChartLines.RowNum), "·")</f>
        <v>1</v>
      </c>
      <c r="M246" s="1" t="str" cm="1">
        <f t="array" ref="M246" xml:space="preserve"> _xlfn.IFS(OR(LEN(_xlfn.SINGLE(ChartLines.ID))=0,"Unused"=_xlfn.SINGLE(ChartLines.ID)), "·",   1=_xlfn.SINGLE(ChartLines.NumInstances), IF("USD"=_xlfn.SINGLE(ChartLines.ID), "SoleBig", "SoleOrdinary"),   1=_xlfn.SINGLE(ChartLines.InstanceNum), "Outer",   TRUE, "Inner")</f>
        <v>Outer</v>
      </c>
      <c r="N246" s="1">
        <f t="shared" ref="N246" si="742" xml:space="preserve"> IF(LEN(ChartLines.Hex6)=6, HEX2DEC(LEFT(ChartLines.Hex6, 2)), "·")</f>
        <v>0</v>
      </c>
      <c r="O246" s="1">
        <f t="shared" ref="O246" si="743" xml:space="preserve"> IF(LEN(ChartLines.Hex6)=6, HEX2DEC(MID(ChartLines.Hex6, 3, 2)), "·")</f>
        <v>61</v>
      </c>
      <c r="P246" s="1">
        <f t="shared" ref="P246" si="744" xml:space="preserve"> IF(LEN(ChartLines.Hex6)=6, HEX2DEC(RIGHT(ChartLines.Hex6, 2)), "·")</f>
        <v>165</v>
      </c>
      <c r="Q246" s="1" cm="1">
        <f t="array" ref="Q246" xml:space="preserve"> 1 + ROW() - _xlfn.SINGLE(ROW(ChartLines.RowNum))</f>
        <v>241</v>
      </c>
      <c r="R246" s="1" t="str">
        <v>✓</v>
      </c>
    </row>
    <row r="247" spans="2:18" x14ac:dyDescent="0.2">
      <c r="B247" s="1" t="s">
        <v>199</v>
      </c>
      <c r="C247" s="4" t="s">
        <v>56</v>
      </c>
      <c r="D247" t="str">
        <v>✓</v>
      </c>
      <c r="H247" s="1" t="s">
        <v>148</v>
      </c>
      <c r="I247" s="1" t="str">
        <f xml:space="preserve"> "009639"</f>
        <v>009639</v>
      </c>
      <c r="K247" s="1">
        <f t="shared" ref="K247" si="745" xml:space="preserve"> IF(AND(LEN(ChartLines.ID)&gt;0,"Unused"&lt;&gt;ChartLines.ID), COUNTIFS(ChartLines.ID,ChartLines.ID), "·")</f>
        <v>2</v>
      </c>
      <c r="L247" s="1">
        <f t="shared" ref="L247" si="746" xml:space="preserve"> IF(AND(LEN(ChartLines.ID)&gt;0,"Unused"&lt;&gt;ChartLines.ID), COUNTIFS(ChartLines.ID,ChartLines.ID,   ChartLines.RowNum,"&lt;="&amp;ChartLines.RowNum), "·")</f>
        <v>2</v>
      </c>
      <c r="M247" s="1" t="str" cm="1">
        <f t="array" ref="M247" xml:space="preserve"> _xlfn.IFS(OR(LEN(_xlfn.SINGLE(ChartLines.ID))=0,"Unused"=_xlfn.SINGLE(ChartLines.ID)), "·",   1=_xlfn.SINGLE(ChartLines.NumInstances), IF("USD"=_xlfn.SINGLE(ChartLines.ID), "SoleBig", "SoleOrdinary"),   1=_xlfn.SINGLE(ChartLines.InstanceNum), "Outer",   TRUE, "Inner")</f>
        <v>Inner</v>
      </c>
      <c r="N247" s="1">
        <f t="shared" ref="N247" si="747" xml:space="preserve"> IF(LEN(ChartLines.Hex6)=6, HEX2DEC(LEFT(ChartLines.Hex6, 2)), "·")</f>
        <v>0</v>
      </c>
      <c r="O247" s="1">
        <f t="shared" ref="O247" si="748" xml:space="preserve"> IF(LEN(ChartLines.Hex6)=6, HEX2DEC(MID(ChartLines.Hex6, 3, 2)), "·")</f>
        <v>150</v>
      </c>
      <c r="P247" s="1">
        <f t="shared" ref="P247" si="749" xml:space="preserve"> IF(LEN(ChartLines.Hex6)=6, HEX2DEC(RIGHT(ChartLines.Hex6, 2)), "·")</f>
        <v>57</v>
      </c>
      <c r="Q247" s="1" cm="1">
        <f t="array" ref="Q247" xml:space="preserve"> 1 + ROW() - _xlfn.SINGLE(ROW(ChartLines.RowNum))</f>
        <v>242</v>
      </c>
      <c r="R247" s="1" t="str">
        <v>✓</v>
      </c>
    </row>
    <row r="248" spans="2:18" x14ac:dyDescent="0.2">
      <c r="B248" s="1" t="s">
        <v>200</v>
      </c>
      <c r="C248" s="4" t="s">
        <v>73</v>
      </c>
      <c r="D248" t="str">
        <v>✓</v>
      </c>
      <c r="H248" s="1" t="s">
        <v>149</v>
      </c>
      <c r="I248" s="1" t="s">
        <v>434</v>
      </c>
      <c r="K248" s="1">
        <f t="shared" ref="K248:K256" si="750" xml:space="preserve"> IF(AND(LEN(ChartLines.ID)&gt;0,"Unused"&lt;&gt;ChartLines.ID), COUNTIFS(ChartLines.ID,ChartLines.ID), "·")</f>
        <v>2</v>
      </c>
      <c r="L248" s="1">
        <f t="shared" ref="L248:L256" si="751" xml:space="preserve"> IF(AND(LEN(ChartLines.ID)&gt;0,"Unused"&lt;&gt;ChartLines.ID), COUNTIFS(ChartLines.ID,ChartLines.ID,   ChartLines.RowNum,"&lt;="&amp;ChartLines.RowNum), "·")</f>
        <v>1</v>
      </c>
      <c r="M248" s="1" t="str" cm="1">
        <f t="array" ref="M248" xml:space="preserve"> _xlfn.IFS(OR(LEN(_xlfn.SINGLE(ChartLines.ID))=0,"Unused"=_xlfn.SINGLE(ChartLines.ID)), "·",   1=_xlfn.SINGLE(ChartLines.NumInstances), IF("USD"=_xlfn.SINGLE(ChartLines.ID), "SoleBig", "SoleOrdinary"),   1=_xlfn.SINGLE(ChartLines.InstanceNum), "Outer",   TRUE, "Inner")</f>
        <v>Outer</v>
      </c>
      <c r="N248" s="1">
        <f t="shared" ref="N248:N256" si="752" xml:space="preserve"> IF(LEN(ChartLines.Hex6)=6, HEX2DEC(LEFT(ChartLines.Hex6, 2)), "·")</f>
        <v>234</v>
      </c>
      <c r="O248" s="1">
        <f t="shared" ref="O248:O256" si="753" xml:space="preserve"> IF(LEN(ChartLines.Hex6)=6, HEX2DEC(MID(ChartLines.Hex6, 3, 2)), "·")</f>
        <v>118</v>
      </c>
      <c r="P248" s="1">
        <f t="shared" ref="P248:P256" si="754" xml:space="preserve"> IF(LEN(ChartLines.Hex6)=6, HEX2DEC(RIGHT(ChartLines.Hex6, 2)), "·")</f>
        <v>0</v>
      </c>
      <c r="Q248" s="1" cm="1">
        <f t="array" ref="Q248" xml:space="preserve"> 1 + ROW() - _xlfn.SINGLE(ROW(ChartLines.RowNum))</f>
        <v>243</v>
      </c>
      <c r="R248" s="1" t="str">
        <v>✓</v>
      </c>
    </row>
    <row r="249" spans="2:18" x14ac:dyDescent="0.2">
      <c r="B249" s="1" t="s">
        <v>201</v>
      </c>
      <c r="C249" s="4" t="s">
        <v>74</v>
      </c>
      <c r="D249" t="str">
        <v>✓</v>
      </c>
      <c r="H249" s="1" t="s">
        <v>149</v>
      </c>
      <c r="I249" s="1" t="s">
        <v>435</v>
      </c>
      <c r="K249" s="1">
        <f t="shared" si="750"/>
        <v>2</v>
      </c>
      <c r="L249" s="1">
        <f t="shared" si="751"/>
        <v>2</v>
      </c>
      <c r="M249" s="1" t="str" cm="1">
        <f t="array" ref="M249" xml:space="preserve"> _xlfn.IFS(OR(LEN(_xlfn.SINGLE(ChartLines.ID))=0,"Unused"=_xlfn.SINGLE(ChartLines.ID)), "·",   1=_xlfn.SINGLE(ChartLines.NumInstances), IF("USD"=_xlfn.SINGLE(ChartLines.ID), "SoleBig", "SoleOrdinary"),   1=_xlfn.SINGLE(ChartLines.InstanceNum), "Outer",   TRUE, "Inner")</f>
        <v>Inner</v>
      </c>
      <c r="N249" s="1">
        <f t="shared" si="752"/>
        <v>0</v>
      </c>
      <c r="O249" s="1">
        <f t="shared" si="753"/>
        <v>154</v>
      </c>
      <c r="P249" s="1">
        <f t="shared" si="754"/>
        <v>68</v>
      </c>
      <c r="Q249" s="1" cm="1">
        <f t="array" ref="Q249" xml:space="preserve"> 1 + ROW() - _xlfn.SINGLE(ROW(ChartLines.RowNum))</f>
        <v>244</v>
      </c>
      <c r="R249" s="1" t="str">
        <v>✓</v>
      </c>
    </row>
    <row r="250" spans="2:18" x14ac:dyDescent="0.2">
      <c r="B250" s="1" t="s">
        <v>202</v>
      </c>
      <c r="C250" s="4" t="s">
        <v>75</v>
      </c>
      <c r="D250" t="str">
        <v>✓</v>
      </c>
      <c r="H250" s="1" t="s">
        <v>554</v>
      </c>
      <c r="I250" s="1" t="s">
        <v>385</v>
      </c>
      <c r="K250" s="1">
        <f t="shared" si="750"/>
        <v>2</v>
      </c>
      <c r="L250" s="1">
        <f t="shared" si="751"/>
        <v>1</v>
      </c>
      <c r="M250" s="1" t="str" cm="1">
        <f t="array" ref="M250" xml:space="preserve"> _xlfn.IFS(OR(LEN(_xlfn.SINGLE(ChartLines.ID))=0,"Unused"=_xlfn.SINGLE(ChartLines.ID)), "·",   1=_xlfn.SINGLE(ChartLines.NumInstances), IF("USD"=_xlfn.SINGLE(ChartLines.ID), "SoleBig", "SoleOrdinary"),   1=_xlfn.SINGLE(ChartLines.InstanceNum), "Outer",   TRUE, "Inner")</f>
        <v>Outer</v>
      </c>
      <c r="N250" s="1">
        <f t="shared" si="752"/>
        <v>252</v>
      </c>
      <c r="O250" s="1">
        <f t="shared" si="753"/>
        <v>209</v>
      </c>
      <c r="P250" s="1">
        <f t="shared" si="754"/>
        <v>22</v>
      </c>
      <c r="Q250" s="1" cm="1">
        <f t="array" ref="Q250" xml:space="preserve"> 1 + ROW() - _xlfn.SINGLE(ROW(ChartLines.RowNum))</f>
        <v>245</v>
      </c>
      <c r="R250" s="1" t="str">
        <v>✓</v>
      </c>
    </row>
    <row r="251" spans="2:18" x14ac:dyDescent="0.2">
      <c r="B251" s="1" t="s">
        <v>203</v>
      </c>
      <c r="C251" s="4" t="s">
        <v>76</v>
      </c>
      <c r="D251" t="str">
        <v>✓</v>
      </c>
      <c r="H251" s="1" t="s">
        <v>554</v>
      </c>
      <c r="I251" s="1" t="s">
        <v>420</v>
      </c>
      <c r="K251" s="1">
        <f t="shared" si="750"/>
        <v>2</v>
      </c>
      <c r="L251" s="1">
        <f t="shared" si="751"/>
        <v>2</v>
      </c>
      <c r="M251" s="1" t="str" cm="1">
        <f t="array" ref="M251" xml:space="preserve"> _xlfn.IFS(OR(LEN(_xlfn.SINGLE(ChartLines.ID))=0,"Unused"=_xlfn.SINGLE(ChartLines.ID)), "·",   1=_xlfn.SINGLE(ChartLines.NumInstances), IF("USD"=_xlfn.SINGLE(ChartLines.ID), "SoleBig", "SoleOrdinary"),   1=_xlfn.SINGLE(ChartLines.InstanceNum), "Outer",   TRUE, "Inner")</f>
        <v>Inner</v>
      </c>
      <c r="N251" s="1">
        <f t="shared" si="752"/>
        <v>206</v>
      </c>
      <c r="O251" s="1">
        <f t="shared" si="753"/>
        <v>17</v>
      </c>
      <c r="P251" s="1">
        <f t="shared" si="754"/>
        <v>38</v>
      </c>
      <c r="Q251" s="1" cm="1">
        <f t="array" ref="Q251" xml:space="preserve"> 1 + ROW() - _xlfn.SINGLE(ROW(ChartLines.RowNum))</f>
        <v>246</v>
      </c>
      <c r="R251" s="1" t="str">
        <v>✓</v>
      </c>
    </row>
    <row r="252" spans="2:18" x14ac:dyDescent="0.2">
      <c r="B252" s="1" t="s">
        <v>204</v>
      </c>
      <c r="C252" s="4" t="s">
        <v>77</v>
      </c>
      <c r="D252" t="str">
        <v>✓</v>
      </c>
      <c r="H252" s="1" t="s">
        <v>475</v>
      </c>
      <c r="I252" s="1" t="s">
        <v>348</v>
      </c>
      <c r="K252" s="1">
        <f t="shared" si="750"/>
        <v>2</v>
      </c>
      <c r="L252" s="1">
        <f t="shared" si="751"/>
        <v>1</v>
      </c>
      <c r="M252" s="1" t="str" cm="1">
        <f t="array" ref="M252" xml:space="preserve"> _xlfn.IFS(OR(LEN(_xlfn.SINGLE(ChartLines.ID))=0,"Unused"=_xlfn.SINGLE(ChartLines.ID)), "·",   1=_xlfn.SINGLE(ChartLines.NumInstances), IF("USD"=_xlfn.SINGLE(ChartLines.ID), "SoleBig", "SoleOrdinary"),   1=_xlfn.SINGLE(ChartLines.InstanceNum), "Outer",   TRUE, "Inner")</f>
        <v>Outer</v>
      </c>
      <c r="N252" s="1">
        <f t="shared" si="752"/>
        <v>200</v>
      </c>
      <c r="O252" s="1">
        <f t="shared" si="753"/>
        <v>16</v>
      </c>
      <c r="P252" s="1">
        <f t="shared" si="754"/>
        <v>46</v>
      </c>
      <c r="Q252" s="1" cm="1">
        <f t="array" ref="Q252" xml:space="preserve"> 1 + ROW() - _xlfn.SINGLE(ROW(ChartLines.RowNum))</f>
        <v>247</v>
      </c>
      <c r="R252" s="1" t="str">
        <v>✓</v>
      </c>
    </row>
    <row r="253" spans="2:18" x14ac:dyDescent="0.2">
      <c r="B253" s="1" t="s">
        <v>205</v>
      </c>
      <c r="C253" s="4" t="s">
        <v>78</v>
      </c>
      <c r="D253" t="str">
        <v>✓</v>
      </c>
      <c r="H253" s="1" t="s">
        <v>475</v>
      </c>
      <c r="I253" s="1" t="s">
        <v>347</v>
      </c>
      <c r="K253" s="1">
        <f t="shared" si="750"/>
        <v>2</v>
      </c>
      <c r="L253" s="1">
        <f t="shared" si="751"/>
        <v>2</v>
      </c>
      <c r="M253" s="1" t="str" cm="1">
        <f t="array" ref="M253" xml:space="preserve"> _xlfn.IFS(OR(LEN(_xlfn.SINGLE(ChartLines.ID))=0,"Unused"=_xlfn.SINGLE(ChartLines.ID)), "·",   1=_xlfn.SINGLE(ChartLines.NumInstances), IF("USD"=_xlfn.SINGLE(ChartLines.ID), "SoleBig", "SoleOrdinary"),   1=_xlfn.SINGLE(ChartLines.InstanceNum), "Outer",   TRUE, "Inner")</f>
        <v>Inner</v>
      </c>
      <c r="N253" s="1">
        <f t="shared" si="752"/>
        <v>255</v>
      </c>
      <c r="O253" s="1">
        <f t="shared" si="753"/>
        <v>205</v>
      </c>
      <c r="P253" s="1">
        <f t="shared" si="754"/>
        <v>0</v>
      </c>
      <c r="Q253" s="1" cm="1">
        <f t="array" ref="Q253" xml:space="preserve"> 1 + ROW() - _xlfn.SINGLE(ROW(ChartLines.RowNum))</f>
        <v>248</v>
      </c>
      <c r="R253" s="1" t="str">
        <v>✓</v>
      </c>
    </row>
    <row r="254" spans="2:18" x14ac:dyDescent="0.2">
      <c r="B254" s="1" t="s">
        <v>206</v>
      </c>
      <c r="C254" s="4" t="s">
        <v>79</v>
      </c>
      <c r="D254" t="str">
        <v>✓</v>
      </c>
      <c r="K254" s="1" t="str">
        <f t="shared" si="750"/>
        <v>·</v>
      </c>
      <c r="L254" s="1" t="str">
        <f t="shared" si="751"/>
        <v>·</v>
      </c>
      <c r="M254" s="1" t="str" cm="1">
        <f t="array" ref="M254" xml:space="preserve"> _xlfn.IFS(OR(LEN(_xlfn.SINGLE(ChartLines.ID))=0,"Unused"=_xlfn.SINGLE(ChartLines.ID)), "·",   1=_xlfn.SINGLE(ChartLines.NumInstances), IF("USD"=_xlfn.SINGLE(ChartLines.ID), "SoleBig", "SoleOrdinary"),   1=_xlfn.SINGLE(ChartLines.InstanceNum), "Outer",   TRUE, "Inner")</f>
        <v>·</v>
      </c>
      <c r="N254" s="1" t="str">
        <f t="shared" si="752"/>
        <v>·</v>
      </c>
      <c r="O254" s="1" t="str">
        <f t="shared" si="753"/>
        <v>·</v>
      </c>
      <c r="P254" s="1" t="str">
        <f t="shared" si="754"/>
        <v>·</v>
      </c>
      <c r="Q254" s="1" cm="1">
        <f t="array" ref="Q254" xml:space="preserve"> 1 + ROW() - _xlfn.SINGLE(ROW(ChartLines.RowNum))</f>
        <v>249</v>
      </c>
      <c r="R254" s="1" t="str">
        <v>·</v>
      </c>
    </row>
    <row r="255" spans="2:18" x14ac:dyDescent="0.2">
      <c r="B255" s="1" t="s">
        <v>207</v>
      </c>
      <c r="C255" s="4" t="s">
        <v>80</v>
      </c>
      <c r="D255" t="str">
        <v>✓</v>
      </c>
      <c r="H255" s="1" t="s">
        <v>150</v>
      </c>
      <c r="I255" s="1" t="str">
        <f xml:space="preserve"> "006341"</f>
        <v>006341</v>
      </c>
      <c r="K255" s="1">
        <f t="shared" si="750"/>
        <v>2</v>
      </c>
      <c r="L255" s="1">
        <f t="shared" si="751"/>
        <v>1</v>
      </c>
      <c r="M255" s="1" t="str" cm="1">
        <f t="array" ref="M255" xml:space="preserve"> _xlfn.IFS(OR(LEN(_xlfn.SINGLE(ChartLines.ID))=0,"Unused"=_xlfn.SINGLE(ChartLines.ID)), "·",   1=_xlfn.SINGLE(ChartLines.NumInstances), IF("USD"=_xlfn.SINGLE(ChartLines.ID), "SoleBig", "SoleOrdinary"),   1=_xlfn.SINGLE(ChartLines.InstanceNum), "Outer",   TRUE, "Inner")</f>
        <v>Outer</v>
      </c>
      <c r="N255" s="1">
        <f t="shared" si="752"/>
        <v>0</v>
      </c>
      <c r="O255" s="1">
        <f t="shared" si="753"/>
        <v>99</v>
      </c>
      <c r="P255" s="1">
        <f t="shared" si="754"/>
        <v>65</v>
      </c>
      <c r="Q255" s="1" cm="1">
        <f t="array" ref="Q255" xml:space="preserve"> 1 + ROW() - _xlfn.SINGLE(ROW(ChartLines.RowNum))</f>
        <v>250</v>
      </c>
      <c r="R255" s="1" t="str">
        <v>✓</v>
      </c>
    </row>
    <row r="256" spans="2:18" x14ac:dyDescent="0.2">
      <c r="B256" s="1" t="s">
        <v>208</v>
      </c>
      <c r="C256" s="4" t="s">
        <v>57</v>
      </c>
      <c r="D256" t="str">
        <v>✓</v>
      </c>
      <c r="H256" s="1" t="s">
        <v>150</v>
      </c>
      <c r="I256" s="1" t="s">
        <v>348</v>
      </c>
      <c r="K256" s="1">
        <f t="shared" si="750"/>
        <v>2</v>
      </c>
      <c r="L256" s="1">
        <f t="shared" si="751"/>
        <v>2</v>
      </c>
      <c r="M256" s="1" t="str" cm="1">
        <f t="array" ref="M256" xml:space="preserve"> _xlfn.IFS(OR(LEN(_xlfn.SINGLE(ChartLines.ID))=0,"Unused"=_xlfn.SINGLE(ChartLines.ID)), "·",   1=_xlfn.SINGLE(ChartLines.NumInstances), IF("USD"=_xlfn.SINGLE(ChartLines.ID), "SoleBig", "SoleOrdinary"),   1=_xlfn.SINGLE(ChartLines.InstanceNum), "Outer",   TRUE, "Inner")</f>
        <v>Inner</v>
      </c>
      <c r="N256" s="1">
        <f t="shared" si="752"/>
        <v>200</v>
      </c>
      <c r="O256" s="1">
        <f t="shared" si="753"/>
        <v>16</v>
      </c>
      <c r="P256" s="1">
        <f t="shared" si="754"/>
        <v>46</v>
      </c>
      <c r="Q256" s="1" cm="1">
        <f t="array" ref="Q256" xml:space="preserve"> 1 + ROW() - _xlfn.SINGLE(ROW(ChartLines.RowNum))</f>
        <v>251</v>
      </c>
      <c r="R256" s="1" t="str">
        <v>✓</v>
      </c>
    </row>
    <row r="257" spans="2:18" x14ac:dyDescent="0.2">
      <c r="B257" s="1" t="s">
        <v>209</v>
      </c>
      <c r="C257" s="4" t="s">
        <v>81</v>
      </c>
      <c r="D257" t="str">
        <v>✓</v>
      </c>
      <c r="H257" s="1" t="s">
        <v>151</v>
      </c>
      <c r="I257" s="1" t="str">
        <f xml:space="preserve"> "009639"</f>
        <v>009639</v>
      </c>
      <c r="K257" s="1">
        <f xml:space="preserve"> IF(AND(LEN(ChartLines.ID)&gt;0,"Unused"&lt;&gt;ChartLines.ID), COUNTIFS(ChartLines.ID,ChartLines.ID), "·")</f>
        <v>2</v>
      </c>
      <c r="L257" s="1">
        <f xml:space="preserve"> IF(AND(LEN(ChartLines.ID)&gt;0,"Unused"&lt;&gt;ChartLines.ID), COUNTIFS(ChartLines.ID,ChartLines.ID,   ChartLines.RowNum,"&lt;="&amp;ChartLines.RowNum), "·")</f>
        <v>1</v>
      </c>
      <c r="M257" s="1" t="str" cm="1">
        <f t="array" ref="M257" xml:space="preserve"> _xlfn.IFS(OR(LEN(_xlfn.SINGLE(ChartLines.ID))=0,"Unused"=_xlfn.SINGLE(ChartLines.ID)), "·",   1=_xlfn.SINGLE(ChartLines.NumInstances), IF("USD"=_xlfn.SINGLE(ChartLines.ID), "SoleBig", "SoleOrdinary"),   1=_xlfn.SINGLE(ChartLines.InstanceNum), "Outer",   TRUE, "Inner")</f>
        <v>Outer</v>
      </c>
      <c r="N257" s="1">
        <f xml:space="preserve"> IF(LEN(ChartLines.Hex6)=6, HEX2DEC(LEFT(ChartLines.Hex6, 2)), "·")</f>
        <v>0</v>
      </c>
      <c r="O257" s="1">
        <f xml:space="preserve"> IF(LEN(ChartLines.Hex6)=6, HEX2DEC(MID(ChartLines.Hex6, 3, 2)), "·")</f>
        <v>150</v>
      </c>
      <c r="P257" s="1">
        <f xml:space="preserve"> IF(LEN(ChartLines.Hex6)=6, HEX2DEC(RIGHT(ChartLines.Hex6, 2)), "·")</f>
        <v>57</v>
      </c>
      <c r="Q257" s="1" cm="1">
        <f t="array" ref="Q257" xml:space="preserve"> 1 + ROW() - _xlfn.SINGLE(ROW(ChartLines.RowNum))</f>
        <v>252</v>
      </c>
      <c r="R257" s="1" t="str">
        <v>✓</v>
      </c>
    </row>
    <row r="258" spans="2:18" x14ac:dyDescent="0.2">
      <c r="B258" s="1" t="s">
        <v>210</v>
      </c>
      <c r="C258" s="4" t="s">
        <v>82</v>
      </c>
      <c r="D258" t="str">
        <v>✓</v>
      </c>
      <c r="H258" s="1" t="s">
        <v>151</v>
      </c>
      <c r="I258" s="1" t="s">
        <v>436</v>
      </c>
      <c r="K258" s="1">
        <f xml:space="preserve"> IF(AND(LEN(ChartLines.ID)&gt;0,"Unused"&lt;&gt;ChartLines.ID), COUNTIFS(ChartLines.ID,ChartLines.ID), "·")</f>
        <v>2</v>
      </c>
      <c r="L258" s="1">
        <f xml:space="preserve"> IF(AND(LEN(ChartLines.ID)&gt;0,"Unused"&lt;&gt;ChartLines.ID), COUNTIFS(ChartLines.ID,ChartLines.ID,   ChartLines.RowNum,"&lt;="&amp;ChartLines.RowNum), "·")</f>
        <v>2</v>
      </c>
      <c r="M258" s="1" t="str" cm="1">
        <f t="array" ref="M258" xml:space="preserve"> _xlfn.IFS(OR(LEN(_xlfn.SINGLE(ChartLines.ID))=0,"Unused"=_xlfn.SINGLE(ChartLines.ID)), "·",   1=_xlfn.SINGLE(ChartLines.NumInstances), IF("USD"=_xlfn.SINGLE(ChartLines.ID), "SoleBig", "SoleOrdinary"),   1=_xlfn.SINGLE(ChartLines.InstanceNum), "Outer",   TRUE, "Inner")</f>
        <v>Inner</v>
      </c>
      <c r="N258" s="1">
        <f xml:space="preserve"> IF(LEN(ChartLines.Hex6)=6, HEX2DEC(LEFT(ChartLines.Hex6, 2)), "·")</f>
        <v>254</v>
      </c>
      <c r="O258" s="1">
        <f xml:space="preserve"> IF(LEN(ChartLines.Hex6)=6, HEX2DEC(MID(ChartLines.Hex6, 3, 2)), "·")</f>
        <v>221</v>
      </c>
      <c r="P258" s="1">
        <f xml:space="preserve"> IF(LEN(ChartLines.Hex6)=6, HEX2DEC(RIGHT(ChartLines.Hex6, 2)), "·")</f>
        <v>0</v>
      </c>
      <c r="Q258" s="1" cm="1">
        <f t="array" ref="Q258" xml:space="preserve"> 1 + ROW() - _xlfn.SINGLE(ROW(ChartLines.RowNum))</f>
        <v>253</v>
      </c>
      <c r="R258" s="1" t="str">
        <v>✓</v>
      </c>
    </row>
    <row r="259" spans="2:18" x14ac:dyDescent="0.2">
      <c r="B259" s="1" t="s">
        <v>211</v>
      </c>
      <c r="C259" s="4" t="s">
        <v>83</v>
      </c>
      <c r="D259" t="str">
        <v>✓</v>
      </c>
      <c r="H259" s="1" t="s">
        <v>152</v>
      </c>
      <c r="I259" s="1" t="s">
        <v>437</v>
      </c>
      <c r="K259" s="1">
        <f xml:space="preserve"> IF(AND(LEN(ChartLines.ID)&gt;0,"Unused"&lt;&gt;ChartLines.ID), COUNTIFS(ChartLines.ID,ChartLines.ID), "·")</f>
        <v>2</v>
      </c>
      <c r="L259" s="1">
        <f xml:space="preserve"> IF(AND(LEN(ChartLines.ID)&gt;0,"Unused"&lt;&gt;ChartLines.ID), COUNTIFS(ChartLines.ID,ChartLines.ID,   ChartLines.RowNum,"&lt;="&amp;ChartLines.RowNum), "·")</f>
        <v>1</v>
      </c>
      <c r="M259" s="1" t="str" cm="1">
        <f t="array" ref="M259" xml:space="preserve"> _xlfn.IFS(OR(LEN(_xlfn.SINGLE(ChartLines.ID))=0,"Unused"=_xlfn.SINGLE(ChartLines.ID)), "·",   1=_xlfn.SINGLE(ChartLines.NumInstances), IF("USD"=_xlfn.SINGLE(ChartLines.ID), "SoleBig", "SoleOrdinary"),   1=_xlfn.SINGLE(ChartLines.InstanceNum), "Outer",   TRUE, "Inner")</f>
        <v>Outer</v>
      </c>
      <c r="N259" s="1">
        <f xml:space="preserve"> IF(LEN(ChartLines.Hex6)=6, HEX2DEC(LEFT(ChartLines.Hex6, 2)), "·")</f>
        <v>213</v>
      </c>
      <c r="O259" s="1">
        <f xml:space="preserve"> IF(LEN(ChartLines.Hex6)=6, HEX2DEC(MID(ChartLines.Hex6, 3, 2)), "·")</f>
        <v>43</v>
      </c>
      <c r="P259" s="1">
        <f xml:space="preserve"> IF(LEN(ChartLines.Hex6)=6, HEX2DEC(RIGHT(ChartLines.Hex6, 2)), "·")</f>
        <v>30</v>
      </c>
      <c r="Q259" s="1" cm="1">
        <f t="array" ref="Q259" xml:space="preserve"> 1 + ROW() - _xlfn.SINGLE(ROW(ChartLines.RowNum))</f>
        <v>254</v>
      </c>
      <c r="R259" s="1" t="str">
        <v>✓</v>
      </c>
    </row>
    <row r="260" spans="2:18" x14ac:dyDescent="0.2">
      <c r="B260" s="1" t="s">
        <v>212</v>
      </c>
      <c r="C260" s="4" t="s">
        <v>84</v>
      </c>
      <c r="D260" t="str">
        <v>✓</v>
      </c>
      <c r="H260" s="1" t="s">
        <v>152</v>
      </c>
      <c r="I260" s="1" t="s">
        <v>438</v>
      </c>
      <c r="K260" s="1">
        <f xml:space="preserve"> IF(AND(LEN(ChartLines.ID)&gt;0,"Unused"&lt;&gt;ChartLines.ID), COUNTIFS(ChartLines.ID,ChartLines.ID), "·")</f>
        <v>2</v>
      </c>
      <c r="L260" s="1">
        <f xml:space="preserve"> IF(AND(LEN(ChartLines.ID)&gt;0,"Unused"&lt;&gt;ChartLines.ID), COUNTIFS(ChartLines.ID,ChartLines.ID,   ChartLines.RowNum,"&lt;="&amp;ChartLines.RowNum), "·")</f>
        <v>2</v>
      </c>
      <c r="M260" s="1" t="str" cm="1">
        <f t="array" ref="M260" xml:space="preserve"> _xlfn.IFS(OR(LEN(_xlfn.SINGLE(ChartLines.ID))=0,"Unused"=_xlfn.SINGLE(ChartLines.ID)), "·",   1=_xlfn.SINGLE(ChartLines.NumInstances), IF("USD"=_xlfn.SINGLE(ChartLines.ID), "SoleBig", "SoleOrdinary"),   1=_xlfn.SINGLE(ChartLines.InstanceNum), "Outer",   TRUE, "Inner")</f>
        <v>Inner</v>
      </c>
      <c r="N260" s="1">
        <f xml:space="preserve"> IF(LEN(ChartLines.Hex6)=6, HEX2DEC(LEFT(ChartLines.Hex6, 2)), "·")</f>
        <v>0</v>
      </c>
      <c r="O260" s="1">
        <f xml:space="preserve"> IF(LEN(ChartLines.Hex6)=6, HEX2DEC(MID(ChartLines.Hex6, 3, 2)), "·")</f>
        <v>51</v>
      </c>
      <c r="P260" s="1">
        <f xml:space="preserve"> IF(LEN(ChartLines.Hex6)=6, HEX2DEC(RIGHT(ChartLines.Hex6, 2)), "·")</f>
        <v>160</v>
      </c>
      <c r="Q260" s="1" cm="1">
        <f t="array" ref="Q260" xml:space="preserve"> 1 + ROW() - _xlfn.SINGLE(ROW(ChartLines.RowNum))</f>
        <v>255</v>
      </c>
      <c r="R260" s="1" t="str">
        <v>✓</v>
      </c>
    </row>
    <row r="261" spans="2:18" x14ac:dyDescent="0.2">
      <c r="B261" s="1" t="s">
        <v>213</v>
      </c>
      <c r="C261" s="4" t="s">
        <v>85</v>
      </c>
      <c r="D261" t="str">
        <v>✓</v>
      </c>
      <c r="H261" s="1" t="s">
        <v>153</v>
      </c>
      <c r="I261" s="1" t="str">
        <f xml:space="preserve"> "003087"</f>
        <v>003087</v>
      </c>
      <c r="K261" s="1">
        <f t="shared" ref="K261" si="755" xml:space="preserve"> IF(AND(LEN(ChartLines.ID)&gt;0,"Unused"&lt;&gt;ChartLines.ID), COUNTIFS(ChartLines.ID,ChartLines.ID), "·")</f>
        <v>2</v>
      </c>
      <c r="L261" s="1">
        <f t="shared" ref="L261" si="756" xml:space="preserve"> IF(AND(LEN(ChartLines.ID)&gt;0,"Unused"&lt;&gt;ChartLines.ID), COUNTIFS(ChartLines.ID,ChartLines.ID,   ChartLines.RowNum,"&lt;="&amp;ChartLines.RowNum), "·")</f>
        <v>1</v>
      </c>
      <c r="M261" s="1" t="str" cm="1">
        <f t="array" ref="M261" xml:space="preserve"> _xlfn.IFS(OR(LEN(_xlfn.SINGLE(ChartLines.ID))=0,"Unused"=_xlfn.SINGLE(ChartLines.ID)), "·",   1=_xlfn.SINGLE(ChartLines.NumInstances), IF("USD"=_xlfn.SINGLE(ChartLines.ID), "SoleBig", "SoleOrdinary"),   1=_xlfn.SINGLE(ChartLines.InstanceNum), "Outer",   TRUE, "Inner")</f>
        <v>Outer</v>
      </c>
      <c r="N261" s="1">
        <f t="shared" ref="N261" si="757" xml:space="preserve"> IF(LEN(ChartLines.Hex6)=6, HEX2DEC(LEFT(ChartLines.Hex6, 2)), "·")</f>
        <v>0</v>
      </c>
      <c r="O261" s="1">
        <f t="shared" ref="O261" si="758" xml:space="preserve"> IF(LEN(ChartLines.Hex6)=6, HEX2DEC(MID(ChartLines.Hex6, 3, 2)), "·")</f>
        <v>48</v>
      </c>
      <c r="P261" s="1">
        <f t="shared" ref="P261" si="759" xml:space="preserve"> IF(LEN(ChartLines.Hex6)=6, HEX2DEC(RIGHT(ChartLines.Hex6, 2)), "·")</f>
        <v>135</v>
      </c>
      <c r="Q261" s="1" cm="1">
        <f t="array" ref="Q261" xml:space="preserve"> 1 + ROW() - _xlfn.SINGLE(ROW(ChartLines.RowNum))</f>
        <v>256</v>
      </c>
      <c r="R261" s="1" t="str">
        <v>✓</v>
      </c>
    </row>
    <row r="262" spans="2:18" x14ac:dyDescent="0.2">
      <c r="B262" s="1" t="s">
        <v>214</v>
      </c>
      <c r="C262" s="4" t="s">
        <v>86</v>
      </c>
      <c r="D262" t="str">
        <v>✓</v>
      </c>
      <c r="H262" s="1" t="s">
        <v>153</v>
      </c>
      <c r="I262" s="1" t="s">
        <v>347</v>
      </c>
      <c r="K262" s="1">
        <f t="shared" ref="K262" si="760" xml:space="preserve"> IF(AND(LEN(ChartLines.ID)&gt;0,"Unused"&lt;&gt;ChartLines.ID), COUNTIFS(ChartLines.ID,ChartLines.ID), "·")</f>
        <v>2</v>
      </c>
      <c r="L262" s="1">
        <f t="shared" ref="L262" si="761" xml:space="preserve"> IF(AND(LEN(ChartLines.ID)&gt;0,"Unused"&lt;&gt;ChartLines.ID), COUNTIFS(ChartLines.ID,ChartLines.ID,   ChartLines.RowNum,"&lt;="&amp;ChartLines.RowNum), "·")</f>
        <v>2</v>
      </c>
      <c r="M262" s="1" t="str" cm="1">
        <f t="array" ref="M262" xml:space="preserve"> _xlfn.IFS(OR(LEN(_xlfn.SINGLE(ChartLines.ID))=0,"Unused"=_xlfn.SINGLE(ChartLines.ID)), "·",   1=_xlfn.SINGLE(ChartLines.NumInstances), IF("USD"=_xlfn.SINGLE(ChartLines.ID), "SoleBig", "SoleOrdinary"),   1=_xlfn.SINGLE(ChartLines.InstanceNum), "Outer",   TRUE, "Inner")</f>
        <v>Inner</v>
      </c>
      <c r="N262" s="1">
        <f t="shared" ref="N262" si="762" xml:space="preserve"> IF(LEN(ChartLines.Hex6)=6, HEX2DEC(LEFT(ChartLines.Hex6, 2)), "·")</f>
        <v>255</v>
      </c>
      <c r="O262" s="1">
        <f t="shared" ref="O262" si="763" xml:space="preserve"> IF(LEN(ChartLines.Hex6)=6, HEX2DEC(MID(ChartLines.Hex6, 3, 2)), "·")</f>
        <v>205</v>
      </c>
      <c r="P262" s="1">
        <f t="shared" ref="P262" si="764" xml:space="preserve"> IF(LEN(ChartLines.Hex6)=6, HEX2DEC(RIGHT(ChartLines.Hex6, 2)), "·")</f>
        <v>0</v>
      </c>
      <c r="Q262" s="1" cm="1">
        <f t="array" ref="Q262" xml:space="preserve"> 1 + ROW() - _xlfn.SINGLE(ROW(ChartLines.RowNum))</f>
        <v>257</v>
      </c>
      <c r="R262" s="1" t="str">
        <v>✓</v>
      </c>
    </row>
    <row r="263" spans="2:18" x14ac:dyDescent="0.2">
      <c r="B263" s="1" t="s">
        <v>215</v>
      </c>
      <c r="C263" s="4" t="s">
        <v>87</v>
      </c>
      <c r="D263" t="str">
        <v>✓</v>
      </c>
      <c r="H263" s="1" t="s">
        <v>154</v>
      </c>
      <c r="I263" s="1" t="s">
        <v>348</v>
      </c>
      <c r="K263" s="1">
        <f t="shared" ref="K263" si="765" xml:space="preserve"> IF(AND(LEN(ChartLines.ID)&gt;0,"Unused"&lt;&gt;ChartLines.ID), COUNTIFS(ChartLines.ID,ChartLines.ID), "·")</f>
        <v>2</v>
      </c>
      <c r="L263" s="1">
        <f t="shared" ref="L263" si="766" xml:space="preserve"> IF(AND(LEN(ChartLines.ID)&gt;0,"Unused"&lt;&gt;ChartLines.ID), COUNTIFS(ChartLines.ID,ChartLines.ID,   ChartLines.RowNum,"&lt;="&amp;ChartLines.RowNum), "·")</f>
        <v>1</v>
      </c>
      <c r="M263" s="1" t="str" cm="1">
        <f t="array" ref="M263" xml:space="preserve"> _xlfn.IFS(OR(LEN(_xlfn.SINGLE(ChartLines.ID))=0,"Unused"=_xlfn.SINGLE(ChartLines.ID)), "·",   1=_xlfn.SINGLE(ChartLines.NumInstances), IF("USD"=_xlfn.SINGLE(ChartLines.ID), "SoleBig", "SoleOrdinary"),   1=_xlfn.SINGLE(ChartLines.InstanceNum), "Outer",   TRUE, "Inner")</f>
        <v>Outer</v>
      </c>
      <c r="N263" s="1">
        <f t="shared" ref="N263" si="767" xml:space="preserve"> IF(LEN(ChartLines.Hex6)=6, HEX2DEC(LEFT(ChartLines.Hex6, 2)), "·")</f>
        <v>200</v>
      </c>
      <c r="O263" s="1">
        <f t="shared" ref="O263" si="768" xml:space="preserve"> IF(LEN(ChartLines.Hex6)=6, HEX2DEC(MID(ChartLines.Hex6, 3, 2)), "·")</f>
        <v>16</v>
      </c>
      <c r="P263" s="1">
        <f t="shared" ref="P263" si="769" xml:space="preserve"> IF(LEN(ChartLines.Hex6)=6, HEX2DEC(RIGHT(ChartLines.Hex6, 2)), "·")</f>
        <v>46</v>
      </c>
      <c r="Q263" s="1" cm="1">
        <f t="array" ref="Q263" xml:space="preserve"> 1 + ROW() - _xlfn.SINGLE(ROW(ChartLines.RowNum))</f>
        <v>258</v>
      </c>
      <c r="R263" s="1" t="str">
        <v>✓</v>
      </c>
    </row>
    <row r="264" spans="2:18" x14ac:dyDescent="0.2">
      <c r="B264" s="1" t="s">
        <v>216</v>
      </c>
      <c r="C264" s="4" t="s">
        <v>88</v>
      </c>
      <c r="D264" t="str">
        <v>✓</v>
      </c>
      <c r="H264" s="1" t="s">
        <v>154</v>
      </c>
      <c r="I264" s="1" t="s">
        <v>345</v>
      </c>
      <c r="K264" s="1">
        <f t="shared" ref="K264" si="770" xml:space="preserve"> IF(AND(LEN(ChartLines.ID)&gt;0,"Unused"&lt;&gt;ChartLines.ID), COUNTIFS(ChartLines.ID,ChartLines.ID), "·")</f>
        <v>2</v>
      </c>
      <c r="L264" s="1">
        <f t="shared" ref="L264" si="771" xml:space="preserve"> IF(AND(LEN(ChartLines.ID)&gt;0,"Unused"&lt;&gt;ChartLines.ID), COUNTIFS(ChartLines.ID,ChartLines.ID,   ChartLines.RowNum,"&lt;="&amp;ChartLines.RowNum), "·")</f>
        <v>2</v>
      </c>
      <c r="M264" s="1" t="str" cm="1">
        <f t="array" ref="M264" xml:space="preserve"> _xlfn.IFS(OR(LEN(_xlfn.SINGLE(ChartLines.ID))=0,"Unused"=_xlfn.SINGLE(ChartLines.ID)), "·",   1=_xlfn.SINGLE(ChartLines.NumInstances), IF("USD"=_xlfn.SINGLE(ChartLines.ID), "SoleBig", "SoleOrdinary"),   1=_xlfn.SINGLE(ChartLines.InstanceNum), "Outer",   TRUE, "Inner")</f>
        <v>Inner</v>
      </c>
      <c r="N264" s="1">
        <f t="shared" ref="N264" si="772" xml:space="preserve"> IF(LEN(ChartLines.Hex6)=6, HEX2DEC(LEFT(ChartLines.Hex6, 2)), "·")</f>
        <v>255</v>
      </c>
      <c r="O264" s="1">
        <f t="shared" ref="O264" si="773" xml:space="preserve"> IF(LEN(ChartLines.Hex6)=6, HEX2DEC(MID(ChartLines.Hex6, 3, 2)), "·")</f>
        <v>255</v>
      </c>
      <c r="P264" s="1">
        <f t="shared" ref="P264" si="774" xml:space="preserve"> IF(LEN(ChartLines.Hex6)=6, HEX2DEC(RIGHT(ChartLines.Hex6, 2)), "·")</f>
        <v>255</v>
      </c>
      <c r="Q264" s="1" cm="1">
        <f t="array" ref="Q264" xml:space="preserve"> 1 + ROW() - _xlfn.SINGLE(ROW(ChartLines.RowNum))</f>
        <v>259</v>
      </c>
      <c r="R264" s="1" t="str">
        <v>✓</v>
      </c>
    </row>
    <row r="265" spans="2:18" x14ac:dyDescent="0.2">
      <c r="B265" s="1" t="s">
        <v>217</v>
      </c>
      <c r="C265" s="4" t="s">
        <v>89</v>
      </c>
      <c r="D265" t="str">
        <v>✓</v>
      </c>
      <c r="H265" s="1" t="s">
        <v>155</v>
      </c>
      <c r="I265" s="1" t="s">
        <v>489</v>
      </c>
      <c r="K265" s="1">
        <f t="shared" ref="K265" si="775" xml:space="preserve"> IF(AND(LEN(ChartLines.ID)&gt;0,"Unused"&lt;&gt;ChartLines.ID), COUNTIFS(ChartLines.ID,ChartLines.ID), "·")</f>
        <v>2</v>
      </c>
      <c r="L265" s="1">
        <f t="shared" ref="L265" si="776" xml:space="preserve"> IF(AND(LEN(ChartLines.ID)&gt;0,"Unused"&lt;&gt;ChartLines.ID), COUNTIFS(ChartLines.ID,ChartLines.ID,   ChartLines.RowNum,"&lt;="&amp;ChartLines.RowNum), "·")</f>
        <v>1</v>
      </c>
      <c r="M265" s="1" t="str" cm="1">
        <f t="array" ref="M265" xml:space="preserve"> _xlfn.IFS(OR(LEN(_xlfn.SINGLE(ChartLines.ID))=0,"Unused"=_xlfn.SINGLE(ChartLines.ID)), "·",   1=_xlfn.SINGLE(ChartLines.NumInstances), IF("USD"=_xlfn.SINGLE(ChartLines.ID), "SoleBig", "SoleOrdinary"),   1=_xlfn.SINGLE(ChartLines.InstanceNum), "Outer",   TRUE, "Inner")</f>
        <v>Outer</v>
      </c>
      <c r="N265" s="1">
        <f t="shared" ref="N265" si="777" xml:space="preserve"> IF(LEN(ChartLines.Hex6)=6, HEX2DEC(LEFT(ChartLines.Hex6, 2)), "·")</f>
        <v>123</v>
      </c>
      <c r="O265" s="1">
        <f t="shared" ref="O265" si="778" xml:space="preserve"> IF(LEN(ChartLines.Hex6)=6, HEX2DEC(MID(ChartLines.Hex6, 3, 2)), "·")</f>
        <v>63</v>
      </c>
      <c r="P265" s="1">
        <f t="shared" ref="P265" si="779" xml:space="preserve"> IF(LEN(ChartLines.Hex6)=6, HEX2DEC(RIGHT(ChartLines.Hex6, 2)), "·")</f>
        <v>0</v>
      </c>
      <c r="Q265" s="1" cm="1">
        <f t="array" ref="Q265" xml:space="preserve"> 1 + ROW() - _xlfn.SINGLE(ROW(ChartLines.RowNum))</f>
        <v>260</v>
      </c>
      <c r="R265" s="1" t="str">
        <v>✓</v>
      </c>
    </row>
    <row r="266" spans="2:18" x14ac:dyDescent="0.2">
      <c r="B266" s="1" t="s">
        <v>218</v>
      </c>
      <c r="C266" s="4" t="s">
        <v>90</v>
      </c>
      <c r="D266" t="str">
        <v>✓</v>
      </c>
      <c r="H266" s="1" t="s">
        <v>155</v>
      </c>
      <c r="I266" s="1" t="s">
        <v>345</v>
      </c>
      <c r="K266" s="1">
        <f t="shared" ref="K266" si="780" xml:space="preserve"> IF(AND(LEN(ChartLines.ID)&gt;0,"Unused"&lt;&gt;ChartLines.ID), COUNTIFS(ChartLines.ID,ChartLines.ID), "·")</f>
        <v>2</v>
      </c>
      <c r="L266" s="1">
        <f t="shared" ref="L266" si="781" xml:space="preserve"> IF(AND(LEN(ChartLines.ID)&gt;0,"Unused"&lt;&gt;ChartLines.ID), COUNTIFS(ChartLines.ID,ChartLines.ID,   ChartLines.RowNum,"&lt;="&amp;ChartLines.RowNum), "·")</f>
        <v>2</v>
      </c>
      <c r="M266" s="1" t="str" cm="1">
        <f t="array" ref="M266" xml:space="preserve"> _xlfn.IFS(OR(LEN(_xlfn.SINGLE(ChartLines.ID))=0,"Unused"=_xlfn.SINGLE(ChartLines.ID)), "·",   1=_xlfn.SINGLE(ChartLines.NumInstances), IF("USD"=_xlfn.SINGLE(ChartLines.ID), "SoleBig", "SoleOrdinary"),   1=_xlfn.SINGLE(ChartLines.InstanceNum), "Outer",   TRUE, "Inner")</f>
        <v>Inner</v>
      </c>
      <c r="N266" s="1">
        <f t="shared" ref="N266" si="782" xml:space="preserve"> IF(LEN(ChartLines.Hex6)=6, HEX2DEC(LEFT(ChartLines.Hex6, 2)), "·")</f>
        <v>255</v>
      </c>
      <c r="O266" s="1">
        <f t="shared" ref="O266" si="783" xml:space="preserve"> IF(LEN(ChartLines.Hex6)=6, HEX2DEC(MID(ChartLines.Hex6, 3, 2)), "·")</f>
        <v>255</v>
      </c>
      <c r="P266" s="1">
        <f t="shared" ref="P266" si="784" xml:space="preserve"> IF(LEN(ChartLines.Hex6)=6, HEX2DEC(RIGHT(ChartLines.Hex6, 2)), "·")</f>
        <v>255</v>
      </c>
      <c r="Q266" s="1" cm="1">
        <f t="array" ref="Q266" xml:space="preserve"> 1 + ROW() - _xlfn.SINGLE(ROW(ChartLines.RowNum))</f>
        <v>261</v>
      </c>
      <c r="R266" s="1" t="str">
        <v>✓</v>
      </c>
    </row>
    <row r="267" spans="2:18" x14ac:dyDescent="0.2">
      <c r="B267" s="1" t="s">
        <v>219</v>
      </c>
      <c r="C267" s="4" t="s">
        <v>91</v>
      </c>
      <c r="D267" t="str">
        <v>✓</v>
      </c>
      <c r="H267" s="1" t="s">
        <v>156</v>
      </c>
      <c r="I267" s="1" t="s">
        <v>439</v>
      </c>
      <c r="K267" s="1">
        <f t="shared" ref="K267" si="785" xml:space="preserve"> IF(AND(LEN(ChartLines.ID)&gt;0,"Unused"&lt;&gt;ChartLines.ID), COUNTIFS(ChartLines.ID,ChartLines.ID), "·")</f>
        <v>2</v>
      </c>
      <c r="L267" s="1">
        <f t="shared" ref="L267" si="786" xml:space="preserve"> IF(AND(LEN(ChartLines.ID)&gt;0,"Unused"&lt;&gt;ChartLines.ID), COUNTIFS(ChartLines.ID,ChartLines.ID,   ChartLines.RowNum,"&lt;="&amp;ChartLines.RowNum), "·")</f>
        <v>1</v>
      </c>
      <c r="M267" s="1" t="str" cm="1">
        <f t="array" ref="M267" xml:space="preserve"> _xlfn.IFS(OR(LEN(_xlfn.SINGLE(ChartLines.ID))=0,"Unused"=_xlfn.SINGLE(ChartLines.ID)), "·",   1=_xlfn.SINGLE(ChartLines.NumInstances), IF("USD"=_xlfn.SINGLE(ChartLines.ID), "SoleBig", "SoleOrdinary"),   1=_xlfn.SINGLE(ChartLines.InstanceNum), "Outer",   TRUE, "Inner")</f>
        <v>Outer</v>
      </c>
      <c r="N267" s="1">
        <f t="shared" ref="N267" si="787" xml:space="preserve"> IF(LEN(ChartLines.Hex6)=6, HEX2DEC(LEFT(ChartLines.Hex6, 2)), "·")</f>
        <v>108</v>
      </c>
      <c r="O267" s="1">
        <f t="shared" ref="O267" si="788" xml:space="preserve"> IF(LEN(ChartLines.Hex6)=6, HEX2DEC(MID(ChartLines.Hex6, 3, 2)), "·")</f>
        <v>172</v>
      </c>
      <c r="P267" s="1">
        <f t="shared" ref="P267" si="789" xml:space="preserve"> IF(LEN(ChartLines.Hex6)=6, HEX2DEC(RIGHT(ChartLines.Hex6, 2)), "·")</f>
        <v>228</v>
      </c>
      <c r="Q267" s="1" cm="1">
        <f t="array" ref="Q267" xml:space="preserve"> 1 + ROW() - _xlfn.SINGLE(ROW(ChartLines.RowNum))</f>
        <v>262</v>
      </c>
      <c r="R267" s="1" t="str">
        <v>✓</v>
      </c>
    </row>
    <row r="268" spans="2:18" x14ac:dyDescent="0.2">
      <c r="B268" s="1" t="s">
        <v>220</v>
      </c>
      <c r="C268" s="4" t="s">
        <v>92</v>
      </c>
      <c r="D268" t="str">
        <v>✓</v>
      </c>
      <c r="H268" s="1" t="s">
        <v>156</v>
      </c>
      <c r="I268" s="1" t="s">
        <v>345</v>
      </c>
      <c r="K268" s="1">
        <f t="shared" ref="K268" si="790" xml:space="preserve"> IF(AND(LEN(ChartLines.ID)&gt;0,"Unused"&lt;&gt;ChartLines.ID), COUNTIFS(ChartLines.ID,ChartLines.ID), "·")</f>
        <v>2</v>
      </c>
      <c r="L268" s="1">
        <f t="shared" ref="L268" si="791" xml:space="preserve"> IF(AND(LEN(ChartLines.ID)&gt;0,"Unused"&lt;&gt;ChartLines.ID), COUNTIFS(ChartLines.ID,ChartLines.ID,   ChartLines.RowNum,"&lt;="&amp;ChartLines.RowNum), "·")</f>
        <v>2</v>
      </c>
      <c r="M268" s="1" t="str" cm="1">
        <f t="array" ref="M268" xml:space="preserve"> _xlfn.IFS(OR(LEN(_xlfn.SINGLE(ChartLines.ID))=0,"Unused"=_xlfn.SINGLE(ChartLines.ID)), "·",   1=_xlfn.SINGLE(ChartLines.NumInstances), IF("USD"=_xlfn.SINGLE(ChartLines.ID), "SoleBig", "SoleOrdinary"),   1=_xlfn.SINGLE(ChartLines.InstanceNum), "Outer",   TRUE, "Inner")</f>
        <v>Inner</v>
      </c>
      <c r="N268" s="1">
        <f t="shared" ref="N268" si="792" xml:space="preserve"> IF(LEN(ChartLines.Hex6)=6, HEX2DEC(LEFT(ChartLines.Hex6, 2)), "·")</f>
        <v>255</v>
      </c>
      <c r="O268" s="1">
        <f t="shared" ref="O268" si="793" xml:space="preserve"> IF(LEN(ChartLines.Hex6)=6, HEX2DEC(MID(ChartLines.Hex6, 3, 2)), "·")</f>
        <v>255</v>
      </c>
      <c r="P268" s="1">
        <f t="shared" ref="P268" si="794" xml:space="preserve"> IF(LEN(ChartLines.Hex6)=6, HEX2DEC(RIGHT(ChartLines.Hex6, 2)), "·")</f>
        <v>255</v>
      </c>
      <c r="Q268" s="1" cm="1">
        <f t="array" ref="Q268" xml:space="preserve"> 1 + ROW() - _xlfn.SINGLE(ROW(ChartLines.RowNum))</f>
        <v>263</v>
      </c>
      <c r="R268" s="1" t="str">
        <v>✓</v>
      </c>
    </row>
    <row r="269" spans="2:18" x14ac:dyDescent="0.2">
      <c r="B269" s="1" t="s">
        <v>221</v>
      </c>
      <c r="C269" s="4" t="s">
        <v>93</v>
      </c>
      <c r="D269" t="str">
        <v>✓</v>
      </c>
      <c r="H269" s="1" t="s">
        <v>157</v>
      </c>
      <c r="I269" s="1" t="str">
        <f xml:space="preserve"> "000000"</f>
        <v>000000</v>
      </c>
      <c r="K269" s="1">
        <f t="shared" ref="K269" si="795" xml:space="preserve"> IF(AND(LEN(ChartLines.ID)&gt;0,"Unused"&lt;&gt;ChartLines.ID), COUNTIFS(ChartLines.ID,ChartLines.ID), "·")</f>
        <v>2</v>
      </c>
      <c r="L269" s="1">
        <f t="shared" ref="L269" si="796" xml:space="preserve"> IF(AND(LEN(ChartLines.ID)&gt;0,"Unused"&lt;&gt;ChartLines.ID), COUNTIFS(ChartLines.ID,ChartLines.ID,   ChartLines.RowNum,"&lt;="&amp;ChartLines.RowNum), "·")</f>
        <v>1</v>
      </c>
      <c r="M269" s="1" t="str" cm="1">
        <f t="array" ref="M269" xml:space="preserve"> _xlfn.IFS(OR(LEN(_xlfn.SINGLE(ChartLines.ID))=0,"Unused"=_xlfn.SINGLE(ChartLines.ID)), "·",   1=_xlfn.SINGLE(ChartLines.NumInstances), IF("USD"=_xlfn.SINGLE(ChartLines.ID), "SoleBig", "SoleOrdinary"),   1=_xlfn.SINGLE(ChartLines.InstanceNum), "Outer",   TRUE, "Inner")</f>
        <v>Outer</v>
      </c>
      <c r="N269" s="1">
        <f t="shared" ref="N269" si="797" xml:space="preserve"> IF(LEN(ChartLines.Hex6)=6, HEX2DEC(LEFT(ChartLines.Hex6, 2)), "·")</f>
        <v>0</v>
      </c>
      <c r="O269" s="1">
        <f t="shared" ref="O269" si="798" xml:space="preserve"> IF(LEN(ChartLines.Hex6)=6, HEX2DEC(MID(ChartLines.Hex6, 3, 2)), "·")</f>
        <v>0</v>
      </c>
      <c r="P269" s="1">
        <f t="shared" ref="P269" si="799" xml:space="preserve"> IF(LEN(ChartLines.Hex6)=6, HEX2DEC(RIGHT(ChartLines.Hex6, 2)), "·")</f>
        <v>0</v>
      </c>
      <c r="Q269" s="1" cm="1">
        <f t="array" ref="Q269" xml:space="preserve"> 1 + ROW() - _xlfn.SINGLE(ROW(ChartLines.RowNum))</f>
        <v>264</v>
      </c>
      <c r="R269" s="1" t="str">
        <v>✓</v>
      </c>
    </row>
    <row r="270" spans="2:18" x14ac:dyDescent="0.2">
      <c r="B270" s="1" t="s">
        <v>222</v>
      </c>
      <c r="C270" s="4" t="s">
        <v>94</v>
      </c>
      <c r="D270" t="str">
        <v>✓</v>
      </c>
      <c r="H270" s="1" t="s">
        <v>157</v>
      </c>
      <c r="I270" s="1" t="s">
        <v>345</v>
      </c>
      <c r="K270" s="1">
        <f t="shared" ref="K270" si="800" xml:space="preserve"> IF(AND(LEN(ChartLines.ID)&gt;0,"Unused"&lt;&gt;ChartLines.ID), COUNTIFS(ChartLines.ID,ChartLines.ID), "·")</f>
        <v>2</v>
      </c>
      <c r="L270" s="1">
        <f t="shared" ref="L270" si="801" xml:space="preserve"> IF(AND(LEN(ChartLines.ID)&gt;0,"Unused"&lt;&gt;ChartLines.ID), COUNTIFS(ChartLines.ID,ChartLines.ID,   ChartLines.RowNum,"&lt;="&amp;ChartLines.RowNum), "·")</f>
        <v>2</v>
      </c>
      <c r="M270" s="1" t="str" cm="1">
        <f t="array" ref="M270" xml:space="preserve"> _xlfn.IFS(OR(LEN(_xlfn.SINGLE(ChartLines.ID))=0,"Unused"=_xlfn.SINGLE(ChartLines.ID)), "·",   1=_xlfn.SINGLE(ChartLines.NumInstances), IF("USD"=_xlfn.SINGLE(ChartLines.ID), "SoleBig", "SoleOrdinary"),   1=_xlfn.SINGLE(ChartLines.InstanceNum), "Outer",   TRUE, "Inner")</f>
        <v>Inner</v>
      </c>
      <c r="N270" s="1">
        <f t="shared" ref="N270" si="802" xml:space="preserve"> IF(LEN(ChartLines.Hex6)=6, HEX2DEC(LEFT(ChartLines.Hex6, 2)), "·")</f>
        <v>255</v>
      </c>
      <c r="O270" s="1">
        <f t="shared" ref="O270" si="803" xml:space="preserve"> IF(LEN(ChartLines.Hex6)=6, HEX2DEC(MID(ChartLines.Hex6, 3, 2)), "·")</f>
        <v>255</v>
      </c>
      <c r="P270" s="1">
        <f t="shared" ref="P270" si="804" xml:space="preserve"> IF(LEN(ChartLines.Hex6)=6, HEX2DEC(RIGHT(ChartLines.Hex6, 2)), "·")</f>
        <v>255</v>
      </c>
      <c r="Q270" s="1" cm="1">
        <f t="array" ref="Q270" xml:space="preserve"> 1 + ROW() - _xlfn.SINGLE(ROW(ChartLines.RowNum))</f>
        <v>265</v>
      </c>
      <c r="R270" s="1" t="str">
        <v>✓</v>
      </c>
    </row>
    <row r="271" spans="2:18" x14ac:dyDescent="0.2">
      <c r="B271" s="1" t="s">
        <v>223</v>
      </c>
      <c r="C271" s="4" t="s">
        <v>95</v>
      </c>
      <c r="D271" t="str">
        <v>✓</v>
      </c>
      <c r="H271" s="1" t="s">
        <v>158</v>
      </c>
      <c r="I271" s="1" t="s">
        <v>440</v>
      </c>
      <c r="K271" s="1">
        <f t="shared" ref="K271" si="805" xml:space="preserve"> IF(AND(LEN(ChartLines.ID)&gt;0,"Unused"&lt;&gt;ChartLines.ID), COUNTIFS(ChartLines.ID,ChartLines.ID), "·")</f>
        <v>2</v>
      </c>
      <c r="L271" s="1">
        <f t="shared" ref="L271" si="806" xml:space="preserve"> IF(AND(LEN(ChartLines.ID)&gt;0,"Unused"&lt;&gt;ChartLines.ID), COUNTIFS(ChartLines.ID,ChartLines.ID,   ChartLines.RowNum,"&lt;="&amp;ChartLines.RowNum), "·")</f>
        <v>1</v>
      </c>
      <c r="M271" s="1" t="str" cm="1">
        <f t="array" ref="M271" xml:space="preserve"> _xlfn.IFS(OR(LEN(_xlfn.SINGLE(ChartLines.ID))=0,"Unused"=_xlfn.SINGLE(ChartLines.ID)), "·",   1=_xlfn.SINGLE(ChartLines.NumInstances), IF("USD"=_xlfn.SINGLE(ChartLines.ID), "SoleBig", "SoleOrdinary"),   1=_xlfn.SINGLE(ChartLines.InstanceNum), "Outer",   TRUE, "Inner")</f>
        <v>Outer</v>
      </c>
      <c r="N271" s="1">
        <f t="shared" ref="N271" si="807" xml:space="preserve"> IF(LEN(ChartLines.Hex6)=6, HEX2DEC(LEFT(ChartLines.Hex6, 2)), "·")</f>
        <v>29</v>
      </c>
      <c r="O271" s="1">
        <f t="shared" ref="O271" si="808" xml:space="preserve"> IF(LEN(ChartLines.Hex6)=6, HEX2DEC(MID(ChartLines.Hex6, 3, 2)), "·")</f>
        <v>66</v>
      </c>
      <c r="P271" s="1">
        <f t="shared" ref="P271" si="809" xml:space="preserve"> IF(LEN(ChartLines.Hex6)=6, HEX2DEC(RIGHT(ChartLines.Hex6, 2)), "·")</f>
        <v>138</v>
      </c>
      <c r="Q271" s="1" cm="1">
        <f t="array" ref="Q271" xml:space="preserve"> 1 + ROW() - _xlfn.SINGLE(ROW(ChartLines.RowNum))</f>
        <v>266</v>
      </c>
      <c r="R271" s="1" t="str">
        <v>✓</v>
      </c>
    </row>
    <row r="272" spans="2:18" x14ac:dyDescent="0.2">
      <c r="B272" s="1" t="s">
        <v>224</v>
      </c>
      <c r="C272" s="4" t="s">
        <v>96</v>
      </c>
      <c r="D272" t="str">
        <v>✓</v>
      </c>
      <c r="H272" s="1" t="s">
        <v>158</v>
      </c>
      <c r="I272" s="1" t="s">
        <v>348</v>
      </c>
      <c r="K272" s="1">
        <f t="shared" ref="K272" si="810" xml:space="preserve"> IF(AND(LEN(ChartLines.ID)&gt;0,"Unused"&lt;&gt;ChartLines.ID), COUNTIFS(ChartLines.ID,ChartLines.ID), "·")</f>
        <v>2</v>
      </c>
      <c r="L272" s="1">
        <f t="shared" ref="L272" si="811" xml:space="preserve"> IF(AND(LEN(ChartLines.ID)&gt;0,"Unused"&lt;&gt;ChartLines.ID), COUNTIFS(ChartLines.ID,ChartLines.ID,   ChartLines.RowNum,"&lt;="&amp;ChartLines.RowNum), "·")</f>
        <v>2</v>
      </c>
      <c r="M272" s="1" t="str" cm="1">
        <f t="array" ref="M272" xml:space="preserve"> _xlfn.IFS(OR(LEN(_xlfn.SINGLE(ChartLines.ID))=0,"Unused"=_xlfn.SINGLE(ChartLines.ID)), "·",   1=_xlfn.SINGLE(ChartLines.NumInstances), IF("USD"=_xlfn.SINGLE(ChartLines.ID), "SoleBig", "SoleOrdinary"),   1=_xlfn.SINGLE(ChartLines.InstanceNum), "Outer",   TRUE, "Inner")</f>
        <v>Inner</v>
      </c>
      <c r="N272" s="1">
        <f t="shared" ref="N272" si="812" xml:space="preserve"> IF(LEN(ChartLines.Hex6)=6, HEX2DEC(LEFT(ChartLines.Hex6, 2)), "·")</f>
        <v>200</v>
      </c>
      <c r="O272" s="1">
        <f t="shared" ref="O272" si="813" xml:space="preserve"> IF(LEN(ChartLines.Hex6)=6, HEX2DEC(MID(ChartLines.Hex6, 3, 2)), "·")</f>
        <v>16</v>
      </c>
      <c r="P272" s="1">
        <f t="shared" ref="P272" si="814" xml:space="preserve"> IF(LEN(ChartLines.Hex6)=6, HEX2DEC(RIGHT(ChartLines.Hex6, 2)), "·")</f>
        <v>46</v>
      </c>
      <c r="Q272" s="1" cm="1">
        <f t="array" ref="Q272" xml:space="preserve"> 1 + ROW() - _xlfn.SINGLE(ROW(ChartLines.RowNum))</f>
        <v>267</v>
      </c>
      <c r="R272" s="1" t="str">
        <v>✓</v>
      </c>
    </row>
    <row r="273" spans="2:18" x14ac:dyDescent="0.2">
      <c r="B273" s="1" t="s">
        <v>225</v>
      </c>
      <c r="C273" s="4" t="s">
        <v>97</v>
      </c>
      <c r="D273" t="str">
        <v>✓</v>
      </c>
      <c r="H273" s="1" t="s">
        <v>159</v>
      </c>
      <c r="I273" s="1" t="s">
        <v>370</v>
      </c>
      <c r="K273" s="1">
        <f t="shared" ref="K273" si="815" xml:space="preserve"> IF(AND(LEN(ChartLines.ID)&gt;0,"Unused"&lt;&gt;ChartLines.ID), COUNTIFS(ChartLines.ID,ChartLines.ID), "·")</f>
        <v>2</v>
      </c>
      <c r="L273" s="1">
        <f t="shared" ref="L273" si="816" xml:space="preserve"> IF(AND(LEN(ChartLines.ID)&gt;0,"Unused"&lt;&gt;ChartLines.ID), COUNTIFS(ChartLines.ID,ChartLines.ID,   ChartLines.RowNum,"&lt;="&amp;ChartLines.RowNum), "·")</f>
        <v>1</v>
      </c>
      <c r="M273" s="1" t="str" cm="1">
        <f t="array" ref="M273" xml:space="preserve"> _xlfn.IFS(OR(LEN(_xlfn.SINGLE(ChartLines.ID))=0,"Unused"=_xlfn.SINGLE(ChartLines.ID)), "·",   1=_xlfn.SINGLE(ChartLines.NumInstances), IF("USD"=_xlfn.SINGLE(ChartLines.ID), "SoleBig", "SoleOrdinary"),   1=_xlfn.SINGLE(ChartLines.InstanceNum), "Outer",   TRUE, "Inner")</f>
        <v>Outer</v>
      </c>
      <c r="N273" s="1">
        <f t="shared" ref="N273" si="817" xml:space="preserve"> IF(LEN(ChartLines.Hex6)=6, HEX2DEC(LEFT(ChartLines.Hex6, 2)), "·")</f>
        <v>0</v>
      </c>
      <c r="O273" s="1">
        <f t="shared" ref="O273" si="818" xml:space="preserve"> IF(LEN(ChartLines.Hex6)=6, HEX2DEC(MID(ChartLines.Hex6, 3, 2)), "·")</f>
        <v>114</v>
      </c>
      <c r="P273" s="1">
        <f t="shared" ref="P273" si="819" xml:space="preserve"> IF(LEN(ChartLines.Hex6)=6, HEX2DEC(RIGHT(ChartLines.Hex6, 2)), "·")</f>
        <v>206</v>
      </c>
      <c r="Q273" s="1" cm="1">
        <f t="array" ref="Q273" xml:space="preserve"> 1 + ROW() - _xlfn.SINGLE(ROW(ChartLines.RowNum))</f>
        <v>268</v>
      </c>
      <c r="R273" s="1" t="str">
        <v>✓</v>
      </c>
    </row>
    <row r="274" spans="2:18" x14ac:dyDescent="0.2">
      <c r="B274" s="1" t="s">
        <v>226</v>
      </c>
      <c r="C274" s="4" t="s">
        <v>98</v>
      </c>
      <c r="D274" t="str">
        <v>✓</v>
      </c>
      <c r="H274" s="1" t="s">
        <v>159</v>
      </c>
      <c r="I274" s="1" t="s">
        <v>349</v>
      </c>
      <c r="K274" s="1">
        <f t="shared" ref="K274:K277" si="820" xml:space="preserve"> IF(AND(LEN(ChartLines.ID)&gt;0,"Unused"&lt;&gt;ChartLines.ID), COUNTIFS(ChartLines.ID,ChartLines.ID), "·")</f>
        <v>2</v>
      </c>
      <c r="L274" s="1">
        <f t="shared" ref="L274:L277" si="821" xml:space="preserve"> IF(AND(LEN(ChartLines.ID)&gt;0,"Unused"&lt;&gt;ChartLines.ID), COUNTIFS(ChartLines.ID,ChartLines.ID,   ChartLines.RowNum,"&lt;="&amp;ChartLines.RowNum), "·")</f>
        <v>2</v>
      </c>
      <c r="M274" s="1" t="str" cm="1">
        <f t="array" ref="M274" xml:space="preserve"> _xlfn.IFS(OR(LEN(_xlfn.SINGLE(ChartLines.ID))=0,"Unused"=_xlfn.SINGLE(ChartLines.ID)), "·",   1=_xlfn.SINGLE(ChartLines.NumInstances), IF("USD"=_xlfn.SINGLE(ChartLines.ID), "SoleBig", "SoleOrdinary"),   1=_xlfn.SINGLE(ChartLines.InstanceNum), "Outer",   TRUE, "Inner")</f>
        <v>Inner</v>
      </c>
      <c r="N274" s="1">
        <f t="shared" ref="N274:N277" si="822" xml:space="preserve"> IF(LEN(ChartLines.Hex6)=6, HEX2DEC(LEFT(ChartLines.Hex6, 2)), "·")</f>
        <v>255</v>
      </c>
      <c r="O274" s="1">
        <f t="shared" ref="O274:O277" si="823" xml:space="preserve"> IF(LEN(ChartLines.Hex6)=6, HEX2DEC(MID(ChartLines.Hex6, 3, 2)), "·")</f>
        <v>209</v>
      </c>
      <c r="P274" s="1">
        <f t="shared" ref="P274:P277" si="824" xml:space="preserve"> IF(LEN(ChartLines.Hex6)=6, HEX2DEC(RIGHT(ChartLines.Hex6, 2)), "·")</f>
        <v>0</v>
      </c>
      <c r="Q274" s="1" cm="1">
        <f t="array" ref="Q274" xml:space="preserve"> 1 + ROW() - _xlfn.SINGLE(ROW(ChartLines.RowNum))</f>
        <v>269</v>
      </c>
      <c r="R274" s="1" t="str">
        <v>✓</v>
      </c>
    </row>
    <row r="275" spans="2:18" x14ac:dyDescent="0.2">
      <c r="B275" s="1" t="s">
        <v>227</v>
      </c>
      <c r="C275" s="4" t="s">
        <v>99</v>
      </c>
      <c r="D275" t="str">
        <v>✓</v>
      </c>
      <c r="H275" s="1" t="s">
        <v>538</v>
      </c>
      <c r="I275" s="1" t="s">
        <v>539</v>
      </c>
      <c r="K275" s="1">
        <f t="shared" si="820"/>
        <v>2</v>
      </c>
      <c r="L275" s="1">
        <f t="shared" si="821"/>
        <v>1</v>
      </c>
      <c r="M275" s="1" t="str" cm="1">
        <f t="array" ref="M275" xml:space="preserve"> _xlfn.IFS(OR(LEN(_xlfn.SINGLE(ChartLines.ID))=0,"Unused"=_xlfn.SINGLE(ChartLines.ID)), "·",   1=_xlfn.SINGLE(ChartLines.NumInstances), IF("USD"=_xlfn.SINGLE(ChartLines.ID), "SoleBig", "SoleOrdinary"),   1=_xlfn.SINGLE(ChartLines.InstanceNum), "Outer",   TRUE, "Inner")</f>
        <v>Outer</v>
      </c>
      <c r="N275" s="1">
        <f t="shared" si="822"/>
        <v>42</v>
      </c>
      <c r="O275" s="1">
        <f t="shared" si="823"/>
        <v>147</v>
      </c>
      <c r="P275" s="1">
        <f t="shared" si="824"/>
        <v>106</v>
      </c>
      <c r="Q275" s="1" cm="1">
        <f t="array" ref="Q275" xml:space="preserve"> 1 + ROW() - _xlfn.SINGLE(ROW(ChartLines.RowNum))</f>
        <v>270</v>
      </c>
      <c r="R275" s="1" t="str">
        <v>✘✘✘</v>
      </c>
    </row>
    <row r="276" spans="2:18" x14ac:dyDescent="0.2">
      <c r="B276" s="1" t="s">
        <v>228</v>
      </c>
      <c r="C276" s="4" t="s">
        <v>100</v>
      </c>
      <c r="D276" t="str">
        <v>✓</v>
      </c>
      <c r="H276" s="1" t="s">
        <v>538</v>
      </c>
      <c r="I276" s="1" t="s">
        <v>540</v>
      </c>
      <c r="K276" s="1">
        <f t="shared" si="820"/>
        <v>2</v>
      </c>
      <c r="L276" s="1">
        <f t="shared" si="821"/>
        <v>2</v>
      </c>
      <c r="M276" s="1" t="str" cm="1">
        <f t="array" ref="M276" xml:space="preserve"> _xlfn.IFS(OR(LEN(_xlfn.SINGLE(ChartLines.ID))=0,"Unused"=_xlfn.SINGLE(ChartLines.ID)), "·",   1=_xlfn.SINGLE(ChartLines.NumInstances), IF("USD"=_xlfn.SINGLE(ChartLines.ID), "SoleBig", "SoleOrdinary"),   1=_xlfn.SINGLE(ChartLines.InstanceNum), "Outer",   TRUE, "Inner")</f>
        <v>Inner</v>
      </c>
      <c r="N276" s="1">
        <f t="shared" si="822"/>
        <v>190</v>
      </c>
      <c r="O276" s="1">
        <f t="shared" si="823"/>
        <v>30</v>
      </c>
      <c r="P276" s="1">
        <f t="shared" si="824"/>
        <v>45</v>
      </c>
      <c r="Q276" s="1" cm="1">
        <f t="array" ref="Q276" xml:space="preserve"> 1 + ROW() - _xlfn.SINGLE(ROW(ChartLines.RowNum))</f>
        <v>271</v>
      </c>
      <c r="R276" s="1" t="str">
        <v>✘✘✘</v>
      </c>
    </row>
    <row r="277" spans="2:18" x14ac:dyDescent="0.2">
      <c r="B277" s="1" t="s">
        <v>229</v>
      </c>
      <c r="C277" s="4" t="s">
        <v>101</v>
      </c>
      <c r="D277" t="str">
        <v>✓</v>
      </c>
      <c r="H277" s="1" t="s">
        <v>537</v>
      </c>
      <c r="I277" s="1" t="s">
        <v>441</v>
      </c>
      <c r="K277" s="1">
        <f t="shared" si="820"/>
        <v>2</v>
      </c>
      <c r="L277" s="1">
        <f t="shared" si="821"/>
        <v>1</v>
      </c>
      <c r="M277" s="1" t="str" cm="1">
        <f t="array" ref="M277" xml:space="preserve"> _xlfn.IFS(OR(LEN(_xlfn.SINGLE(ChartLines.ID))=0,"Unused"=_xlfn.SINGLE(ChartLines.ID)), "·",   1=_xlfn.SINGLE(ChartLines.NumInstances), IF("USD"=_xlfn.SINGLE(ChartLines.ID), "SoleBig", "SoleOrdinary"),   1=_xlfn.SINGLE(ChartLines.InstanceNum), "Outer",   TRUE, "Inner")</f>
        <v>Outer</v>
      </c>
      <c r="N277" s="1">
        <f t="shared" si="822"/>
        <v>252</v>
      </c>
      <c r="O277" s="1">
        <f t="shared" si="823"/>
        <v>227</v>
      </c>
      <c r="P277" s="1">
        <f t="shared" si="824"/>
        <v>0</v>
      </c>
      <c r="Q277" s="1" cm="1">
        <f t="array" ref="Q277" xml:space="preserve"> 1 + ROW() - _xlfn.SINGLE(ROW(ChartLines.RowNum))</f>
        <v>272</v>
      </c>
      <c r="R277" s="1" t="str">
        <v>✓</v>
      </c>
    </row>
    <row r="278" spans="2:18" x14ac:dyDescent="0.2">
      <c r="B278" s="1" t="s">
        <v>230</v>
      </c>
      <c r="C278" s="4" t="s">
        <v>102</v>
      </c>
      <c r="D278" t="str">
        <v>✓</v>
      </c>
      <c r="H278" s="1" t="s">
        <v>537</v>
      </c>
      <c r="I278" s="1" t="s">
        <v>356</v>
      </c>
      <c r="K278" s="1">
        <f t="shared" ref="K278" si="825" xml:space="preserve"> IF(AND(LEN(ChartLines.ID)&gt;0,"Unused"&lt;&gt;ChartLines.ID), COUNTIFS(ChartLines.ID,ChartLines.ID), "·")</f>
        <v>2</v>
      </c>
      <c r="L278" s="1">
        <f t="shared" ref="L278" si="826" xml:space="preserve"> IF(AND(LEN(ChartLines.ID)&gt;0,"Unused"&lt;&gt;ChartLines.ID), COUNTIFS(ChartLines.ID,ChartLines.ID,   ChartLines.RowNum,"&lt;="&amp;ChartLines.RowNum), "·")</f>
        <v>2</v>
      </c>
      <c r="M278" s="1" t="str" cm="1">
        <f t="array" ref="M278" xml:space="preserve"> _xlfn.IFS(OR(LEN(_xlfn.SINGLE(ChartLines.ID))=0,"Unused"=_xlfn.SINGLE(ChartLines.ID)), "·",   1=_xlfn.SINGLE(ChartLines.NumInstances), IF("USD"=_xlfn.SINGLE(ChartLines.ID), "SoleBig", "SoleOrdinary"),   1=_xlfn.SINGLE(ChartLines.InstanceNum), "Outer",   TRUE, "Inner")</f>
        <v>Inner</v>
      </c>
      <c r="N278" s="1">
        <f t="shared" ref="N278" si="827" xml:space="preserve"> IF(LEN(ChartLines.Hex6)=6, HEX2DEC(LEFT(ChartLines.Hex6, 2)), "·")</f>
        <v>0</v>
      </c>
      <c r="O278" s="1">
        <f t="shared" ref="O278" si="828" xml:space="preserve"> IF(LEN(ChartLines.Hex6)=6, HEX2DEC(MID(ChartLines.Hex6, 3, 2)), "·")</f>
        <v>61</v>
      </c>
      <c r="P278" s="1">
        <f t="shared" ref="P278" si="829" xml:space="preserve"> IF(LEN(ChartLines.Hex6)=6, HEX2DEC(RIGHT(ChartLines.Hex6, 2)), "·")</f>
        <v>165</v>
      </c>
      <c r="Q278" s="1" cm="1">
        <f t="array" ref="Q278" xml:space="preserve"> 1 + ROW() - _xlfn.SINGLE(ROW(ChartLines.RowNum))</f>
        <v>273</v>
      </c>
      <c r="R278" s="1" t="str">
        <v>✓</v>
      </c>
    </row>
    <row r="279" spans="2:18" x14ac:dyDescent="0.2">
      <c r="B279" s="1" t="s">
        <v>231</v>
      </c>
      <c r="C279" s="4" t="s">
        <v>103</v>
      </c>
      <c r="D279" t="str">
        <v>✓</v>
      </c>
      <c r="H279" s="1" t="s">
        <v>160</v>
      </c>
      <c r="I279" s="1" t="s">
        <v>427</v>
      </c>
      <c r="K279" s="1">
        <f t="shared" ref="K279" si="830" xml:space="preserve"> IF(AND(LEN(ChartLines.ID)&gt;0,"Unused"&lt;&gt;ChartLines.ID), COUNTIFS(ChartLines.ID,ChartLines.ID), "·")</f>
        <v>2</v>
      </c>
      <c r="L279" s="1">
        <f t="shared" ref="L279" si="831" xml:space="preserve"> IF(AND(LEN(ChartLines.ID)&gt;0,"Unused"&lt;&gt;ChartLines.ID), COUNTIFS(ChartLines.ID,ChartLines.ID,   ChartLines.RowNum,"&lt;="&amp;ChartLines.RowNum), "·")</f>
        <v>1</v>
      </c>
      <c r="M279" s="1" t="str" cm="1">
        <f t="array" ref="M279" xml:space="preserve"> _xlfn.IFS(OR(LEN(_xlfn.SINGLE(ChartLines.ID))=0,"Unused"=_xlfn.SINGLE(ChartLines.ID)), "·",   1=_xlfn.SINGLE(ChartLines.NumInstances), IF("USD"=_xlfn.SINGLE(ChartLines.ID), "SoleBig", "SoleOrdinary"),   1=_xlfn.SINGLE(ChartLines.InstanceNum), "Outer",   TRUE, "Inner")</f>
        <v>Outer</v>
      </c>
      <c r="N279" s="1">
        <f t="shared" ref="N279" si="832" xml:space="preserve"> IF(LEN(ChartLines.Hex6)=6, HEX2DEC(LEFT(ChartLines.Hex6, 2)), "·")</f>
        <v>0</v>
      </c>
      <c r="O279" s="1">
        <f t="shared" ref="O279" si="833" xml:space="preserve"> IF(LEN(ChartLines.Hex6)=6, HEX2DEC(MID(ChartLines.Hex6, 3, 2)), "·")</f>
        <v>94</v>
      </c>
      <c r="P279" s="1">
        <f t="shared" ref="P279" si="834" xml:space="preserve"> IF(LEN(ChartLines.Hex6)=6, HEX2DEC(RIGHT(ChartLines.Hex6, 2)), "·")</f>
        <v>184</v>
      </c>
      <c r="Q279" s="1" cm="1">
        <f t="array" ref="Q279" xml:space="preserve"> 1 + ROW() - _xlfn.SINGLE(ROW(ChartLines.RowNum))</f>
        <v>274</v>
      </c>
      <c r="R279" s="1" t="str">
        <v>✓</v>
      </c>
    </row>
    <row r="280" spans="2:18" x14ac:dyDescent="0.2">
      <c r="B280" s="1" t="s">
        <v>232</v>
      </c>
      <c r="C280" s="4" t="s">
        <v>104</v>
      </c>
      <c r="D280" t="str">
        <v>✓</v>
      </c>
      <c r="H280" s="1" t="s">
        <v>160</v>
      </c>
      <c r="I280" s="1" t="s">
        <v>345</v>
      </c>
      <c r="K280" s="1">
        <f t="shared" ref="K280:K285" si="835" xml:space="preserve"> IF(AND(LEN(ChartLines.ID)&gt;0,"Unused"&lt;&gt;ChartLines.ID), COUNTIFS(ChartLines.ID,ChartLines.ID), "·")</f>
        <v>2</v>
      </c>
      <c r="L280" s="1">
        <f t="shared" ref="L280:L285" si="836" xml:space="preserve"> IF(AND(LEN(ChartLines.ID)&gt;0,"Unused"&lt;&gt;ChartLines.ID), COUNTIFS(ChartLines.ID,ChartLines.ID,   ChartLines.RowNum,"&lt;="&amp;ChartLines.RowNum), "·")</f>
        <v>2</v>
      </c>
      <c r="M280" s="1" t="str" cm="1">
        <f t="array" ref="M280" xml:space="preserve"> _xlfn.IFS(OR(LEN(_xlfn.SINGLE(ChartLines.ID))=0,"Unused"=_xlfn.SINGLE(ChartLines.ID)), "·",   1=_xlfn.SINGLE(ChartLines.NumInstances), IF("USD"=_xlfn.SINGLE(ChartLines.ID), "SoleBig", "SoleOrdinary"),   1=_xlfn.SINGLE(ChartLines.InstanceNum), "Outer",   TRUE, "Inner")</f>
        <v>Inner</v>
      </c>
      <c r="N280" s="1">
        <f t="shared" ref="N280:N285" si="837" xml:space="preserve"> IF(LEN(ChartLines.Hex6)=6, HEX2DEC(LEFT(ChartLines.Hex6, 2)), "·")</f>
        <v>255</v>
      </c>
      <c r="O280" s="1">
        <f t="shared" ref="O280:O285" si="838" xml:space="preserve"> IF(LEN(ChartLines.Hex6)=6, HEX2DEC(MID(ChartLines.Hex6, 3, 2)), "·")</f>
        <v>255</v>
      </c>
      <c r="P280" s="1">
        <f t="shared" ref="P280:P285" si="839" xml:space="preserve"> IF(LEN(ChartLines.Hex6)=6, HEX2DEC(RIGHT(ChartLines.Hex6, 2)), "·")</f>
        <v>255</v>
      </c>
      <c r="Q280" s="1" cm="1">
        <f t="array" ref="Q280" xml:space="preserve"> 1 + ROW() - _xlfn.SINGLE(ROW(ChartLines.RowNum))</f>
        <v>275</v>
      </c>
      <c r="R280" s="1" t="str">
        <v>✓</v>
      </c>
    </row>
    <row r="281" spans="2:18" x14ac:dyDescent="0.2">
      <c r="B281" s="1" t="s">
        <v>233</v>
      </c>
      <c r="C281" s="4" t="s">
        <v>105</v>
      </c>
      <c r="D281" t="str">
        <v>✓</v>
      </c>
      <c r="H281" s="1" t="s">
        <v>541</v>
      </c>
      <c r="I281" s="1" t="str">
        <f xml:space="preserve"> "000000"</f>
        <v>000000</v>
      </c>
      <c r="K281" s="1">
        <f t="shared" si="835"/>
        <v>2</v>
      </c>
      <c r="L281" s="1">
        <f t="shared" si="836"/>
        <v>1</v>
      </c>
      <c r="M281" s="1" t="str" cm="1">
        <f t="array" ref="M281" xml:space="preserve"> _xlfn.IFS(OR(LEN(_xlfn.SINGLE(ChartLines.ID))=0,"Unused"=_xlfn.SINGLE(ChartLines.ID)), "·",   1=_xlfn.SINGLE(ChartLines.NumInstances), IF("USD"=_xlfn.SINGLE(ChartLines.ID), "SoleBig", "SoleOrdinary"),   1=_xlfn.SINGLE(ChartLines.InstanceNum), "Outer",   TRUE, "Inner")</f>
        <v>Outer</v>
      </c>
      <c r="N281" s="1">
        <f t="shared" si="837"/>
        <v>0</v>
      </c>
      <c r="O281" s="1">
        <f t="shared" si="838"/>
        <v>0</v>
      </c>
      <c r="P281" s="1">
        <f t="shared" si="839"/>
        <v>0</v>
      </c>
      <c r="Q281" s="1" cm="1">
        <f t="array" ref="Q281" xml:space="preserve"> 1 + ROW() - _xlfn.SINGLE(ROW(ChartLines.RowNum))</f>
        <v>276</v>
      </c>
      <c r="R281" s="1" t="str">
        <v>✘✘✘</v>
      </c>
    </row>
    <row r="282" spans="2:18" x14ac:dyDescent="0.2">
      <c r="B282" s="1" t="s">
        <v>234</v>
      </c>
      <c r="C282" s="4" t="s">
        <v>106</v>
      </c>
      <c r="D282" t="str">
        <v>✓</v>
      </c>
      <c r="H282" s="1" t="s">
        <v>541</v>
      </c>
      <c r="I282" s="1" t="s">
        <v>361</v>
      </c>
      <c r="K282" s="1">
        <f t="shared" si="835"/>
        <v>2</v>
      </c>
      <c r="L282" s="1">
        <f t="shared" si="836"/>
        <v>2</v>
      </c>
      <c r="M282" s="1" t="str" cm="1">
        <f t="array" ref="M282" xml:space="preserve"> _xlfn.IFS(OR(LEN(_xlfn.SINGLE(ChartLines.ID))=0,"Unused"=_xlfn.SINGLE(ChartLines.ID)), "·",   1=_xlfn.SINGLE(ChartLines.NumInstances), IF("USD"=_xlfn.SINGLE(ChartLines.ID), "SoleBig", "SoleOrdinary"),   1=_xlfn.SINGLE(ChartLines.InstanceNum), "Outer",   TRUE, "Inner")</f>
        <v>Inner</v>
      </c>
      <c r="N282" s="1">
        <f t="shared" si="837"/>
        <v>218</v>
      </c>
      <c r="O282" s="1">
        <f t="shared" si="838"/>
        <v>41</v>
      </c>
      <c r="P282" s="1">
        <f t="shared" si="839"/>
        <v>28</v>
      </c>
      <c r="Q282" s="1" cm="1">
        <f t="array" ref="Q282" xml:space="preserve"> 1 + ROW() - _xlfn.SINGLE(ROW(ChartLines.RowNum))</f>
        <v>277</v>
      </c>
      <c r="R282" s="1" t="str">
        <v>✘✘✘</v>
      </c>
    </row>
    <row r="283" spans="2:18" x14ac:dyDescent="0.2">
      <c r="B283" s="1" t="s">
        <v>235</v>
      </c>
      <c r="C283" s="4" t="s">
        <v>107</v>
      </c>
      <c r="D283" t="str">
        <v>✓</v>
      </c>
      <c r="H283" s="1" t="s">
        <v>542</v>
      </c>
      <c r="I283" s="1" t="s">
        <v>543</v>
      </c>
      <c r="K283" s="1">
        <f t="shared" si="835"/>
        <v>2</v>
      </c>
      <c r="L283" s="1">
        <f t="shared" si="836"/>
        <v>1</v>
      </c>
      <c r="M283" s="1" t="str" cm="1">
        <f t="array" ref="M283" xml:space="preserve"> _xlfn.IFS(OR(LEN(_xlfn.SINGLE(ChartLines.ID))=0,"Unused"=_xlfn.SINGLE(ChartLines.ID)), "·",   1=_xlfn.SINGLE(ChartLines.NumInstances), IF("USD"=_xlfn.SINGLE(ChartLines.ID), "SoleBig", "SoleOrdinary"),   1=_xlfn.SINGLE(ChartLines.InstanceNum), "Outer",   TRUE, "Inner")</f>
        <v>Outer</v>
      </c>
      <c r="N283" s="1">
        <f t="shared" si="837"/>
        <v>73</v>
      </c>
      <c r="O283" s="1">
        <f t="shared" si="838"/>
        <v>151</v>
      </c>
      <c r="P283" s="1">
        <f t="shared" si="839"/>
        <v>208</v>
      </c>
      <c r="Q283" s="1" cm="1">
        <f t="array" ref="Q283" xml:space="preserve"> 1 + ROW() - _xlfn.SINGLE(ROW(ChartLines.RowNum))</f>
        <v>278</v>
      </c>
      <c r="R283" s="1" t="str">
        <v>✘✘✘</v>
      </c>
    </row>
    <row r="284" spans="2:18" x14ac:dyDescent="0.2">
      <c r="B284" s="1" t="s">
        <v>552</v>
      </c>
      <c r="C284" s="4" t="s">
        <v>519</v>
      </c>
      <c r="D284" t="str">
        <v>✓</v>
      </c>
      <c r="H284" s="1" t="s">
        <v>542</v>
      </c>
      <c r="I284" s="1" t="s">
        <v>345</v>
      </c>
      <c r="K284" s="1">
        <f t="shared" si="835"/>
        <v>2</v>
      </c>
      <c r="L284" s="1">
        <f t="shared" si="836"/>
        <v>2</v>
      </c>
      <c r="M284" s="1" t="str" cm="1">
        <f t="array" ref="M284" xml:space="preserve"> _xlfn.IFS(OR(LEN(_xlfn.SINGLE(ChartLines.ID))=0,"Unused"=_xlfn.SINGLE(ChartLines.ID)), "·",   1=_xlfn.SINGLE(ChartLines.NumInstances), IF("USD"=_xlfn.SINGLE(ChartLines.ID), "SoleBig", "SoleOrdinary"),   1=_xlfn.SINGLE(ChartLines.InstanceNum), "Outer",   TRUE, "Inner")</f>
        <v>Inner</v>
      </c>
      <c r="N284" s="1">
        <f t="shared" si="837"/>
        <v>255</v>
      </c>
      <c r="O284" s="1">
        <f t="shared" si="838"/>
        <v>255</v>
      </c>
      <c r="P284" s="1">
        <f t="shared" si="839"/>
        <v>255</v>
      </c>
      <c r="Q284" s="1" cm="1">
        <f t="array" ref="Q284" xml:space="preserve"> 1 + ROW() - _xlfn.SINGLE(ROW(ChartLines.RowNum))</f>
        <v>279</v>
      </c>
      <c r="R284" s="1" t="str">
        <v>✘✘✘</v>
      </c>
    </row>
    <row r="285" spans="2:18" x14ac:dyDescent="0.2">
      <c r="B285" s="1" t="s">
        <v>236</v>
      </c>
      <c r="C285" s="4" t="s">
        <v>108</v>
      </c>
      <c r="D285" t="str">
        <v>✓</v>
      </c>
      <c r="H285" s="1" t="s">
        <v>161</v>
      </c>
      <c r="I285" s="1" t="str">
        <f xml:space="preserve"> "072357"</f>
        <v>072357</v>
      </c>
      <c r="K285" s="1">
        <f t="shared" si="835"/>
        <v>2</v>
      </c>
      <c r="L285" s="1">
        <f t="shared" si="836"/>
        <v>1</v>
      </c>
      <c r="M285" s="1" t="str" cm="1">
        <f t="array" ref="M285" xml:space="preserve"> _xlfn.IFS(OR(LEN(_xlfn.SINGLE(ChartLines.ID))=0,"Unused"=_xlfn.SINGLE(ChartLines.ID)), "·",   1=_xlfn.SINGLE(ChartLines.NumInstances), IF("USD"=_xlfn.SINGLE(ChartLines.ID), "SoleBig", "SoleOrdinary"),   1=_xlfn.SINGLE(ChartLines.InstanceNum), "Outer",   TRUE, "Inner")</f>
        <v>Outer</v>
      </c>
      <c r="N285" s="1">
        <f t="shared" si="837"/>
        <v>7</v>
      </c>
      <c r="O285" s="1">
        <f t="shared" si="838"/>
        <v>35</v>
      </c>
      <c r="P285" s="1">
        <f t="shared" si="839"/>
        <v>87</v>
      </c>
      <c r="Q285" s="1" cm="1">
        <f t="array" ref="Q285" xml:space="preserve"> 1 + ROW() - _xlfn.SINGLE(ROW(ChartLines.RowNum))</f>
        <v>280</v>
      </c>
      <c r="R285" s="1" t="str">
        <v>✓</v>
      </c>
    </row>
    <row r="286" spans="2:18" x14ac:dyDescent="0.2">
      <c r="B286" s="1" t="s">
        <v>237</v>
      </c>
      <c r="C286" s="4" t="s">
        <v>109</v>
      </c>
      <c r="D286" t="str">
        <v>✓</v>
      </c>
      <c r="H286" s="1" t="s">
        <v>161</v>
      </c>
      <c r="I286" s="1" t="s">
        <v>442</v>
      </c>
      <c r="K286" s="1">
        <f t="shared" ref="K286" si="840" xml:space="preserve"> IF(AND(LEN(ChartLines.ID)&gt;0,"Unused"&lt;&gt;ChartLines.ID), COUNTIFS(ChartLines.ID,ChartLines.ID), "·")</f>
        <v>2</v>
      </c>
      <c r="L286" s="1">
        <f t="shared" ref="L286" si="841" xml:space="preserve"> IF(AND(LEN(ChartLines.ID)&gt;0,"Unused"&lt;&gt;ChartLines.ID), COUNTIFS(ChartLines.ID,ChartLines.ID,   ChartLines.RowNum,"&lt;="&amp;ChartLines.RowNum), "·")</f>
        <v>2</v>
      </c>
      <c r="M286" s="1" t="str" cm="1">
        <f t="array" ref="M286" xml:space="preserve"> _xlfn.IFS(OR(LEN(_xlfn.SINGLE(ChartLines.ID))=0,"Unused"=_xlfn.SINGLE(ChartLines.ID)), "·",   1=_xlfn.SINGLE(ChartLines.NumInstances), IF("USD"=_xlfn.SINGLE(ChartLines.ID), "SoleBig", "SoleOrdinary"),   1=_xlfn.SINGLE(ChartLines.InstanceNum), "Outer",   TRUE, "Inner")</f>
        <v>Inner</v>
      </c>
      <c r="N286" s="1">
        <f t="shared" ref="N286" si="842" xml:space="preserve"> IF(LEN(ChartLines.Hex6)=6, HEX2DEC(LEFT(ChartLines.Hex6, 2)), "·")</f>
        <v>218</v>
      </c>
      <c r="O286" s="1">
        <f t="shared" ref="O286" si="843" xml:space="preserve"> IF(LEN(ChartLines.Hex6)=6, HEX2DEC(MID(ChartLines.Hex6, 3, 2)), "·")</f>
        <v>18</v>
      </c>
      <c r="P286" s="1">
        <f t="shared" ref="P286" si="844" xml:space="preserve"> IF(LEN(ChartLines.Hex6)=6, HEX2DEC(RIGHT(ChartLines.Hex6, 2)), "·")</f>
        <v>26</v>
      </c>
      <c r="Q286" s="1" cm="1">
        <f t="array" ref="Q286" xml:space="preserve"> 1 + ROW() - _xlfn.SINGLE(ROW(ChartLines.RowNum))</f>
        <v>281</v>
      </c>
      <c r="R286" s="1" t="str">
        <v>✓</v>
      </c>
    </row>
    <row r="287" spans="2:18" x14ac:dyDescent="0.2">
      <c r="B287" s="1" t="s">
        <v>238</v>
      </c>
      <c r="C287" s="4" t="s">
        <v>110</v>
      </c>
      <c r="D287" t="str">
        <v>✓</v>
      </c>
      <c r="H287" s="1" t="s">
        <v>162</v>
      </c>
      <c r="I287" s="1" t="str">
        <f xml:space="preserve"> "002D62"</f>
        <v>002D62</v>
      </c>
      <c r="K287" s="1">
        <f t="shared" ref="K287" si="845" xml:space="preserve"> IF(AND(LEN(ChartLines.ID)&gt;0,"Unused"&lt;&gt;ChartLines.ID), COUNTIFS(ChartLines.ID,ChartLines.ID), "·")</f>
        <v>2</v>
      </c>
      <c r="L287" s="1">
        <f t="shared" ref="L287" si="846" xml:space="preserve"> IF(AND(LEN(ChartLines.ID)&gt;0,"Unused"&lt;&gt;ChartLines.ID), COUNTIFS(ChartLines.ID,ChartLines.ID,   ChartLines.RowNum,"&lt;="&amp;ChartLines.RowNum), "·")</f>
        <v>1</v>
      </c>
      <c r="M287" s="1" t="str" cm="1">
        <f t="array" ref="M287" xml:space="preserve"> _xlfn.IFS(OR(LEN(_xlfn.SINGLE(ChartLines.ID))=0,"Unused"=_xlfn.SINGLE(ChartLines.ID)), "·",   1=_xlfn.SINGLE(ChartLines.NumInstances), IF("USD"=_xlfn.SINGLE(ChartLines.ID), "SoleBig", "SoleOrdinary"),   1=_xlfn.SINGLE(ChartLines.InstanceNum), "Outer",   TRUE, "Inner")</f>
        <v>Outer</v>
      </c>
      <c r="N287" s="1">
        <f t="shared" ref="N287" si="847" xml:space="preserve"> IF(LEN(ChartLines.Hex6)=6, HEX2DEC(LEFT(ChartLines.Hex6, 2)), "·")</f>
        <v>0</v>
      </c>
      <c r="O287" s="1">
        <f t="shared" ref="O287" si="848" xml:space="preserve"> IF(LEN(ChartLines.Hex6)=6, HEX2DEC(MID(ChartLines.Hex6, 3, 2)), "·")</f>
        <v>45</v>
      </c>
      <c r="P287" s="1">
        <f t="shared" ref="P287" si="849" xml:space="preserve"> IF(LEN(ChartLines.Hex6)=6, HEX2DEC(RIGHT(ChartLines.Hex6, 2)), "·")</f>
        <v>98</v>
      </c>
      <c r="Q287" s="1" cm="1">
        <f t="array" ref="Q287" xml:space="preserve"> 1 + ROW() - _xlfn.SINGLE(ROW(ChartLines.RowNum))</f>
        <v>282</v>
      </c>
      <c r="R287" s="1" t="str">
        <v>✓</v>
      </c>
    </row>
    <row r="288" spans="2:18" x14ac:dyDescent="0.2">
      <c r="B288" s="1" t="s">
        <v>239</v>
      </c>
      <c r="C288" s="4" t="s">
        <v>111</v>
      </c>
      <c r="D288" t="str">
        <v>✓</v>
      </c>
      <c r="H288" s="1" t="s">
        <v>162</v>
      </c>
      <c r="I288" s="1" t="s">
        <v>420</v>
      </c>
      <c r="K288" s="1">
        <f t="shared" ref="K288" si="850" xml:space="preserve"> IF(AND(LEN(ChartLines.ID)&gt;0,"Unused"&lt;&gt;ChartLines.ID), COUNTIFS(ChartLines.ID,ChartLines.ID), "·")</f>
        <v>2</v>
      </c>
      <c r="L288" s="1">
        <f t="shared" ref="L288" si="851" xml:space="preserve"> IF(AND(LEN(ChartLines.ID)&gt;0,"Unused"&lt;&gt;ChartLines.ID), COUNTIFS(ChartLines.ID,ChartLines.ID,   ChartLines.RowNum,"&lt;="&amp;ChartLines.RowNum), "·")</f>
        <v>2</v>
      </c>
      <c r="M288" s="1" t="str" cm="1">
        <f t="array" ref="M288" xml:space="preserve"> _xlfn.IFS(OR(LEN(_xlfn.SINGLE(ChartLines.ID))=0,"Unused"=_xlfn.SINGLE(ChartLines.ID)), "·",   1=_xlfn.SINGLE(ChartLines.NumInstances), IF("USD"=_xlfn.SINGLE(ChartLines.ID), "SoleBig", "SoleOrdinary"),   1=_xlfn.SINGLE(ChartLines.InstanceNum), "Outer",   TRUE, "Inner")</f>
        <v>Inner</v>
      </c>
      <c r="N288" s="1">
        <f t="shared" ref="N288" si="852" xml:space="preserve"> IF(LEN(ChartLines.Hex6)=6, HEX2DEC(LEFT(ChartLines.Hex6, 2)), "·")</f>
        <v>206</v>
      </c>
      <c r="O288" s="1">
        <f t="shared" ref="O288" si="853" xml:space="preserve"> IF(LEN(ChartLines.Hex6)=6, HEX2DEC(MID(ChartLines.Hex6, 3, 2)), "·")</f>
        <v>17</v>
      </c>
      <c r="P288" s="1">
        <f t="shared" ref="P288" si="854" xml:space="preserve"> IF(LEN(ChartLines.Hex6)=6, HEX2DEC(RIGHT(ChartLines.Hex6, 2)), "·")</f>
        <v>38</v>
      </c>
      <c r="Q288" s="1" cm="1">
        <f t="array" ref="Q288" xml:space="preserve"> 1 + ROW() - _xlfn.SINGLE(ROW(ChartLines.RowNum))</f>
        <v>283</v>
      </c>
      <c r="R288" s="1" t="str">
        <v>✓</v>
      </c>
    </row>
    <row r="289" spans="2:18" x14ac:dyDescent="0.2">
      <c r="B289" s="1" t="s">
        <v>240</v>
      </c>
      <c r="C289" s="4" t="s">
        <v>112</v>
      </c>
      <c r="D289" t="str">
        <v>✓</v>
      </c>
      <c r="H289" s="1" t="s">
        <v>163</v>
      </c>
      <c r="I289" s="1" t="str">
        <f xml:space="preserve"> "C8102E"</f>
        <v>C8102E</v>
      </c>
      <c r="K289" s="1">
        <f t="shared" ref="K289" si="855" xml:space="preserve"> IF(AND(LEN(ChartLines.ID)&gt;0,"Unused"&lt;&gt;ChartLines.ID), COUNTIFS(ChartLines.ID,ChartLines.ID), "·")</f>
        <v>2</v>
      </c>
      <c r="L289" s="1">
        <f t="shared" ref="L289" si="856" xml:space="preserve"> IF(AND(LEN(ChartLines.ID)&gt;0,"Unused"&lt;&gt;ChartLines.ID), COUNTIFS(ChartLines.ID,ChartLines.ID,   ChartLines.RowNum,"&lt;="&amp;ChartLines.RowNum), "·")</f>
        <v>1</v>
      </c>
      <c r="M289" s="1" t="str" cm="1">
        <f t="array" ref="M289" xml:space="preserve"> _xlfn.IFS(OR(LEN(_xlfn.SINGLE(ChartLines.ID))=0,"Unused"=_xlfn.SINGLE(ChartLines.ID)), "·",   1=_xlfn.SINGLE(ChartLines.NumInstances), IF("USD"=_xlfn.SINGLE(ChartLines.ID), "SoleBig", "SoleOrdinary"),   1=_xlfn.SINGLE(ChartLines.InstanceNum), "Outer",   TRUE, "Inner")</f>
        <v>Outer</v>
      </c>
      <c r="N289" s="1">
        <f t="shared" ref="N289" si="857" xml:space="preserve"> IF(LEN(ChartLines.Hex6)=6, HEX2DEC(LEFT(ChartLines.Hex6, 2)), "·")</f>
        <v>200</v>
      </c>
      <c r="O289" s="1">
        <f t="shared" ref="O289" si="858" xml:space="preserve"> IF(LEN(ChartLines.Hex6)=6, HEX2DEC(MID(ChartLines.Hex6, 3, 2)), "·")</f>
        <v>16</v>
      </c>
      <c r="P289" s="1">
        <f t="shared" ref="P289" si="859" xml:space="preserve"> IF(LEN(ChartLines.Hex6)=6, HEX2DEC(RIGHT(ChartLines.Hex6, 2)), "·")</f>
        <v>46</v>
      </c>
      <c r="Q289" s="1" cm="1">
        <f t="array" ref="Q289" xml:space="preserve"> 1 + ROW() - _xlfn.SINGLE(ROW(ChartLines.RowNum))</f>
        <v>284</v>
      </c>
      <c r="R289" s="1" t="str">
        <v>✓</v>
      </c>
    </row>
    <row r="290" spans="2:18" x14ac:dyDescent="0.2">
      <c r="B290" s="1" t="s">
        <v>241</v>
      </c>
      <c r="C290" s="4" t="s">
        <v>113</v>
      </c>
      <c r="D290" t="str">
        <v>✓</v>
      </c>
      <c r="H290" s="1" t="s">
        <v>163</v>
      </c>
      <c r="I290" s="1" t="str">
        <f xml:space="preserve"> "000000"</f>
        <v>000000</v>
      </c>
      <c r="K290" s="1">
        <f t="shared" ref="K290" si="860" xml:space="preserve"> IF(AND(LEN(ChartLines.ID)&gt;0,"Unused"&lt;&gt;ChartLines.ID), COUNTIFS(ChartLines.ID,ChartLines.ID), "·")</f>
        <v>2</v>
      </c>
      <c r="L290" s="1">
        <f t="shared" ref="L290" si="861" xml:space="preserve"> IF(AND(LEN(ChartLines.ID)&gt;0,"Unused"&lt;&gt;ChartLines.ID), COUNTIFS(ChartLines.ID,ChartLines.ID,   ChartLines.RowNum,"&lt;="&amp;ChartLines.RowNum), "·")</f>
        <v>2</v>
      </c>
      <c r="M290" s="1" t="str" cm="1">
        <f t="array" ref="M290" xml:space="preserve"> _xlfn.IFS(OR(LEN(_xlfn.SINGLE(ChartLines.ID))=0,"Unused"=_xlfn.SINGLE(ChartLines.ID)), "·",   1=_xlfn.SINGLE(ChartLines.NumInstances), IF("USD"=_xlfn.SINGLE(ChartLines.ID), "SoleBig", "SoleOrdinary"),   1=_xlfn.SINGLE(ChartLines.InstanceNum), "Outer",   TRUE, "Inner")</f>
        <v>Inner</v>
      </c>
      <c r="N290" s="1">
        <f t="shared" ref="N290" si="862" xml:space="preserve"> IF(LEN(ChartLines.Hex6)=6, HEX2DEC(LEFT(ChartLines.Hex6, 2)), "·")</f>
        <v>0</v>
      </c>
      <c r="O290" s="1">
        <f t="shared" ref="O290" si="863" xml:space="preserve"> IF(LEN(ChartLines.Hex6)=6, HEX2DEC(MID(ChartLines.Hex6, 3, 2)), "·")</f>
        <v>0</v>
      </c>
      <c r="P290" s="1">
        <f t="shared" ref="P290" si="864" xml:space="preserve"> IF(LEN(ChartLines.Hex6)=6, HEX2DEC(RIGHT(ChartLines.Hex6, 2)), "·")</f>
        <v>0</v>
      </c>
      <c r="Q290" s="1" cm="1">
        <f t="array" ref="Q290" xml:space="preserve"> 1 + ROW() - _xlfn.SINGLE(ROW(ChartLines.RowNum))</f>
        <v>285</v>
      </c>
      <c r="R290" s="1" t="str">
        <v>✓</v>
      </c>
    </row>
    <row r="291" spans="2:18" x14ac:dyDescent="0.2">
      <c r="B291" s="1" t="s">
        <v>242</v>
      </c>
      <c r="C291" s="4" t="s">
        <v>114</v>
      </c>
      <c r="D291" t="str">
        <v>✓</v>
      </c>
      <c r="H291" s="1" t="s">
        <v>164</v>
      </c>
      <c r="I291" s="1" t="str">
        <f xml:space="preserve"> "009639"</f>
        <v>009639</v>
      </c>
      <c r="K291" s="1">
        <f t="shared" ref="K291" si="865" xml:space="preserve"> IF(AND(LEN(ChartLines.ID)&gt;0,"Unused"&lt;&gt;ChartLines.ID), COUNTIFS(ChartLines.ID,ChartLines.ID), "·")</f>
        <v>2</v>
      </c>
      <c r="L291" s="1">
        <f t="shared" ref="L291" si="866" xml:space="preserve"> IF(AND(LEN(ChartLines.ID)&gt;0,"Unused"&lt;&gt;ChartLines.ID), COUNTIFS(ChartLines.ID,ChartLines.ID,   ChartLines.RowNum,"&lt;="&amp;ChartLines.RowNum), "·")</f>
        <v>1</v>
      </c>
      <c r="M291" s="1" t="str" cm="1">
        <f t="array" ref="M291" xml:space="preserve"> _xlfn.IFS(OR(LEN(_xlfn.SINGLE(ChartLines.ID))=0,"Unused"=_xlfn.SINGLE(ChartLines.ID)), "·",   1=_xlfn.SINGLE(ChartLines.NumInstances), IF("USD"=_xlfn.SINGLE(ChartLines.ID), "SoleBig", "SoleOrdinary"),   1=_xlfn.SINGLE(ChartLines.InstanceNum), "Outer",   TRUE, "Inner")</f>
        <v>Outer</v>
      </c>
      <c r="N291" s="1">
        <f t="shared" ref="N291" si="867" xml:space="preserve"> IF(LEN(ChartLines.Hex6)=6, HEX2DEC(LEFT(ChartLines.Hex6, 2)), "·")</f>
        <v>0</v>
      </c>
      <c r="O291" s="1">
        <f t="shared" ref="O291" si="868" xml:space="preserve"> IF(LEN(ChartLines.Hex6)=6, HEX2DEC(MID(ChartLines.Hex6, 3, 2)), "·")</f>
        <v>150</v>
      </c>
      <c r="P291" s="1">
        <f t="shared" ref="P291" si="869" xml:space="preserve"> IF(LEN(ChartLines.Hex6)=6, HEX2DEC(RIGHT(ChartLines.Hex6, 2)), "·")</f>
        <v>57</v>
      </c>
      <c r="Q291" s="1" cm="1">
        <f t="array" ref="Q291" xml:space="preserve"> 1 + ROW() - _xlfn.SINGLE(ROW(ChartLines.RowNum))</f>
        <v>286</v>
      </c>
      <c r="R291" s="1" t="str">
        <v>✓</v>
      </c>
    </row>
    <row r="292" spans="2:18" x14ac:dyDescent="0.2">
      <c r="B292" s="1" t="s">
        <v>547</v>
      </c>
      <c r="C292" s="4" t="s">
        <v>522</v>
      </c>
      <c r="D292" t="str">
        <v>✓</v>
      </c>
      <c r="H292" s="1" t="s">
        <v>164</v>
      </c>
      <c r="I292" s="1" t="str">
        <f xml:space="preserve"> "000000"</f>
        <v>000000</v>
      </c>
      <c r="K292" s="1">
        <f t="shared" ref="K292" si="870" xml:space="preserve"> IF(AND(LEN(ChartLines.ID)&gt;0,"Unused"&lt;&gt;ChartLines.ID), COUNTIFS(ChartLines.ID,ChartLines.ID), "·")</f>
        <v>2</v>
      </c>
      <c r="L292" s="1">
        <f t="shared" ref="L292" si="871" xml:space="preserve"> IF(AND(LEN(ChartLines.ID)&gt;0,"Unused"&lt;&gt;ChartLines.ID), COUNTIFS(ChartLines.ID,ChartLines.ID,   ChartLines.RowNum,"&lt;="&amp;ChartLines.RowNum), "·")</f>
        <v>2</v>
      </c>
      <c r="M292" s="1" t="str" cm="1">
        <f t="array" ref="M292" xml:space="preserve"> _xlfn.IFS(OR(LEN(_xlfn.SINGLE(ChartLines.ID))=0,"Unused"=_xlfn.SINGLE(ChartLines.ID)), "·",   1=_xlfn.SINGLE(ChartLines.NumInstances), IF("USD"=_xlfn.SINGLE(ChartLines.ID), "SoleBig", "SoleOrdinary"),   1=_xlfn.SINGLE(ChartLines.InstanceNum), "Outer",   TRUE, "Inner")</f>
        <v>Inner</v>
      </c>
      <c r="N292" s="1">
        <f t="shared" ref="N292" si="872" xml:space="preserve"> IF(LEN(ChartLines.Hex6)=6, HEX2DEC(LEFT(ChartLines.Hex6, 2)), "·")</f>
        <v>0</v>
      </c>
      <c r="O292" s="1">
        <f t="shared" ref="O292" si="873" xml:space="preserve"> IF(LEN(ChartLines.Hex6)=6, HEX2DEC(MID(ChartLines.Hex6, 3, 2)), "·")</f>
        <v>0</v>
      </c>
      <c r="P292" s="1">
        <f t="shared" ref="P292" si="874" xml:space="preserve"> IF(LEN(ChartLines.Hex6)=6, HEX2DEC(RIGHT(ChartLines.Hex6, 2)), "·")</f>
        <v>0</v>
      </c>
      <c r="Q292" s="1" cm="1">
        <f t="array" ref="Q292" xml:space="preserve"> 1 + ROW() - _xlfn.SINGLE(ROW(ChartLines.RowNum))</f>
        <v>287</v>
      </c>
      <c r="R292" s="1" t="str">
        <v>✓</v>
      </c>
    </row>
    <row r="293" spans="2:18" x14ac:dyDescent="0.2">
      <c r="B293" s="1" t="s">
        <v>548</v>
      </c>
      <c r="C293" s="4" t="s">
        <v>525</v>
      </c>
      <c r="D293" t="str">
        <v>✓</v>
      </c>
      <c r="H293" s="1" t="s">
        <v>165</v>
      </c>
      <c r="I293" s="1" t="s">
        <v>443</v>
      </c>
      <c r="K293" s="1">
        <f t="shared" ref="K293" si="875" xml:space="preserve"> IF(AND(LEN(ChartLines.ID)&gt;0,"Unused"&lt;&gt;ChartLines.ID), COUNTIFS(ChartLines.ID,ChartLines.ID), "·")</f>
        <v>2</v>
      </c>
      <c r="L293" s="1">
        <f t="shared" ref="L293" si="876" xml:space="preserve"> IF(AND(LEN(ChartLines.ID)&gt;0,"Unused"&lt;&gt;ChartLines.ID), COUNTIFS(ChartLines.ID,ChartLines.ID,   ChartLines.RowNum,"&lt;="&amp;ChartLines.RowNum), "·")</f>
        <v>1</v>
      </c>
      <c r="M293" s="1" t="str" cm="1">
        <f t="array" ref="M293" xml:space="preserve"> _xlfn.IFS(OR(LEN(_xlfn.SINGLE(ChartLines.ID))=0,"Unused"=_xlfn.SINGLE(ChartLines.ID)), "·",   1=_xlfn.SINGLE(ChartLines.NumInstances), IF("USD"=_xlfn.SINGLE(ChartLines.ID), "SoleBig", "SoleOrdinary"),   1=_xlfn.SINGLE(ChartLines.InstanceNum), "Outer",   TRUE, "Inner")</f>
        <v>Outer</v>
      </c>
      <c r="N293" s="1">
        <f t="shared" ref="N293" si="877" xml:space="preserve"> IF(LEN(ChartLines.Hex6)=6, HEX2DEC(LEFT(ChartLines.Hex6, 2)), "·")</f>
        <v>255</v>
      </c>
      <c r="O293" s="1">
        <f t="shared" ref="O293" si="878" xml:space="preserve"> IF(LEN(ChartLines.Hex6)=6, HEX2DEC(MID(ChartLines.Hex6, 3, 2)), "·")</f>
        <v>199</v>
      </c>
      <c r="P293" s="1">
        <f t="shared" ref="P293" si="879" xml:space="preserve"> IF(LEN(ChartLines.Hex6)=6, HEX2DEC(RIGHT(ChartLines.Hex6, 2)), "·")</f>
        <v>44</v>
      </c>
      <c r="Q293" s="1" cm="1">
        <f t="array" ref="Q293" xml:space="preserve"> 1 + ROW() - _xlfn.SINGLE(ROW(ChartLines.RowNum))</f>
        <v>288</v>
      </c>
      <c r="R293" s="1" t="str">
        <v>✓</v>
      </c>
    </row>
    <row r="294" spans="2:18" x14ac:dyDescent="0.2">
      <c r="B294" s="1" t="s">
        <v>243</v>
      </c>
      <c r="C294" s="4" t="s">
        <v>115</v>
      </c>
      <c r="D294" t="str">
        <v>✓</v>
      </c>
      <c r="H294" s="1" t="s">
        <v>165</v>
      </c>
      <c r="I294" s="1" t="str">
        <f xml:space="preserve"> "00778B"</f>
        <v>00778B</v>
      </c>
      <c r="K294" s="1">
        <f t="shared" ref="K294:K308" si="880" xml:space="preserve"> IF(AND(LEN(ChartLines.ID)&gt;0,"Unused"&lt;&gt;ChartLines.ID), COUNTIFS(ChartLines.ID,ChartLines.ID), "·")</f>
        <v>2</v>
      </c>
      <c r="L294" s="1">
        <f t="shared" ref="L294:L308" si="881" xml:space="preserve"> IF(AND(LEN(ChartLines.ID)&gt;0,"Unused"&lt;&gt;ChartLines.ID), COUNTIFS(ChartLines.ID,ChartLines.ID,   ChartLines.RowNum,"&lt;="&amp;ChartLines.RowNum), "·")</f>
        <v>2</v>
      </c>
      <c r="M294" s="1" t="str" cm="1">
        <f t="array" ref="M294" xml:space="preserve"> _xlfn.IFS(OR(LEN(_xlfn.SINGLE(ChartLines.ID))=0,"Unused"=_xlfn.SINGLE(ChartLines.ID)), "·",   1=_xlfn.SINGLE(ChartLines.NumInstances), IF("USD"=_xlfn.SINGLE(ChartLines.ID), "SoleBig", "SoleOrdinary"),   1=_xlfn.SINGLE(ChartLines.InstanceNum), "Outer",   TRUE, "Inner")</f>
        <v>Inner</v>
      </c>
      <c r="N294" s="1">
        <f t="shared" ref="N294:N308" si="882" xml:space="preserve"> IF(LEN(ChartLines.Hex6)=6, HEX2DEC(LEFT(ChartLines.Hex6, 2)), "·")</f>
        <v>0</v>
      </c>
      <c r="O294" s="1">
        <f t="shared" ref="O294:O308" si="883" xml:space="preserve"> IF(LEN(ChartLines.Hex6)=6, HEX2DEC(MID(ChartLines.Hex6, 3, 2)), "·")</f>
        <v>119</v>
      </c>
      <c r="P294" s="1">
        <f t="shared" ref="P294:P308" si="884" xml:space="preserve"> IF(LEN(ChartLines.Hex6)=6, HEX2DEC(RIGHT(ChartLines.Hex6, 2)), "·")</f>
        <v>139</v>
      </c>
      <c r="Q294" s="1" cm="1">
        <f t="array" ref="Q294" xml:space="preserve"> 1 + ROW() - _xlfn.SINGLE(ROW(ChartLines.RowNum))</f>
        <v>289</v>
      </c>
      <c r="R294" s="1" t="str">
        <v>✓</v>
      </c>
    </row>
    <row r="295" spans="2:18" x14ac:dyDescent="0.2">
      <c r="B295" s="1" t="s">
        <v>557</v>
      </c>
      <c r="C295" s="4" t="s">
        <v>555</v>
      </c>
      <c r="D295" t="str">
        <v>✓</v>
      </c>
      <c r="K295" s="1" t="str">
        <f t="shared" si="880"/>
        <v>·</v>
      </c>
      <c r="L295" s="1" t="str">
        <f t="shared" si="881"/>
        <v>·</v>
      </c>
      <c r="M295" s="1" t="str" cm="1">
        <f t="array" ref="M295" xml:space="preserve"> _xlfn.IFS(OR(LEN(_xlfn.SINGLE(ChartLines.ID))=0,"Unused"=_xlfn.SINGLE(ChartLines.ID)), "·",   1=_xlfn.SINGLE(ChartLines.NumInstances), IF("USD"=_xlfn.SINGLE(ChartLines.ID), "SoleBig", "SoleOrdinary"),   1=_xlfn.SINGLE(ChartLines.InstanceNum), "Outer",   TRUE, "Inner")</f>
        <v>·</v>
      </c>
      <c r="N295" s="1" t="str">
        <f t="shared" si="882"/>
        <v>·</v>
      </c>
      <c r="O295" s="1" t="str">
        <f t="shared" si="883"/>
        <v>·</v>
      </c>
      <c r="P295" s="1" t="str">
        <f t="shared" si="884"/>
        <v>·</v>
      </c>
      <c r="Q295" s="1" cm="1">
        <f t="array" ref="Q295" xml:space="preserve"> 1 + ROW() - _xlfn.SINGLE(ROW(ChartLines.RowNum))</f>
        <v>290</v>
      </c>
      <c r="R295" s="1" t="str">
        <v>·</v>
      </c>
    </row>
    <row r="296" spans="2:18" x14ac:dyDescent="0.2">
      <c r="B296" s="1" t="s">
        <v>558</v>
      </c>
      <c r="C296" s="4" t="s">
        <v>527</v>
      </c>
      <c r="D296" t="str">
        <v>✓</v>
      </c>
      <c r="H296" s="1" t="s">
        <v>498</v>
      </c>
      <c r="I296" s="1" t="s">
        <v>348</v>
      </c>
      <c r="K296" s="1">
        <f t="shared" si="880"/>
        <v>2</v>
      </c>
      <c r="L296" s="1">
        <f t="shared" si="881"/>
        <v>1</v>
      </c>
      <c r="M296" s="1" t="str" cm="1">
        <f t="array" ref="M296" xml:space="preserve"> _xlfn.IFS(OR(LEN(_xlfn.SINGLE(ChartLines.ID))=0,"Unused"=_xlfn.SINGLE(ChartLines.ID)), "·",   1=_xlfn.SINGLE(ChartLines.NumInstances), IF("USD"=_xlfn.SINGLE(ChartLines.ID), "SoleBig", "SoleOrdinary"),   1=_xlfn.SINGLE(ChartLines.InstanceNum), "Outer",   TRUE, "Inner")</f>
        <v>Outer</v>
      </c>
      <c r="N296" s="1">
        <f t="shared" si="882"/>
        <v>200</v>
      </c>
      <c r="O296" s="1">
        <f t="shared" si="883"/>
        <v>16</v>
      </c>
      <c r="P296" s="1">
        <f t="shared" si="884"/>
        <v>46</v>
      </c>
      <c r="Q296" s="1" cm="1">
        <f t="array" ref="Q296" xml:space="preserve"> 1 + ROW() - _xlfn.SINGLE(ROW(ChartLines.RowNum))</f>
        <v>291</v>
      </c>
      <c r="R296" s="1" t="str">
        <v>✘✘✘</v>
      </c>
    </row>
    <row r="297" spans="2:18" x14ac:dyDescent="0.2">
      <c r="B297" s="1" t="s">
        <v>244</v>
      </c>
      <c r="C297" s="4" t="s">
        <v>116</v>
      </c>
      <c r="D297" t="str">
        <v>✓</v>
      </c>
      <c r="H297" s="1" t="s">
        <v>498</v>
      </c>
      <c r="I297" s="1" t="s">
        <v>345</v>
      </c>
      <c r="K297" s="1">
        <f t="shared" si="880"/>
        <v>2</v>
      </c>
      <c r="L297" s="1">
        <f t="shared" si="881"/>
        <v>2</v>
      </c>
      <c r="M297" s="1" t="str" cm="1">
        <f t="array" ref="M297" xml:space="preserve"> _xlfn.IFS(OR(LEN(_xlfn.SINGLE(ChartLines.ID))=0,"Unused"=_xlfn.SINGLE(ChartLines.ID)), "·",   1=_xlfn.SINGLE(ChartLines.NumInstances), IF("USD"=_xlfn.SINGLE(ChartLines.ID), "SoleBig", "SoleOrdinary"),   1=_xlfn.SINGLE(ChartLines.InstanceNum), "Outer",   TRUE, "Inner")</f>
        <v>Inner</v>
      </c>
      <c r="N297" s="1">
        <f t="shared" si="882"/>
        <v>255</v>
      </c>
      <c r="O297" s="1">
        <f t="shared" si="883"/>
        <v>255</v>
      </c>
      <c r="P297" s="1">
        <f t="shared" si="884"/>
        <v>255</v>
      </c>
      <c r="Q297" s="1" cm="1">
        <f t="array" ref="Q297" xml:space="preserve"> 1 + ROW() - _xlfn.SINGLE(ROW(ChartLines.RowNum))</f>
        <v>292</v>
      </c>
      <c r="R297" s="1" t="str">
        <v>✘✘✘</v>
      </c>
    </row>
    <row r="298" spans="2:18" x14ac:dyDescent="0.2">
      <c r="B298" s="1" t="s">
        <v>245</v>
      </c>
      <c r="C298" s="4" t="s">
        <v>117</v>
      </c>
      <c r="D298" t="str">
        <v>✓</v>
      </c>
      <c r="H298" s="1" t="s">
        <v>499</v>
      </c>
      <c r="I298" s="1" t="str">
        <f xml:space="preserve"> "012169"</f>
        <v>012169</v>
      </c>
      <c r="K298" s="1">
        <f t="shared" si="880"/>
        <v>2</v>
      </c>
      <c r="L298" s="1">
        <f t="shared" si="881"/>
        <v>1</v>
      </c>
      <c r="M298" s="1" t="str" cm="1">
        <f t="array" ref="M298" xml:space="preserve"> _xlfn.IFS(OR(LEN(_xlfn.SINGLE(ChartLines.ID))=0,"Unused"=_xlfn.SINGLE(ChartLines.ID)), "·",   1=_xlfn.SINGLE(ChartLines.NumInstances), IF("USD"=_xlfn.SINGLE(ChartLines.ID), "SoleBig", "SoleOrdinary"),   1=_xlfn.SINGLE(ChartLines.InstanceNum), "Outer",   TRUE, "Inner")</f>
        <v>Outer</v>
      </c>
      <c r="N298" s="1">
        <f t="shared" si="882"/>
        <v>1</v>
      </c>
      <c r="O298" s="1">
        <f t="shared" si="883"/>
        <v>33</v>
      </c>
      <c r="P298" s="1">
        <f t="shared" si="884"/>
        <v>105</v>
      </c>
      <c r="Q298" s="1" cm="1">
        <f t="array" ref="Q298" xml:space="preserve"> 1 + ROW() - _xlfn.SINGLE(ROW(ChartLines.RowNum))</f>
        <v>293</v>
      </c>
      <c r="R298" s="1" t="str">
        <v>✘✘✘</v>
      </c>
    </row>
    <row r="299" spans="2:18" x14ac:dyDescent="0.2">
      <c r="B299" s="1" t="s">
        <v>246</v>
      </c>
      <c r="C299" s="4" t="s">
        <v>118</v>
      </c>
      <c r="D299" t="str">
        <v>✓</v>
      </c>
      <c r="H299" s="1" t="s">
        <v>499</v>
      </c>
      <c r="I299" s="1" t="s">
        <v>345</v>
      </c>
      <c r="K299" s="1">
        <f t="shared" si="880"/>
        <v>2</v>
      </c>
      <c r="L299" s="1">
        <f t="shared" si="881"/>
        <v>2</v>
      </c>
      <c r="M299" s="1" t="str" cm="1">
        <f t="array" ref="M299" xml:space="preserve"> _xlfn.IFS(OR(LEN(_xlfn.SINGLE(ChartLines.ID))=0,"Unused"=_xlfn.SINGLE(ChartLines.ID)), "·",   1=_xlfn.SINGLE(ChartLines.NumInstances), IF("USD"=_xlfn.SINGLE(ChartLines.ID), "SoleBig", "SoleOrdinary"),   1=_xlfn.SINGLE(ChartLines.InstanceNum), "Outer",   TRUE, "Inner")</f>
        <v>Inner</v>
      </c>
      <c r="N299" s="1">
        <f t="shared" si="882"/>
        <v>255</v>
      </c>
      <c r="O299" s="1">
        <f t="shared" si="883"/>
        <v>255</v>
      </c>
      <c r="P299" s="1">
        <f t="shared" si="884"/>
        <v>255</v>
      </c>
      <c r="Q299" s="1" cm="1">
        <f t="array" ref="Q299" xml:space="preserve"> 1 + ROW() - _xlfn.SINGLE(ROW(ChartLines.RowNum))</f>
        <v>294</v>
      </c>
      <c r="R299" s="1" t="str">
        <v>✘✘✘</v>
      </c>
    </row>
    <row r="300" spans="2:18" x14ac:dyDescent="0.2">
      <c r="B300" s="1" t="s">
        <v>247</v>
      </c>
      <c r="C300" s="4" t="s">
        <v>119</v>
      </c>
      <c r="D300" t="str">
        <v>✓</v>
      </c>
      <c r="H300" s="1" t="s">
        <v>500</v>
      </c>
      <c r="I300" s="1" t="s">
        <v>497</v>
      </c>
      <c r="K300" s="1">
        <f t="shared" si="880"/>
        <v>2</v>
      </c>
      <c r="L300" s="1">
        <f t="shared" si="881"/>
        <v>1</v>
      </c>
      <c r="M300" s="1" t="str" cm="1">
        <f t="array" ref="M300" xml:space="preserve"> _xlfn.IFS(OR(LEN(_xlfn.SINGLE(ChartLines.ID))=0,"Unused"=_xlfn.SINGLE(ChartLines.ID)), "·",   1=_xlfn.SINGLE(ChartLines.NumInstances), IF("USD"=_xlfn.SINGLE(ChartLines.ID), "SoleBig", "SoleOrdinary"),   1=_xlfn.SINGLE(ChartLines.InstanceNum), "Outer",   TRUE, "Inner")</f>
        <v>Outer</v>
      </c>
      <c r="N300" s="1">
        <f t="shared" si="882"/>
        <v>0</v>
      </c>
      <c r="O300" s="1">
        <f t="shared" si="883"/>
        <v>177</v>
      </c>
      <c r="P300" s="1">
        <f t="shared" si="884"/>
        <v>64</v>
      </c>
      <c r="Q300" s="1" cm="1">
        <f t="array" ref="Q300" xml:space="preserve"> 1 + ROW() - _xlfn.SINGLE(ROW(ChartLines.RowNum))</f>
        <v>295</v>
      </c>
      <c r="R300" s="1" t="str">
        <v>✘✘✘</v>
      </c>
    </row>
    <row r="301" spans="2:18" x14ac:dyDescent="0.2">
      <c r="B301" s="1" t="s">
        <v>248</v>
      </c>
      <c r="C301" s="4" t="s">
        <v>120</v>
      </c>
      <c r="D301" t="str">
        <v>✓</v>
      </c>
      <c r="H301" s="1" t="s">
        <v>500</v>
      </c>
      <c r="I301" s="1" t="s">
        <v>348</v>
      </c>
      <c r="K301" s="1">
        <f t="shared" si="880"/>
        <v>2</v>
      </c>
      <c r="L301" s="1">
        <f t="shared" si="881"/>
        <v>2</v>
      </c>
      <c r="M301" s="1" t="str" cm="1">
        <f t="array" ref="M301" xml:space="preserve"> _xlfn.IFS(OR(LEN(_xlfn.SINGLE(ChartLines.ID))=0,"Unused"=_xlfn.SINGLE(ChartLines.ID)), "·",   1=_xlfn.SINGLE(ChartLines.NumInstances), IF("USD"=_xlfn.SINGLE(ChartLines.ID), "SoleBig", "SoleOrdinary"),   1=_xlfn.SINGLE(ChartLines.InstanceNum), "Outer",   TRUE, "Inner")</f>
        <v>Inner</v>
      </c>
      <c r="N301" s="1">
        <f t="shared" si="882"/>
        <v>200</v>
      </c>
      <c r="O301" s="1">
        <f t="shared" si="883"/>
        <v>16</v>
      </c>
      <c r="P301" s="1">
        <f t="shared" si="884"/>
        <v>46</v>
      </c>
      <c r="Q301" s="1" cm="1">
        <f t="array" ref="Q301" xml:space="preserve"> 1 + ROW() - _xlfn.SINGLE(ROW(ChartLines.RowNum))</f>
        <v>296</v>
      </c>
      <c r="R301" s="1" t="str">
        <v>✘✘✘</v>
      </c>
    </row>
    <row r="302" spans="2:18" x14ac:dyDescent="0.2">
      <c r="B302" s="1" t="s">
        <v>249</v>
      </c>
      <c r="C302" s="4" t="s">
        <v>478</v>
      </c>
      <c r="D302" t="str">
        <v>✓</v>
      </c>
      <c r="H302" s="1" t="s">
        <v>501</v>
      </c>
      <c r="I302" s="1" t="s">
        <v>361</v>
      </c>
      <c r="K302" s="1">
        <f t="shared" si="880"/>
        <v>2</v>
      </c>
      <c r="L302" s="1">
        <f t="shared" si="881"/>
        <v>1</v>
      </c>
      <c r="M302" s="1" t="str" cm="1">
        <f t="array" ref="M302" xml:space="preserve"> _xlfn.IFS(OR(LEN(_xlfn.SINGLE(ChartLines.ID))=0,"Unused"=_xlfn.SINGLE(ChartLines.ID)), "·",   1=_xlfn.SINGLE(ChartLines.NumInstances), IF("USD"=_xlfn.SINGLE(ChartLines.ID), "SoleBig", "SoleOrdinary"),   1=_xlfn.SINGLE(ChartLines.InstanceNum), "Outer",   TRUE, "Inner")</f>
        <v>Outer</v>
      </c>
      <c r="N302" s="1">
        <f t="shared" si="882"/>
        <v>218</v>
      </c>
      <c r="O302" s="1">
        <f t="shared" si="883"/>
        <v>41</v>
      </c>
      <c r="P302" s="1">
        <f t="shared" si="884"/>
        <v>28</v>
      </c>
      <c r="Q302" s="1" cm="1">
        <f t="array" ref="Q302" xml:space="preserve"> 1 + ROW() - _xlfn.SINGLE(ROW(ChartLines.RowNum))</f>
        <v>297</v>
      </c>
      <c r="R302" s="1" t="str">
        <v>✘✘✘</v>
      </c>
    </row>
    <row r="303" spans="2:18" x14ac:dyDescent="0.2">
      <c r="B303" s="1" t="s">
        <v>250</v>
      </c>
      <c r="C303" s="4" t="s">
        <v>121</v>
      </c>
      <c r="D303" t="str">
        <v>✓</v>
      </c>
      <c r="H303" s="1" t="s">
        <v>501</v>
      </c>
      <c r="I303" s="1" t="s">
        <v>443</v>
      </c>
      <c r="K303" s="1">
        <f t="shared" si="880"/>
        <v>2</v>
      </c>
      <c r="L303" s="1">
        <f t="shared" si="881"/>
        <v>2</v>
      </c>
      <c r="M303" s="1" t="str" cm="1">
        <f t="array" ref="M303" xml:space="preserve"> _xlfn.IFS(OR(LEN(_xlfn.SINGLE(ChartLines.ID))=0,"Unused"=_xlfn.SINGLE(ChartLines.ID)), "·",   1=_xlfn.SINGLE(ChartLines.NumInstances), IF("USD"=_xlfn.SINGLE(ChartLines.ID), "SoleBig", "SoleOrdinary"),   1=_xlfn.SINGLE(ChartLines.InstanceNum), "Outer",   TRUE, "Inner")</f>
        <v>Inner</v>
      </c>
      <c r="N303" s="1">
        <f t="shared" si="882"/>
        <v>255</v>
      </c>
      <c r="O303" s="1">
        <f t="shared" si="883"/>
        <v>199</v>
      </c>
      <c r="P303" s="1">
        <f t="shared" si="884"/>
        <v>44</v>
      </c>
      <c r="Q303" s="1" cm="1">
        <f t="array" ref="Q303" xml:space="preserve"> 1 + ROW() - _xlfn.SINGLE(ROW(ChartLines.RowNum))</f>
        <v>298</v>
      </c>
      <c r="R303" s="1" t="str">
        <v>✘✘✘</v>
      </c>
    </row>
    <row r="304" spans="2:18" x14ac:dyDescent="0.2">
      <c r="B304" s="1" t="s">
        <v>251</v>
      </c>
      <c r="C304" s="4" t="s">
        <v>122</v>
      </c>
      <c r="D304" t="str">
        <v>✓</v>
      </c>
      <c r="H304" s="1" t="s">
        <v>502</v>
      </c>
      <c r="I304" s="1" t="s">
        <v>348</v>
      </c>
      <c r="K304" s="1">
        <f t="shared" si="880"/>
        <v>2</v>
      </c>
      <c r="L304" s="1">
        <f t="shared" si="881"/>
        <v>1</v>
      </c>
      <c r="M304" s="1" t="str" cm="1">
        <f t="array" ref="M304" xml:space="preserve"> _xlfn.IFS(OR(LEN(_xlfn.SINGLE(ChartLines.ID))=0,"Unused"=_xlfn.SINGLE(ChartLines.ID)), "·",   1=_xlfn.SINGLE(ChartLines.NumInstances), IF("USD"=_xlfn.SINGLE(ChartLines.ID), "SoleBig", "SoleOrdinary"),   1=_xlfn.SINGLE(ChartLines.InstanceNum), "Outer",   TRUE, "Inner")</f>
        <v>Outer</v>
      </c>
      <c r="N304" s="1">
        <f t="shared" si="882"/>
        <v>200</v>
      </c>
      <c r="O304" s="1">
        <f t="shared" si="883"/>
        <v>16</v>
      </c>
      <c r="P304" s="1">
        <f t="shared" si="884"/>
        <v>46</v>
      </c>
      <c r="Q304" s="1" cm="1">
        <f t="array" ref="Q304" xml:space="preserve"> 1 + ROW() - _xlfn.SINGLE(ROW(ChartLines.RowNum))</f>
        <v>299</v>
      </c>
      <c r="R304" s="1" t="str">
        <v>✘✘✘</v>
      </c>
    </row>
    <row r="305" spans="2:18" x14ac:dyDescent="0.2">
      <c r="B305" s="1" t="s">
        <v>545</v>
      </c>
      <c r="C305" s="4" t="s">
        <v>529</v>
      </c>
      <c r="D305" t="str">
        <v>✓</v>
      </c>
      <c r="H305" s="1" t="s">
        <v>502</v>
      </c>
      <c r="I305" s="1" t="s">
        <v>497</v>
      </c>
      <c r="K305" s="1">
        <f t="shared" si="880"/>
        <v>2</v>
      </c>
      <c r="L305" s="1">
        <f t="shared" si="881"/>
        <v>2</v>
      </c>
      <c r="M305" s="1" t="str" cm="1">
        <f t="array" ref="M305" xml:space="preserve"> _xlfn.IFS(OR(LEN(_xlfn.SINGLE(ChartLines.ID))=0,"Unused"=_xlfn.SINGLE(ChartLines.ID)), "·",   1=_xlfn.SINGLE(ChartLines.NumInstances), IF("USD"=_xlfn.SINGLE(ChartLines.ID), "SoleBig", "SoleOrdinary"),   1=_xlfn.SINGLE(ChartLines.InstanceNum), "Outer",   TRUE, "Inner")</f>
        <v>Inner</v>
      </c>
      <c r="N305" s="1">
        <f t="shared" si="882"/>
        <v>0</v>
      </c>
      <c r="O305" s="1">
        <f t="shared" si="883"/>
        <v>177</v>
      </c>
      <c r="P305" s="1">
        <f t="shared" si="884"/>
        <v>64</v>
      </c>
      <c r="Q305" s="1" cm="1">
        <f t="array" ref="Q305" xml:space="preserve"> 1 + ROW() - _xlfn.SINGLE(ROW(ChartLines.RowNum))</f>
        <v>300</v>
      </c>
      <c r="R305" s="1" t="str">
        <v>✘✘✘</v>
      </c>
    </row>
    <row r="306" spans="2:18" x14ac:dyDescent="0.2">
      <c r="B306" s="1" t="s">
        <v>544</v>
      </c>
      <c r="C306" s="4" t="s">
        <v>531</v>
      </c>
      <c r="D306" t="str">
        <v>✓</v>
      </c>
      <c r="K306" s="1" t="str">
        <f t="shared" si="880"/>
        <v>·</v>
      </c>
      <c r="L306" s="1" t="str">
        <f t="shared" si="881"/>
        <v>·</v>
      </c>
      <c r="M306" s="1" t="str" cm="1">
        <f t="array" ref="M306" xml:space="preserve"> _xlfn.IFS(OR(LEN(_xlfn.SINGLE(ChartLines.ID))=0,"Unused"=_xlfn.SINGLE(ChartLines.ID)), "·",   1=_xlfn.SINGLE(ChartLines.NumInstances), IF("USD"=_xlfn.SINGLE(ChartLines.ID), "SoleBig", "SoleOrdinary"),   1=_xlfn.SINGLE(ChartLines.InstanceNum), "Outer",   TRUE, "Inner")</f>
        <v>·</v>
      </c>
      <c r="N306" s="1" t="str">
        <f t="shared" si="882"/>
        <v>·</v>
      </c>
      <c r="O306" s="1" t="str">
        <f t="shared" si="883"/>
        <v>·</v>
      </c>
      <c r="P306" s="1" t="str">
        <f t="shared" si="884"/>
        <v>·</v>
      </c>
      <c r="Q306" s="1" cm="1">
        <f t="array" ref="Q306" xml:space="preserve"> 1 + ROW() - _xlfn.SINGLE(ROW(ChartLines.RowNum))</f>
        <v>301</v>
      </c>
      <c r="R306" s="1" t="str">
        <v>·</v>
      </c>
    </row>
    <row r="307" spans="2:18" x14ac:dyDescent="0.2">
      <c r="B307" s="8" t="s">
        <v>252</v>
      </c>
      <c r="C307" s="4" t="s">
        <v>123</v>
      </c>
      <c r="D307" t="str">
        <v>✓</v>
      </c>
      <c r="H307" s="1" t="s">
        <v>166</v>
      </c>
      <c r="I307" s="1" t="s">
        <v>444</v>
      </c>
      <c r="K307" s="1">
        <f t="shared" si="880"/>
        <v>2</v>
      </c>
      <c r="L307" s="1">
        <f t="shared" si="881"/>
        <v>1</v>
      </c>
      <c r="M307" s="1" t="str" cm="1">
        <f t="array" ref="M307" xml:space="preserve"> _xlfn.IFS(OR(LEN(_xlfn.SINGLE(ChartLines.ID))=0,"Unused"=_xlfn.SINGLE(ChartLines.ID)), "·",   1=_xlfn.SINGLE(ChartLines.NumInstances), IF("USD"=_xlfn.SINGLE(ChartLines.ID), "SoleBig", "SoleOrdinary"),   1=_xlfn.SINGLE(ChartLines.InstanceNum), "Outer",   TRUE, "Inner")</f>
        <v>Outer</v>
      </c>
      <c r="N307" s="1">
        <f t="shared" si="882"/>
        <v>8</v>
      </c>
      <c r="O307" s="1">
        <f t="shared" si="883"/>
        <v>82</v>
      </c>
      <c r="P307" s="1">
        <f t="shared" si="884"/>
        <v>140</v>
      </c>
      <c r="Q307" s="1" cm="1">
        <f t="array" ref="Q307" xml:space="preserve"> 1 + ROW() - _xlfn.SINGLE(ROW(ChartLines.RowNum))</f>
        <v>302</v>
      </c>
      <c r="R307" s="1" t="str">
        <v>✓</v>
      </c>
    </row>
    <row r="308" spans="2:18" x14ac:dyDescent="0.2">
      <c r="B308" s="1" t="s">
        <v>253</v>
      </c>
      <c r="C308" s="4" t="s">
        <v>123</v>
      </c>
      <c r="D308" t="str">
        <v>✓</v>
      </c>
      <c r="H308" s="1" t="s">
        <v>166</v>
      </c>
      <c r="I308" s="1" t="str">
        <f xml:space="preserve"> "949494"</f>
        <v>949494</v>
      </c>
      <c r="K308" s="1">
        <f t="shared" si="880"/>
        <v>2</v>
      </c>
      <c r="L308" s="1">
        <f t="shared" si="881"/>
        <v>2</v>
      </c>
      <c r="M308" s="1" t="str" cm="1">
        <f t="array" ref="M308" xml:space="preserve"> _xlfn.IFS(OR(LEN(_xlfn.SINGLE(ChartLines.ID))=0,"Unused"=_xlfn.SINGLE(ChartLines.ID)), "·",   1=_xlfn.SINGLE(ChartLines.NumInstances), IF("USD"=_xlfn.SINGLE(ChartLines.ID), "SoleBig", "SoleOrdinary"),   1=_xlfn.SINGLE(ChartLines.InstanceNum), "Outer",   TRUE, "Inner")</f>
        <v>Inner</v>
      </c>
      <c r="N308" s="1">
        <f t="shared" si="882"/>
        <v>148</v>
      </c>
      <c r="O308" s="1">
        <f t="shared" si="883"/>
        <v>148</v>
      </c>
      <c r="P308" s="1">
        <f t="shared" si="884"/>
        <v>148</v>
      </c>
      <c r="Q308" s="1" cm="1">
        <f t="array" ref="Q308" xml:space="preserve"> 1 + ROW() - _xlfn.SINGLE(ROW(ChartLines.RowNum))</f>
        <v>303</v>
      </c>
      <c r="R308" s="1" t="str">
        <v>✓</v>
      </c>
    </row>
    <row r="309" spans="2:18" x14ac:dyDescent="0.2">
      <c r="B309" s="1" t="s">
        <v>479</v>
      </c>
      <c r="C309" s="4" t="s">
        <v>123</v>
      </c>
      <c r="D309" t="str">
        <v>✓</v>
      </c>
      <c r="H309" s="1" t="s">
        <v>167</v>
      </c>
      <c r="I309" s="1" t="str">
        <f xml:space="preserve"> "0A6AAA"</f>
        <v>0A6AAA</v>
      </c>
      <c r="K309" s="1">
        <f t="shared" ref="K309" si="885" xml:space="preserve"> IF(AND(LEN(ChartLines.ID)&gt;0,"Unused"&lt;&gt;ChartLines.ID), COUNTIFS(ChartLines.ID,ChartLines.ID), "·")</f>
        <v>2</v>
      </c>
      <c r="L309" s="1">
        <f t="shared" ref="L309" si="886" xml:space="preserve"> IF(AND(LEN(ChartLines.ID)&gt;0,"Unused"&lt;&gt;ChartLines.ID), COUNTIFS(ChartLines.ID,ChartLines.ID,   ChartLines.RowNum,"&lt;="&amp;ChartLines.RowNum), "·")</f>
        <v>1</v>
      </c>
      <c r="M309" s="1" t="str" cm="1">
        <f t="array" ref="M309" xml:space="preserve"> _xlfn.IFS(OR(LEN(_xlfn.SINGLE(ChartLines.ID))=0,"Unused"=_xlfn.SINGLE(ChartLines.ID)), "·",   1=_xlfn.SINGLE(ChartLines.NumInstances), IF("USD"=_xlfn.SINGLE(ChartLines.ID), "SoleBig", "SoleOrdinary"),   1=_xlfn.SINGLE(ChartLines.InstanceNum), "Outer",   TRUE, "Inner")</f>
        <v>Outer</v>
      </c>
      <c r="N309" s="1">
        <f t="shared" ref="N309" si="887" xml:space="preserve"> IF(LEN(ChartLines.Hex6)=6, HEX2DEC(LEFT(ChartLines.Hex6, 2)), "·")</f>
        <v>10</v>
      </c>
      <c r="O309" s="1">
        <f t="shared" ref="O309" si="888" xml:space="preserve"> IF(LEN(ChartLines.Hex6)=6, HEX2DEC(MID(ChartLines.Hex6, 3, 2)), "·")</f>
        <v>106</v>
      </c>
      <c r="P309" s="1">
        <f t="shared" ref="P309" si="889" xml:space="preserve"> IF(LEN(ChartLines.Hex6)=6, HEX2DEC(RIGHT(ChartLines.Hex6, 2)), "·")</f>
        <v>170</v>
      </c>
      <c r="Q309" s="1" cm="1">
        <f t="array" ref="Q309" xml:space="preserve"> 1 + ROW() - _xlfn.SINGLE(ROW(ChartLines.RowNum))</f>
        <v>304</v>
      </c>
      <c r="R309" s="1" t="str">
        <v>✓</v>
      </c>
    </row>
    <row r="310" spans="2:18" x14ac:dyDescent="0.2">
      <c r="B310" s="1" t="s">
        <v>254</v>
      </c>
      <c r="C310" s="4" t="s">
        <v>124</v>
      </c>
      <c r="D310" t="str">
        <v>✓</v>
      </c>
      <c r="H310" s="1" t="s">
        <v>167</v>
      </c>
      <c r="I310" s="1" t="s">
        <v>345</v>
      </c>
      <c r="K310" s="1">
        <f t="shared" ref="K310:K327" si="890" xml:space="preserve"> IF(AND(LEN(ChartLines.ID)&gt;0,"Unused"&lt;&gt;ChartLines.ID), COUNTIFS(ChartLines.ID,ChartLines.ID), "·")</f>
        <v>2</v>
      </c>
      <c r="L310" s="1">
        <f t="shared" ref="L310:L327" si="891" xml:space="preserve"> IF(AND(LEN(ChartLines.ID)&gt;0,"Unused"&lt;&gt;ChartLines.ID), COUNTIFS(ChartLines.ID,ChartLines.ID,   ChartLines.RowNum,"&lt;="&amp;ChartLines.RowNum), "·")</f>
        <v>2</v>
      </c>
      <c r="M310" s="1" t="str" cm="1">
        <f t="array" ref="M310" xml:space="preserve"> _xlfn.IFS(OR(LEN(_xlfn.SINGLE(ChartLines.ID))=0,"Unused"=_xlfn.SINGLE(ChartLines.ID)), "·",   1=_xlfn.SINGLE(ChartLines.NumInstances), IF("USD"=_xlfn.SINGLE(ChartLines.ID), "SoleBig", "SoleOrdinary"),   1=_xlfn.SINGLE(ChartLines.InstanceNum), "Outer",   TRUE, "Inner")</f>
        <v>Inner</v>
      </c>
      <c r="N310" s="1">
        <f t="shared" ref="N310:N327" si="892" xml:space="preserve"> IF(LEN(ChartLines.Hex6)=6, HEX2DEC(LEFT(ChartLines.Hex6, 2)), "·")</f>
        <v>255</v>
      </c>
      <c r="O310" s="1">
        <f t="shared" ref="O310:O327" si="893" xml:space="preserve"> IF(LEN(ChartLines.Hex6)=6, HEX2DEC(MID(ChartLines.Hex6, 3, 2)), "·")</f>
        <v>255</v>
      </c>
      <c r="P310" s="1">
        <f t="shared" ref="P310:P327" si="894" xml:space="preserve"> IF(LEN(ChartLines.Hex6)=6, HEX2DEC(RIGHT(ChartLines.Hex6, 2)), "·")</f>
        <v>255</v>
      </c>
      <c r="Q310" s="1" cm="1">
        <f t="array" ref="Q310" xml:space="preserve"> 1 + ROW() - _xlfn.SINGLE(ROW(ChartLines.RowNum))</f>
        <v>305</v>
      </c>
      <c r="R310" s="1" t="str">
        <v>✓</v>
      </c>
    </row>
    <row r="311" spans="2:18" x14ac:dyDescent="0.2">
      <c r="B311" s="1" t="s">
        <v>255</v>
      </c>
      <c r="C311" s="4" t="s">
        <v>125</v>
      </c>
      <c r="D311" t="str">
        <v>✓</v>
      </c>
      <c r="H311" s="1" t="s">
        <v>493</v>
      </c>
      <c r="I311" s="1" t="str">
        <f xml:space="preserve"> "092251"</f>
        <v>092251</v>
      </c>
      <c r="K311" s="1">
        <f t="shared" si="890"/>
        <v>2</v>
      </c>
      <c r="L311" s="1">
        <f t="shared" si="891"/>
        <v>1</v>
      </c>
      <c r="M311" s="1" t="str" cm="1">
        <f t="array" ref="M311" xml:space="preserve"> _xlfn.IFS(OR(LEN(_xlfn.SINGLE(ChartLines.ID))=0,"Unused"=_xlfn.SINGLE(ChartLines.ID)), "·",   1=_xlfn.SINGLE(ChartLines.NumInstances), IF("USD"=_xlfn.SINGLE(ChartLines.ID), "SoleBig", "SoleOrdinary"),   1=_xlfn.SINGLE(ChartLines.InstanceNum), "Outer",   TRUE, "Inner")</f>
        <v>Outer</v>
      </c>
      <c r="N311" s="1">
        <f t="shared" si="892"/>
        <v>9</v>
      </c>
      <c r="O311" s="1">
        <f t="shared" si="893"/>
        <v>34</v>
      </c>
      <c r="P311" s="1">
        <f t="shared" si="894"/>
        <v>81</v>
      </c>
      <c r="Q311" s="1" cm="1">
        <f t="array" ref="Q311" xml:space="preserve"> 1 + ROW() - _xlfn.SINGLE(ROW(ChartLines.RowNum))</f>
        <v>306</v>
      </c>
      <c r="R311" s="1" t="str">
        <v>✓</v>
      </c>
    </row>
    <row r="312" spans="2:18" x14ac:dyDescent="0.2">
      <c r="B312" s="1" t="s">
        <v>256</v>
      </c>
      <c r="C312" s="4" t="s">
        <v>126</v>
      </c>
      <c r="D312" t="str">
        <v>✓</v>
      </c>
      <c r="H312" s="1" t="s">
        <v>493</v>
      </c>
      <c r="I312" s="1" t="s">
        <v>345</v>
      </c>
      <c r="K312" s="1">
        <f t="shared" si="890"/>
        <v>2</v>
      </c>
      <c r="L312" s="1">
        <f t="shared" si="891"/>
        <v>2</v>
      </c>
      <c r="M312" s="1" t="str" cm="1">
        <f t="array" ref="M312" xml:space="preserve"> _xlfn.IFS(OR(LEN(_xlfn.SINGLE(ChartLines.ID))=0,"Unused"=_xlfn.SINGLE(ChartLines.ID)), "·",   1=_xlfn.SINGLE(ChartLines.NumInstances), IF("USD"=_xlfn.SINGLE(ChartLines.ID), "SoleBig", "SoleOrdinary"),   1=_xlfn.SINGLE(ChartLines.InstanceNum), "Outer",   TRUE, "Inner")</f>
        <v>Inner</v>
      </c>
      <c r="N312" s="1">
        <f t="shared" si="892"/>
        <v>255</v>
      </c>
      <c r="O312" s="1">
        <f t="shared" si="893"/>
        <v>255</v>
      </c>
      <c r="P312" s="1">
        <f t="shared" si="894"/>
        <v>255</v>
      </c>
      <c r="Q312" s="1" cm="1">
        <f t="array" ref="Q312" xml:space="preserve"> 1 + ROW() - _xlfn.SINGLE(ROW(ChartLines.RowNum))</f>
        <v>307</v>
      </c>
      <c r="R312" s="1" t="str">
        <v>✓</v>
      </c>
    </row>
    <row r="313" spans="2:18" x14ac:dyDescent="0.2">
      <c r="B313" s="1" t="s">
        <v>553</v>
      </c>
      <c r="C313" s="4" t="s">
        <v>533</v>
      </c>
      <c r="D313" t="str">
        <v>✓</v>
      </c>
      <c r="H313" s="1" t="s">
        <v>168</v>
      </c>
      <c r="I313" s="1" t="str">
        <f xml:space="preserve"> "165788"</f>
        <v>165788</v>
      </c>
      <c r="K313" s="1">
        <f t="shared" si="890"/>
        <v>2</v>
      </c>
      <c r="L313" s="1">
        <f t="shared" si="891"/>
        <v>1</v>
      </c>
      <c r="M313" s="1" t="str" cm="1">
        <f t="array" ref="M313" xml:space="preserve"> _xlfn.IFS(OR(LEN(_xlfn.SINGLE(ChartLines.ID))=0,"Unused"=_xlfn.SINGLE(ChartLines.ID)), "·",   1=_xlfn.SINGLE(ChartLines.NumInstances), IF("USD"=_xlfn.SINGLE(ChartLines.ID), "SoleBig", "SoleOrdinary"),   1=_xlfn.SINGLE(ChartLines.InstanceNum), "Outer",   TRUE, "Inner")</f>
        <v>Outer</v>
      </c>
      <c r="N313" s="1">
        <f t="shared" si="892"/>
        <v>22</v>
      </c>
      <c r="O313" s="1">
        <f t="shared" si="893"/>
        <v>87</v>
      </c>
      <c r="P313" s="1">
        <f t="shared" si="894"/>
        <v>136</v>
      </c>
      <c r="Q313" s="1" cm="1">
        <f t="array" ref="Q313" xml:space="preserve"> 1 + ROW() - _xlfn.SINGLE(ROW(ChartLines.RowNum))</f>
        <v>308</v>
      </c>
      <c r="R313" s="1" t="str">
        <v>✓</v>
      </c>
    </row>
    <row r="314" spans="2:18" x14ac:dyDescent="0.2">
      <c r="B314" s="1" t="s">
        <v>257</v>
      </c>
      <c r="C314" s="4" t="s">
        <v>127</v>
      </c>
      <c r="D314" t="str">
        <v>✓</v>
      </c>
      <c r="H314" s="1" t="s">
        <v>168</v>
      </c>
      <c r="I314" s="1" t="str">
        <f xml:space="preserve"> "C3DCF4"</f>
        <v>C3DCF4</v>
      </c>
      <c r="K314" s="1">
        <f t="shared" si="890"/>
        <v>2</v>
      </c>
      <c r="L314" s="1">
        <f t="shared" si="891"/>
        <v>2</v>
      </c>
      <c r="M314" s="1" t="str" cm="1">
        <f t="array" ref="M314" xml:space="preserve"> _xlfn.IFS(OR(LEN(_xlfn.SINGLE(ChartLines.ID))=0,"Unused"=_xlfn.SINGLE(ChartLines.ID)), "·",   1=_xlfn.SINGLE(ChartLines.NumInstances), IF("USD"=_xlfn.SINGLE(ChartLines.ID), "SoleBig", "SoleOrdinary"),   1=_xlfn.SINGLE(ChartLines.InstanceNum), "Outer",   TRUE, "Inner")</f>
        <v>Inner</v>
      </c>
      <c r="N314" s="1">
        <f t="shared" si="892"/>
        <v>195</v>
      </c>
      <c r="O314" s="1">
        <f t="shared" si="893"/>
        <v>220</v>
      </c>
      <c r="P314" s="1">
        <f t="shared" si="894"/>
        <v>244</v>
      </c>
      <c r="Q314" s="1" cm="1">
        <f t="array" ref="Q314" xml:space="preserve"> 1 + ROW() - _xlfn.SINGLE(ROW(ChartLines.RowNum))</f>
        <v>309</v>
      </c>
      <c r="R314" s="1" t="str">
        <v>✓</v>
      </c>
    </row>
    <row r="315" spans="2:18" x14ac:dyDescent="0.2">
      <c r="B315" s="1" t="s">
        <v>258</v>
      </c>
      <c r="C315" s="4" t="s">
        <v>128</v>
      </c>
      <c r="D315" t="str">
        <v>✓</v>
      </c>
      <c r="H315" s="1" t="s">
        <v>169</v>
      </c>
      <c r="I315" s="1" t="s">
        <v>445</v>
      </c>
      <c r="K315" s="1">
        <f t="shared" si="890"/>
        <v>1</v>
      </c>
      <c r="L315" s="1">
        <f t="shared" si="891"/>
        <v>1</v>
      </c>
      <c r="M315" s="1" t="str" cm="1">
        <f t="array" ref="M315" xml:space="preserve"> _xlfn.IFS(OR(LEN(_xlfn.SINGLE(ChartLines.ID))=0,"Unused"=_xlfn.SINGLE(ChartLines.ID)), "·",   1=_xlfn.SINGLE(ChartLines.NumInstances), IF("USD"=_xlfn.SINGLE(ChartLines.ID), "SoleBig", "SoleOrdinary"),   1=_xlfn.SINGLE(ChartLines.InstanceNum), "Outer",   TRUE, "Inner")</f>
        <v>SoleOrdinary</v>
      </c>
      <c r="N315" s="1">
        <f t="shared" si="892"/>
        <v>27</v>
      </c>
      <c r="O315" s="1">
        <f t="shared" si="893"/>
        <v>97</v>
      </c>
      <c r="P315" s="1">
        <f t="shared" si="894"/>
        <v>140</v>
      </c>
      <c r="Q315" s="1" cm="1">
        <f t="array" ref="Q315" xml:space="preserve"> 1 + ROW() - _xlfn.SINGLE(ROW(ChartLines.RowNum))</f>
        <v>310</v>
      </c>
      <c r="R315" s="1" t="str">
        <v>✓</v>
      </c>
    </row>
    <row r="316" spans="2:18" x14ac:dyDescent="0.2">
      <c r="B316" s="1" t="s">
        <v>477</v>
      </c>
      <c r="C316" s="4" t="s">
        <v>421</v>
      </c>
      <c r="D316" t="str">
        <v>✓</v>
      </c>
      <c r="H316" s="1" t="s">
        <v>491</v>
      </c>
      <c r="I316" s="1">
        <v>273375</v>
      </c>
      <c r="K316" s="1">
        <f t="shared" si="890"/>
        <v>2</v>
      </c>
      <c r="L316" s="1">
        <f t="shared" si="891"/>
        <v>1</v>
      </c>
      <c r="M316" s="1" t="str" cm="1">
        <f t="array" ref="M316" xml:space="preserve"> _xlfn.IFS(OR(LEN(_xlfn.SINGLE(ChartLines.ID))=0,"Unused"=_xlfn.SINGLE(ChartLines.ID)), "·",   1=_xlfn.SINGLE(ChartLines.NumInstances), IF("USD"=_xlfn.SINGLE(ChartLines.ID), "SoleBig", "SoleOrdinary"),   1=_xlfn.SINGLE(ChartLines.InstanceNum), "Outer",   TRUE, "Inner")</f>
        <v>Outer</v>
      </c>
      <c r="N316" s="1">
        <f t="shared" si="892"/>
        <v>39</v>
      </c>
      <c r="O316" s="1">
        <f t="shared" si="893"/>
        <v>51</v>
      </c>
      <c r="P316" s="1">
        <f t="shared" si="894"/>
        <v>117</v>
      </c>
      <c r="Q316" s="1" cm="1">
        <f t="array" ref="Q316" xml:space="preserve"> 1 + ROW() - _xlfn.SINGLE(ROW(ChartLines.RowNum))</f>
        <v>311</v>
      </c>
      <c r="R316" s="1" t="str">
        <v>✓</v>
      </c>
    </row>
    <row r="317" spans="2:18" x14ac:dyDescent="0.2">
      <c r="B317" s="1" t="s">
        <v>549</v>
      </c>
      <c r="C317" s="4" t="s">
        <v>534</v>
      </c>
      <c r="D317" t="str">
        <v>✓</v>
      </c>
      <c r="H317" s="1" t="s">
        <v>491</v>
      </c>
      <c r="I317" s="1" t="s">
        <v>492</v>
      </c>
      <c r="K317" s="1">
        <f t="shared" si="890"/>
        <v>2</v>
      </c>
      <c r="L317" s="1">
        <f t="shared" si="891"/>
        <v>2</v>
      </c>
      <c r="M317" s="1" t="str" cm="1">
        <f t="array" ref="M317" xml:space="preserve"> _xlfn.IFS(OR(LEN(_xlfn.SINGLE(ChartLines.ID))=0,"Unused"=_xlfn.SINGLE(ChartLines.ID)), "·",   1=_xlfn.SINGLE(ChartLines.NumInstances), IF("USD"=_xlfn.SINGLE(ChartLines.ID), "SoleBig", "SoleOrdinary"),   1=_xlfn.SINGLE(ChartLines.InstanceNum), "Outer",   TRUE, "Inner")</f>
        <v>Inner</v>
      </c>
      <c r="N317" s="1">
        <f t="shared" si="892"/>
        <v>226</v>
      </c>
      <c r="O317" s="1">
        <f t="shared" si="893"/>
        <v>6</v>
      </c>
      <c r="P317" s="1">
        <f t="shared" si="894"/>
        <v>19</v>
      </c>
      <c r="Q317" s="1" cm="1">
        <f t="array" ref="Q317" xml:space="preserve"> 1 + ROW() - _xlfn.SINGLE(ROW(ChartLines.RowNum))</f>
        <v>312</v>
      </c>
      <c r="R317" s="1" t="str">
        <v>✓</v>
      </c>
    </row>
    <row r="318" spans="2:18" x14ac:dyDescent="0.2">
      <c r="B318" s="1" t="s">
        <v>259</v>
      </c>
      <c r="C318" s="4" t="s">
        <v>129</v>
      </c>
      <c r="D318" t="str">
        <v>✓</v>
      </c>
      <c r="H318" s="1" t="s">
        <v>341</v>
      </c>
      <c r="K318" s="1" t="str">
        <f t="shared" si="890"/>
        <v>·</v>
      </c>
      <c r="L318" s="1" t="str">
        <f t="shared" si="891"/>
        <v>·</v>
      </c>
      <c r="M318" s="1" t="str" cm="1">
        <f t="array" ref="M318" xml:space="preserve"> _xlfn.IFS(OR(LEN(_xlfn.SINGLE(ChartLines.ID))=0,"Unused"=_xlfn.SINGLE(ChartLines.ID)), "·",   1=_xlfn.SINGLE(ChartLines.NumInstances), IF("USD"=_xlfn.SINGLE(ChartLines.ID), "SoleBig", "SoleOrdinary"),   1=_xlfn.SINGLE(ChartLines.InstanceNum), "Outer",   TRUE, "Inner")</f>
        <v>·</v>
      </c>
      <c r="N318" s="1" t="str">
        <f t="shared" si="892"/>
        <v>·</v>
      </c>
      <c r="O318" s="1" t="str">
        <f t="shared" si="893"/>
        <v>·</v>
      </c>
      <c r="P318" s="1" t="str">
        <f t="shared" si="894"/>
        <v>·</v>
      </c>
      <c r="Q318" s="1" cm="1">
        <f t="array" ref="Q318" xml:space="preserve"> 1 + ROW() - _xlfn.SINGLE(ROW(ChartLines.RowNum))</f>
        <v>313</v>
      </c>
      <c r="R318" s="1" t="str">
        <v>·</v>
      </c>
    </row>
    <row r="319" spans="2:18" x14ac:dyDescent="0.2">
      <c r="B319" s="1" t="s">
        <v>260</v>
      </c>
      <c r="C319" s="4" t="s">
        <v>130</v>
      </c>
      <c r="D319" t="str">
        <v>✓</v>
      </c>
      <c r="H319" s="1" t="s">
        <v>170</v>
      </c>
      <c r="I319" s="1" t="s">
        <v>446</v>
      </c>
      <c r="K319" s="1">
        <f t="shared" si="890"/>
        <v>1</v>
      </c>
      <c r="L319" s="1">
        <f t="shared" si="891"/>
        <v>1</v>
      </c>
      <c r="M319" s="1" t="str" cm="1">
        <f t="array" ref="M319" xml:space="preserve"> _xlfn.IFS(OR(LEN(_xlfn.SINGLE(ChartLines.ID))=0,"Unused"=_xlfn.SINGLE(ChartLines.ID)), "·",   1=_xlfn.SINGLE(ChartLines.NumInstances), IF("USD"=_xlfn.SINGLE(ChartLines.ID), "SoleBig", "SoleOrdinary"),   1=_xlfn.SINGLE(ChartLines.InstanceNum), "Outer",   TRUE, "Inner")</f>
        <v>SoleOrdinary</v>
      </c>
      <c r="N319" s="1">
        <f t="shared" si="892"/>
        <v>28</v>
      </c>
      <c r="O319" s="1">
        <f t="shared" si="893"/>
        <v>48</v>
      </c>
      <c r="P319" s="1">
        <f t="shared" si="894"/>
        <v>96</v>
      </c>
      <c r="Q319" s="1" cm="1">
        <f t="array" ref="Q319" xml:space="preserve"> 1 + ROW() - _xlfn.SINGLE(ROW(ChartLines.RowNum))</f>
        <v>314</v>
      </c>
      <c r="R319" s="1" t="str">
        <v>✓</v>
      </c>
    </row>
    <row r="320" spans="2:18" x14ac:dyDescent="0.2">
      <c r="B320" s="1" t="s">
        <v>261</v>
      </c>
      <c r="C320" s="4" t="s">
        <v>131</v>
      </c>
      <c r="D320" t="str">
        <v>✓</v>
      </c>
      <c r="H320" s="1" t="s">
        <v>341</v>
      </c>
      <c r="K320" s="1" t="str">
        <f t="shared" si="890"/>
        <v>·</v>
      </c>
      <c r="L320" s="1" t="str">
        <f t="shared" si="891"/>
        <v>·</v>
      </c>
      <c r="M320" s="1" t="str" cm="1">
        <f t="array" ref="M320" xml:space="preserve"> _xlfn.IFS(OR(LEN(_xlfn.SINGLE(ChartLines.ID))=0,"Unused"=_xlfn.SINGLE(ChartLines.ID)), "·",   1=_xlfn.SINGLE(ChartLines.NumInstances), IF("USD"=_xlfn.SINGLE(ChartLines.ID), "SoleBig", "SoleOrdinary"),   1=_xlfn.SINGLE(ChartLines.InstanceNum), "Outer",   TRUE, "Inner")</f>
        <v>·</v>
      </c>
      <c r="N320" s="1" t="str">
        <f t="shared" si="892"/>
        <v>·</v>
      </c>
      <c r="O320" s="1" t="str">
        <f t="shared" si="893"/>
        <v>·</v>
      </c>
      <c r="P320" s="1" t="str">
        <f t="shared" si="894"/>
        <v>·</v>
      </c>
      <c r="Q320" s="1" cm="1">
        <f t="array" ref="Q320" xml:space="preserve"> 1 + ROW() - _xlfn.SINGLE(ROW(ChartLines.RowNum))</f>
        <v>315</v>
      </c>
      <c r="R320" s="1" t="str">
        <v>·</v>
      </c>
    </row>
    <row r="321" spans="2:18" x14ac:dyDescent="0.2">
      <c r="B321" s="1" t="s">
        <v>262</v>
      </c>
      <c r="C321" s="4" t="s">
        <v>132</v>
      </c>
      <c r="D321" t="str">
        <v>✓</v>
      </c>
      <c r="H321" s="1" t="s">
        <v>171</v>
      </c>
      <c r="I321" s="1" t="s">
        <v>447</v>
      </c>
      <c r="K321" s="1">
        <f t="shared" si="890"/>
        <v>2</v>
      </c>
      <c r="L321" s="1">
        <f t="shared" si="891"/>
        <v>1</v>
      </c>
      <c r="M321" s="1" t="str" cm="1">
        <f t="array" ref="M321" xml:space="preserve"> _xlfn.IFS(OR(LEN(_xlfn.SINGLE(ChartLines.ID))=0,"Unused"=_xlfn.SINGLE(ChartLines.ID)), "·",   1=_xlfn.SINGLE(ChartLines.NumInstances), IF("USD"=_xlfn.SINGLE(ChartLines.ID), "SoleBig", "SoleOrdinary"),   1=_xlfn.SINGLE(ChartLines.InstanceNum), "Outer",   TRUE, "Inner")</f>
        <v>Outer</v>
      </c>
      <c r="N321" s="1">
        <f t="shared" si="892"/>
        <v>134</v>
      </c>
      <c r="O321" s="1">
        <f t="shared" si="893"/>
        <v>12</v>
      </c>
      <c r="P321" s="1">
        <f t="shared" si="894"/>
        <v>20</v>
      </c>
      <c r="Q321" s="1" cm="1">
        <f t="array" ref="Q321" xml:space="preserve"> 1 + ROW() - _xlfn.SINGLE(ROW(ChartLines.RowNum))</f>
        <v>316</v>
      </c>
      <c r="R321" s="1" t="str">
        <v>✓</v>
      </c>
    </row>
    <row r="322" spans="2:18" x14ac:dyDescent="0.2">
      <c r="B322" s="1" t="s">
        <v>263</v>
      </c>
      <c r="C322" s="4" t="s">
        <v>133</v>
      </c>
      <c r="D322" t="str">
        <v>✓</v>
      </c>
      <c r="H322" s="1" t="s">
        <v>171</v>
      </c>
      <c r="I322" s="1" t="s">
        <v>345</v>
      </c>
      <c r="K322" s="1">
        <f t="shared" si="890"/>
        <v>2</v>
      </c>
      <c r="L322" s="1">
        <f t="shared" si="891"/>
        <v>2</v>
      </c>
      <c r="M322" s="1" t="str" cm="1">
        <f t="array" ref="M322" xml:space="preserve"> _xlfn.IFS(OR(LEN(_xlfn.SINGLE(ChartLines.ID))=0,"Unused"=_xlfn.SINGLE(ChartLines.ID)), "·",   1=_xlfn.SINGLE(ChartLines.NumInstances), IF("USD"=_xlfn.SINGLE(ChartLines.ID), "SoleBig", "SoleOrdinary"),   1=_xlfn.SINGLE(ChartLines.InstanceNum), "Outer",   TRUE, "Inner")</f>
        <v>Inner</v>
      </c>
      <c r="N322" s="1">
        <f t="shared" si="892"/>
        <v>255</v>
      </c>
      <c r="O322" s="1">
        <f t="shared" si="893"/>
        <v>255</v>
      </c>
      <c r="P322" s="1">
        <f t="shared" si="894"/>
        <v>255</v>
      </c>
      <c r="Q322" s="1" cm="1">
        <f t="array" ref="Q322" xml:space="preserve"> 1 + ROW() - _xlfn.SINGLE(ROW(ChartLines.RowNum))</f>
        <v>317</v>
      </c>
      <c r="R322" s="1" t="str">
        <v>✓</v>
      </c>
    </row>
    <row r="323" spans="2:18" x14ac:dyDescent="0.2">
      <c r="B323" s="1" t="s">
        <v>264</v>
      </c>
      <c r="C323" s="4" t="s">
        <v>134</v>
      </c>
      <c r="D323" t="str">
        <v>✓</v>
      </c>
      <c r="H323" s="1" t="s">
        <v>172</v>
      </c>
      <c r="I323" s="1" t="str">
        <f xml:space="preserve"> "039355"</f>
        <v>039355</v>
      </c>
      <c r="K323" s="1">
        <f t="shared" si="890"/>
        <v>2</v>
      </c>
      <c r="L323" s="1">
        <f t="shared" si="891"/>
        <v>1</v>
      </c>
      <c r="M323" s="1" t="str" cm="1">
        <f t="array" ref="M323" xml:space="preserve"> _xlfn.IFS(OR(LEN(_xlfn.SINGLE(ChartLines.ID))=0,"Unused"=_xlfn.SINGLE(ChartLines.ID)), "·",   1=_xlfn.SINGLE(ChartLines.NumInstances), IF("USD"=_xlfn.SINGLE(ChartLines.ID), "SoleBig", "SoleOrdinary"),   1=_xlfn.SINGLE(ChartLines.InstanceNum), "Outer",   TRUE, "Inner")</f>
        <v>Outer</v>
      </c>
      <c r="N323" s="1">
        <f t="shared" si="892"/>
        <v>3</v>
      </c>
      <c r="O323" s="1">
        <f t="shared" si="893"/>
        <v>147</v>
      </c>
      <c r="P323" s="1">
        <f t="shared" si="894"/>
        <v>85</v>
      </c>
      <c r="Q323" s="1" cm="1">
        <f t="array" ref="Q323" xml:space="preserve"> 1 + ROW() - _xlfn.SINGLE(ROW(ChartLines.RowNum))</f>
        <v>318</v>
      </c>
      <c r="R323" s="1" t="str">
        <v>✓</v>
      </c>
    </row>
    <row r="324" spans="2:18" x14ac:dyDescent="0.2">
      <c r="B324" s="1" t="s">
        <v>265</v>
      </c>
      <c r="C324" s="4" t="s">
        <v>135</v>
      </c>
      <c r="D324" t="str">
        <v>✓</v>
      </c>
      <c r="H324" s="1" t="s">
        <v>172</v>
      </c>
      <c r="I324" s="1" t="s">
        <v>345</v>
      </c>
      <c r="K324" s="1">
        <f t="shared" si="890"/>
        <v>2</v>
      </c>
      <c r="L324" s="1">
        <f t="shared" si="891"/>
        <v>2</v>
      </c>
      <c r="M324" s="1" t="str" cm="1">
        <f t="array" ref="M324" xml:space="preserve"> _xlfn.IFS(OR(LEN(_xlfn.SINGLE(ChartLines.ID))=0,"Unused"=_xlfn.SINGLE(ChartLines.ID)), "·",   1=_xlfn.SINGLE(ChartLines.NumInstances), IF("USD"=_xlfn.SINGLE(ChartLines.ID), "SoleBig", "SoleOrdinary"),   1=_xlfn.SINGLE(ChartLines.InstanceNum), "Outer",   TRUE, "Inner")</f>
        <v>Inner</v>
      </c>
      <c r="N324" s="1">
        <f t="shared" si="892"/>
        <v>255</v>
      </c>
      <c r="O324" s="1">
        <f t="shared" si="893"/>
        <v>255</v>
      </c>
      <c r="P324" s="1">
        <f t="shared" si="894"/>
        <v>255</v>
      </c>
      <c r="Q324" s="1" cm="1">
        <f t="array" ref="Q324" xml:space="preserve"> 1 + ROW() - _xlfn.SINGLE(ROW(ChartLines.RowNum))</f>
        <v>319</v>
      </c>
      <c r="R324" s="1" t="str">
        <v>✓</v>
      </c>
    </row>
    <row r="325" spans="2:18" x14ac:dyDescent="0.2">
      <c r="B325" s="1" t="s">
        <v>266</v>
      </c>
      <c r="C325" s="4" t="s">
        <v>136</v>
      </c>
      <c r="D325" t="str">
        <v>✓</v>
      </c>
      <c r="H325" s="1" t="s">
        <v>173</v>
      </c>
      <c r="I325" s="1" t="str">
        <f xml:space="preserve"> "000000"</f>
        <v>000000</v>
      </c>
      <c r="K325" s="1">
        <f t="shared" si="890"/>
        <v>2</v>
      </c>
      <c r="L325" s="1">
        <f t="shared" si="891"/>
        <v>1</v>
      </c>
      <c r="M325" s="1" t="str" cm="1">
        <f t="array" ref="M325" xml:space="preserve"> _xlfn.IFS(OR(LEN(_xlfn.SINGLE(ChartLines.ID))=0,"Unused"=_xlfn.SINGLE(ChartLines.ID)), "·",   1=_xlfn.SINGLE(ChartLines.NumInstances), IF("USD"=_xlfn.SINGLE(ChartLines.ID), "SoleBig", "SoleOrdinary"),   1=_xlfn.SINGLE(ChartLines.InstanceNum), "Outer",   TRUE, "Inner")</f>
        <v>Outer</v>
      </c>
      <c r="N325" s="1">
        <f t="shared" si="892"/>
        <v>0</v>
      </c>
      <c r="O325" s="1">
        <f t="shared" si="893"/>
        <v>0</v>
      </c>
      <c r="P325" s="1">
        <f t="shared" si="894"/>
        <v>0</v>
      </c>
      <c r="Q325" s="1" cm="1">
        <f t="array" ref="Q325" xml:space="preserve"> 1 + ROW() - _xlfn.SINGLE(ROW(ChartLines.RowNum))</f>
        <v>320</v>
      </c>
      <c r="R325" s="1" t="str">
        <v>✓</v>
      </c>
    </row>
    <row r="326" spans="2:18" x14ac:dyDescent="0.2">
      <c r="B326" s="1" t="s">
        <v>267</v>
      </c>
      <c r="C326" s="4" t="s">
        <v>137</v>
      </c>
      <c r="D326" t="str">
        <v>✓</v>
      </c>
      <c r="H326" s="1" t="s">
        <v>173</v>
      </c>
      <c r="I326" s="1" t="str">
        <f xml:space="preserve"> "039355"</f>
        <v>039355</v>
      </c>
      <c r="K326" s="1">
        <f t="shared" si="890"/>
        <v>2</v>
      </c>
      <c r="L326" s="1">
        <f t="shared" si="891"/>
        <v>2</v>
      </c>
      <c r="M326" s="1" t="str" cm="1">
        <f t="array" ref="M326" xml:space="preserve"> _xlfn.IFS(OR(LEN(_xlfn.SINGLE(ChartLines.ID))=0,"Unused"=_xlfn.SINGLE(ChartLines.ID)), "·",   1=_xlfn.SINGLE(ChartLines.NumInstances), IF("USD"=_xlfn.SINGLE(ChartLines.ID), "SoleBig", "SoleOrdinary"),   1=_xlfn.SINGLE(ChartLines.InstanceNum), "Outer",   TRUE, "Inner")</f>
        <v>Inner</v>
      </c>
      <c r="N326" s="1">
        <f t="shared" si="892"/>
        <v>3</v>
      </c>
      <c r="O326" s="1">
        <f t="shared" si="893"/>
        <v>147</v>
      </c>
      <c r="P326" s="1">
        <f t="shared" si="894"/>
        <v>85</v>
      </c>
      <c r="Q326" s="1" cm="1">
        <f t="array" ref="Q326" xml:space="preserve"> 1 + ROW() - _xlfn.SINGLE(ROW(ChartLines.RowNum))</f>
        <v>321</v>
      </c>
      <c r="R326" s="1" t="str">
        <v>✓</v>
      </c>
    </row>
    <row r="327" spans="2:18" x14ac:dyDescent="0.2">
      <c r="B327" s="1" t="s">
        <v>268</v>
      </c>
      <c r="C327" s="4" t="s">
        <v>138</v>
      </c>
      <c r="D327" t="str">
        <v>✓</v>
      </c>
      <c r="H327" s="1" t="s">
        <v>174</v>
      </c>
      <c r="I327" s="1" t="s">
        <v>448</v>
      </c>
      <c r="K327" s="1">
        <f t="shared" si="890"/>
        <v>2</v>
      </c>
      <c r="L327" s="1">
        <f t="shared" si="891"/>
        <v>1</v>
      </c>
      <c r="M327" s="1" t="str" cm="1">
        <f t="array" ref="M327" xml:space="preserve"> _xlfn.IFS(OR(LEN(_xlfn.SINGLE(ChartLines.ID))=0,"Unused"=_xlfn.SINGLE(ChartLines.ID)), "·",   1=_xlfn.SINGLE(ChartLines.NumInstances), IF("USD"=_xlfn.SINGLE(ChartLines.ID), "SoleBig", "SoleOrdinary"),   1=_xlfn.SINGLE(ChartLines.InstanceNum), "Outer",   TRUE, "Inner")</f>
        <v>Outer</v>
      </c>
      <c r="N327" s="1">
        <f t="shared" si="892"/>
        <v>25</v>
      </c>
      <c r="O327" s="1">
        <f t="shared" si="893"/>
        <v>141</v>
      </c>
      <c r="P327" s="1">
        <f t="shared" si="894"/>
        <v>102</v>
      </c>
      <c r="Q327" s="1" cm="1">
        <f t="array" ref="Q327" xml:space="preserve"> 1 + ROW() - _xlfn.SINGLE(ROW(ChartLines.RowNum))</f>
        <v>322</v>
      </c>
      <c r="R327" s="1" t="str">
        <v>✓</v>
      </c>
    </row>
    <row r="328" spans="2:18" x14ac:dyDescent="0.2">
      <c r="B328" s="1" t="s">
        <v>269</v>
      </c>
      <c r="C328" s="4" t="s">
        <v>139</v>
      </c>
      <c r="D328" t="str">
        <v>✓</v>
      </c>
      <c r="H328" s="1" t="s">
        <v>174</v>
      </c>
      <c r="I328" s="1" t="s">
        <v>449</v>
      </c>
      <c r="K328" s="1">
        <f t="shared" ref="K328" si="895" xml:space="preserve"> IF(AND(LEN(ChartLines.ID)&gt;0,"Unused"&lt;&gt;ChartLines.ID), COUNTIFS(ChartLines.ID,ChartLines.ID), "·")</f>
        <v>2</v>
      </c>
      <c r="L328" s="1">
        <f t="shared" ref="L328" si="896" xml:space="preserve"> IF(AND(LEN(ChartLines.ID)&gt;0,"Unused"&lt;&gt;ChartLines.ID), COUNTIFS(ChartLines.ID,ChartLines.ID,   ChartLines.RowNum,"&lt;="&amp;ChartLines.RowNum), "·")</f>
        <v>2</v>
      </c>
      <c r="M328" s="1" t="str" cm="1">
        <f t="array" ref="M328" xml:space="preserve"> _xlfn.IFS(OR(LEN(_xlfn.SINGLE(ChartLines.ID))=0,"Unused"=_xlfn.SINGLE(ChartLines.ID)), "·",   1=_xlfn.SINGLE(ChartLines.NumInstances), IF("USD"=_xlfn.SINGLE(ChartLines.ID), "SoleBig", "SoleOrdinary"),   1=_xlfn.SINGLE(ChartLines.InstanceNum), "Outer",   TRUE, "Inner")</f>
        <v>Inner</v>
      </c>
      <c r="N328" s="1">
        <f t="shared" ref="N328" si="897" xml:space="preserve"> IF(LEN(ChartLines.Hex6)=6, HEX2DEC(LEFT(ChartLines.Hex6, 2)), "·")</f>
        <v>252</v>
      </c>
      <c r="O328" s="1">
        <f t="shared" ref="O328" si="898" xml:space="preserve"> IF(LEN(ChartLines.Hex6)=6, HEX2DEC(MID(ChartLines.Hex6, 3, 2)), "·")</f>
        <v>185</v>
      </c>
      <c r="P328" s="1">
        <f t="shared" ref="P328" si="899" xml:space="preserve"> IF(LEN(ChartLines.Hex6)=6, HEX2DEC(RIGHT(ChartLines.Hex6, 2)), "·")</f>
        <v>14</v>
      </c>
      <c r="Q328" s="1" cm="1">
        <f t="array" ref="Q328" xml:space="preserve"> 1 + ROW() - _xlfn.SINGLE(ROW(ChartLines.RowNum))</f>
        <v>323</v>
      </c>
      <c r="R328" s="1" t="str">
        <v>✓</v>
      </c>
    </row>
    <row r="329" spans="2:18" x14ac:dyDescent="0.2">
      <c r="B329" s="1" t="s">
        <v>270</v>
      </c>
      <c r="C329" s="4" t="s">
        <v>140</v>
      </c>
      <c r="D329" t="str">
        <v>✓</v>
      </c>
      <c r="H329" s="1" t="s">
        <v>175</v>
      </c>
      <c r="I329" s="1" t="str">
        <f xml:space="preserve"> "005073"</f>
        <v>005073</v>
      </c>
      <c r="K329" s="1">
        <f t="shared" ref="K329" si="900" xml:space="preserve"> IF(AND(LEN(ChartLines.ID)&gt;0,"Unused"&lt;&gt;ChartLines.ID), COUNTIFS(ChartLines.ID,ChartLines.ID), "·")</f>
        <v>2</v>
      </c>
      <c r="L329" s="1">
        <f t="shared" ref="L329" si="901" xml:space="preserve"> IF(AND(LEN(ChartLines.ID)&gt;0,"Unused"&lt;&gt;ChartLines.ID), COUNTIFS(ChartLines.ID,ChartLines.ID,   ChartLines.RowNum,"&lt;="&amp;ChartLines.RowNum), "·")</f>
        <v>1</v>
      </c>
      <c r="M329" s="1" t="str" cm="1">
        <f t="array" ref="M329" xml:space="preserve"> _xlfn.IFS(OR(LEN(_xlfn.SINGLE(ChartLines.ID))=0,"Unused"=_xlfn.SINGLE(ChartLines.ID)), "·",   1=_xlfn.SINGLE(ChartLines.NumInstances), IF("USD"=_xlfn.SINGLE(ChartLines.ID), "SoleBig", "SoleOrdinary"),   1=_xlfn.SINGLE(ChartLines.InstanceNum), "Outer",   TRUE, "Inner")</f>
        <v>Outer</v>
      </c>
      <c r="N329" s="1">
        <f t="shared" ref="N329" si="902" xml:space="preserve"> IF(LEN(ChartLines.Hex6)=6, HEX2DEC(LEFT(ChartLines.Hex6, 2)), "·")</f>
        <v>0</v>
      </c>
      <c r="O329" s="1">
        <f t="shared" ref="O329" si="903" xml:space="preserve"> IF(LEN(ChartLines.Hex6)=6, HEX2DEC(MID(ChartLines.Hex6, 3, 2)), "·")</f>
        <v>80</v>
      </c>
      <c r="P329" s="1">
        <f t="shared" ref="P329" si="904" xml:space="preserve"> IF(LEN(ChartLines.Hex6)=6, HEX2DEC(RIGHT(ChartLines.Hex6, 2)), "·")</f>
        <v>115</v>
      </c>
      <c r="Q329" s="1" cm="1">
        <f t="array" ref="Q329" xml:space="preserve"> 1 + ROW() - _xlfn.SINGLE(ROW(ChartLines.RowNum))</f>
        <v>324</v>
      </c>
      <c r="R329" s="1" t="str">
        <v>✓</v>
      </c>
    </row>
    <row r="330" spans="2:18" x14ac:dyDescent="0.2">
      <c r="B330" s="1" t="s">
        <v>271</v>
      </c>
      <c r="C330" s="4" t="s">
        <v>141</v>
      </c>
      <c r="D330" t="str">
        <v>✓</v>
      </c>
      <c r="H330" s="1" t="s">
        <v>175</v>
      </c>
      <c r="I330" s="1" t="s">
        <v>345</v>
      </c>
      <c r="K330" s="1">
        <f t="shared" ref="K330" si="905" xml:space="preserve"> IF(AND(LEN(ChartLines.ID)&gt;0,"Unused"&lt;&gt;ChartLines.ID), COUNTIFS(ChartLines.ID,ChartLines.ID), "·")</f>
        <v>2</v>
      </c>
      <c r="L330" s="1">
        <f t="shared" ref="L330" si="906" xml:space="preserve"> IF(AND(LEN(ChartLines.ID)&gt;0,"Unused"&lt;&gt;ChartLines.ID), COUNTIFS(ChartLines.ID,ChartLines.ID,   ChartLines.RowNum,"&lt;="&amp;ChartLines.RowNum), "·")</f>
        <v>2</v>
      </c>
      <c r="M330" s="1" t="str" cm="1">
        <f t="array" ref="M330" xml:space="preserve"> _xlfn.IFS(OR(LEN(_xlfn.SINGLE(ChartLines.ID))=0,"Unused"=_xlfn.SINGLE(ChartLines.ID)), "·",   1=_xlfn.SINGLE(ChartLines.NumInstances), IF("USD"=_xlfn.SINGLE(ChartLines.ID), "SoleBig", "SoleOrdinary"),   1=_xlfn.SINGLE(ChartLines.InstanceNum), "Outer",   TRUE, "Inner")</f>
        <v>Inner</v>
      </c>
      <c r="N330" s="1">
        <f t="shared" ref="N330" si="907" xml:space="preserve"> IF(LEN(ChartLines.Hex6)=6, HEX2DEC(LEFT(ChartLines.Hex6, 2)), "·")</f>
        <v>255</v>
      </c>
      <c r="O330" s="1">
        <f t="shared" ref="O330" si="908" xml:space="preserve"> IF(LEN(ChartLines.Hex6)=6, HEX2DEC(MID(ChartLines.Hex6, 3, 2)), "·")</f>
        <v>255</v>
      </c>
      <c r="P330" s="1">
        <f t="shared" ref="P330" si="909" xml:space="preserve"> IF(LEN(ChartLines.Hex6)=6, HEX2DEC(RIGHT(ChartLines.Hex6, 2)), "·")</f>
        <v>255</v>
      </c>
      <c r="Q330" s="1" cm="1">
        <f t="array" ref="Q330" xml:space="preserve"> 1 + ROW() - _xlfn.SINGLE(ROW(ChartLines.RowNum))</f>
        <v>325</v>
      </c>
      <c r="R330" s="1" t="str">
        <v>✓</v>
      </c>
    </row>
    <row r="331" spans="2:18" x14ac:dyDescent="0.2">
      <c r="B331" s="1" t="s">
        <v>272</v>
      </c>
      <c r="C331" s="4" t="s">
        <v>142</v>
      </c>
      <c r="D331" t="str">
        <v>✓</v>
      </c>
      <c r="H331" s="1" t="s">
        <v>176</v>
      </c>
      <c r="I331" s="1" t="s">
        <v>450</v>
      </c>
      <c r="K331" s="1">
        <f t="shared" ref="K331" si="910" xml:space="preserve"> IF(AND(LEN(ChartLines.ID)&gt;0,"Unused"&lt;&gt;ChartLines.ID), COUNTIFS(ChartLines.ID,ChartLines.ID), "·")</f>
        <v>2</v>
      </c>
      <c r="L331" s="1">
        <f t="shared" ref="L331" si="911" xml:space="preserve"> IF(AND(LEN(ChartLines.ID)&gt;0,"Unused"&lt;&gt;ChartLines.ID), COUNTIFS(ChartLines.ID,ChartLines.ID,   ChartLines.RowNum,"&lt;="&amp;ChartLines.RowNum), "·")</f>
        <v>1</v>
      </c>
      <c r="M331" s="1" t="str" cm="1">
        <f t="array" ref="M331" xml:space="preserve"> _xlfn.IFS(OR(LEN(_xlfn.SINGLE(ChartLines.ID))=0,"Unused"=_xlfn.SINGLE(ChartLines.ID)), "·",   1=_xlfn.SINGLE(ChartLines.NumInstances), IF("USD"=_xlfn.SINGLE(ChartLines.ID), "SoleBig", "SoleOrdinary"),   1=_xlfn.SINGLE(ChartLines.InstanceNum), "Outer",   TRUE, "Inner")</f>
        <v>Outer</v>
      </c>
      <c r="N331" s="1">
        <f t="shared" ref="N331" si="912" xml:space="preserve"> IF(LEN(ChartLines.Hex6)=6, HEX2DEC(LEFT(ChartLines.Hex6, 2)), "·")</f>
        <v>43</v>
      </c>
      <c r="O331" s="1">
        <f t="shared" ref="O331" si="913" xml:space="preserve"> IF(LEN(ChartLines.Hex6)=6, HEX2DEC(MID(ChartLines.Hex6, 3, 2)), "·")</f>
        <v>206</v>
      </c>
      <c r="P331" s="1">
        <f t="shared" ref="P331" si="914" xml:space="preserve"> IF(LEN(ChartLines.Hex6)=6, HEX2DEC(RIGHT(ChartLines.Hex6, 2)), "·")</f>
        <v>117</v>
      </c>
      <c r="Q331" s="1" cm="1">
        <f t="array" ref="Q331" xml:space="preserve"> 1 + ROW() - _xlfn.SINGLE(ROW(ChartLines.RowNum))</f>
        <v>326</v>
      </c>
      <c r="R331" s="1" t="str">
        <v>✓</v>
      </c>
    </row>
    <row r="332" spans="2:18" x14ac:dyDescent="0.2">
      <c r="B332" s="1" t="s">
        <v>273</v>
      </c>
      <c r="C332" s="4" t="s">
        <v>143</v>
      </c>
      <c r="D332" t="str">
        <v>✓</v>
      </c>
      <c r="H332" s="1" t="s">
        <v>176</v>
      </c>
      <c r="I332" s="1" t="s">
        <v>451</v>
      </c>
      <c r="K332" s="1">
        <f t="shared" ref="K332" si="915" xml:space="preserve"> IF(AND(LEN(ChartLines.ID)&gt;0,"Unused"&lt;&gt;ChartLines.ID), COUNTIFS(ChartLines.ID,ChartLines.ID), "·")</f>
        <v>2</v>
      </c>
      <c r="L332" s="1">
        <f t="shared" ref="L332" si="916" xml:space="preserve"> IF(AND(LEN(ChartLines.ID)&gt;0,"Unused"&lt;&gt;ChartLines.ID), COUNTIFS(ChartLines.ID,ChartLines.ID,   ChartLines.RowNum,"&lt;="&amp;ChartLines.RowNum), "·")</f>
        <v>2</v>
      </c>
      <c r="M332" s="1" t="str" cm="1">
        <f t="array" ref="M332" xml:space="preserve"> _xlfn.IFS(OR(LEN(_xlfn.SINGLE(ChartLines.ID))=0,"Unused"=_xlfn.SINGLE(ChartLines.ID)), "·",   1=_xlfn.SINGLE(ChartLines.NumInstances), IF("USD"=_xlfn.SINGLE(ChartLines.ID), "SoleBig", "SoleOrdinary"),   1=_xlfn.SINGLE(ChartLines.InstanceNum), "Outer",   TRUE, "Inner")</f>
        <v>Inner</v>
      </c>
      <c r="N332" s="1">
        <f t="shared" ref="N332" si="917" xml:space="preserve"> IF(LEN(ChartLines.Hex6)=6, HEX2DEC(LEFT(ChartLines.Hex6, 2)), "·")</f>
        <v>0</v>
      </c>
      <c r="O332" s="1">
        <f t="shared" ref="O332" si="918" xml:space="preserve"> IF(LEN(ChartLines.Hex6)=6, HEX2DEC(MID(ChartLines.Hex6, 3, 2)), "·")</f>
        <v>70</v>
      </c>
      <c r="P332" s="1">
        <f t="shared" ref="P332" si="919" xml:space="preserve"> IF(LEN(ChartLines.Hex6)=6, HEX2DEC(RIGHT(ChartLines.Hex6, 2)), "·")</f>
        <v>194</v>
      </c>
      <c r="Q332" s="1" cm="1">
        <f t="array" ref="Q332" xml:space="preserve"> 1 + ROW() - _xlfn.SINGLE(ROW(ChartLines.RowNum))</f>
        <v>327</v>
      </c>
      <c r="R332" s="1" t="str">
        <v>✓</v>
      </c>
    </row>
    <row r="333" spans="2:18" x14ac:dyDescent="0.2">
      <c r="B333" s="1" t="s">
        <v>274</v>
      </c>
      <c r="C333" s="4" t="s">
        <v>144</v>
      </c>
      <c r="D333" t="str">
        <v>✓</v>
      </c>
      <c r="H333" s="1" t="s">
        <v>177</v>
      </c>
      <c r="I333" s="1" t="s">
        <v>452</v>
      </c>
      <c r="K333" s="1">
        <f t="shared" ref="K333" si="920" xml:space="preserve"> IF(AND(LEN(ChartLines.ID)&gt;0,"Unused"&lt;&gt;ChartLines.ID), COUNTIFS(ChartLines.ID,ChartLines.ID), "·")</f>
        <v>2</v>
      </c>
      <c r="L333" s="1">
        <f t="shared" ref="L333" si="921" xml:space="preserve"> IF(AND(LEN(ChartLines.ID)&gt;0,"Unused"&lt;&gt;ChartLines.ID), COUNTIFS(ChartLines.ID,ChartLines.ID,   ChartLines.RowNum,"&lt;="&amp;ChartLines.RowNum), "·")</f>
        <v>1</v>
      </c>
      <c r="M333" s="1" t="str" cm="1">
        <f t="array" ref="M333" xml:space="preserve"> _xlfn.IFS(OR(LEN(_xlfn.SINGLE(ChartLines.ID))=0,"Unused"=_xlfn.SINGLE(ChartLines.ID)), "·",   1=_xlfn.SINGLE(ChartLines.NumInstances), IF("USD"=_xlfn.SINGLE(ChartLines.ID), "SoleBig", "SoleOrdinary"),   1=_xlfn.SINGLE(ChartLines.InstanceNum), "Outer",   TRUE, "Inner")</f>
        <v>Outer</v>
      </c>
      <c r="N333" s="1">
        <f t="shared" ref="N333" si="922" xml:space="preserve"> IF(LEN(ChartLines.Hex6)=6, HEX2DEC(LEFT(ChartLines.Hex6, 2)), "·")</f>
        <v>239</v>
      </c>
      <c r="O333" s="1">
        <f t="shared" ref="O333" si="923" xml:space="preserve"> IF(LEN(ChartLines.Hex6)=6, HEX2DEC(MID(ChartLines.Hex6, 3, 2)), "·")</f>
        <v>190</v>
      </c>
      <c r="P333" s="1">
        <f t="shared" ref="P333" si="924" xml:space="preserve"> IF(LEN(ChartLines.Hex6)=6, HEX2DEC(RIGHT(ChartLines.Hex6, 2)), "·")</f>
        <v>32</v>
      </c>
      <c r="Q333" s="1" cm="1">
        <f t="array" ref="Q333" xml:space="preserve"> 1 + ROW() - _xlfn.SINGLE(ROW(ChartLines.RowNum))</f>
        <v>328</v>
      </c>
      <c r="R333" s="1" t="str">
        <v>✓</v>
      </c>
    </row>
    <row r="334" spans="2:18" x14ac:dyDescent="0.2">
      <c r="B334" s="1" t="s">
        <v>275</v>
      </c>
      <c r="C334" s="4" t="s">
        <v>145</v>
      </c>
      <c r="D334" t="str">
        <v>✓</v>
      </c>
      <c r="H334" s="1" t="s">
        <v>177</v>
      </c>
      <c r="I334" s="1" t="s">
        <v>453</v>
      </c>
      <c r="K334" s="1">
        <f t="shared" ref="K334" si="925" xml:space="preserve"> IF(AND(LEN(ChartLines.ID)&gt;0,"Unused"&lt;&gt;ChartLines.ID), COUNTIFS(ChartLines.ID,ChartLines.ID), "·")</f>
        <v>2</v>
      </c>
      <c r="L334" s="1">
        <f t="shared" ref="L334" si="926" xml:space="preserve"> IF(AND(LEN(ChartLines.ID)&gt;0,"Unused"&lt;&gt;ChartLines.ID), COUNTIFS(ChartLines.ID,ChartLines.ID,   ChartLines.RowNum,"&lt;="&amp;ChartLines.RowNum), "·")</f>
        <v>2</v>
      </c>
      <c r="M334" s="1" t="str" cm="1">
        <f t="array" ref="M334" xml:space="preserve"> _xlfn.IFS(OR(LEN(_xlfn.SINGLE(ChartLines.ID))=0,"Unused"=_xlfn.SINGLE(ChartLines.ID)), "·",   1=_xlfn.SINGLE(ChartLines.NumInstances), IF("USD"=_xlfn.SINGLE(ChartLines.ID), "SoleBig", "SoleOrdinary"),   1=_xlfn.SINGLE(ChartLines.InstanceNum), "Outer",   TRUE, "Inner")</f>
        <v>Inner</v>
      </c>
      <c r="N334" s="1">
        <f t="shared" ref="N334" si="927" xml:space="preserve"> IF(LEN(ChartLines.Hex6)=6, HEX2DEC(LEFT(ChartLines.Hex6, 2)), "·")</f>
        <v>11</v>
      </c>
      <c r="O334" s="1">
        <f t="shared" ref="O334" si="928" xml:space="preserve"> IF(LEN(ChartLines.Hex6)=6, HEX2DEC(MID(ChartLines.Hex6, 3, 2)), "·")</f>
        <v>92</v>
      </c>
      <c r="P334" s="1">
        <f t="shared" ref="P334" si="929" xml:space="preserve"> IF(LEN(ChartLines.Hex6)=6, HEX2DEC(RIGHT(ChartLines.Hex6, 2)), "·")</f>
        <v>174</v>
      </c>
      <c r="Q334" s="1" cm="1">
        <f t="array" ref="Q334" xml:space="preserve"> 1 + ROW() - _xlfn.SINGLE(ROW(ChartLines.RowNum))</f>
        <v>329</v>
      </c>
      <c r="R334" s="1" t="str">
        <v>✓</v>
      </c>
    </row>
    <row r="335" spans="2:18" x14ac:dyDescent="0.2">
      <c r="B335" s="1" t="s">
        <v>276</v>
      </c>
      <c r="C335" s="4" t="s">
        <v>145</v>
      </c>
      <c r="D335" t="str">
        <v>✓</v>
      </c>
      <c r="H335" s="1" t="s">
        <v>178</v>
      </c>
      <c r="I335" s="1" t="str">
        <f xml:space="preserve"> "056839"</f>
        <v>056839</v>
      </c>
      <c r="K335" s="1">
        <f t="shared" ref="K335" si="930" xml:space="preserve"> IF(AND(LEN(ChartLines.ID)&gt;0,"Unused"&lt;&gt;ChartLines.ID), COUNTIFS(ChartLines.ID,ChartLines.ID), "·")</f>
        <v>2</v>
      </c>
      <c r="L335" s="1">
        <f t="shared" ref="L335" si="931" xml:space="preserve"> IF(AND(LEN(ChartLines.ID)&gt;0,"Unused"&lt;&gt;ChartLines.ID), COUNTIFS(ChartLines.ID,ChartLines.ID,   ChartLines.RowNum,"&lt;="&amp;ChartLines.RowNum), "·")</f>
        <v>1</v>
      </c>
      <c r="M335" s="1" t="str" cm="1">
        <f t="array" ref="M335" xml:space="preserve"> _xlfn.IFS(OR(LEN(_xlfn.SINGLE(ChartLines.ID))=0,"Unused"=_xlfn.SINGLE(ChartLines.ID)), "·",   1=_xlfn.SINGLE(ChartLines.NumInstances), IF("USD"=_xlfn.SINGLE(ChartLines.ID), "SoleBig", "SoleOrdinary"),   1=_xlfn.SINGLE(ChartLines.InstanceNum), "Outer",   TRUE, "Inner")</f>
        <v>Outer</v>
      </c>
      <c r="N335" s="1">
        <f t="shared" ref="N335" si="932" xml:space="preserve"> IF(LEN(ChartLines.Hex6)=6, HEX2DEC(LEFT(ChartLines.Hex6, 2)), "·")</f>
        <v>5</v>
      </c>
      <c r="O335" s="1">
        <f t="shared" ref="O335" si="933" xml:space="preserve"> IF(LEN(ChartLines.Hex6)=6, HEX2DEC(MID(ChartLines.Hex6, 3, 2)), "·")</f>
        <v>104</v>
      </c>
      <c r="P335" s="1">
        <f t="shared" ref="P335" si="934" xml:space="preserve"> IF(LEN(ChartLines.Hex6)=6, HEX2DEC(RIGHT(ChartLines.Hex6, 2)), "·")</f>
        <v>57</v>
      </c>
      <c r="Q335" s="1" cm="1">
        <f t="array" ref="Q335" xml:space="preserve"> 1 + ROW() - _xlfn.SINGLE(ROW(ChartLines.RowNum))</f>
        <v>330</v>
      </c>
      <c r="R335" s="1" t="str">
        <v>✓</v>
      </c>
    </row>
    <row r="336" spans="2:18" x14ac:dyDescent="0.2">
      <c r="B336" s="1" t="s">
        <v>277</v>
      </c>
      <c r="C336" s="4" t="s">
        <v>146</v>
      </c>
      <c r="D336" t="str">
        <v>✓</v>
      </c>
      <c r="H336" s="1" t="s">
        <v>178</v>
      </c>
      <c r="I336" s="1" t="s">
        <v>454</v>
      </c>
      <c r="K336" s="1">
        <f t="shared" ref="K336" si="935" xml:space="preserve"> IF(AND(LEN(ChartLines.ID)&gt;0,"Unused"&lt;&gt;ChartLines.ID), COUNTIFS(ChartLines.ID,ChartLines.ID), "·")</f>
        <v>2</v>
      </c>
      <c r="L336" s="1">
        <f t="shared" ref="L336" si="936" xml:space="preserve"> IF(AND(LEN(ChartLines.ID)&gt;0,"Unused"&lt;&gt;ChartLines.ID), COUNTIFS(ChartLines.ID,ChartLines.ID,   ChartLines.RowNum,"&lt;="&amp;ChartLines.RowNum), "·")</f>
        <v>2</v>
      </c>
      <c r="M336" s="1" t="str" cm="1">
        <f t="array" ref="M336" xml:space="preserve"> _xlfn.IFS(OR(LEN(_xlfn.SINGLE(ChartLines.ID))=0,"Unused"=_xlfn.SINGLE(ChartLines.ID)), "·",   1=_xlfn.SINGLE(ChartLines.NumInstances), IF("USD"=_xlfn.SINGLE(ChartLines.ID), "SoleBig", "SoleOrdinary"),   1=_xlfn.SINGLE(ChartLines.InstanceNum), "Outer",   TRUE, "Inner")</f>
        <v>Inner</v>
      </c>
      <c r="N336" s="1">
        <f t="shared" ref="N336" si="937" xml:space="preserve"> IF(LEN(ChartLines.Hex6)=6, HEX2DEC(LEFT(ChartLines.Hex6, 2)), "·")</f>
        <v>190</v>
      </c>
      <c r="O336" s="1">
        <f t="shared" ref="O336" si="938" xml:space="preserve"> IF(LEN(ChartLines.Hex6)=6, HEX2DEC(MID(ChartLines.Hex6, 3, 2)), "·")</f>
        <v>214</v>
      </c>
      <c r="P336" s="1">
        <f t="shared" ref="P336" si="939" xml:space="preserve"> IF(LEN(ChartLines.Hex6)=6, HEX2DEC(RIGHT(ChartLines.Hex6, 2)), "·")</f>
        <v>47</v>
      </c>
      <c r="Q336" s="1" cm="1">
        <f t="array" ref="Q336" xml:space="preserve"> 1 + ROW() - _xlfn.SINGLE(ROW(ChartLines.RowNum))</f>
        <v>331</v>
      </c>
      <c r="R336" s="1" t="str">
        <v>✓</v>
      </c>
    </row>
    <row r="337" spans="2:18" x14ac:dyDescent="0.2">
      <c r="B337" s="1" t="s">
        <v>278</v>
      </c>
      <c r="C337" s="4" t="s">
        <v>147</v>
      </c>
      <c r="D337" t="str">
        <v>✓</v>
      </c>
      <c r="H337" s="1" t="s">
        <v>179</v>
      </c>
      <c r="I337" s="1" t="str">
        <f xml:space="preserve"> "000000"</f>
        <v>000000</v>
      </c>
      <c r="K337" s="1">
        <f t="shared" ref="K337" si="940" xml:space="preserve"> IF(AND(LEN(ChartLines.ID)&gt;0,"Unused"&lt;&gt;ChartLines.ID), COUNTIFS(ChartLines.ID,ChartLines.ID), "·")</f>
        <v>2</v>
      </c>
      <c r="L337" s="1">
        <f t="shared" ref="L337" si="941" xml:space="preserve"> IF(AND(LEN(ChartLines.ID)&gt;0,"Unused"&lt;&gt;ChartLines.ID), COUNTIFS(ChartLines.ID,ChartLines.ID,   ChartLines.RowNum,"&lt;="&amp;ChartLines.RowNum), "·")</f>
        <v>1</v>
      </c>
      <c r="M337" s="1" t="str" cm="1">
        <f t="array" ref="M337" xml:space="preserve"> _xlfn.IFS(OR(LEN(_xlfn.SINGLE(ChartLines.ID))=0,"Unused"=_xlfn.SINGLE(ChartLines.ID)), "·",   1=_xlfn.SINGLE(ChartLines.NumInstances), IF("USD"=_xlfn.SINGLE(ChartLines.ID), "SoleBig", "SoleOrdinary"),   1=_xlfn.SINGLE(ChartLines.InstanceNum), "Outer",   TRUE, "Inner")</f>
        <v>Outer</v>
      </c>
      <c r="N337" s="1">
        <f t="shared" ref="N337" si="942" xml:space="preserve"> IF(LEN(ChartLines.Hex6)=6, HEX2DEC(LEFT(ChartLines.Hex6, 2)), "·")</f>
        <v>0</v>
      </c>
      <c r="O337" s="1">
        <f t="shared" ref="O337" si="943" xml:space="preserve"> IF(LEN(ChartLines.Hex6)=6, HEX2DEC(MID(ChartLines.Hex6, 3, 2)), "·")</f>
        <v>0</v>
      </c>
      <c r="P337" s="1">
        <f t="shared" ref="P337" si="944" xml:space="preserve"> IF(LEN(ChartLines.Hex6)=6, HEX2DEC(RIGHT(ChartLines.Hex6, 2)), "·")</f>
        <v>0</v>
      </c>
      <c r="Q337" s="1" cm="1">
        <f t="array" ref="Q337" xml:space="preserve"> 1 + ROW() - _xlfn.SINGLE(ROW(ChartLines.RowNum))</f>
        <v>332</v>
      </c>
      <c r="R337" s="1" t="str">
        <v>✓</v>
      </c>
    </row>
    <row r="338" spans="2:18" x14ac:dyDescent="0.2">
      <c r="B338" s="1" t="s">
        <v>279</v>
      </c>
      <c r="C338" s="4" t="s">
        <v>148</v>
      </c>
      <c r="D338" t="str">
        <v>✓</v>
      </c>
      <c r="H338" s="1" t="s">
        <v>179</v>
      </c>
      <c r="I338" s="1" t="s">
        <v>345</v>
      </c>
      <c r="K338" s="1">
        <f t="shared" ref="K338" si="945" xml:space="preserve"> IF(AND(LEN(ChartLines.ID)&gt;0,"Unused"&lt;&gt;ChartLines.ID), COUNTIFS(ChartLines.ID,ChartLines.ID), "·")</f>
        <v>2</v>
      </c>
      <c r="L338" s="1">
        <f t="shared" ref="L338" si="946" xml:space="preserve"> IF(AND(LEN(ChartLines.ID)&gt;0,"Unused"&lt;&gt;ChartLines.ID), COUNTIFS(ChartLines.ID,ChartLines.ID,   ChartLines.RowNum,"&lt;="&amp;ChartLines.RowNum), "·")</f>
        <v>2</v>
      </c>
      <c r="M338" s="1" t="str" cm="1">
        <f t="array" ref="M338" xml:space="preserve"> _xlfn.IFS(OR(LEN(_xlfn.SINGLE(ChartLines.ID))=0,"Unused"=_xlfn.SINGLE(ChartLines.ID)), "·",   1=_xlfn.SINGLE(ChartLines.NumInstances), IF("USD"=_xlfn.SINGLE(ChartLines.ID), "SoleBig", "SoleOrdinary"),   1=_xlfn.SINGLE(ChartLines.InstanceNum), "Outer",   TRUE, "Inner")</f>
        <v>Inner</v>
      </c>
      <c r="N338" s="1">
        <f t="shared" ref="N338" si="947" xml:space="preserve"> IF(LEN(ChartLines.Hex6)=6, HEX2DEC(LEFT(ChartLines.Hex6, 2)), "·")</f>
        <v>255</v>
      </c>
      <c r="O338" s="1">
        <f t="shared" ref="O338" si="948" xml:space="preserve"> IF(LEN(ChartLines.Hex6)=6, HEX2DEC(MID(ChartLines.Hex6, 3, 2)), "·")</f>
        <v>255</v>
      </c>
      <c r="P338" s="1">
        <f t="shared" ref="P338" si="949" xml:space="preserve"> IF(LEN(ChartLines.Hex6)=6, HEX2DEC(RIGHT(ChartLines.Hex6, 2)), "·")</f>
        <v>255</v>
      </c>
      <c r="Q338" s="1" cm="1">
        <f t="array" ref="Q338" xml:space="preserve"> 1 + ROW() - _xlfn.SINGLE(ROW(ChartLines.RowNum))</f>
        <v>333</v>
      </c>
      <c r="R338" s="1" t="str">
        <v>✓</v>
      </c>
    </row>
    <row r="339" spans="2:18" x14ac:dyDescent="0.2">
      <c r="B339" s="1" t="s">
        <v>280</v>
      </c>
      <c r="C339" s="4" t="s">
        <v>149</v>
      </c>
      <c r="D339" t="str">
        <v>✓</v>
      </c>
      <c r="H339" s="1" t="s">
        <v>180</v>
      </c>
      <c r="I339" s="1" t="s">
        <v>455</v>
      </c>
      <c r="K339" s="1">
        <f t="shared" ref="K339" si="950" xml:space="preserve"> IF(AND(LEN(ChartLines.ID)&gt;0,"Unused"&lt;&gt;ChartLines.ID), COUNTIFS(ChartLines.ID,ChartLines.ID), "·")</f>
        <v>1</v>
      </c>
      <c r="L339" s="1">
        <f t="shared" ref="L339" si="951" xml:space="preserve"> IF(AND(LEN(ChartLines.ID)&gt;0,"Unused"&lt;&gt;ChartLines.ID), COUNTIFS(ChartLines.ID,ChartLines.ID,   ChartLines.RowNum,"&lt;="&amp;ChartLines.RowNum), "·")</f>
        <v>1</v>
      </c>
      <c r="M339" s="1" t="str" cm="1">
        <f t="array" ref="M339" xml:space="preserve"> _xlfn.IFS(OR(LEN(_xlfn.SINGLE(ChartLines.ID))=0,"Unused"=_xlfn.SINGLE(ChartLines.ID)), "·",   1=_xlfn.SINGLE(ChartLines.NumInstances), IF("USD"=_xlfn.SINGLE(ChartLines.ID), "SoleBig", "SoleOrdinary"),   1=_xlfn.SINGLE(ChartLines.InstanceNum), "Outer",   TRUE, "Inner")</f>
        <v>SoleOrdinary</v>
      </c>
      <c r="N339" s="1">
        <f t="shared" ref="N339" si="952" xml:space="preserve"> IF(LEN(ChartLines.Hex6)=6, HEX2DEC(LEFT(ChartLines.Hex6, 2)), "·")</f>
        <v>0</v>
      </c>
      <c r="O339" s="1">
        <f t="shared" ref="O339" si="953" xml:space="preserve"> IF(LEN(ChartLines.Hex6)=6, HEX2DEC(MID(ChartLines.Hex6, 3, 2)), "·")</f>
        <v>76</v>
      </c>
      <c r="P339" s="1">
        <f t="shared" ref="P339" si="954" xml:space="preserve"> IF(LEN(ChartLines.Hex6)=6, HEX2DEC(RIGHT(ChartLines.Hex6, 2)), "·")</f>
        <v>151</v>
      </c>
      <c r="Q339" s="1" cm="1">
        <f t="array" ref="Q339" xml:space="preserve"> 1 + ROW() - _xlfn.SINGLE(ROW(ChartLines.RowNum))</f>
        <v>334</v>
      </c>
      <c r="R339" s="1" t="str">
        <v>✓</v>
      </c>
    </row>
    <row r="340" spans="2:18" x14ac:dyDescent="0.2">
      <c r="B340" s="1" t="s">
        <v>281</v>
      </c>
      <c r="C340" s="4" t="s">
        <v>149</v>
      </c>
      <c r="D340" t="str">
        <v>✓</v>
      </c>
      <c r="H340" s="1" t="s">
        <v>341</v>
      </c>
      <c r="K340" s="1" t="str">
        <f t="shared" ref="K340" si="955" xml:space="preserve"> IF(AND(LEN(ChartLines.ID)&gt;0,"Unused"&lt;&gt;ChartLines.ID), COUNTIFS(ChartLines.ID,ChartLines.ID), "·")</f>
        <v>·</v>
      </c>
      <c r="L340" s="1" t="str">
        <f t="shared" ref="L340" si="956" xml:space="preserve"> IF(AND(LEN(ChartLines.ID)&gt;0,"Unused"&lt;&gt;ChartLines.ID), COUNTIFS(ChartLines.ID,ChartLines.ID,   ChartLines.RowNum,"&lt;="&amp;ChartLines.RowNum), "·")</f>
        <v>·</v>
      </c>
      <c r="M340" s="1" t="str" cm="1">
        <f t="array" ref="M340" xml:space="preserve"> _xlfn.IFS(OR(LEN(_xlfn.SINGLE(ChartLines.ID))=0,"Unused"=_xlfn.SINGLE(ChartLines.ID)), "·",   1=_xlfn.SINGLE(ChartLines.NumInstances), IF("USD"=_xlfn.SINGLE(ChartLines.ID), "SoleBig", "SoleOrdinary"),   1=_xlfn.SINGLE(ChartLines.InstanceNum), "Outer",   TRUE, "Inner")</f>
        <v>·</v>
      </c>
      <c r="N340" s="1" t="str">
        <f t="shared" ref="N340" si="957" xml:space="preserve"> IF(LEN(ChartLines.Hex6)=6, HEX2DEC(LEFT(ChartLines.Hex6, 2)), "·")</f>
        <v>·</v>
      </c>
      <c r="O340" s="1" t="str">
        <f t="shared" ref="O340" si="958" xml:space="preserve"> IF(LEN(ChartLines.Hex6)=6, HEX2DEC(MID(ChartLines.Hex6, 3, 2)), "·")</f>
        <v>·</v>
      </c>
      <c r="P340" s="1" t="str">
        <f t="shared" ref="P340" si="959" xml:space="preserve"> IF(LEN(ChartLines.Hex6)=6, HEX2DEC(RIGHT(ChartLines.Hex6, 2)), "·")</f>
        <v>·</v>
      </c>
      <c r="Q340" s="1" cm="1">
        <f t="array" ref="Q340" xml:space="preserve"> 1 + ROW() - _xlfn.SINGLE(ROW(ChartLines.RowNum))</f>
        <v>335</v>
      </c>
      <c r="R340" s="1" t="str">
        <v>·</v>
      </c>
    </row>
    <row r="341" spans="2:18" x14ac:dyDescent="0.2">
      <c r="B341" s="1" t="s">
        <v>282</v>
      </c>
      <c r="C341" s="4" t="s">
        <v>149</v>
      </c>
      <c r="D341" t="str">
        <v>✓</v>
      </c>
      <c r="K341" s="1" t="str">
        <f t="shared" ref="K341" si="960" xml:space="preserve"> IF(AND(LEN(ChartLines.ID)&gt;0,"Unused"&lt;&gt;ChartLines.ID), COUNTIFS(ChartLines.ID,ChartLines.ID), "·")</f>
        <v>·</v>
      </c>
      <c r="L341" s="1" t="str">
        <f t="shared" ref="L341" si="961" xml:space="preserve"> IF(AND(LEN(ChartLines.ID)&gt;0,"Unused"&lt;&gt;ChartLines.ID), COUNTIFS(ChartLines.ID,ChartLines.ID,   ChartLines.RowNum,"&lt;="&amp;ChartLines.RowNum), "·")</f>
        <v>·</v>
      </c>
      <c r="M341" s="1" t="str" cm="1">
        <f t="array" ref="M341" xml:space="preserve"> _xlfn.IFS(OR(LEN(_xlfn.SINGLE(ChartLines.ID))=0,"Unused"=_xlfn.SINGLE(ChartLines.ID)), "·",   1=_xlfn.SINGLE(ChartLines.NumInstances), IF("USD"=_xlfn.SINGLE(ChartLines.ID), "SoleBig", "SoleOrdinary"),   1=_xlfn.SINGLE(ChartLines.InstanceNum), "Outer",   TRUE, "Inner")</f>
        <v>·</v>
      </c>
      <c r="N341" s="1" t="str">
        <f t="shared" ref="N341" si="962" xml:space="preserve"> IF(LEN(ChartLines.Hex6)=6, HEX2DEC(LEFT(ChartLines.Hex6, 2)), "·")</f>
        <v>·</v>
      </c>
      <c r="O341" s="1" t="str">
        <f t="shared" ref="O341" si="963" xml:space="preserve"> IF(LEN(ChartLines.Hex6)=6, HEX2DEC(MID(ChartLines.Hex6, 3, 2)), "·")</f>
        <v>·</v>
      </c>
      <c r="P341" s="1" t="str">
        <f t="shared" ref="P341" si="964" xml:space="preserve"> IF(LEN(ChartLines.Hex6)=6, HEX2DEC(RIGHT(ChartLines.Hex6, 2)), "·")</f>
        <v>·</v>
      </c>
      <c r="Q341" s="1" cm="1">
        <f t="array" ref="Q341" xml:space="preserve"> 1 + ROW() - _xlfn.SINGLE(ROW(ChartLines.RowNum))</f>
        <v>336</v>
      </c>
      <c r="R341" s="1" t="str">
        <v>·</v>
      </c>
    </row>
    <row r="342" spans="2:18" x14ac:dyDescent="0.2">
      <c r="B342" s="1" t="s">
        <v>283</v>
      </c>
      <c r="C342" s="4" t="s">
        <v>149</v>
      </c>
      <c r="D342" t="str">
        <v>✓</v>
      </c>
      <c r="H342" s="1" t="s">
        <v>181</v>
      </c>
      <c r="I342" s="1" t="str">
        <f xml:space="preserve"> "996515"</f>
        <v>996515</v>
      </c>
      <c r="K342" s="1">
        <f t="shared" ref="K342" si="965" xml:space="preserve"> IF(AND(LEN(ChartLines.ID)&gt;0,"Unused"&lt;&gt;ChartLines.ID), COUNTIFS(ChartLines.ID,ChartLines.ID), "·")</f>
        <v>2</v>
      </c>
      <c r="L342" s="1">
        <f t="shared" ref="L342" si="966" xml:space="preserve"> IF(AND(LEN(ChartLines.ID)&gt;0,"Unused"&lt;&gt;ChartLines.ID), COUNTIFS(ChartLines.ID,ChartLines.ID,   ChartLines.RowNum,"&lt;="&amp;ChartLines.RowNum), "·")</f>
        <v>1</v>
      </c>
      <c r="M342" s="1" t="str" cm="1">
        <f t="array" ref="M342" xml:space="preserve"> _xlfn.IFS(OR(LEN(_xlfn.SINGLE(ChartLines.ID))=0,"Unused"=_xlfn.SINGLE(ChartLines.ID)), "·",   1=_xlfn.SINGLE(ChartLines.NumInstances), IF("USD"=_xlfn.SINGLE(ChartLines.ID), "SoleBig", "SoleOrdinary"),   1=_xlfn.SINGLE(ChartLines.InstanceNum), "Outer",   TRUE, "Inner")</f>
        <v>Outer</v>
      </c>
      <c r="N342" s="1">
        <f t="shared" ref="N342" si="967" xml:space="preserve"> IF(LEN(ChartLines.Hex6)=6, HEX2DEC(LEFT(ChartLines.Hex6, 2)), "·")</f>
        <v>153</v>
      </c>
      <c r="O342" s="1">
        <f t="shared" ref="O342" si="968" xml:space="preserve"> IF(LEN(ChartLines.Hex6)=6, HEX2DEC(MID(ChartLines.Hex6, 3, 2)), "·")</f>
        <v>101</v>
      </c>
      <c r="P342" s="1">
        <f t="shared" ref="P342" si="969" xml:space="preserve"> IF(LEN(ChartLines.Hex6)=6, HEX2DEC(RIGHT(ChartLines.Hex6, 2)), "·")</f>
        <v>21</v>
      </c>
      <c r="Q342" s="1" cm="1">
        <f t="array" ref="Q342" xml:space="preserve"> 1 + ROW() - _xlfn.SINGLE(ROW(ChartLines.RowNum))</f>
        <v>337</v>
      </c>
      <c r="R342" s="1" t="str">
        <v>✓</v>
      </c>
    </row>
    <row r="343" spans="2:18" x14ac:dyDescent="0.2">
      <c r="B343" s="1" t="s">
        <v>284</v>
      </c>
      <c r="C343" s="4" t="s">
        <v>149</v>
      </c>
      <c r="D343" t="str">
        <v>✓</v>
      </c>
      <c r="H343" s="1" t="s">
        <v>181</v>
      </c>
      <c r="I343" s="1" t="str">
        <f xml:space="preserve"> "D4AF37"</f>
        <v>D4AF37</v>
      </c>
      <c r="K343" s="1">
        <f t="shared" ref="K343" si="970" xml:space="preserve"> IF(AND(LEN(ChartLines.ID)&gt;0,"Unused"&lt;&gt;ChartLines.ID), COUNTIFS(ChartLines.ID,ChartLines.ID), "·")</f>
        <v>2</v>
      </c>
      <c r="L343" s="1">
        <f t="shared" ref="L343" si="971" xml:space="preserve"> IF(AND(LEN(ChartLines.ID)&gt;0,"Unused"&lt;&gt;ChartLines.ID), COUNTIFS(ChartLines.ID,ChartLines.ID,   ChartLines.RowNum,"&lt;="&amp;ChartLines.RowNum), "·")</f>
        <v>2</v>
      </c>
      <c r="M343" s="1" t="str" cm="1">
        <f t="array" ref="M343" xml:space="preserve"> _xlfn.IFS(OR(LEN(_xlfn.SINGLE(ChartLines.ID))=0,"Unused"=_xlfn.SINGLE(ChartLines.ID)), "·",   1=_xlfn.SINGLE(ChartLines.NumInstances), IF("USD"=_xlfn.SINGLE(ChartLines.ID), "SoleBig", "SoleOrdinary"),   1=_xlfn.SINGLE(ChartLines.InstanceNum), "Outer",   TRUE, "Inner")</f>
        <v>Inner</v>
      </c>
      <c r="N343" s="1">
        <f t="shared" ref="N343" si="972" xml:space="preserve"> IF(LEN(ChartLines.Hex6)=6, HEX2DEC(LEFT(ChartLines.Hex6, 2)), "·")</f>
        <v>212</v>
      </c>
      <c r="O343" s="1">
        <f t="shared" ref="O343" si="973" xml:space="preserve"> IF(LEN(ChartLines.Hex6)=6, HEX2DEC(MID(ChartLines.Hex6, 3, 2)), "·")</f>
        <v>175</v>
      </c>
      <c r="P343" s="1">
        <f t="shared" ref="P343" si="974" xml:space="preserve"> IF(LEN(ChartLines.Hex6)=6, HEX2DEC(RIGHT(ChartLines.Hex6, 2)), "·")</f>
        <v>55</v>
      </c>
      <c r="Q343" s="1" cm="1">
        <f t="array" ref="Q343" xml:space="preserve"> 1 + ROW() - _xlfn.SINGLE(ROW(ChartLines.RowNum))</f>
        <v>338</v>
      </c>
      <c r="R343" s="1" t="str">
        <v>✓</v>
      </c>
    </row>
    <row r="344" spans="2:18" x14ac:dyDescent="0.2">
      <c r="B344" s="1" t="s">
        <v>559</v>
      </c>
      <c r="C344" s="4" t="s">
        <v>554</v>
      </c>
      <c r="D344" t="str">
        <v>✓</v>
      </c>
      <c r="H344" s="1" t="s">
        <v>182</v>
      </c>
      <c r="I344" s="1" t="s">
        <v>456</v>
      </c>
      <c r="K344" s="1">
        <f t="shared" ref="K344" si="975" xml:space="preserve"> IF(AND(LEN(ChartLines.ID)&gt;0,"Unused"&lt;&gt;ChartLines.ID), COUNTIFS(ChartLines.ID,ChartLines.ID), "·")</f>
        <v>2</v>
      </c>
      <c r="L344" s="1">
        <f t="shared" ref="L344" si="976" xml:space="preserve"> IF(AND(LEN(ChartLines.ID)&gt;0,"Unused"&lt;&gt;ChartLines.ID), COUNTIFS(ChartLines.ID,ChartLines.ID,   ChartLines.RowNum,"&lt;="&amp;ChartLines.RowNum), "·")</f>
        <v>1</v>
      </c>
      <c r="M344" s="1" t="str" cm="1">
        <f t="array" ref="M344" xml:space="preserve"> _xlfn.IFS(OR(LEN(_xlfn.SINGLE(ChartLines.ID))=0,"Unused"=_xlfn.SINGLE(ChartLines.ID)), "·",   1=_xlfn.SINGLE(ChartLines.NumInstances), IF("USD"=_xlfn.SINGLE(ChartLines.ID), "SoleBig", "SoleOrdinary"),   1=_xlfn.SINGLE(ChartLines.InstanceNum), "Outer",   TRUE, "Inner")</f>
        <v>Outer</v>
      </c>
      <c r="N344" s="1">
        <f t="shared" ref="N344" si="977" xml:space="preserve"> IF(LEN(ChartLines.Hex6)=6, HEX2DEC(LEFT(ChartLines.Hex6, 2)), "·")</f>
        <v>92</v>
      </c>
      <c r="O344" s="1">
        <f t="shared" ref="O344" si="978" xml:space="preserve"> IF(LEN(ChartLines.Hex6)=6, HEX2DEC(MID(ChartLines.Hex6, 3, 2)), "·")</f>
        <v>92</v>
      </c>
      <c r="P344" s="1">
        <f t="shared" ref="P344" si="979" xml:space="preserve"> IF(LEN(ChartLines.Hex6)=6, HEX2DEC(RIGHT(ChartLines.Hex6, 2)), "·")</f>
        <v>92</v>
      </c>
      <c r="Q344" s="1" cm="1">
        <f t="array" ref="Q344" xml:space="preserve"> 1 + ROW() - _xlfn.SINGLE(ROW(ChartLines.RowNum))</f>
        <v>339</v>
      </c>
      <c r="R344" s="1" t="str">
        <v>✓</v>
      </c>
    </row>
    <row r="345" spans="2:18" x14ac:dyDescent="0.2">
      <c r="B345" s="1" t="s">
        <v>476</v>
      </c>
      <c r="C345" s="4" t="s">
        <v>475</v>
      </c>
      <c r="D345" t="str">
        <v>✓</v>
      </c>
      <c r="H345" s="1" t="s">
        <v>182</v>
      </c>
      <c r="I345" s="1" t="str">
        <f xml:space="preserve"> "C0C0C0"</f>
        <v>C0C0C0</v>
      </c>
      <c r="K345" s="1">
        <f t="shared" ref="K345" si="980" xml:space="preserve"> IF(AND(LEN(ChartLines.ID)&gt;0,"Unused"&lt;&gt;ChartLines.ID), COUNTIFS(ChartLines.ID,ChartLines.ID), "·")</f>
        <v>2</v>
      </c>
      <c r="L345" s="1">
        <f t="shared" ref="L345" si="981" xml:space="preserve"> IF(AND(LEN(ChartLines.ID)&gt;0,"Unused"&lt;&gt;ChartLines.ID), COUNTIFS(ChartLines.ID,ChartLines.ID,   ChartLines.RowNum,"&lt;="&amp;ChartLines.RowNum), "·")</f>
        <v>2</v>
      </c>
      <c r="M345" s="1" t="str" cm="1">
        <f t="array" ref="M345" xml:space="preserve"> _xlfn.IFS(OR(LEN(_xlfn.SINGLE(ChartLines.ID))=0,"Unused"=_xlfn.SINGLE(ChartLines.ID)), "·",   1=_xlfn.SINGLE(ChartLines.NumInstances), IF("USD"=_xlfn.SINGLE(ChartLines.ID), "SoleBig", "SoleOrdinary"),   1=_xlfn.SINGLE(ChartLines.InstanceNum), "Outer",   TRUE, "Inner")</f>
        <v>Inner</v>
      </c>
      <c r="N345" s="1">
        <f t="shared" ref="N345" si="982" xml:space="preserve"> IF(LEN(ChartLines.Hex6)=6, HEX2DEC(LEFT(ChartLines.Hex6, 2)), "·")</f>
        <v>192</v>
      </c>
      <c r="O345" s="1">
        <f t="shared" ref="O345" si="983" xml:space="preserve"> IF(LEN(ChartLines.Hex6)=6, HEX2DEC(MID(ChartLines.Hex6, 3, 2)), "·")</f>
        <v>192</v>
      </c>
      <c r="P345" s="1">
        <f t="shared" ref="P345" si="984" xml:space="preserve"> IF(LEN(ChartLines.Hex6)=6, HEX2DEC(RIGHT(ChartLines.Hex6, 2)), "·")</f>
        <v>192</v>
      </c>
      <c r="Q345" s="1" cm="1">
        <f t="array" ref="Q345" xml:space="preserve"> 1 + ROW() - _xlfn.SINGLE(ROW(ChartLines.RowNum))</f>
        <v>340</v>
      </c>
      <c r="R345" s="1" t="str">
        <v>✓</v>
      </c>
    </row>
    <row r="346" spans="2:18" x14ac:dyDescent="0.2">
      <c r="B346" s="1" t="s">
        <v>285</v>
      </c>
      <c r="C346" s="4" t="s">
        <v>150</v>
      </c>
      <c r="D346" t="str">
        <v>✓</v>
      </c>
      <c r="H346" s="1" t="s">
        <v>183</v>
      </c>
      <c r="I346" s="1" t="s">
        <v>457</v>
      </c>
      <c r="K346" s="1">
        <f t="shared" ref="K346" si="985" xml:space="preserve"> IF(AND(LEN(ChartLines.ID)&gt;0,"Unused"&lt;&gt;ChartLines.ID), COUNTIFS(ChartLines.ID,ChartLines.ID), "·")</f>
        <v>2</v>
      </c>
      <c r="L346" s="1">
        <f t="shared" ref="L346" si="986" xml:space="preserve"> IF(AND(LEN(ChartLines.ID)&gt;0,"Unused"&lt;&gt;ChartLines.ID), COUNTIFS(ChartLines.ID,ChartLines.ID,   ChartLines.RowNum,"&lt;="&amp;ChartLines.RowNum), "·")</f>
        <v>1</v>
      </c>
      <c r="M346" s="1" t="str" cm="1">
        <f t="array" ref="M346" xml:space="preserve"> _xlfn.IFS(OR(LEN(_xlfn.SINGLE(ChartLines.ID))=0,"Unused"=_xlfn.SINGLE(ChartLines.ID)), "·",   1=_xlfn.SINGLE(ChartLines.NumInstances), IF("USD"=_xlfn.SINGLE(ChartLines.ID), "SoleBig", "SoleOrdinary"),   1=_xlfn.SINGLE(ChartLines.InstanceNum), "Outer",   TRUE, "Inner")</f>
        <v>Outer</v>
      </c>
      <c r="N346" s="1">
        <f t="shared" ref="N346" si="987" xml:space="preserve"> IF(LEN(ChartLines.Hex6)=6, HEX2DEC(LEFT(ChartLines.Hex6, 2)), "·")</f>
        <v>217</v>
      </c>
      <c r="O346" s="1">
        <f t="shared" ref="O346" si="988" xml:space="preserve"> IF(LEN(ChartLines.Hex6)=6, HEX2DEC(MID(ChartLines.Hex6, 3, 2)), "·")</f>
        <v>91</v>
      </c>
      <c r="P346" s="1">
        <f t="shared" ref="P346" si="989" xml:space="preserve"> IF(LEN(ChartLines.Hex6)=6, HEX2DEC(RIGHT(ChartLines.Hex6, 2)), "·")</f>
        <v>20</v>
      </c>
      <c r="Q346" s="1" cm="1">
        <f t="array" ref="Q346" xml:space="preserve"> 1 + ROW() - _xlfn.SINGLE(ROW(ChartLines.RowNum))</f>
        <v>341</v>
      </c>
      <c r="R346" s="1" t="str">
        <v>✓</v>
      </c>
    </row>
    <row r="347" spans="2:18" x14ac:dyDescent="0.2">
      <c r="B347" s="1" t="s">
        <v>286</v>
      </c>
      <c r="C347" s="4" t="s">
        <v>151</v>
      </c>
      <c r="D347" t="str">
        <v>✓</v>
      </c>
      <c r="H347" s="1" t="s">
        <v>183</v>
      </c>
      <c r="I347" s="1" t="s">
        <v>458</v>
      </c>
      <c r="K347" s="1">
        <f t="shared" ref="K347" si="990" xml:space="preserve"> IF(AND(LEN(ChartLines.ID)&gt;0,"Unused"&lt;&gt;ChartLines.ID), COUNTIFS(ChartLines.ID,ChartLines.ID), "·")</f>
        <v>2</v>
      </c>
      <c r="L347" s="1">
        <f t="shared" ref="L347" si="991" xml:space="preserve"> IF(AND(LEN(ChartLines.ID)&gt;0,"Unused"&lt;&gt;ChartLines.ID), COUNTIFS(ChartLines.ID,ChartLines.ID,   ChartLines.RowNum,"&lt;="&amp;ChartLines.RowNum), "·")</f>
        <v>2</v>
      </c>
      <c r="M347" s="1" t="str" cm="1">
        <f t="array" ref="M347" xml:space="preserve"> _xlfn.IFS(OR(LEN(_xlfn.SINGLE(ChartLines.ID))=0,"Unused"=_xlfn.SINGLE(ChartLines.ID)), "·",   1=_xlfn.SINGLE(ChartLines.NumInstances), IF("USD"=_xlfn.SINGLE(ChartLines.ID), "SoleBig", "SoleOrdinary"),   1=_xlfn.SINGLE(ChartLines.InstanceNum), "Outer",   TRUE, "Inner")</f>
        <v>Inner</v>
      </c>
      <c r="N347" s="1">
        <f t="shared" ref="N347" si="992" xml:space="preserve"> IF(LEN(ChartLines.Hex6)=6, HEX2DEC(LEFT(ChartLines.Hex6, 2)), "·")</f>
        <v>199</v>
      </c>
      <c r="O347" s="1">
        <f t="shared" ref="O347" si="993" xml:space="preserve"> IF(LEN(ChartLines.Hex6)=6, HEX2DEC(MID(ChartLines.Hex6, 3, 2)), "·")</f>
        <v>199</v>
      </c>
      <c r="P347" s="1">
        <f t="shared" ref="P347" si="994" xml:space="preserve"> IF(LEN(ChartLines.Hex6)=6, HEX2DEC(RIGHT(ChartLines.Hex6, 2)), "·")</f>
        <v>199</v>
      </c>
      <c r="Q347" s="1" cm="1">
        <f t="array" ref="Q347" xml:space="preserve"> 1 + ROW() - _xlfn.SINGLE(ROW(ChartLines.RowNum))</f>
        <v>342</v>
      </c>
      <c r="R347" s="1" t="str">
        <v>✓</v>
      </c>
    </row>
    <row r="348" spans="2:18" x14ac:dyDescent="0.2">
      <c r="B348" s="1" t="s">
        <v>287</v>
      </c>
      <c r="C348" s="4" t="s">
        <v>152</v>
      </c>
      <c r="D348" t="str">
        <v>✓</v>
      </c>
    </row>
    <row r="349" spans="2:18" x14ac:dyDescent="0.2">
      <c r="B349" s="1" t="s">
        <v>288</v>
      </c>
      <c r="C349" s="4" t="s">
        <v>153</v>
      </c>
      <c r="D349" t="str">
        <v>✓</v>
      </c>
    </row>
    <row r="350" spans="2:18" x14ac:dyDescent="0.2">
      <c r="B350" s="1" t="s">
        <v>289</v>
      </c>
      <c r="C350" s="4" t="s">
        <v>154</v>
      </c>
      <c r="D350" t="str">
        <v>✓</v>
      </c>
    </row>
    <row r="351" spans="2:18" x14ac:dyDescent="0.2">
      <c r="B351" s="1" t="s">
        <v>290</v>
      </c>
      <c r="C351" s="4" t="s">
        <v>155</v>
      </c>
      <c r="D351" t="str">
        <v>✓</v>
      </c>
    </row>
    <row r="352" spans="2:18" x14ac:dyDescent="0.2">
      <c r="B352" s="1" t="s">
        <v>291</v>
      </c>
      <c r="C352" s="4" t="s">
        <v>156</v>
      </c>
      <c r="D352" t="str">
        <v>✓</v>
      </c>
    </row>
    <row r="353" spans="2:4" x14ac:dyDescent="0.2">
      <c r="B353" s="1" t="s">
        <v>292</v>
      </c>
      <c r="C353" s="4" t="s">
        <v>157</v>
      </c>
      <c r="D353" t="str">
        <v>✓</v>
      </c>
    </row>
    <row r="354" spans="2:4" x14ac:dyDescent="0.2">
      <c r="B354" s="1" t="s">
        <v>293</v>
      </c>
      <c r="C354" s="4" t="s">
        <v>158</v>
      </c>
      <c r="D354" t="str">
        <v>✓</v>
      </c>
    </row>
    <row r="355" spans="2:4" x14ac:dyDescent="0.2">
      <c r="B355" s="1" t="s">
        <v>294</v>
      </c>
      <c r="C355" s="4" t="s">
        <v>159</v>
      </c>
      <c r="D355" t="str">
        <v>✓</v>
      </c>
    </row>
    <row r="356" spans="2:4" x14ac:dyDescent="0.2">
      <c r="B356" s="1" t="s">
        <v>546</v>
      </c>
      <c r="C356" s="4" t="s">
        <v>538</v>
      </c>
      <c r="D356" t="str">
        <v>✓</v>
      </c>
    </row>
    <row r="357" spans="2:4" x14ac:dyDescent="0.2">
      <c r="B357" s="1" t="s">
        <v>295</v>
      </c>
      <c r="C357" s="4" t="s">
        <v>537</v>
      </c>
      <c r="D357" t="str">
        <v>✓</v>
      </c>
    </row>
    <row r="358" spans="2:4" x14ac:dyDescent="0.2">
      <c r="B358" s="1" t="s">
        <v>296</v>
      </c>
      <c r="C358" s="4" t="s">
        <v>160</v>
      </c>
      <c r="D358" t="str">
        <v>✓</v>
      </c>
    </row>
    <row r="359" spans="2:4" x14ac:dyDescent="0.2">
      <c r="B359" s="1" t="s">
        <v>550</v>
      </c>
      <c r="C359" s="4" t="s">
        <v>541</v>
      </c>
      <c r="D359" t="str">
        <v>✓</v>
      </c>
    </row>
    <row r="360" spans="2:4" x14ac:dyDescent="0.2">
      <c r="B360" s="1" t="s">
        <v>551</v>
      </c>
      <c r="C360" s="4" t="s">
        <v>542</v>
      </c>
      <c r="D360" t="str">
        <v>✓</v>
      </c>
    </row>
    <row r="361" spans="2:4" x14ac:dyDescent="0.2">
      <c r="B361" s="1" t="s">
        <v>297</v>
      </c>
      <c r="C361" s="4" t="s">
        <v>161</v>
      </c>
      <c r="D361" t="str">
        <v>✓</v>
      </c>
    </row>
    <row r="362" spans="2:4" x14ac:dyDescent="0.2">
      <c r="B362" s="1" t="s">
        <v>298</v>
      </c>
      <c r="C362" s="4" t="s">
        <v>162</v>
      </c>
      <c r="D362" t="str">
        <v>✓</v>
      </c>
    </row>
    <row r="363" spans="2:4" x14ac:dyDescent="0.2">
      <c r="B363" s="1" t="s">
        <v>299</v>
      </c>
      <c r="C363" s="4" t="s">
        <v>163</v>
      </c>
      <c r="D363" t="str">
        <v>✓</v>
      </c>
    </row>
    <row r="364" spans="2:4" x14ac:dyDescent="0.2">
      <c r="B364" s="1" t="s">
        <v>300</v>
      </c>
      <c r="C364" s="4" t="s">
        <v>163</v>
      </c>
      <c r="D364" t="str">
        <v>✓</v>
      </c>
    </row>
    <row r="365" spans="2:4" x14ac:dyDescent="0.2">
      <c r="B365" s="1" t="s">
        <v>301</v>
      </c>
      <c r="C365" s="4" t="s">
        <v>164</v>
      </c>
      <c r="D365" t="str">
        <v>✓</v>
      </c>
    </row>
    <row r="366" spans="2:4" x14ac:dyDescent="0.2">
      <c r="B366" s="1" t="s">
        <v>302</v>
      </c>
      <c r="C366" s="4" t="s">
        <v>165</v>
      </c>
      <c r="D366" t="str">
        <v>✓</v>
      </c>
    </row>
    <row r="367" spans="2:4" x14ac:dyDescent="0.2">
      <c r="B367" s="1" t="s">
        <v>303</v>
      </c>
      <c r="C367" s="4" t="s">
        <v>165</v>
      </c>
      <c r="D367" t="str">
        <v>✓</v>
      </c>
    </row>
    <row r="368" spans="2:4" x14ac:dyDescent="0.2">
      <c r="B368" s="1" t="s">
        <v>304</v>
      </c>
      <c r="C368" s="4" t="s">
        <v>166</v>
      </c>
      <c r="D368" t="str">
        <v>✓</v>
      </c>
    </row>
    <row r="369" spans="2:4" x14ac:dyDescent="0.2">
      <c r="B369" s="1" t="s">
        <v>305</v>
      </c>
      <c r="C369" s="4" t="s">
        <v>167</v>
      </c>
      <c r="D369" t="str">
        <v>✓</v>
      </c>
    </row>
    <row r="370" spans="2:4" x14ac:dyDescent="0.2">
      <c r="B370" s="1" t="s">
        <v>306</v>
      </c>
      <c r="C370" s="4" t="s">
        <v>167</v>
      </c>
      <c r="D370" t="str">
        <v>✓</v>
      </c>
    </row>
    <row r="371" spans="2:4" x14ac:dyDescent="0.2">
      <c r="B371" s="1" t="s">
        <v>496</v>
      </c>
      <c r="C371" s="4" t="s">
        <v>493</v>
      </c>
      <c r="D371" t="str">
        <v>✓</v>
      </c>
    </row>
    <row r="372" spans="2:4" x14ac:dyDescent="0.2">
      <c r="B372" s="1" t="s">
        <v>307</v>
      </c>
      <c r="C372" s="4" t="s">
        <v>168</v>
      </c>
      <c r="D372" t="str">
        <v>✓</v>
      </c>
    </row>
    <row r="373" spans="2:4" x14ac:dyDescent="0.2">
      <c r="B373" s="1" t="s">
        <v>483</v>
      </c>
      <c r="C373" s="4" t="s">
        <v>169</v>
      </c>
      <c r="D373" t="str">
        <v>✓</v>
      </c>
    </row>
    <row r="374" spans="2:4" x14ac:dyDescent="0.2">
      <c r="B374" s="1" t="s">
        <v>485</v>
      </c>
      <c r="C374" s="4" t="s">
        <v>169</v>
      </c>
      <c r="D374" t="str">
        <v>✓</v>
      </c>
    </row>
    <row r="375" spans="2:4" x14ac:dyDescent="0.2">
      <c r="B375" s="1" t="s">
        <v>484</v>
      </c>
      <c r="C375" s="4" t="s">
        <v>169</v>
      </c>
      <c r="D375" t="str">
        <v>✓</v>
      </c>
    </row>
    <row r="376" spans="2:4" x14ac:dyDescent="0.2">
      <c r="B376" s="1" t="s">
        <v>486</v>
      </c>
      <c r="C376" s="4" t="s">
        <v>169</v>
      </c>
      <c r="D376" t="str">
        <v>✓</v>
      </c>
    </row>
    <row r="377" spans="2:4" x14ac:dyDescent="0.2">
      <c r="B377" s="1" t="s">
        <v>494</v>
      </c>
      <c r="C377" s="4" t="s">
        <v>491</v>
      </c>
      <c r="D377" t="str">
        <v>✓</v>
      </c>
    </row>
    <row r="378" spans="2:4" x14ac:dyDescent="0.2">
      <c r="B378" s="1" t="s">
        <v>495</v>
      </c>
      <c r="C378" s="4" t="s">
        <v>491</v>
      </c>
      <c r="D378" t="str">
        <v>✓</v>
      </c>
    </row>
    <row r="379" spans="2:4" x14ac:dyDescent="0.2">
      <c r="B379" s="1" t="s">
        <v>308</v>
      </c>
      <c r="C379" s="4" t="s">
        <v>170</v>
      </c>
      <c r="D379" t="str">
        <v>✓</v>
      </c>
    </row>
    <row r="380" spans="2:4" x14ac:dyDescent="0.2">
      <c r="B380" s="1" t="s">
        <v>309</v>
      </c>
      <c r="C380" s="4" t="s">
        <v>171</v>
      </c>
      <c r="D380" t="str">
        <v>✓</v>
      </c>
    </row>
    <row r="381" spans="2:4" x14ac:dyDescent="0.2">
      <c r="B381" s="1" t="s">
        <v>310</v>
      </c>
      <c r="C381" s="4" t="s">
        <v>172</v>
      </c>
      <c r="D381" t="str">
        <v>✓</v>
      </c>
    </row>
    <row r="382" spans="2:4" x14ac:dyDescent="0.2">
      <c r="B382" s="1" t="s">
        <v>311</v>
      </c>
      <c r="C382" s="4" t="s">
        <v>173</v>
      </c>
      <c r="D382" t="str">
        <v>✓</v>
      </c>
    </row>
    <row r="383" spans="2:4" x14ac:dyDescent="0.2">
      <c r="B383" s="1" t="s">
        <v>312</v>
      </c>
      <c r="C383" s="4" t="s">
        <v>174</v>
      </c>
      <c r="D383" t="str">
        <v>✓</v>
      </c>
    </row>
    <row r="384" spans="2:4" x14ac:dyDescent="0.2">
      <c r="B384" s="1" t="s">
        <v>313</v>
      </c>
      <c r="C384" s="4" t="s">
        <v>174</v>
      </c>
      <c r="D384" t="str">
        <v>✓</v>
      </c>
    </row>
    <row r="385" spans="2:4" x14ac:dyDescent="0.2">
      <c r="B385" s="1" t="s">
        <v>314</v>
      </c>
      <c r="C385" s="4" t="s">
        <v>174</v>
      </c>
      <c r="D385" t="str">
        <v>✓</v>
      </c>
    </row>
    <row r="386" spans="2:4" x14ac:dyDescent="0.2">
      <c r="B386" s="1" t="s">
        <v>315</v>
      </c>
      <c r="C386" s="4" t="s">
        <v>175</v>
      </c>
      <c r="D386" t="str">
        <v>✓</v>
      </c>
    </row>
    <row r="387" spans="2:4" x14ac:dyDescent="0.2">
      <c r="B387" s="1" t="s">
        <v>316</v>
      </c>
      <c r="C387" s="4" t="s">
        <v>176</v>
      </c>
      <c r="D387" t="str">
        <v>✓</v>
      </c>
    </row>
    <row r="388" spans="2:4" x14ac:dyDescent="0.2">
      <c r="B388" s="1" t="s">
        <v>317</v>
      </c>
      <c r="C388" s="4" t="s">
        <v>176</v>
      </c>
      <c r="D388" t="str">
        <v>✓</v>
      </c>
    </row>
    <row r="389" spans="2:4" x14ac:dyDescent="0.2">
      <c r="B389" s="1" t="s">
        <v>318</v>
      </c>
      <c r="C389" s="4" t="s">
        <v>176</v>
      </c>
      <c r="D389" t="str">
        <v>✓</v>
      </c>
    </row>
    <row r="390" spans="2:4" x14ac:dyDescent="0.2">
      <c r="B390" s="1" t="s">
        <v>319</v>
      </c>
      <c r="C390" s="4" t="s">
        <v>177</v>
      </c>
      <c r="D390" t="str">
        <v>✓</v>
      </c>
    </row>
    <row r="391" spans="2:4" x14ac:dyDescent="0.2">
      <c r="B391" s="1" t="s">
        <v>320</v>
      </c>
      <c r="C391" s="4" t="s">
        <v>178</v>
      </c>
      <c r="D391" t="str">
        <v>✓</v>
      </c>
    </row>
    <row r="392" spans="2:4" x14ac:dyDescent="0.2">
      <c r="B392" s="1" t="s">
        <v>321</v>
      </c>
      <c r="C392" s="4" t="s">
        <v>178</v>
      </c>
      <c r="D392" t="str">
        <v>✓</v>
      </c>
    </row>
    <row r="393" spans="2:4" x14ac:dyDescent="0.2">
      <c r="B393" s="1" t="s">
        <v>322</v>
      </c>
      <c r="C393" s="4" t="s">
        <v>179</v>
      </c>
      <c r="D393" t="str">
        <v>✓</v>
      </c>
    </row>
    <row r="394" spans="2:4" x14ac:dyDescent="0.2">
      <c r="B394" s="1" t="s">
        <v>323</v>
      </c>
      <c r="C394" s="4" t="s">
        <v>179</v>
      </c>
      <c r="D394" t="str">
        <v>✓</v>
      </c>
    </row>
    <row r="395" spans="2:4" x14ac:dyDescent="0.2">
      <c r="B395" s="1" t="s">
        <v>324</v>
      </c>
      <c r="C395" s="4" t="s">
        <v>179</v>
      </c>
      <c r="D395" t="str">
        <v>✓</v>
      </c>
    </row>
    <row r="396" spans="2:4" x14ac:dyDescent="0.2">
      <c r="B396" s="1" t="s">
        <v>325</v>
      </c>
      <c r="C396" s="4" t="s">
        <v>180</v>
      </c>
      <c r="D396" t="str">
        <v>✓</v>
      </c>
    </row>
    <row r="397" spans="2:4" x14ac:dyDescent="0.2">
      <c r="B397" s="1" t="s">
        <v>326</v>
      </c>
      <c r="C397" s="4" t="s">
        <v>180</v>
      </c>
      <c r="D397" t="str">
        <v>✓</v>
      </c>
    </row>
    <row r="398" spans="2:4" x14ac:dyDescent="0.2">
      <c r="B398" s="1" t="s">
        <v>327</v>
      </c>
      <c r="C398" s="4" t="s">
        <v>180</v>
      </c>
      <c r="D398" t="str">
        <v>✓</v>
      </c>
    </row>
    <row r="399" spans="2:4" x14ac:dyDescent="0.2">
      <c r="B399" s="1" t="s">
        <v>328</v>
      </c>
      <c r="C399" s="4" t="s">
        <v>180</v>
      </c>
      <c r="D399" t="str">
        <v>✓</v>
      </c>
    </row>
    <row r="400" spans="2:4" x14ac:dyDescent="0.2">
      <c r="B400" s="1" t="s">
        <v>329</v>
      </c>
      <c r="C400" s="4" t="s">
        <v>181</v>
      </c>
      <c r="D400" t="str">
        <v>✓</v>
      </c>
    </row>
    <row r="401" spans="2:4" x14ac:dyDescent="0.2">
      <c r="B401" s="1" t="s">
        <v>330</v>
      </c>
      <c r="C401" s="4" t="s">
        <v>182</v>
      </c>
      <c r="D401" t="str">
        <v>✓</v>
      </c>
    </row>
    <row r="402" spans="2:4" x14ac:dyDescent="0.2">
      <c r="B402" s="1" t="s">
        <v>331</v>
      </c>
      <c r="C402" s="4" t="s">
        <v>183</v>
      </c>
      <c r="D402" t="str">
        <v>✓</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74</vt:i4>
      </vt:variant>
    </vt:vector>
  </HeadingPairs>
  <TitlesOfParts>
    <vt:vector size="76" baseType="lpstr">
      <vt:lpstr>Test</vt:lpstr>
      <vt:lpstr>ChartFormats</vt:lpstr>
      <vt:lpstr>AxisScaling.Major</vt:lpstr>
      <vt:lpstr>AxisScaling.Minor</vt:lpstr>
      <vt:lpstr>AxisScaling.RowNum</vt:lpstr>
      <vt:lpstr>ChartLines_Thicknesses.ExcelWeight</vt:lpstr>
      <vt:lpstr>ChartLines_Thicknesses.StrokeWidth</vt:lpstr>
      <vt:lpstr>ChartLines_Thicknesses.Text</vt:lpstr>
      <vt:lpstr>ChartLines.B</vt:lpstr>
      <vt:lpstr>ChartLines.G</vt:lpstr>
      <vt:lpstr>ChartLines.Hex6</vt:lpstr>
      <vt:lpstr>ChartLines.ID</vt:lpstr>
      <vt:lpstr>ChartLines.InstanceNum</vt:lpstr>
      <vt:lpstr>ChartLines.NumInstances</vt:lpstr>
      <vt:lpstr>ChartLines.R</vt:lpstr>
      <vt:lpstr>ChartLines.RowNum</vt:lpstr>
      <vt:lpstr>ChartLines.ThicknessText</vt:lpstr>
      <vt:lpstr>ChartMarkers.Directory</vt:lpstr>
      <vt:lpstr>ChartMarkers.Suffix</vt:lpstr>
      <vt:lpstr>SeriesFormatAlias.ID</vt:lpstr>
      <vt:lpstr>SeriesFormatAlias.SeriesName</vt:lpstr>
      <vt:lpstr>TestData_Labels.Good</vt:lpstr>
      <vt:lpstr>TestData_Labels.Label</vt:lpstr>
      <vt:lpstr>TestData_Labels.Left_X</vt:lpstr>
      <vt:lpstr>TestData_Labels.Left_Y</vt:lpstr>
      <vt:lpstr>TestData_Labels.Right_X</vt:lpstr>
      <vt:lpstr>TestData_Labels.Right_Y</vt:lpstr>
      <vt:lpstr>TestData.01Name</vt:lpstr>
      <vt:lpstr>TestData.01X</vt:lpstr>
      <vt:lpstr>TestData.01Y</vt:lpstr>
      <vt:lpstr>TestData.02Name</vt:lpstr>
      <vt:lpstr>TestData.02X</vt:lpstr>
      <vt:lpstr>TestData.02Y</vt:lpstr>
      <vt:lpstr>TestData.03Name</vt:lpstr>
      <vt:lpstr>TestData.03X</vt:lpstr>
      <vt:lpstr>TestData.03Y</vt:lpstr>
      <vt:lpstr>TestData.04Name</vt:lpstr>
      <vt:lpstr>TestData.04X</vt:lpstr>
      <vt:lpstr>TestData.04Y</vt:lpstr>
      <vt:lpstr>TestData.05Name</vt:lpstr>
      <vt:lpstr>TestData.05X</vt:lpstr>
      <vt:lpstr>TestData.05Y</vt:lpstr>
      <vt:lpstr>TestData.06Name</vt:lpstr>
      <vt:lpstr>TestData.06X</vt:lpstr>
      <vt:lpstr>TestData.06Y</vt:lpstr>
      <vt:lpstr>TestData.07Name</vt:lpstr>
      <vt:lpstr>TestData.07X</vt:lpstr>
      <vt:lpstr>TestData.07Y</vt:lpstr>
      <vt:lpstr>TestData.AxisScalingY</vt:lpstr>
      <vt:lpstr>TestData.ChartFormatLog</vt:lpstr>
      <vt:lpstr>TestData.MajorX</vt:lpstr>
      <vt:lpstr>TestData.MajorY</vt:lpstr>
      <vt:lpstr>TestData.MaxX</vt:lpstr>
      <vt:lpstr>TestData.MaxY</vt:lpstr>
      <vt:lpstr>TestData.MinorX</vt:lpstr>
      <vt:lpstr>TestData.MinorY</vt:lpstr>
      <vt:lpstr>TestData.MinX</vt:lpstr>
      <vt:lpstr>TestData.MinY</vt:lpstr>
      <vt:lpstr>TestData.RawMaxX</vt:lpstr>
      <vt:lpstr>TestData.RawMaxY</vt:lpstr>
      <vt:lpstr>TestData.RawMinX</vt:lpstr>
      <vt:lpstr>TestData.RawMinY</vt:lpstr>
      <vt:lpstr>TestData.RowNum</vt:lpstr>
      <vt:lpstr>TestData.SeriesNameNumFirst</vt:lpstr>
      <vt:lpstr>TestData.SeriesNameNumMax</vt:lpstr>
      <vt:lpstr>TestData.SeriesNameNumMin</vt:lpstr>
      <vt:lpstr>TestData.SpeedX</vt:lpstr>
      <vt:lpstr>TestData.VerticalRandomisation</vt:lpstr>
      <vt:lpstr>TestData.Y_0_a</vt:lpstr>
      <vt:lpstr>TestData.Y_0_b</vt:lpstr>
      <vt:lpstr>TestData.Y_1_a</vt:lpstr>
      <vt:lpstr>TestData.Y_1_b</vt:lpstr>
      <vt:lpstr>TestData.Y_2_a</vt:lpstr>
      <vt:lpstr>TestData.Y_2_b</vt:lpstr>
      <vt:lpstr>TestData.Z_1</vt:lpstr>
      <vt:lpstr>TestData.Z_2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Wiseman</dc:creator>
  <cp:lastModifiedBy>Julian Wiseman</cp:lastModifiedBy>
  <dcterms:created xsi:type="dcterms:W3CDTF">2022-12-26T11:50:57Z</dcterms:created>
  <dcterms:modified xsi:type="dcterms:W3CDTF">2024-02-03T17:20:46Z</dcterms:modified>
</cp:coreProperties>
</file>