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5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6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19.xml"/>
  <Override ContentType="application/vnd.openxmlformats-officedocument.spreadsheetml.comments+xml" PartName="/xl/comments2.xml"/>
  <Override ContentType="application/vnd.openxmlformats-officedocument.spreadsheetml.comments+xml" PartName="/xl/comments17.xml"/>
  <Override ContentType="application/vnd.openxmlformats-officedocument.spreadsheetml.comments+xml" PartName="/xl/comments8.xml"/>
  <Override ContentType="application/vnd.openxmlformats-officedocument.spreadsheetml.comments+xml" PartName="/xl/comments14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16.xml"/>
  <Override ContentType="application/vnd.openxmlformats-officedocument.spreadsheetml.comments+xml" PartName="/xl/comments3.xml"/>
  <Override ContentType="application/vnd.openxmlformats-officedocument.spreadsheetml.comments+xml" PartName="/xl/comments18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entas" sheetId="1" r:id="rId5"/>
    <sheet state="visible" name="Cursos Pendientes" sheetId="2" r:id="rId6"/>
    <sheet state="visible" name="Provi reyes" sheetId="3" r:id="rId7"/>
    <sheet state="visible" name="San Andres Enero" sheetId="4" r:id="rId8"/>
    <sheet state="visible" name="Santa Marta Feb" sheetId="5" r:id="rId9"/>
    <sheet state="visible" name="Provi Marzo" sheetId="6" r:id="rId10"/>
    <sheet state="visible" name="San Andres Marzo" sheetId="7" r:id="rId11"/>
    <sheet state="visible" name="Islas del Rosario" sheetId="8" r:id="rId12"/>
    <sheet state="visible" name="San Andres Mayo" sheetId="9" r:id="rId13"/>
    <sheet state="visible" name="Nuquí Mayo" sheetId="10" r:id="rId14"/>
    <sheet state="visible" name="Gorgona Junio" sheetId="11" r:id="rId15"/>
    <sheet state="visible" name="Provi Junio" sheetId="12" r:id="rId16"/>
    <sheet state="visible" name="Solo nosotras" sheetId="13" r:id="rId17"/>
    <sheet state="visible" name="Tintipan" sheetId="14" r:id="rId18"/>
    <sheet state="visible" name="Santa Marta Julio" sheetId="15" r:id="rId19"/>
    <sheet state="visible" name="Gorgona agosto 2026" sheetId="16" r:id="rId20"/>
    <sheet state="visible" name="Coiba" sheetId="17" r:id="rId21"/>
    <sheet state="visible" name="Komodo" sheetId="18" r:id="rId22"/>
    <sheet state="visible" name="Baja 2026" sheetId="19" r:id="rId23"/>
    <sheet state="visible" name="Provi diciembre" sheetId="20" r:id="rId24"/>
    <sheet state="visible" name="Provi enero 2027" sheetId="21" r:id="rId25"/>
    <sheet state="visible" name="Raja Ampat" sheetId="22" r:id="rId26"/>
    <sheet state="visible" name="Malpelo 2027" sheetId="23" r:id="rId27"/>
    <sheet state="visible" name="Mar Rojo 2027" sheetId="24" r:id="rId2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2">
      <text>
        <t xml:space="preserve">580.000 x 2 mascaras tusa
8725500:Pendientes Gorgona y Provi junio
810.000: Equipos Gorgona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4">
      <text>
        <t xml:space="preserve">estan en la cuenta de Dive Academy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2">
      <text>
        <t xml:space="preserve">19/12/2025: 1.490.000 Nu Juan Guzman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4">
      <text>
        <t xml:space="preserve">Efectivo los tiene Builes</t>
      </text>
    </comment>
    <comment authorId="0" ref="I2">
      <text>
        <t xml:space="preserve">JM tiene 1.000.000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9">
      <text>
        <t xml:space="preserve">Nu Builes 2.000.0000
</t>
      </text>
    </comment>
    <comment authorId="0" ref="J8">
      <text>
        <t xml:space="preserve">Estan en el NU de JM
</t>
      </text>
    </comment>
    <comment authorId="0" ref="J7">
      <text>
        <t xml:space="preserve">los Tiene JM en el NU
</t>
      </text>
    </comment>
    <comment authorId="0" ref="J2">
      <text>
        <t xml:space="preserve">4.290.000 Nu de JM
</t>
      </text>
    </comment>
    <comment authorId="0" ref="J16">
      <text>
        <t xml:space="preserve">estan en el nu de JM
</t>
      </text>
    </comment>
    <comment authorId="0" ref="A22">
      <text>
        <t xml:space="preserve">MAterial juliana martinez
</t>
      </text>
    </comment>
    <comment authorId="0" ref="J13">
      <text>
        <t xml:space="preserve">1.620.000 en el nu de Builes
3670000 en el nu de builes</t>
      </text>
    </comment>
    <comment authorId="0" ref="J12">
      <text>
        <t xml:space="preserve">1.190.000 estan en el NU de JM
350000 nequi Builes</t>
      </text>
    </comment>
    <comment authorId="0" ref="J11">
      <text>
        <t xml:space="preserve">En el Nu de Juan Builes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5">
      <text>
        <t xml:space="preserve">En el nu de JM</t>
      </text>
    </comment>
    <comment authorId="0" ref="I4">
      <text>
        <t xml:space="preserve">Cuenta de Dive Academy</t>
      </text>
    </comment>
    <comment authorId="0" ref="I2">
      <text>
        <t xml:space="preserve">estan en la cuenta de Dive Academy
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5">
      <text>
        <t xml:space="preserve">Cuenta Dive academy
</t>
      </text>
    </comment>
    <comment authorId="0" ref="I4">
      <text>
        <t xml:space="preserve">Cuenta Dive Academy</t>
      </text>
    </comment>
    <comment authorId="0" ref="I3">
      <text>
        <t xml:space="preserve">600.000 en la cuenta de Dive Academy</t>
      </text>
    </comment>
    <comment authorId="0" ref="I2">
      <text>
        <t xml:space="preserve">600.000 en la cuenta de Dive Academy</t>
      </text>
    </comment>
    <comment authorId="0" ref="A5">
      <text>
        <t xml:space="preserve">70400 de las hamburguesas del día de piscina con Sara
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4">
      <text>
        <t xml:space="preserve">Los tiene Jm en Efectivo
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9">
      <text>
        <t xml:space="preserve">cuenta dive academy
</t>
      </text>
    </comment>
    <comment authorId="0" ref="J8">
      <text>
        <t xml:space="preserve">cuenta Dive academy</t>
      </text>
    </comment>
    <comment authorId="0" ref="J7">
      <text>
        <t xml:space="preserve">Cuenta Dive academy</t>
      </text>
    </comment>
    <comment authorId="0" ref="J6">
      <text>
        <t xml:space="preserve">2.000.000 Nu JM
</t>
      </text>
    </comment>
    <comment authorId="0" ref="J5">
      <text>
        <t xml:space="preserve">en el nu de builes hay 806000
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6">
      <text>
        <t xml:space="preserve">en la cuenta de Dive Academy
</t>
      </text>
    </comment>
    <comment authorId="0" ref="I5">
      <text>
        <t xml:space="preserve">en la cuenta dive academy</t>
      </text>
    </comment>
    <comment authorId="0" ref="I3">
      <text>
        <t xml:space="preserve">Cuenta Dive academy
</t>
      </text>
    </comment>
    <comment authorId="0" ref="I2">
      <text>
        <t xml:space="preserve">500.000 estan en el Nu de Builes
500.000 estan en cursos sin destino
1.000.000 cuenta Dive Academy
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2">
      <text>
        <t xml:space="preserve">31/02/2026: 1.000.000 Nu Juan Guzman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33">
      <text>
        <t xml:space="preserve">estan en el Nu de Builes</t>
      </text>
    </comment>
    <comment authorId="0" ref="B31">
      <text>
        <t xml:space="preserve">Sergio abono 154.000 por la compra de las maletas de San Andrés a Medellín el 11 de enero, la compra se hizo con la tarjeta de Sergio la última noche cuando estábamos en las carnes
</t>
      </text>
    </comment>
    <comment authorId="0" ref="J6">
      <text>
        <t xml:space="preserve">Cuenta Dive academy
</t>
      </text>
    </comment>
    <comment authorId="0" ref="B45">
      <text>
        <t xml:space="preserve">21/11/2025</t>
      </text>
    </comment>
    <comment authorId="0" ref="J4">
      <text>
        <t xml:space="preserve">en la cuenta de Builes
209500 saldo a favor de Providencia</t>
      </text>
    </comment>
    <comment authorId="0" ref="J3">
      <text>
        <t xml:space="preserve">cuenta Dive academy
</t>
      </text>
    </comment>
    <comment authorId="0" ref="J11">
      <text>
        <t xml:space="preserve">2.000.000 en la cuenta de Dive academy
</t>
      </text>
    </comment>
  </commentLi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8">
      <text>
        <t xml:space="preserve">cuenta dive academy: 2.500.000
</t>
      </text>
    </comment>
    <comment authorId="0" ref="H6">
      <text>
        <t xml:space="preserve">1.000.000 pago realizado el 27 de febrero
</t>
      </text>
    </comment>
    <comment authorId="0" ref="H5">
      <text>
        <t xml:space="preserve">2.270.803 pagados el 27 de febrero del 2026
</t>
      </text>
    </comment>
    <comment authorId="0" ref="H4">
      <text>
        <t xml:space="preserve">1.000.000 en la cuenta de Builes bancolombia
</t>
      </text>
    </comment>
    <comment authorId="0" ref="H3">
      <text>
        <t xml:space="preserve">750.000 COP equivalente a 199USD el 27 de Dic
1.000.000 cop equivalen 270 USD
1.000.000 cop equivalen a 268 USD
1.000.0000 COP equivale a 273 USD, los tiene builes en efectivo
1.000.000 9 junio cuenta Dive academy
</t>
      </text>
    </comment>
    <comment authorId="0" ref="H2">
      <text>
        <t xml:space="preserve">recibido en pesos: 2.392.847, 29 de septiembre
recibio en pesos: 2.270.803, 27 de febrero
recibio en pesos: 2.928.341 15 de abril en la cuenta de Dive Academy
</t>
      </text>
    </comment>
    <comment authorId="0" ref="H13">
      <text>
        <t xml:space="preserve">1.756.270 12 de junio
</t>
      </text>
    </comment>
    <comment authorId="0" ref="H12">
      <text>
        <t xml:space="preserve">8 de mayo: 500.000
31 de mayo: 4.545.000
</t>
      </text>
    </comment>
    <comment authorId="0" ref="H11">
      <text>
        <t xml:space="preserve">8 de mayo: 750.000
31 de mayo: 1.822.000
</t>
      </text>
    </comment>
    <comment authorId="0" ref="H9">
      <text>
        <t xml:space="preserve">Cuenta Dive academy: 2.500.000
</t>
      </text>
    </comment>
    <comment authorId="0" ref="C36">
      <text>
        <t xml:space="preserve">entregados en efectivo a Palita, salieron del bolsillo de Baja
</t>
      </text>
    </comment>
  </commentList>
</comments>
</file>

<file path=xl/comments1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4">
      <text>
        <t xml:space="preserve">En el DollarApp deJM
</t>
      </text>
    </comment>
    <comment authorId="0" ref="I3">
      <text>
        <t xml:space="preserve">En el dollarAPP de JM
</t>
      </text>
    </comment>
    <comment authorId="0" ref="I2">
      <text>
        <t xml:space="preserve">25/02/2026: 545 USD estan en el dollar app de JM
530 dolar app de jm
558 Dolar app de jm
</t>
      </text>
    </comment>
  </commentList>
</comments>
</file>

<file path=xl/comments1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tc={a2512ab0-9217-4cf0-9140-3b33a63c9fa6}</author>
  </authors>
  <commentList>
    <comment authorId="0" ref="H5">
      <text>
        <t xml:space="preserve">Dollar app de JM</t>
      </text>
    </comment>
    <comment authorId="0" ref="H4">
      <text>
        <t xml:space="preserve">02/02/2026: 3.000.000 en el Nu de JM
</t>
      </text>
    </comment>
    <comment authorId="0" ref="H3">
      <text>
        <t xml:space="preserve">JM tiene los USD en Efectivo
</t>
      </text>
    </comment>
    <comment authorId="0" ref="H2">
      <text>
        <t xml:space="preserve">1.939.900 el 9 de octubre, equivale a 500 usd, estan en el bolsillo cursos sin destino
543 usd en cuenta dive academy 2 millones de pesos
</t>
      </text>
    </comment>
    <comment authorId="1" xr:uid="{a2512ab0-9217-4cf0-9140-3b33a63c9fa6}" ref="H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543 use en cuenta dive academy 2 millones de pesos
</t>
      </text>
    </comment>
  </commentList>
</comments>
</file>

<file path=xl/comments1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4">
      <text>
        <t xml:space="preserve">estan en la cuenta dive academy</t>
      </text>
    </comment>
    <comment authorId="0" ref="I3">
      <text>
        <t xml:space="preserve">estan en la cuenta Dive Academy
</t>
      </text>
    </comment>
    <comment authorId="0" ref="I2">
      <text>
        <t xml:space="preserve">19/12/2025: </t>
      </text>
    </comment>
  </commentList>
</comments>
</file>

<file path=xl/comments1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4">
      <text>
        <t xml:space="preserve">estan en la cuenta dive academy</t>
      </text>
    </comment>
    <comment authorId="0" ref="I3">
      <text>
        <t xml:space="preserve">estan en la cuenta Dive Academy
</t>
      </text>
    </comment>
    <comment authorId="0" ref="I2">
      <text>
        <t xml:space="preserve">19/12/2025: </t>
      </text>
    </comment>
  </commentList>
</comments>
</file>

<file path=xl/comments1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3">
      <text>
        <t xml:space="preserve">en el dollar app de JM</t>
      </text>
    </comment>
    <comment authorId="0" ref="I2">
      <text>
        <t xml:space="preserve">en el Dollar app de JM
</t>
      </text>
    </comment>
  </commentList>
</comments>
</file>

<file path=xl/comments1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tc={31092bcc-1a83-411c-9665-19a7b24d00dd}</author>
    <author>tc={a9894549-7029-44d7-9e01-d69da2955e00}</author>
    <author>tc={ad944822-bb34-40a1-93fa-63329f081a90}</author>
    <author>tc={edb2a1fc-7e28-44ca-ae98-839e1f694e5d}</author>
    <author>tc={f8ad207a-e3b1-413d-8f75-21980298c765}</author>
    <author>tc={f8fc1704-f4cf-4272-ae34-25d1e1a33fee}</author>
  </authors>
  <commentList>
    <comment authorId="0" ref="I2">
      <text>
        <t xml:space="preserve">Trasnferencia por 3.000.000 equivalen a 707 Euros el 26 de mayo de 2026
</t>
      </text>
    </comment>
    <comment authorId="1" xr:uid="{31092bcc-1a83-411c-9665-19a7b24d00dd}" ref="I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Pago directo al barco
</t>
      </text>
    </comment>
    <comment authorId="2" xr:uid="{a9894549-7029-44d7-9e01-d69da2955e00}" ref="I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Están en dolar app Jm
</t>
      </text>
    </comment>
    <comment authorId="3" xr:uid="{ad944822-bb34-40a1-93fa-63329f081a90}" ref="I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Fueron 1000 usd al barco total 858 euros en espera del cambio que de el blueforfce
</t>
      </text>
    </comment>
    <comment authorId="4" xr:uid="{edb2a1fc-7e28-44ca-ae98-839e1f694e5d}" ref="I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500 euros al blueforce directamente
</t>
      </text>
    </comment>
    <comment authorId="5" xr:uid="{f8ad207a-e3b1-413d-8f75-21980298c765}" ref="I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Pago realizado al barco
</t>
      </text>
    </comment>
    <comment authorId="6" xr:uid="{f8fc1704-f4cf-4272-ae34-25d1e1a33fee}" ref="I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Fueron 1000 dólares al barco cambio da 857 peros a espera de cambio del blue force
</t>
      </text>
    </comment>
  </commentList>
</comments>
</file>

<file path=xl/sharedStrings.xml><?xml version="1.0" encoding="utf-8"?>
<sst xmlns="http://schemas.openxmlformats.org/spreadsheetml/2006/main" count="1872" uniqueCount="393">
  <si>
    <t>Total Bolsillos</t>
  </si>
  <si>
    <t>Cuenta DA</t>
  </si>
  <si>
    <t>Cuenta Builes</t>
  </si>
  <si>
    <t>NU JM</t>
  </si>
  <si>
    <t>NU JB</t>
  </si>
  <si>
    <t>Efectivo</t>
  </si>
  <si>
    <t>Total Bancos</t>
  </si>
  <si>
    <t>Cuenta x Cobrar</t>
  </si>
  <si>
    <t>Total</t>
  </si>
  <si>
    <t>Diferencia Bancos</t>
  </si>
  <si>
    <t>Abonado</t>
  </si>
  <si>
    <t>Material</t>
  </si>
  <si>
    <t>Saldo</t>
  </si>
  <si>
    <t>notas</t>
  </si>
  <si>
    <t>Duvan Bermudez</t>
  </si>
  <si>
    <t>Se pidio material open 324500</t>
  </si>
  <si>
    <t xml:space="preserve">Este dinero no se separo el 18 de diciembre que hicimos las cuentas, esta pendiente por reponer </t>
  </si>
  <si>
    <t>Jorge Alzate</t>
  </si>
  <si>
    <t>Juan Carlos Gomez</t>
  </si>
  <si>
    <t>Pablo Gallon Niño</t>
  </si>
  <si>
    <t>Cursos/Piscina/PICS</t>
  </si>
  <si>
    <t>Codigo Elearning</t>
  </si>
  <si>
    <t>Tipo Buceo</t>
  </si>
  <si>
    <t>Loyalty</t>
  </si>
  <si>
    <t>Nombre</t>
  </si>
  <si>
    <t>Acomodacion</t>
  </si>
  <si>
    <t>Fecha</t>
  </si>
  <si>
    <t>Valor viaje</t>
  </si>
  <si>
    <t>Adicionales</t>
  </si>
  <si>
    <t>Transferencia</t>
  </si>
  <si>
    <t>Abono Efectivo</t>
  </si>
  <si>
    <t>Saldo Pendiente</t>
  </si>
  <si>
    <t>Talla Rashguard</t>
  </si>
  <si>
    <t>LVABVERVMEMD</t>
  </si>
  <si>
    <t>OPEN</t>
  </si>
  <si>
    <t>NO</t>
  </si>
  <si>
    <t>Pablo Patiño</t>
  </si>
  <si>
    <t>Multiple</t>
  </si>
  <si>
    <t>L</t>
  </si>
  <si>
    <t>LMWPHDLHSRGF</t>
  </si>
  <si>
    <t>Melisa Ruiz</t>
  </si>
  <si>
    <t>Pareja</t>
  </si>
  <si>
    <t>S</t>
  </si>
  <si>
    <t>LGUTZDRVBRFT</t>
  </si>
  <si>
    <t>Mateo Duque</t>
  </si>
  <si>
    <t>XL</t>
  </si>
  <si>
    <t>ABPBMRNYLLBN</t>
  </si>
  <si>
    <t>AVANZADO</t>
  </si>
  <si>
    <t>SI</t>
  </si>
  <si>
    <t>Wiliam Jaimes</t>
  </si>
  <si>
    <t>Twin</t>
  </si>
  <si>
    <t>FUN DIVE</t>
  </si>
  <si>
    <t>Paola Ramirez</t>
  </si>
  <si>
    <t>M</t>
  </si>
  <si>
    <t>ESPECIALIDAD</t>
  </si>
  <si>
    <t>Sandra Echeverri</t>
  </si>
  <si>
    <t>Sencilla</t>
  </si>
  <si>
    <t>AYVFWESCDJTS</t>
  </si>
  <si>
    <t>Sergio Valencia</t>
  </si>
  <si>
    <t>Catalina Alzate</t>
  </si>
  <si>
    <t>Juan Guzman</t>
  </si>
  <si>
    <t>STAFF</t>
  </si>
  <si>
    <t>Juan Builes</t>
  </si>
  <si>
    <t>11al15</t>
  </si>
  <si>
    <t>Total disponible</t>
  </si>
  <si>
    <t>Total menos 4x1000</t>
  </si>
  <si>
    <t>Otros gastos</t>
  </si>
  <si>
    <t>Notas:</t>
  </si>
  <si>
    <t>Tiquetes</t>
  </si>
  <si>
    <t xml:space="preserve">Notas:
</t>
  </si>
  <si>
    <t>Buff</t>
  </si>
  <si>
    <t>Pago Daniel</t>
  </si>
  <si>
    <t>Hotel</t>
  </si>
  <si>
    <t>parches</t>
  </si>
  <si>
    <t>piscinas</t>
  </si>
  <si>
    <t>Gastos</t>
  </si>
  <si>
    <t xml:space="preserve"> </t>
  </si>
  <si>
    <t>Bancolombia</t>
  </si>
  <si>
    <t>Builes debe</t>
  </si>
  <si>
    <t>Nu builes</t>
  </si>
  <si>
    <t>Builes se le debe</t>
  </si>
  <si>
    <t>NU</t>
  </si>
  <si>
    <t>Cuadre Bolsillo Gorgna</t>
  </si>
  <si>
    <t>Bryan Botina</t>
  </si>
  <si>
    <t>Abono felo</t>
  </si>
  <si>
    <t xml:space="preserve">Fecha/Valor/Quien/Para que.
</t>
  </si>
  <si>
    <t>Pics builes</t>
  </si>
  <si>
    <t>Pics JM</t>
  </si>
  <si>
    <t>valor separado</t>
  </si>
  <si>
    <t>Diferencia</t>
  </si>
  <si>
    <t>Lorenza</t>
  </si>
  <si>
    <t>Andres</t>
  </si>
  <si>
    <t>Sandra</t>
  </si>
  <si>
    <t>Traslados Aeropuerto</t>
  </si>
  <si>
    <t xml:space="preserve">Gorras </t>
  </si>
  <si>
    <t>Parches</t>
  </si>
  <si>
    <t>Seguros</t>
  </si>
  <si>
    <t>Plan hotel + buceo</t>
  </si>
  <si>
    <t>ultimo pago pagina web</t>
  </si>
  <si>
    <t>Camara de comercio</t>
  </si>
  <si>
    <t>Formulario</t>
  </si>
  <si>
    <t>Llavero</t>
  </si>
  <si>
    <t>Juan Parra</t>
  </si>
  <si>
    <t>19-23</t>
  </si>
  <si>
    <t>avz</t>
  </si>
  <si>
    <t>ok</t>
  </si>
  <si>
    <t>Andres Rozo</t>
  </si>
  <si>
    <t>opn</t>
  </si>
  <si>
    <t>Juan Velez</t>
  </si>
  <si>
    <t>12-16</t>
  </si>
  <si>
    <t>Scuba</t>
  </si>
  <si>
    <t>Papa Juan V</t>
  </si>
  <si>
    <t>Ma Paula Jaramillo</t>
  </si>
  <si>
    <t>Andres Estrada</t>
  </si>
  <si>
    <t>Avz</t>
  </si>
  <si>
    <t>Felipe Isaza</t>
  </si>
  <si>
    <t xml:space="preserve">Macris Mendoza </t>
  </si>
  <si>
    <t>nx</t>
  </si>
  <si>
    <t>Ana Vallejo</t>
  </si>
  <si>
    <t>2 al 6</t>
  </si>
  <si>
    <t>Carlos Garcia</t>
  </si>
  <si>
    <t>Natali Varela</t>
  </si>
  <si>
    <t>scuba</t>
  </si>
  <si>
    <t>Andres C Alfonso</t>
  </si>
  <si>
    <t xml:space="preserve">Leonardo García </t>
  </si>
  <si>
    <t>26-30</t>
  </si>
  <si>
    <t>Claudia Pavas</t>
  </si>
  <si>
    <t>Opn</t>
  </si>
  <si>
    <t>Lina Gonzalez</t>
  </si>
  <si>
    <t>Cristian Bermeo</t>
  </si>
  <si>
    <t>Fredy DElgado</t>
  </si>
  <si>
    <t>Sergio Silva</t>
  </si>
  <si>
    <t>Cata Alzate</t>
  </si>
  <si>
    <t>Manuela Fernandez</t>
  </si>
  <si>
    <t>19601+79999+
Builes tiene: 580,000 de dos mascaras</t>
  </si>
  <si>
    <t>Traslados</t>
  </si>
  <si>
    <t>Maletas</t>
  </si>
  <si>
    <t>Nasas</t>
  </si>
  <si>
    <t>Gorras</t>
  </si>
  <si>
    <t>Rashguards</t>
  </si>
  <si>
    <t>Carnets</t>
  </si>
  <si>
    <t>Tags maletas</t>
  </si>
  <si>
    <t>Comidas</t>
  </si>
  <si>
    <t>Tarjetas/impuestos</t>
  </si>
  <si>
    <t>Tablas ADV</t>
  </si>
  <si>
    <t>Gastos notas</t>
  </si>
  <si>
    <t>caribe 10</t>
  </si>
  <si>
    <t>Raja ampat</t>
  </si>
  <si>
    <t>Aprta hotel plaza</t>
  </si>
  <si>
    <t>Reunion contadora</t>
  </si>
  <si>
    <t>Kit Reparacion</t>
  </si>
  <si>
    <t>Reparacion camara JM</t>
  </si>
  <si>
    <t>Tritones</t>
  </si>
  <si>
    <t>Prestamo Builes</t>
  </si>
  <si>
    <t>Morgan</t>
  </si>
  <si>
    <t xml:space="preserve">Hotel nos tiene 1,540,000  fue el abono de fredy con tarjeta </t>
  </si>
  <si>
    <t>MAscaras Tusa</t>
  </si>
  <si>
    <t>Sirius</t>
  </si>
  <si>
    <t>Cesar Cardona</t>
  </si>
  <si>
    <t>Monica Aranda</t>
  </si>
  <si>
    <t>Prestamo JM 23 sep</t>
  </si>
  <si>
    <t>Bluelife</t>
  </si>
  <si>
    <t>prestamo rashguard malapascua</t>
  </si>
  <si>
    <t>gafas</t>
  </si>
  <si>
    <t>Gafa</t>
  </si>
  <si>
    <t>Laura Diez</t>
  </si>
  <si>
    <t>Delsy del Rio</t>
  </si>
  <si>
    <t>Esteban Muñoz</t>
  </si>
  <si>
    <t>No</t>
  </si>
  <si>
    <t>Daniela Londoño</t>
  </si>
  <si>
    <t>Sergio Lopez</t>
  </si>
  <si>
    <t>Sandra Garcia</t>
  </si>
  <si>
    <t>Si</t>
  </si>
  <si>
    <t>Sara Almanzar</t>
  </si>
  <si>
    <t>Daniela y Sergio</t>
  </si>
  <si>
    <t>Plan Islas x 2</t>
  </si>
  <si>
    <t>Taxis</t>
  </si>
  <si>
    <t>Ara</t>
  </si>
  <si>
    <t>Abono 1</t>
  </si>
  <si>
    <t>Almuerzos</t>
  </si>
  <si>
    <t>Hotel y consumos</t>
  </si>
  <si>
    <t>Saldo pendiente</t>
  </si>
  <si>
    <t>Majagua</t>
  </si>
  <si>
    <t>Cena bar</t>
  </si>
  <si>
    <t>Cena Cartagena</t>
  </si>
  <si>
    <t>Sandwich</t>
  </si>
  <si>
    <t>Centro de buceo</t>
  </si>
  <si>
    <t>Plan 6 buceos x 7</t>
  </si>
  <si>
    <t>Canva</t>
  </si>
  <si>
    <t>Plan 4 buceos x 2</t>
  </si>
  <si>
    <t>Buceos nocturnos x 8</t>
  </si>
  <si>
    <t>Plan 6 inmersiones</t>
  </si>
  <si>
    <t>nocturno</t>
  </si>
  <si>
    <t>Mariana Hernandez</t>
  </si>
  <si>
    <t>Felipe Garcia</t>
  </si>
  <si>
    <t>Elizabeht Abad</t>
  </si>
  <si>
    <t>Jhonatan Ducuara</t>
  </si>
  <si>
    <t>Alegra</t>
  </si>
  <si>
    <t>Camisetas</t>
  </si>
  <si>
    <t>Vuelos Sandra</t>
  </si>
  <si>
    <t>gastos sandra</t>
  </si>
  <si>
    <t>Gastos efectivo JM</t>
  </si>
  <si>
    <t xml:space="preserve">Pago Blue Life </t>
  </si>
  <si>
    <t>Taxi a rionegro</t>
  </si>
  <si>
    <t>Pago contadora</t>
  </si>
  <si>
    <t>Maria Zarate</t>
  </si>
  <si>
    <t>Santiago Sierra</t>
  </si>
  <si>
    <t>Claudia Villlamarin</t>
  </si>
  <si>
    <t>David Ochoa</t>
  </si>
  <si>
    <t>taxis</t>
  </si>
  <si>
    <t>Pago hotel</t>
  </si>
  <si>
    <t>Pago buceo</t>
  </si>
  <si>
    <t>Total Costo</t>
  </si>
  <si>
    <t>USD</t>
  </si>
  <si>
    <t>Certifcado buceo</t>
  </si>
  <si>
    <t>Descargo Seawolf</t>
  </si>
  <si>
    <t>Fiebre amarilla</t>
  </si>
  <si>
    <t>Chaleco</t>
  </si>
  <si>
    <t>Regulador</t>
  </si>
  <si>
    <t>Traje</t>
  </si>
  <si>
    <t>Computador</t>
  </si>
  <si>
    <t>Basico</t>
  </si>
  <si>
    <t>Linterna</t>
  </si>
  <si>
    <t>Pago Equipos</t>
  </si>
  <si>
    <t>Total a pagar 2550000</t>
  </si>
  <si>
    <t>Juan E Uribe</t>
  </si>
  <si>
    <t>si</t>
  </si>
  <si>
    <t>-</t>
  </si>
  <si>
    <t>Veronica Villa</t>
  </si>
  <si>
    <t>Elizabeth Abad</t>
  </si>
  <si>
    <t>OK</t>
  </si>
  <si>
    <t>XS</t>
  </si>
  <si>
    <t>Aletas</t>
  </si>
  <si>
    <t>XXL</t>
  </si>
  <si>
    <t>Andres Gutierrez</t>
  </si>
  <si>
    <t>aletas</t>
  </si>
  <si>
    <t>Luz Angela</t>
  </si>
  <si>
    <t>Andres Rubio</t>
  </si>
  <si>
    <t>Fernando Benedeti</t>
  </si>
  <si>
    <t>Juan Medina</t>
  </si>
  <si>
    <t>Noel orozco</t>
  </si>
  <si>
    <t xml:space="preserve">Mauricio Villa </t>
  </si>
  <si>
    <t>Brian Botina</t>
  </si>
  <si>
    <t>Fredy Delgado</t>
  </si>
  <si>
    <t>Diego Porras</t>
  </si>
  <si>
    <t>Kathe Arango</t>
  </si>
  <si>
    <t>Chuma</t>
  </si>
  <si>
    <t>Materiales elearning</t>
  </si>
  <si>
    <t>BCD</t>
  </si>
  <si>
    <t>120000 Pagado con NU</t>
  </si>
  <si>
    <t>Gafas</t>
  </si>
  <si>
    <t>Stickers</t>
  </si>
  <si>
    <t>Tablas</t>
  </si>
  <si>
    <t>Hosting</t>
  </si>
  <si>
    <t>Gastos efectivo NU</t>
  </si>
  <si>
    <t>Seguridad social JM</t>
  </si>
  <si>
    <t>Bus buenaventura</t>
  </si>
  <si>
    <t>Allegra</t>
  </si>
  <si>
    <t>Equipos MA</t>
  </si>
  <si>
    <t>Pago Ramon</t>
  </si>
  <si>
    <t>abono seawolf</t>
  </si>
  <si>
    <t>Victor Rodriguez</t>
  </si>
  <si>
    <t>Kathe Pinilla</t>
  </si>
  <si>
    <t>Susana</t>
  </si>
  <si>
    <t>Daniela Vasquez</t>
  </si>
  <si>
    <t>Yuyu</t>
  </si>
  <si>
    <t>Caro zuñiga</t>
  </si>
  <si>
    <t>Nombres</t>
  </si>
  <si>
    <t xml:space="preserve">Marino Vargas </t>
  </si>
  <si>
    <t>Marino Vargas</t>
  </si>
  <si>
    <t>Mario Giraldo</t>
  </si>
  <si>
    <t>Juliana Martinez</t>
  </si>
  <si>
    <t>Valeria Hoyos</t>
  </si>
  <si>
    <t>Lina Dussan</t>
  </si>
  <si>
    <t>11-15 de junio</t>
  </si>
  <si>
    <t>Delsy Del Rrio</t>
  </si>
  <si>
    <t>Triple</t>
  </si>
  <si>
    <t>11-17 de junio</t>
  </si>
  <si>
    <t>Valeria Lunar</t>
  </si>
  <si>
    <t>Hotel SAI</t>
  </si>
  <si>
    <t>Tiquetes sandra</t>
  </si>
  <si>
    <t>10-16 de junio</t>
  </si>
  <si>
    <t>Gastos JM NU</t>
  </si>
  <si>
    <t>Individual</t>
  </si>
  <si>
    <t>Gastos Sandra</t>
  </si>
  <si>
    <t>Rashguards 2/2</t>
  </si>
  <si>
    <t>Juan Manuel</t>
  </si>
  <si>
    <t>Yelitza Diaz</t>
  </si>
  <si>
    <t xml:space="preserve">Sofía Duque </t>
  </si>
  <si>
    <t>Abono Felo</t>
  </si>
  <si>
    <t>Andres Gallego</t>
  </si>
  <si>
    <t>Bernardo Gallego</t>
  </si>
  <si>
    <t>Andres gutierrez</t>
  </si>
  <si>
    <t>Christian Agudelo</t>
  </si>
  <si>
    <t xml:space="preserve">vuelos </t>
  </si>
  <si>
    <t xml:space="preserve">karaya </t>
  </si>
  <si>
    <t>Camila Salazar Yisus</t>
  </si>
  <si>
    <t>Yelitza Campo</t>
  </si>
  <si>
    <t>Isaac Gamboa</t>
  </si>
  <si>
    <t>Juan Pablo</t>
  </si>
  <si>
    <t>Manuela Lopera</t>
  </si>
  <si>
    <t>Juan Tafur</t>
  </si>
  <si>
    <t>Daniel Gomez</t>
  </si>
  <si>
    <t>Jorge Montoya</t>
  </si>
  <si>
    <t>Camarote 2</t>
  </si>
  <si>
    <t>Sarita Forero</t>
  </si>
  <si>
    <t>Kevin G</t>
  </si>
  <si>
    <t>Camarote 1</t>
  </si>
  <si>
    <t>Yu del Rio</t>
  </si>
  <si>
    <t>Laura Lemus</t>
  </si>
  <si>
    <t>NO BORRAR</t>
  </si>
  <si>
    <t>Elsa</t>
  </si>
  <si>
    <t>parches diplomas</t>
  </si>
  <si>
    <t>Evila Cabrera</t>
  </si>
  <si>
    <t>RESCUE</t>
  </si>
  <si>
    <t>Daniela Velasquez</t>
  </si>
  <si>
    <t>Santiago</t>
  </si>
  <si>
    <t>Ivan Montoya</t>
  </si>
  <si>
    <t xml:space="preserve">Isaac </t>
  </si>
  <si>
    <t>maria Camila Salazar</t>
  </si>
  <si>
    <t>Carolina Osorio</t>
  </si>
  <si>
    <t xml:space="preserve">Paulina </t>
  </si>
  <si>
    <t>Fernando Paulina</t>
  </si>
  <si>
    <t>Carlos G</t>
  </si>
  <si>
    <t>Disponible en Pesos</t>
  </si>
  <si>
    <t>COP</t>
  </si>
  <si>
    <t>Fecha/Valor/Quien/Para que.
Coiba le debe 500 USD a BajaCa</t>
  </si>
  <si>
    <t xml:space="preserve">Exp Coiba </t>
  </si>
  <si>
    <t>usd</t>
  </si>
  <si>
    <t>Pablo Garcia</t>
  </si>
  <si>
    <t>Ana maria</t>
  </si>
  <si>
    <t>David Saldarriaga</t>
  </si>
  <si>
    <t>Laura Bedoya</t>
  </si>
  <si>
    <t>DollarAPP</t>
  </si>
  <si>
    <t>Fecha/Valor/Quien/Para que.
224 Los debe el viaje de providencia marzo
1019 estan en efectivo Jm va a comprar los dolares</t>
  </si>
  <si>
    <t>Natalia Pinzon</t>
  </si>
  <si>
    <t>Santiago Hernandez</t>
  </si>
  <si>
    <t>Catalina Casas</t>
  </si>
  <si>
    <t>Alejandro Buitrago</t>
  </si>
  <si>
    <t>María G</t>
  </si>
  <si>
    <t>Lina Dusan</t>
  </si>
  <si>
    <t>Total en pesos</t>
  </si>
  <si>
    <t>abono</t>
  </si>
  <si>
    <t>Daniel Escobar</t>
  </si>
  <si>
    <t>Carlos Duque</t>
  </si>
  <si>
    <t>Estefania vargas</t>
  </si>
  <si>
    <t>Cruces viaje anterior Daniel Escobar</t>
  </si>
  <si>
    <t>Codigo LMYKEC
6019186030 linea de cambios</t>
  </si>
  <si>
    <t xml:space="preserve">Juan Medina </t>
  </si>
  <si>
    <t xml:space="preserve">Yuri Valencia </t>
  </si>
  <si>
    <t xml:space="preserve">Danila Ospina </t>
  </si>
  <si>
    <t xml:space="preserve">Amparo Garcia </t>
  </si>
  <si>
    <t>Paloma</t>
  </si>
  <si>
    <t>Alejo</t>
  </si>
  <si>
    <t>Julian</t>
  </si>
  <si>
    <t>Fredy</t>
  </si>
  <si>
    <t>Christian</t>
  </si>
  <si>
    <t>Karen Arango</t>
  </si>
  <si>
    <t>Daniel Morales</t>
  </si>
  <si>
    <t xml:space="preserve">Abono </t>
  </si>
  <si>
    <t>Cabinas</t>
  </si>
  <si>
    <t xml:space="preserve">Diego kathe </t>
  </si>
  <si>
    <t>JM y Builes</t>
  </si>
  <si>
    <t>Sandra y paloma</t>
  </si>
  <si>
    <t>Diego y Kathe</t>
  </si>
  <si>
    <t>Fredy y Cristian</t>
  </si>
  <si>
    <t>Fredy y Christian</t>
  </si>
  <si>
    <t>Julián y Alejandro</t>
  </si>
  <si>
    <t>Alejando y Julian</t>
  </si>
  <si>
    <t>Paloma y Daniel Morales</t>
  </si>
  <si>
    <t>Sandra y Karen</t>
  </si>
  <si>
    <t>Fredy Delgago</t>
  </si>
  <si>
    <t>Petter Quintero</t>
  </si>
  <si>
    <t>Alejandro Aguilar</t>
  </si>
  <si>
    <t>Julian Atehortua</t>
  </si>
  <si>
    <t>Elsa Gallego</t>
  </si>
  <si>
    <t>Abono Ferox</t>
  </si>
  <si>
    <t>Catalina Bernal</t>
  </si>
  <si>
    <t xml:space="preserve">Paulina Vallejo </t>
  </si>
  <si>
    <t xml:space="preserve">Felipe García </t>
  </si>
  <si>
    <t xml:space="preserve">Mariana Hernández </t>
  </si>
  <si>
    <t>Paula Jaramillo</t>
  </si>
  <si>
    <t>Juan Luis Vélez</t>
  </si>
  <si>
    <t>Cata Álzate</t>
  </si>
  <si>
    <t xml:space="preserve">Paulina Pamplona </t>
  </si>
  <si>
    <t xml:space="preserve">Fernando Marín </t>
  </si>
  <si>
    <t xml:space="preserve">Evila Cabrera </t>
  </si>
  <si>
    <t>Ferny Moreno</t>
  </si>
  <si>
    <t>Lilian Castro</t>
  </si>
  <si>
    <t xml:space="preserve">Daniela Álvarez </t>
  </si>
  <si>
    <t>Lilo y Ferny</t>
  </si>
  <si>
    <t>Cata Bernal</t>
  </si>
  <si>
    <t>Daniela Alvarez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</si>
</sst>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"/>
    <numFmt numFmtId="165" formatCode="[$ $]#,##0"/>
    <numFmt numFmtId="166" formatCode="[$€]#,##0.00"/>
    <numFmt numFmtId="167" formatCode="#,##0\ [$€-1]"/>
  </numFmts>
  <fonts count="1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FFFFFF"/>
      <name val="Calibri"/>
    </font>
    <font>
      <color theme="1"/>
      <name val="Arial"/>
    </font>
    <font>
      <b/>
      <color theme="1"/>
      <name val="Arial"/>
    </font>
    <font/>
    <font>
      <color rgb="FF000000"/>
      <name val="Tahoma"/>
    </font>
    <font>
      <color rgb="FFCC0000"/>
      <name val="Arial"/>
      <scheme val="minor"/>
    </font>
    <font>
      <color rgb="FF000000"/>
      <name val="Arial"/>
    </font>
    <font>
      <color rgb="FF000000"/>
      <name val="Arial"/>
      <scheme val="minor"/>
    </font>
    <font>
      <color rgb="FFCC4125"/>
      <name val="Arial"/>
    </font>
    <font>
      <color rgb="FFCC4125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D5A6BD"/>
        <bgColor rgb="FFD5A6BD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rgb="FFEA9999"/>
        <bgColor rgb="FFEA9999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B4A7D6"/>
        <bgColor rgb="FFB4A7D6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1" fillId="0" fontId="2" numFmtId="164" xfId="0" applyBorder="1" applyFont="1" applyNumberFormat="1"/>
    <xf borderId="1" fillId="0" fontId="2" numFmtId="0" xfId="0" applyAlignment="1" applyBorder="1" applyFont="1">
      <alignment readingOrder="0"/>
    </xf>
    <xf borderId="1" fillId="0" fontId="2" numFmtId="165" xfId="0" applyBorder="1" applyFont="1" applyNumberFormat="1"/>
    <xf borderId="1" fillId="0" fontId="2" numFmtId="165" xfId="0" applyAlignment="1" applyBorder="1" applyFont="1" applyNumberFormat="1">
      <alignment readingOrder="0"/>
    </xf>
    <xf borderId="1" fillId="0" fontId="1" numFmtId="165" xfId="0" applyAlignment="1" applyBorder="1" applyFont="1" applyNumberFormat="1">
      <alignment readingOrder="0"/>
    </xf>
    <xf borderId="1" fillId="0" fontId="1" numFmtId="165" xfId="0" applyBorder="1" applyFont="1" applyNumberFormat="1"/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2" numFmtId="165" xfId="0" applyFont="1" applyNumberFormat="1"/>
    <xf borderId="2" fillId="2" fontId="3" numFmtId="0" xfId="0" applyAlignment="1" applyBorder="1" applyFill="1" applyFont="1">
      <alignment horizontal="center" vertical="bottom"/>
    </xf>
    <xf borderId="2" fillId="2" fontId="3" numFmtId="0" xfId="0" applyAlignment="1" applyBorder="1" applyFont="1">
      <alignment horizontal="center" readingOrder="0" vertical="bottom"/>
    </xf>
    <xf borderId="3" fillId="0" fontId="4" numFmtId="0" xfId="0" applyAlignment="1" applyBorder="1" applyFont="1">
      <alignment horizontal="right" vertical="bottom"/>
    </xf>
    <xf borderId="3" fillId="0" fontId="4" numFmtId="0" xfId="0" applyAlignment="1" applyBorder="1" applyFont="1">
      <alignment readingOrder="0" vertical="bottom"/>
    </xf>
    <xf borderId="3" fillId="0" fontId="4" numFmtId="0" xfId="0" applyAlignment="1" applyBorder="1" applyFont="1">
      <alignment vertical="bottom"/>
    </xf>
    <xf borderId="1" fillId="0" fontId="4" numFmtId="0" xfId="0" applyAlignment="1" applyBorder="1" applyFont="1">
      <alignment readingOrder="0" vertical="bottom"/>
    </xf>
    <xf borderId="1" fillId="0" fontId="4" numFmtId="164" xfId="0" applyAlignment="1" applyBorder="1" applyFont="1" applyNumberFormat="1">
      <alignment vertical="bottom"/>
    </xf>
    <xf borderId="3" fillId="0" fontId="4" numFmtId="164" xfId="0" applyAlignment="1" applyBorder="1" applyFont="1" applyNumberFormat="1">
      <alignment horizontal="right" vertical="bottom"/>
    </xf>
    <xf borderId="3" fillId="0" fontId="4" numFmtId="164" xfId="0" applyAlignment="1" applyBorder="1" applyFont="1" applyNumberFormat="1">
      <alignment horizontal="right" readingOrder="0" vertical="bottom"/>
    </xf>
    <xf borderId="3" fillId="0" fontId="4" numFmtId="164" xfId="0" applyAlignment="1" applyBorder="1" applyFont="1" applyNumberFormat="1">
      <alignment readingOrder="0" vertical="bottom"/>
    </xf>
    <xf borderId="3" fillId="0" fontId="5" numFmtId="0" xfId="0" applyAlignment="1" applyBorder="1" applyFont="1">
      <alignment vertical="bottom"/>
    </xf>
    <xf borderId="3" fillId="0" fontId="4" numFmtId="164" xfId="0" applyAlignment="1" applyBorder="1" applyFont="1" applyNumberFormat="1">
      <alignment vertical="bottom"/>
    </xf>
    <xf borderId="3" fillId="0" fontId="5" numFmtId="164" xfId="0" applyAlignment="1" applyBorder="1" applyFont="1" applyNumberFormat="1">
      <alignment horizontal="right" vertical="bottom"/>
    </xf>
    <xf borderId="1" fillId="0" fontId="4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4" fillId="0" fontId="4" numFmtId="0" xfId="0" applyAlignment="1" applyBorder="1" applyFont="1">
      <alignment vertical="bottom"/>
    </xf>
    <xf borderId="1" fillId="0" fontId="5" numFmtId="0" xfId="0" applyAlignment="1" applyBorder="1" applyFont="1">
      <alignment vertical="bottom"/>
    </xf>
    <xf borderId="1" fillId="0" fontId="4" numFmtId="164" xfId="0" applyAlignment="1" applyBorder="1" applyFont="1" applyNumberFormat="1">
      <alignment horizontal="right" vertical="bottom"/>
    </xf>
    <xf borderId="5" fillId="0" fontId="4" numFmtId="0" xfId="0" applyAlignment="1" applyBorder="1" applyFont="1">
      <alignment vertical="bottom"/>
    </xf>
    <xf borderId="0" fillId="0" fontId="4" numFmtId="0" xfId="0" applyAlignment="1" applyFont="1">
      <alignment vertical="top"/>
    </xf>
    <xf borderId="0" fillId="0" fontId="5" numFmtId="0" xfId="0" applyAlignment="1" applyFont="1">
      <alignment readingOrder="0" vertical="top"/>
    </xf>
    <xf borderId="1" fillId="0" fontId="4" numFmtId="164" xfId="0" applyAlignment="1" applyBorder="1" applyFont="1" applyNumberFormat="1">
      <alignment horizontal="right" readingOrder="0" vertical="bottom"/>
    </xf>
    <xf borderId="0" fillId="0" fontId="4" numFmtId="0" xfId="0" applyAlignment="1" applyFont="1">
      <alignment readingOrder="0" vertical="bottom"/>
    </xf>
    <xf borderId="1" fillId="0" fontId="5" numFmtId="164" xfId="0" applyAlignment="1" applyBorder="1" applyFont="1" applyNumberFormat="1">
      <alignment horizontal="right" vertical="bottom"/>
    </xf>
    <xf borderId="0" fillId="0" fontId="2" numFmtId="0" xfId="0" applyFont="1"/>
    <xf borderId="0" fillId="0" fontId="5" numFmtId="0" xfId="0" applyAlignment="1" applyFont="1">
      <alignment vertical="top"/>
    </xf>
    <xf borderId="1" fillId="0" fontId="2" numFmtId="0" xfId="0" applyBorder="1" applyFont="1"/>
    <xf borderId="1" fillId="0" fontId="4" numFmtId="0" xfId="0" applyAlignment="1" applyBorder="1" applyFont="1">
      <alignment horizontal="right" vertical="bottom"/>
    </xf>
    <xf borderId="6" fillId="0" fontId="5" numFmtId="0" xfId="0" applyAlignment="1" applyBorder="1" applyFont="1">
      <alignment vertical="top"/>
    </xf>
    <xf borderId="7" fillId="0" fontId="6" numFmtId="0" xfId="0" applyBorder="1" applyFont="1"/>
    <xf borderId="8" fillId="0" fontId="6" numFmtId="0" xfId="0" applyBorder="1" applyFont="1"/>
    <xf borderId="9" fillId="0" fontId="6" numFmtId="0" xfId="0" applyBorder="1" applyFont="1"/>
    <xf borderId="4" fillId="0" fontId="6" numFmtId="0" xfId="0" applyBorder="1" applyFont="1"/>
    <xf borderId="10" fillId="0" fontId="6" numFmtId="0" xfId="0" applyBorder="1" applyFont="1"/>
    <xf borderId="5" fillId="0" fontId="6" numFmtId="0" xfId="0" applyBorder="1" applyFont="1"/>
    <xf borderId="3" fillId="0" fontId="6" numFmtId="0" xfId="0" applyBorder="1" applyFont="1"/>
    <xf borderId="0" fillId="0" fontId="4" numFmtId="164" xfId="0" applyAlignment="1" applyFont="1" applyNumberFormat="1">
      <alignment vertical="bottom"/>
    </xf>
    <xf borderId="3" fillId="3" fontId="4" numFmtId="0" xfId="0" applyAlignment="1" applyBorder="1" applyFill="1" applyFont="1">
      <alignment vertical="bottom"/>
    </xf>
    <xf borderId="3" fillId="0" fontId="5" numFmtId="0" xfId="0" applyAlignment="1" applyBorder="1" applyFont="1">
      <alignment readingOrder="0" vertical="bottom"/>
    </xf>
    <xf borderId="3" fillId="0" fontId="4" numFmtId="0" xfId="0" applyAlignment="1" applyBorder="1" applyFont="1">
      <alignment horizontal="center" vertical="bottom"/>
    </xf>
    <xf borderId="3" fillId="3" fontId="4" numFmtId="0" xfId="0" applyAlignment="1" applyBorder="1" applyFont="1">
      <alignment readingOrder="0" vertical="bottom"/>
    </xf>
    <xf borderId="3" fillId="4" fontId="4" numFmtId="0" xfId="0" applyAlignment="1" applyBorder="1" applyFill="1" applyFont="1">
      <alignment readingOrder="0" vertical="bottom"/>
    </xf>
    <xf borderId="3" fillId="4" fontId="4" numFmtId="0" xfId="0" applyAlignment="1" applyBorder="1" applyFont="1">
      <alignment vertical="bottom"/>
    </xf>
    <xf borderId="3" fillId="5" fontId="4" numFmtId="0" xfId="0" applyAlignment="1" applyBorder="1" applyFill="1" applyFont="1">
      <alignment readingOrder="0" vertical="bottom"/>
    </xf>
    <xf borderId="3" fillId="6" fontId="4" numFmtId="0" xfId="0" applyAlignment="1" applyBorder="1" applyFill="1" applyFont="1">
      <alignment readingOrder="0" vertical="bottom"/>
    </xf>
    <xf borderId="11" fillId="0" fontId="1" numFmtId="0" xfId="0" applyAlignment="1" applyBorder="1" applyFont="1">
      <alignment horizontal="center" readingOrder="0"/>
    </xf>
    <xf borderId="2" fillId="0" fontId="6" numFmtId="0" xfId="0" applyBorder="1" applyFont="1"/>
    <xf borderId="1" fillId="0" fontId="7" numFmtId="164" xfId="0" applyAlignment="1" applyBorder="1" applyFont="1" applyNumberFormat="1">
      <alignment horizontal="right" readingOrder="0"/>
    </xf>
    <xf borderId="1" fillId="0" fontId="1" numFmtId="164" xfId="0" applyBorder="1" applyFont="1" applyNumberFormat="1"/>
    <xf borderId="1" fillId="0" fontId="4" numFmtId="164" xfId="0" applyAlignment="1" applyBorder="1" applyFont="1" applyNumberFormat="1">
      <alignment readingOrder="0" vertical="bottom"/>
    </xf>
    <xf borderId="1" fillId="0" fontId="1" numFmtId="0" xfId="0" applyBorder="1" applyFont="1"/>
    <xf borderId="0" fillId="0" fontId="2" numFmtId="164" xfId="0" applyFont="1" applyNumberFormat="1"/>
    <xf borderId="3" fillId="0" fontId="4" numFmtId="0" xfId="0" applyAlignment="1" applyBorder="1" applyFont="1">
      <alignment horizontal="right" readingOrder="0" vertical="bottom"/>
    </xf>
    <xf borderId="12" fillId="0" fontId="4" numFmtId="0" xfId="0" applyAlignment="1" applyBorder="1" applyFont="1">
      <alignment vertical="bottom"/>
    </xf>
    <xf borderId="12" fillId="0" fontId="4" numFmtId="164" xfId="0" applyAlignment="1" applyBorder="1" applyFont="1" applyNumberFormat="1">
      <alignment horizontal="right" vertical="bottom"/>
    </xf>
    <xf borderId="13" fillId="0" fontId="5" numFmtId="0" xfId="0" applyAlignment="1" applyBorder="1" applyFont="1">
      <alignment vertical="bottom"/>
    </xf>
    <xf borderId="13" fillId="0" fontId="5" numFmtId="164" xfId="0" applyAlignment="1" applyBorder="1" applyFont="1" applyNumberFormat="1">
      <alignment horizontal="right" vertical="bottom"/>
    </xf>
    <xf borderId="1" fillId="2" fontId="3" numFmtId="0" xfId="0" applyAlignment="1" applyBorder="1" applyFont="1">
      <alignment horizontal="center" vertical="bottom"/>
    </xf>
    <xf borderId="1" fillId="2" fontId="3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center"/>
    </xf>
    <xf borderId="3" fillId="0" fontId="2" numFmtId="0" xfId="0" applyAlignment="1" applyBorder="1" applyFont="1">
      <alignment readingOrder="0"/>
    </xf>
    <xf borderId="3" fillId="0" fontId="2" numFmtId="0" xfId="0" applyBorder="1" applyFont="1"/>
    <xf borderId="1" fillId="0" fontId="2" numFmtId="0" xfId="0" applyAlignment="1" applyBorder="1" applyFont="1">
      <alignment horizontal="center" vertical="center"/>
    </xf>
    <xf borderId="0" fillId="0" fontId="1" numFmtId="0" xfId="0" applyFont="1"/>
    <xf borderId="3" fillId="0" fontId="2" numFmtId="0" xfId="0" applyAlignment="1" applyBorder="1" applyFont="1">
      <alignment horizontal="center" vertical="center"/>
    </xf>
    <xf borderId="5" fillId="0" fontId="5" numFmtId="0" xfId="0" applyAlignment="1" applyBorder="1" applyFont="1">
      <alignment vertical="bottom"/>
    </xf>
    <xf borderId="1" fillId="0" fontId="2" numFmtId="0" xfId="0" applyAlignment="1" applyBorder="1" applyFont="1">
      <alignment horizontal="center" readingOrder="0"/>
    </xf>
    <xf borderId="13" fillId="0" fontId="4" numFmtId="0" xfId="0" applyAlignment="1" applyBorder="1" applyFont="1">
      <alignment vertical="bottom"/>
    </xf>
    <xf borderId="13" fillId="0" fontId="4" numFmtId="0" xfId="0" applyAlignment="1" applyBorder="1" applyFont="1">
      <alignment readingOrder="0" vertical="bottom"/>
    </xf>
    <xf borderId="0" fillId="0" fontId="2" numFmtId="0" xfId="0" applyAlignment="1" applyFont="1">
      <alignment horizontal="center" readingOrder="0"/>
    </xf>
    <xf borderId="12" fillId="0" fontId="2" numFmtId="0" xfId="0" applyAlignment="1" applyBorder="1" applyFont="1">
      <alignment horizontal="center" readingOrder="0" vertical="center"/>
    </xf>
    <xf borderId="13" fillId="0" fontId="6" numFmtId="0" xfId="0" applyBorder="1" applyFont="1"/>
    <xf borderId="1" fillId="0" fontId="8" numFmtId="0" xfId="0" applyAlignment="1" applyBorder="1" applyFont="1">
      <alignment readingOrder="0"/>
    </xf>
    <xf borderId="14" fillId="0" fontId="6" numFmtId="0" xfId="0" applyBorder="1" applyFont="1"/>
    <xf borderId="1" fillId="0" fontId="9" numFmtId="0" xfId="0" applyAlignment="1" applyBorder="1" applyFont="1">
      <alignment readingOrder="0" vertical="bottom"/>
    </xf>
    <xf borderId="12" fillId="0" fontId="10" numFmtId="0" xfId="0" applyAlignment="1" applyBorder="1" applyFont="1">
      <alignment horizontal="center" readingOrder="0" vertical="center"/>
    </xf>
    <xf borderId="1" fillId="0" fontId="10" numFmtId="0" xfId="0" applyAlignment="1" applyBorder="1" applyFont="1">
      <alignment readingOrder="0"/>
    </xf>
    <xf borderId="1" fillId="0" fontId="11" numFmtId="0" xfId="0" applyAlignment="1" applyBorder="1" applyFont="1">
      <alignment readingOrder="0" vertical="bottom"/>
    </xf>
    <xf borderId="1" fillId="0" fontId="12" numFmtId="0" xfId="0" applyAlignment="1" applyBorder="1" applyFont="1">
      <alignment horizontal="center" readingOrder="0" vertical="center"/>
    </xf>
    <xf borderId="1" fillId="0" fontId="12" numFmtId="0" xfId="0" applyAlignment="1" applyBorder="1" applyFont="1">
      <alignment readingOrder="0"/>
    </xf>
    <xf borderId="1" fillId="7" fontId="4" numFmtId="0" xfId="0" applyAlignment="1" applyBorder="1" applyFill="1" applyFont="1">
      <alignment vertical="bottom"/>
    </xf>
    <xf borderId="1" fillId="0" fontId="5" numFmtId="164" xfId="0" applyAlignment="1" applyBorder="1" applyFont="1" applyNumberFormat="1">
      <alignment horizontal="right" readingOrder="0" vertical="bottom"/>
    </xf>
    <xf borderId="3" fillId="8" fontId="4" numFmtId="0" xfId="0" applyAlignment="1" applyBorder="1" applyFill="1" applyFont="1">
      <alignment readingOrder="0" vertical="bottom"/>
    </xf>
    <xf borderId="3" fillId="0" fontId="4" numFmtId="166" xfId="0" applyAlignment="1" applyBorder="1" applyFont="1" applyNumberFormat="1">
      <alignment horizontal="right" readingOrder="0" vertical="bottom"/>
    </xf>
    <xf borderId="3" fillId="0" fontId="4" numFmtId="166" xfId="0" applyAlignment="1" applyBorder="1" applyFont="1" applyNumberFormat="1">
      <alignment vertical="bottom"/>
    </xf>
    <xf borderId="3" fillId="0" fontId="4" numFmtId="166" xfId="0" applyAlignment="1" applyBorder="1" applyFont="1" applyNumberFormat="1">
      <alignment horizontal="right" vertical="bottom"/>
    </xf>
    <xf borderId="3" fillId="9" fontId="4" numFmtId="0" xfId="0" applyAlignment="1" applyBorder="1" applyFill="1" applyFont="1">
      <alignment readingOrder="0" vertical="bottom"/>
    </xf>
    <xf borderId="3" fillId="0" fontId="4" numFmtId="166" xfId="0" applyAlignment="1" applyBorder="1" applyFont="1" applyNumberFormat="1">
      <alignment readingOrder="0" vertical="bottom"/>
    </xf>
    <xf borderId="3" fillId="10" fontId="4" numFmtId="0" xfId="0" applyAlignment="1" applyBorder="1" applyFill="1" applyFont="1">
      <alignment readingOrder="0" vertical="bottom"/>
    </xf>
    <xf borderId="1" fillId="10" fontId="4" numFmtId="0" xfId="0" applyAlignment="1" applyBorder="1" applyFont="1">
      <alignment readingOrder="0" vertical="bottom"/>
    </xf>
    <xf borderId="1" fillId="3" fontId="4" numFmtId="0" xfId="0" applyAlignment="1" applyBorder="1" applyFont="1">
      <alignment readingOrder="0" vertical="bottom"/>
    </xf>
    <xf borderId="1" fillId="3" fontId="2" numFmtId="0" xfId="0" applyAlignment="1" applyBorder="1" applyFont="1">
      <alignment readingOrder="0"/>
    </xf>
    <xf borderId="3" fillId="0" fontId="5" numFmtId="166" xfId="0" applyAlignment="1" applyBorder="1" applyFont="1" applyNumberFormat="1">
      <alignment horizontal="right" vertical="bottom"/>
    </xf>
    <xf borderId="3" fillId="0" fontId="4" numFmtId="167" xfId="0" applyAlignment="1" applyBorder="1" applyFont="1" applyNumberFormat="1">
      <alignment horizontal="right" readingOrder="0" vertical="bottom"/>
    </xf>
    <xf borderId="3" fillId="0" fontId="4" numFmtId="167" xfId="0" applyAlignment="1" applyBorder="1" applyFont="1" applyNumberFormat="1">
      <alignment readingOrder="0" vertical="bottom"/>
    </xf>
    <xf borderId="3" fillId="0" fontId="4" numFmtId="167" xfId="0" applyAlignment="1" applyBorder="1" applyFont="1" applyNumberFormat="1">
      <alignment vertical="bottom"/>
    </xf>
    <xf borderId="3" fillId="0" fontId="5" numFmtId="167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Relationship Id="rId3" Type="http://schemas.openxmlformats.org/officeDocument/2006/relationships/image" Target="../media/image5.png"/><Relationship Id="rId4" Type="http://schemas.openxmlformats.org/officeDocument/2006/relationships/image" Target="../media/image3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Relationship Id="rId3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142875</xdr:colOff>
      <xdr:row>29</xdr:row>
      <xdr:rowOff>180975</xdr:rowOff>
    </xdr:from>
    <xdr:ext cx="2028825" cy="3438525"/>
    <xdr:pic>
      <xdr:nvPicPr>
        <xdr:cNvPr id="0" name="image6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266700</xdr:colOff>
      <xdr:row>29</xdr:row>
      <xdr:rowOff>180975</xdr:rowOff>
    </xdr:from>
    <xdr:ext cx="2028825" cy="3438525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552450</xdr:colOff>
      <xdr:row>29</xdr:row>
      <xdr:rowOff>180975</xdr:rowOff>
    </xdr:from>
    <xdr:ext cx="2028825" cy="3438525"/>
    <xdr:pic>
      <xdr:nvPicPr>
        <xdr:cNvPr id="0" name="image5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781050</xdr:colOff>
      <xdr:row>29</xdr:row>
      <xdr:rowOff>180975</xdr:rowOff>
    </xdr:from>
    <xdr:ext cx="2028825" cy="3438525"/>
    <xdr:pic>
      <xdr:nvPicPr>
        <xdr:cNvPr id="0" name="image3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48</xdr:row>
      <xdr:rowOff>0</xdr:rowOff>
    </xdr:from>
    <xdr:ext cx="4876800" cy="3857625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238125</xdr:colOff>
      <xdr:row>48</xdr:row>
      <xdr:rowOff>85725</xdr:rowOff>
    </xdr:from>
    <xdr:ext cx="4876800" cy="3914775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323850</xdr:colOff>
      <xdr:row>49</xdr:row>
      <xdr:rowOff>104775</xdr:rowOff>
    </xdr:from>
    <xdr:ext cx="4876800" cy="3781425"/>
    <xdr:pic>
      <xdr:nvPicPr>
        <xdr:cNvPr id="0" name="image7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Dive Academy Colombia" id="{88002245-5b45-4294-b281-1b0a349440a3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2" dT="2026-05-26T17:07:40.00" personId="{88002245-5b45-4294-b281-1b0a349440a3}" id="{a2512ab0-9217-4cf0-9140-3b33a63c9fa6}" done="1">
    <x18tc:text xml:space="preserve">543 use en cuenta dive academy 2 millones de pesos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I16" dT="2026-05-29T21:43:12.00" personId="{88002245-5b45-4294-b281-1b0a349440a3}" id="{edb2a1fc-7e28-44ca-ae98-839e1f694e5d}" done="0">
    <x18tc:text xml:space="preserve">500 euros al blueforce directamente</x18tc:text>
  </x18tc:threadedComment>
  <x18tc:threadedComment ref="I5" dT="2026-05-29T15:09:15.00" personId="{88002245-5b45-4294-b281-1b0a349440a3}" id="{31092bcc-1a83-411c-9665-19a7b24d00dd}" done="0">
    <x18tc:text xml:space="preserve">Pago directo al barco</x18tc:text>
  </x18tc:threadedComment>
  <x18tc:threadedComment ref="I3" dT="2026-05-27T17:14:33.00" personId="{88002245-5b45-4294-b281-1b0a349440a3}" id="{a9894549-7029-44d7-9e01-d69da2955e00}" done="0">
    <x18tc:text xml:space="preserve">Están en dolar app Jm</x18tc:text>
  </x18tc:threadedComment>
  <x18tc:threadedComment ref="I14" dT="2026-05-29T21:25:14.00" personId="{88002245-5b45-4294-b281-1b0a349440a3}" id="{f8fc1704-f4cf-4272-ae34-25d1e1a33fee}" done="0">
    <x18tc:text xml:space="preserve">Fueron 1000 dólares al barco cambio da 857 peros a espera de cambio del blue force</x18tc:text>
  </x18tc:threadedComment>
  <x18tc:threadedComment ref="I15" dT="2026-05-29T21:25:48.00" personId="{88002245-5b45-4294-b281-1b0a349440a3}" id="{ad944822-bb34-40a1-93fa-63329f081a90}" done="0">
    <x18tc:text xml:space="preserve">Fueron 1000 usd al barco total 858 euros en espera del cambio que de el blueforfce</x18tc:text>
  </x18tc:threadedComment>
  <x18tc:threadedComment ref="I4" dT="2026-05-29T17:00:11.00" personId="{88002245-5b45-4294-b281-1b0a349440a3}" id="{f8ad207a-e3b1-413d-8f75-21980298c765}" done="0">
    <x18tc:text xml:space="preserve">Pago realizado al barco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5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6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7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8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9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10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15.xml"/><Relationship Id="rId3" Type="http://schemas.openxmlformats.org/officeDocument/2006/relationships/vmlDrawing" Target="../drawings/vmlDrawing11.v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16.xml"/><Relationship Id="rId3" Type="http://schemas.openxmlformats.org/officeDocument/2006/relationships/vmlDrawing" Target="../drawings/vmlDrawing12.v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drawing" Target="../drawings/drawing17.xml"/><Relationship Id="rId3" Type="http://schemas.openxmlformats.org/officeDocument/2006/relationships/vmlDrawing" Target="../drawings/vmlDrawing13.v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drawing" Target="../drawings/drawing18.xml"/><Relationship Id="rId3" Type="http://schemas.openxmlformats.org/officeDocument/2006/relationships/vmlDrawing" Target="../drawings/vmlDrawing14.v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comments" Target="../comments15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9.xml"/><Relationship Id="rId5" Type="http://schemas.openxmlformats.org/officeDocument/2006/relationships/vmlDrawing" Target="../drawings/vmlDrawing15.v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drawing" Target="../drawings/drawing20.xml"/><Relationship Id="rId3" Type="http://schemas.openxmlformats.org/officeDocument/2006/relationships/vmlDrawing" Target="../drawings/vmlDrawing16.v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drawing" Target="../drawings/drawing21.xml"/><Relationship Id="rId3" Type="http://schemas.openxmlformats.org/officeDocument/2006/relationships/vmlDrawing" Target="../drawings/vmlDrawing17.v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drawing" Target="../drawings/drawing22.xml"/><Relationship Id="rId3" Type="http://schemas.openxmlformats.org/officeDocument/2006/relationships/vmlDrawing" Target="../drawings/vmlDrawing18.v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comments" Target="../comments19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4.xml"/><Relationship Id="rId5" Type="http://schemas.openxmlformats.org/officeDocument/2006/relationships/vmlDrawing" Target="../drawings/vmlDrawing19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5"/>
    <col customWidth="1" min="4" max="4" width="11.63"/>
    <col customWidth="1" min="6" max="6" width="14.5"/>
    <col customWidth="1" min="7" max="7" width="9.75"/>
  </cols>
  <sheetData>
    <row r="2">
      <c r="C2" s="1"/>
    </row>
    <row r="3">
      <c r="C3" s="2" t="s">
        <v>0</v>
      </c>
      <c r="D3" s="3">
        <f>'Islas del Rosario'!I13+'San Andres Mayo'!I12+'Nuquí Mayo'!I10+'Solo nosotras'!I11+Tintipan!I11+'Provi Junio'!I18+'Gorgona Junio'!J23+'Santa Marta Julio'!I12+'Gorgona agosto 2026'!J24+'Malpelo 2027'!I15+'Provi diciembre'!I12+Coiba!H18+'Baja 2026'!H14+'Cursos Pendientes'!D11+'Mar Rojo 2027'!I22</f>
        <v>77060034</v>
      </c>
    </row>
    <row r="5">
      <c r="C5" s="4" t="s">
        <v>1</v>
      </c>
      <c r="D5" s="5">
        <v>4.3204651E7</v>
      </c>
    </row>
    <row r="6">
      <c r="C6" s="4" t="s">
        <v>2</v>
      </c>
      <c r="D6" s="5">
        <v>2.0689176E7</v>
      </c>
    </row>
    <row r="7">
      <c r="C7" s="4" t="s">
        <v>3</v>
      </c>
      <c r="D7" s="6">
        <f>6190000-461200-1890000-120000</f>
        <v>3718800</v>
      </c>
    </row>
    <row r="8">
      <c r="C8" s="4" t="s">
        <v>4</v>
      </c>
      <c r="D8" s="5">
        <v>3156332.0</v>
      </c>
    </row>
    <row r="9">
      <c r="C9" s="4" t="s">
        <v>5</v>
      </c>
      <c r="D9" s="5">
        <f>4951850+3939900</f>
        <v>8891750</v>
      </c>
    </row>
    <row r="10">
      <c r="C10" s="2" t="s">
        <v>6</v>
      </c>
      <c r="D10" s="7">
        <f>SUM(D5:D9)</f>
        <v>79660709</v>
      </c>
    </row>
    <row r="12">
      <c r="C12" s="4" t="s">
        <v>7</v>
      </c>
      <c r="D12" s="6">
        <f>580000+8725500+810000</f>
        <v>10115500</v>
      </c>
    </row>
    <row r="13">
      <c r="C13" s="2" t="s">
        <v>8</v>
      </c>
      <c r="D13" s="8">
        <f>SUM(D10:D12)</f>
        <v>89776209</v>
      </c>
    </row>
    <row r="16">
      <c r="C16" s="4" t="s">
        <v>9</v>
      </c>
      <c r="D16" s="5">
        <f>D10-D3</f>
        <v>2600675</v>
      </c>
    </row>
    <row r="18">
      <c r="C18" s="2" t="s">
        <v>8</v>
      </c>
      <c r="D18" s="8">
        <f>SUM(D16:D17)</f>
        <v>2600675</v>
      </c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12.13"/>
    <col customWidth="1" min="3" max="3" width="23.63"/>
    <col customWidth="1" min="5" max="5" width="73.25"/>
  </cols>
  <sheetData>
    <row r="1">
      <c r="B1" s="9" t="s">
        <v>10</v>
      </c>
      <c r="C1" s="9" t="s">
        <v>11</v>
      </c>
      <c r="D1" s="9" t="s">
        <v>12</v>
      </c>
      <c r="E1" s="9" t="s">
        <v>13</v>
      </c>
    </row>
    <row r="2">
      <c r="A2" s="9" t="s">
        <v>14</v>
      </c>
      <c r="B2" s="10">
        <v>550000.0</v>
      </c>
      <c r="C2" s="9" t="s">
        <v>15</v>
      </c>
      <c r="D2" s="11">
        <f t="shared" ref="D2:D4" si="1">B2-324500</f>
        <v>225500</v>
      </c>
      <c r="E2" s="9" t="s">
        <v>16</v>
      </c>
    </row>
    <row r="3">
      <c r="A3" s="9" t="s">
        <v>17</v>
      </c>
      <c r="B3" s="10">
        <f>1100000+1000000</f>
        <v>2100000</v>
      </c>
      <c r="C3" s="9" t="s">
        <v>15</v>
      </c>
      <c r="D3" s="11">
        <f t="shared" si="1"/>
        <v>1775500</v>
      </c>
    </row>
    <row r="4">
      <c r="A4" s="9" t="s">
        <v>18</v>
      </c>
      <c r="B4" s="10">
        <v>1100000.0</v>
      </c>
      <c r="C4" s="9" t="s">
        <v>15</v>
      </c>
      <c r="D4" s="11">
        <f t="shared" si="1"/>
        <v>775500</v>
      </c>
    </row>
    <row r="5">
      <c r="A5" s="9" t="s">
        <v>19</v>
      </c>
      <c r="B5" s="10">
        <v>550000.0</v>
      </c>
      <c r="C5" s="9" t="s">
        <v>15</v>
      </c>
      <c r="D5" s="11">
        <f>550000-324500</f>
        <v>225500</v>
      </c>
    </row>
    <row r="11">
      <c r="D11" s="11">
        <f>SUM(D2:D5)</f>
        <v>3002000</v>
      </c>
    </row>
  </sheetData>
  <mergeCells count="1">
    <mergeCell ref="E2:E3"/>
  </mergeCell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  <col customWidth="1" min="3" max="3" width="16.25"/>
    <col customWidth="1" min="5" max="5" width="13.63"/>
    <col customWidth="1" min="8" max="8" width="16.75"/>
  </cols>
  <sheetData>
    <row r="1">
      <c r="A1" s="12" t="s">
        <v>20</v>
      </c>
      <c r="B1" s="12" t="s">
        <v>21</v>
      </c>
      <c r="C1" s="12" t="s">
        <v>22</v>
      </c>
      <c r="D1" s="12" t="s">
        <v>23</v>
      </c>
      <c r="E1" s="12" t="s">
        <v>24</v>
      </c>
      <c r="F1" s="12" t="s">
        <v>25</v>
      </c>
      <c r="G1" s="12" t="s">
        <v>26</v>
      </c>
      <c r="H1" s="12" t="s">
        <v>27</v>
      </c>
      <c r="I1" s="13" t="s">
        <v>28</v>
      </c>
      <c r="J1" s="12" t="s">
        <v>29</v>
      </c>
      <c r="K1" s="12" t="s">
        <v>30</v>
      </c>
      <c r="L1" s="12" t="s">
        <v>31</v>
      </c>
      <c r="M1" s="12" t="s">
        <v>32</v>
      </c>
    </row>
    <row r="2">
      <c r="A2" s="14">
        <v>324500.0</v>
      </c>
      <c r="B2" s="15" t="s">
        <v>33</v>
      </c>
      <c r="C2" s="16" t="s">
        <v>34</v>
      </c>
      <c r="D2" s="16" t="s">
        <v>35</v>
      </c>
      <c r="E2" s="16" t="s">
        <v>36</v>
      </c>
      <c r="F2" s="17" t="s">
        <v>37</v>
      </c>
      <c r="G2" s="18"/>
      <c r="H2" s="19">
        <f>3790000+1100000</f>
        <v>4890000</v>
      </c>
      <c r="I2" s="20">
        <v>350000.0</v>
      </c>
      <c r="J2" s="19">
        <f>1100000+3790000+350000</f>
        <v>5240000</v>
      </c>
      <c r="K2" s="16"/>
      <c r="L2" s="19">
        <f t="shared" ref="L2:L9" si="1">(H2+I2)-J2</f>
        <v>0</v>
      </c>
      <c r="M2" s="15" t="s">
        <v>38</v>
      </c>
    </row>
    <row r="3">
      <c r="A3" s="14">
        <v>324500.0</v>
      </c>
      <c r="B3" s="15" t="s">
        <v>39</v>
      </c>
      <c r="C3" s="16" t="s">
        <v>34</v>
      </c>
      <c r="D3" s="16" t="s">
        <v>35</v>
      </c>
      <c r="E3" s="15" t="s">
        <v>40</v>
      </c>
      <c r="F3" s="17" t="s">
        <v>41</v>
      </c>
      <c r="G3" s="18"/>
      <c r="H3" s="19">
        <f t="shared" ref="H3:H4" si="2">4190000+1100000</f>
        <v>5290000</v>
      </c>
      <c r="I3" s="20">
        <v>350000.0</v>
      </c>
      <c r="J3" s="19">
        <f t="shared" ref="J3:J4" si="3">1500000+1145000+1500000+1145000+350000</f>
        <v>5640000</v>
      </c>
      <c r="K3" s="16"/>
      <c r="L3" s="19">
        <f t="shared" si="1"/>
        <v>0</v>
      </c>
      <c r="M3" s="15" t="s">
        <v>42</v>
      </c>
    </row>
    <row r="4">
      <c r="A4" s="14">
        <v>324500.0</v>
      </c>
      <c r="B4" s="15" t="s">
        <v>43</v>
      </c>
      <c r="C4" s="16" t="s">
        <v>34</v>
      </c>
      <c r="D4" s="16" t="s">
        <v>35</v>
      </c>
      <c r="E4" s="16" t="s">
        <v>44</v>
      </c>
      <c r="F4" s="17" t="s">
        <v>41</v>
      </c>
      <c r="G4" s="18"/>
      <c r="H4" s="19">
        <f t="shared" si="2"/>
        <v>5290000</v>
      </c>
      <c r="I4" s="20">
        <v>350000.0</v>
      </c>
      <c r="J4" s="19">
        <f t="shared" si="3"/>
        <v>5640000</v>
      </c>
      <c r="K4" s="16"/>
      <c r="L4" s="19">
        <f t="shared" si="1"/>
        <v>0</v>
      </c>
      <c r="M4" s="15" t="s">
        <v>38</v>
      </c>
      <c r="N4" s="9" t="s">
        <v>45</v>
      </c>
    </row>
    <row r="5">
      <c r="A5" s="14">
        <v>294000.0</v>
      </c>
      <c r="B5" s="15" t="s">
        <v>46</v>
      </c>
      <c r="C5" s="15" t="s">
        <v>47</v>
      </c>
      <c r="D5" s="16" t="s">
        <v>48</v>
      </c>
      <c r="E5" s="16" t="s">
        <v>49</v>
      </c>
      <c r="F5" s="17" t="s">
        <v>50</v>
      </c>
      <c r="G5" s="18"/>
      <c r="H5" s="19">
        <f>3600500+1045000</f>
        <v>4645500</v>
      </c>
      <c r="I5" s="20">
        <v>350000.0</v>
      </c>
      <c r="J5" s="19">
        <f>500000+3000000+1495500</f>
        <v>4995500</v>
      </c>
      <c r="K5" s="16"/>
      <c r="L5" s="19">
        <f t="shared" si="1"/>
        <v>0</v>
      </c>
      <c r="M5" s="15" t="s">
        <v>38</v>
      </c>
    </row>
    <row r="6">
      <c r="A6" s="16"/>
      <c r="B6" s="16"/>
      <c r="C6" s="15" t="s">
        <v>51</v>
      </c>
      <c r="D6" s="16" t="s">
        <v>48</v>
      </c>
      <c r="E6" s="16" t="s">
        <v>52</v>
      </c>
      <c r="F6" s="17" t="s">
        <v>50</v>
      </c>
      <c r="G6" s="18"/>
      <c r="H6" s="19">
        <v>3600500.0</v>
      </c>
      <c r="I6" s="21">
        <v>350000.0</v>
      </c>
      <c r="J6" s="21">
        <v>3950500</v>
      </c>
      <c r="K6" s="16"/>
      <c r="L6" s="19">
        <f t="shared" si="1"/>
        <v>0</v>
      </c>
      <c r="M6" s="15" t="s">
        <v>53</v>
      </c>
    </row>
    <row r="7">
      <c r="A7" s="16"/>
      <c r="B7" s="16"/>
      <c r="C7" s="15" t="s">
        <v>54</v>
      </c>
      <c r="D7" s="16" t="s">
        <v>48</v>
      </c>
      <c r="E7" s="16" t="s">
        <v>55</v>
      </c>
      <c r="F7" s="17" t="s">
        <v>56</v>
      </c>
      <c r="G7" s="18"/>
      <c r="H7" s="19">
        <f>3790000+300000</f>
        <v>4090000</v>
      </c>
      <c r="I7" s="20">
        <v>350000.0</v>
      </c>
      <c r="J7" s="19">
        <f>2000000+2090000+350000</f>
        <v>4440000</v>
      </c>
      <c r="K7" s="16"/>
      <c r="L7" s="19">
        <f t="shared" si="1"/>
        <v>0</v>
      </c>
      <c r="M7" s="15" t="s">
        <v>53</v>
      </c>
    </row>
    <row r="8">
      <c r="A8" s="15">
        <v>294000.0</v>
      </c>
      <c r="B8" s="15" t="s">
        <v>57</v>
      </c>
      <c r="C8" s="15" t="s">
        <v>47</v>
      </c>
      <c r="D8" s="16" t="s">
        <v>48</v>
      </c>
      <c r="E8" s="15" t="s">
        <v>58</v>
      </c>
      <c r="F8" s="16"/>
      <c r="G8" s="18"/>
      <c r="H8" s="19">
        <f>3600000+1100000</f>
        <v>4700000</v>
      </c>
      <c r="I8" s="21"/>
      <c r="J8" s="21">
        <f>1000000+2500000+1200000</f>
        <v>4700000</v>
      </c>
      <c r="K8" s="16"/>
      <c r="L8" s="19">
        <f t="shared" si="1"/>
        <v>0</v>
      </c>
      <c r="M8" s="15" t="s">
        <v>45</v>
      </c>
    </row>
    <row r="9">
      <c r="A9" s="16"/>
      <c r="B9" s="16"/>
      <c r="C9" s="16"/>
      <c r="D9" s="16"/>
      <c r="E9" s="15" t="s">
        <v>59</v>
      </c>
      <c r="F9" s="22"/>
      <c r="G9" s="18"/>
      <c r="H9" s="19">
        <v>3600500.0</v>
      </c>
      <c r="I9" s="20">
        <v>350000.0</v>
      </c>
      <c r="J9" s="21">
        <f>350000+400000+3200500</f>
        <v>3950500</v>
      </c>
      <c r="K9" s="16"/>
      <c r="L9" s="19">
        <f t="shared" si="1"/>
        <v>0</v>
      </c>
      <c r="M9" s="15" t="s">
        <v>42</v>
      </c>
    </row>
    <row r="10">
      <c r="A10" s="16"/>
      <c r="B10" s="16"/>
      <c r="C10" s="16"/>
      <c r="D10" s="16"/>
      <c r="E10" s="16" t="s">
        <v>60</v>
      </c>
      <c r="F10" s="22" t="s">
        <v>61</v>
      </c>
      <c r="G10" s="18"/>
      <c r="H10" s="19"/>
      <c r="I10" s="21"/>
      <c r="J10" s="21"/>
      <c r="K10" s="16"/>
      <c r="L10" s="23"/>
      <c r="M10" s="16"/>
    </row>
    <row r="11">
      <c r="A11" s="16"/>
      <c r="B11" s="16"/>
      <c r="C11" s="16"/>
      <c r="D11" s="16"/>
      <c r="E11" s="16" t="s">
        <v>62</v>
      </c>
      <c r="F11" s="22" t="s">
        <v>61</v>
      </c>
      <c r="G11" s="23"/>
      <c r="H11" s="23"/>
      <c r="I11" s="23"/>
      <c r="J11" s="23"/>
      <c r="K11" s="16"/>
      <c r="L11" s="16"/>
      <c r="M11" s="16"/>
    </row>
    <row r="12">
      <c r="A12" s="24">
        <f>SUM(A2:A11)</f>
        <v>1561500</v>
      </c>
      <c r="B12" s="16"/>
      <c r="C12" s="16"/>
      <c r="D12" s="16"/>
      <c r="E12" s="25"/>
      <c r="F12" s="25"/>
      <c r="G12" s="24" t="s">
        <v>63</v>
      </c>
      <c r="H12" s="24">
        <f>SUM(H2:H11)</f>
        <v>36106500</v>
      </c>
      <c r="I12" s="24"/>
      <c r="J12" s="24">
        <f t="shared" ref="J12:L12" si="4">SUM(J2:J11)</f>
        <v>38556500</v>
      </c>
      <c r="K12" s="24">
        <f t="shared" si="4"/>
        <v>0</v>
      </c>
      <c r="L12" s="24">
        <f t="shared" si="4"/>
        <v>0</v>
      </c>
      <c r="M12" s="16"/>
    </row>
    <row r="13">
      <c r="A13" s="26"/>
      <c r="B13" s="26"/>
      <c r="C13" s="26"/>
      <c r="D13" s="26"/>
      <c r="E13" s="26"/>
      <c r="F13" s="27"/>
      <c r="G13" s="27"/>
      <c r="H13" s="22" t="s">
        <v>64</v>
      </c>
      <c r="I13" s="24"/>
      <c r="J13" s="24">
        <f>SUM(J12+K12)-B31</f>
        <v>19103832</v>
      </c>
      <c r="K13" s="26"/>
      <c r="L13" s="26"/>
      <c r="M13" s="26"/>
    </row>
    <row r="14">
      <c r="A14" s="26"/>
      <c r="B14" s="26"/>
      <c r="C14" s="26"/>
      <c r="D14" s="26"/>
      <c r="E14" s="26"/>
      <c r="F14" s="26"/>
      <c r="G14" s="26"/>
      <c r="H14" s="28" t="s">
        <v>65</v>
      </c>
      <c r="I14" s="29"/>
      <c r="J14" s="29">
        <f>(H12*4)/1000</f>
        <v>144426</v>
      </c>
      <c r="K14" s="26"/>
      <c r="L14" s="26"/>
      <c r="M14" s="26"/>
    </row>
    <row r="1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</row>
    <row r="16">
      <c r="A16" s="28" t="s">
        <v>66</v>
      </c>
      <c r="B16" s="30"/>
      <c r="C16" s="26"/>
      <c r="D16" s="26" t="s">
        <v>67</v>
      </c>
      <c r="E16" s="26"/>
      <c r="F16" s="26"/>
      <c r="G16" s="26"/>
      <c r="H16" s="26"/>
      <c r="I16" s="26"/>
      <c r="J16" s="26"/>
      <c r="K16" s="26"/>
      <c r="L16" s="26"/>
      <c r="M16" s="26"/>
    </row>
    <row r="17">
      <c r="A17" s="25" t="s">
        <v>20</v>
      </c>
      <c r="B17" s="29">
        <f>A12</f>
        <v>1561500</v>
      </c>
      <c r="C17" s="26"/>
      <c r="D17" s="31"/>
      <c r="E17" s="31"/>
      <c r="F17" s="31"/>
      <c r="G17" s="31"/>
      <c r="H17" s="31"/>
      <c r="I17" s="31"/>
      <c r="J17" s="31"/>
      <c r="K17" s="31"/>
      <c r="L17" s="26"/>
      <c r="M17" s="26"/>
    </row>
    <row r="18">
      <c r="A18" s="25" t="s">
        <v>68</v>
      </c>
      <c r="B18" s="29">
        <f>1346268+607200+1299600</f>
        <v>3253068</v>
      </c>
      <c r="C18" s="26"/>
      <c r="D18" s="32" t="s">
        <v>69</v>
      </c>
      <c r="L18" s="26"/>
      <c r="M18" s="26"/>
    </row>
    <row r="19">
      <c r="A19" s="25" t="s">
        <v>70</v>
      </c>
      <c r="B19" s="33">
        <v>525000.0</v>
      </c>
      <c r="C19" s="34"/>
      <c r="L19" s="26"/>
      <c r="M19" s="26"/>
    </row>
    <row r="20">
      <c r="A20" s="17" t="s">
        <v>71</v>
      </c>
      <c r="B20" s="33">
        <v>8510000.0</v>
      </c>
      <c r="C20" s="26"/>
      <c r="L20" s="26"/>
      <c r="M20" s="26"/>
    </row>
    <row r="21">
      <c r="A21" s="17" t="s">
        <v>72</v>
      </c>
      <c r="B21" s="29">
        <f>40000+3200500</f>
        <v>3240500</v>
      </c>
      <c r="C21" s="34">
        <v>3359500.0</v>
      </c>
      <c r="L21" s="26"/>
      <c r="M21" s="26"/>
    </row>
    <row r="22">
      <c r="A22" s="17" t="s">
        <v>73</v>
      </c>
      <c r="B22" s="33">
        <v>143000.0</v>
      </c>
      <c r="C22" s="26"/>
      <c r="L22" s="26"/>
      <c r="M22" s="26"/>
    </row>
    <row r="23">
      <c r="A23" s="17" t="s">
        <v>74</v>
      </c>
      <c r="B23" s="33">
        <v>390000.0</v>
      </c>
      <c r="L23" s="26"/>
      <c r="M23" s="26"/>
    </row>
    <row r="24">
      <c r="A24" s="17" t="s">
        <v>75</v>
      </c>
      <c r="B24" s="29">
        <f>78200+12400+68000+110000+292000+27000+12000+89500+35000+30000+17500+35000+46000+100000+300000+80000+95000+162000+130000+110000</f>
        <v>1829600</v>
      </c>
      <c r="L24" s="26"/>
      <c r="M24" s="26"/>
    </row>
    <row r="25">
      <c r="A25" s="25"/>
      <c r="B25" s="29">
        <v>0.0</v>
      </c>
      <c r="L25" s="26"/>
      <c r="M25" s="26"/>
    </row>
    <row r="26">
      <c r="A26" s="25"/>
      <c r="B26" s="29">
        <v>0.0</v>
      </c>
      <c r="L26" s="26"/>
      <c r="M26" s="26"/>
    </row>
    <row r="27">
      <c r="A27" s="25"/>
      <c r="B27" s="29">
        <v>0.0</v>
      </c>
      <c r="D27" s="26"/>
      <c r="E27" s="26"/>
      <c r="F27" s="26"/>
      <c r="G27" s="26"/>
      <c r="H27" s="26"/>
      <c r="I27" s="26"/>
      <c r="J27" s="26"/>
      <c r="K27" s="26"/>
      <c r="L27" s="26"/>
      <c r="M27" s="26"/>
    </row>
    <row r="28">
      <c r="A28" s="25" t="s">
        <v>76</v>
      </c>
      <c r="B28" s="29">
        <v>0.0</v>
      </c>
      <c r="D28" s="26"/>
      <c r="E28" s="26"/>
      <c r="F28" s="26"/>
      <c r="G28" s="26"/>
      <c r="H28" s="26"/>
      <c r="I28" s="26"/>
      <c r="J28" s="26"/>
      <c r="K28" s="26"/>
      <c r="L28" s="26"/>
      <c r="M28" s="26"/>
    </row>
    <row r="29">
      <c r="A29" s="25"/>
      <c r="B29" s="29">
        <v>0.0</v>
      </c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</row>
    <row r="30">
      <c r="A30" s="25"/>
      <c r="B30" s="29">
        <v>0.0</v>
      </c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</row>
    <row r="31">
      <c r="A31" s="28" t="s">
        <v>8</v>
      </c>
      <c r="B31" s="35">
        <f>SUM(B17:B30)</f>
        <v>19452668</v>
      </c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</row>
    <row r="32"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</row>
    <row r="33">
      <c r="C33" s="26"/>
      <c r="D33" s="26"/>
      <c r="E33" s="26"/>
      <c r="F33" s="26"/>
      <c r="G33" s="26"/>
      <c r="H33" s="34"/>
      <c r="I33" s="26"/>
      <c r="J33" s="26"/>
      <c r="K33" s="26"/>
      <c r="L33" s="26"/>
      <c r="M33" s="26"/>
    </row>
    <row r="34"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</row>
    <row r="35">
      <c r="C35" s="18"/>
      <c r="D35" s="26"/>
      <c r="E35" s="26"/>
      <c r="F35" s="26"/>
      <c r="G35" s="26"/>
      <c r="H35" s="26"/>
      <c r="I35" s="26"/>
      <c r="J35" s="26"/>
      <c r="K35" s="26"/>
      <c r="L35" s="26"/>
      <c r="M35" s="26"/>
    </row>
    <row r="36"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</row>
    <row r="37">
      <c r="H37" s="9">
        <v>1.2511802E7</v>
      </c>
      <c r="I37" s="9" t="s">
        <v>77</v>
      </c>
      <c r="L37" s="9" t="s">
        <v>78</v>
      </c>
      <c r="M37" s="9">
        <v>293215.0</v>
      </c>
    </row>
    <row r="38">
      <c r="H38" s="9">
        <v>3550500.0</v>
      </c>
      <c r="I38" s="9" t="s">
        <v>79</v>
      </c>
      <c r="L38" s="9" t="s">
        <v>80</v>
      </c>
      <c r="M38" s="9">
        <v>353923.0</v>
      </c>
    </row>
    <row r="39">
      <c r="F39" s="36">
        <v>8031151.0</v>
      </c>
      <c r="H39" s="36">
        <f>SUM(H37:H38)</f>
        <v>16062302</v>
      </c>
      <c r="M39" s="36">
        <f>M38-M37</f>
        <v>60708</v>
      </c>
    </row>
    <row r="40">
      <c r="F40" s="9">
        <v>3000000.0</v>
      </c>
      <c r="G40" s="9" t="s">
        <v>81</v>
      </c>
      <c r="H40" s="36">
        <f>H39/2</f>
        <v>8031151</v>
      </c>
    </row>
    <row r="41">
      <c r="F41" s="9">
        <v>600000.0</v>
      </c>
      <c r="G41" s="9" t="s">
        <v>82</v>
      </c>
    </row>
    <row r="42">
      <c r="E42" s="36">
        <f>F39-F40-F41-F42</f>
        <v>3000000</v>
      </c>
      <c r="F42" s="9">
        <v>1431151.0</v>
      </c>
    </row>
  </sheetData>
  <mergeCells count="1">
    <mergeCell ref="D18:K26"/>
  </mergeCells>
  <dataValidations>
    <dataValidation type="list" allowBlank="1" showErrorMessage="1" sqref="C2:C8">
      <formula1>"FUN DIVE,OPEN,AVANZADO,RESCUE,ESPECIALIDAD"</formula1>
    </dataValidation>
    <dataValidation type="list" allowBlank="1" showErrorMessage="1" sqref="F2:F7">
      <formula1>"Multiple,Pareja,Sencilla,Twin"</formula1>
    </dataValidation>
    <dataValidation type="list" allowBlank="1" showErrorMessage="1" sqref="D2:D8">
      <formula1>"SI,NO"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8" max="8" width="16.75"/>
  </cols>
  <sheetData>
    <row r="1">
      <c r="A1" s="12" t="s">
        <v>20</v>
      </c>
      <c r="B1" s="12" t="s">
        <v>21</v>
      </c>
      <c r="C1" s="12" t="s">
        <v>22</v>
      </c>
      <c r="D1" s="12" t="s">
        <v>23</v>
      </c>
      <c r="E1" s="12" t="s">
        <v>24</v>
      </c>
      <c r="F1" s="12" t="s">
        <v>25</v>
      </c>
      <c r="G1" s="12" t="s">
        <v>26</v>
      </c>
      <c r="H1" s="12" t="s">
        <v>27</v>
      </c>
      <c r="I1" s="12" t="s">
        <v>29</v>
      </c>
      <c r="J1" s="12" t="s">
        <v>30</v>
      </c>
      <c r="K1" s="12" t="s">
        <v>31</v>
      </c>
      <c r="L1" s="12" t="s">
        <v>32</v>
      </c>
    </row>
    <row r="2">
      <c r="A2" s="14">
        <v>294000.0</v>
      </c>
      <c r="B2" s="16"/>
      <c r="C2" s="16" t="s">
        <v>47</v>
      </c>
      <c r="D2" s="16" t="s">
        <v>48</v>
      </c>
      <c r="E2" s="16" t="s">
        <v>83</v>
      </c>
      <c r="F2" s="25" t="s">
        <v>41</v>
      </c>
      <c r="G2" s="18"/>
      <c r="H2" s="19">
        <f>3390000+1100000</f>
        <v>4490000</v>
      </c>
      <c r="I2" s="19">
        <f>1000000+1000000+1000000+1490000</f>
        <v>4490000</v>
      </c>
      <c r="J2" s="16"/>
      <c r="K2" s="19">
        <f t="shared" ref="K2:K8" si="1">H2-(I2-J2)</f>
        <v>0</v>
      </c>
      <c r="L2" s="16"/>
    </row>
    <row r="3">
      <c r="A3" s="16"/>
      <c r="B3" s="16"/>
      <c r="C3" s="16" t="s">
        <v>34</v>
      </c>
      <c r="D3" s="16" t="s">
        <v>48</v>
      </c>
      <c r="E3" s="16"/>
      <c r="F3" s="25" t="s">
        <v>41</v>
      </c>
      <c r="G3" s="18"/>
      <c r="H3" s="23"/>
      <c r="I3" s="23"/>
      <c r="J3" s="16"/>
      <c r="K3" s="19">
        <f t="shared" si="1"/>
        <v>0</v>
      </c>
      <c r="L3" s="16"/>
    </row>
    <row r="4">
      <c r="A4" s="16"/>
      <c r="B4" s="16"/>
      <c r="C4" s="16"/>
      <c r="D4" s="16" t="s">
        <v>48</v>
      </c>
      <c r="E4" s="16"/>
      <c r="F4" s="25" t="s">
        <v>41</v>
      </c>
      <c r="G4" s="18"/>
      <c r="H4" s="23"/>
      <c r="I4" s="23"/>
      <c r="J4" s="16"/>
      <c r="K4" s="19">
        <f t="shared" si="1"/>
        <v>0</v>
      </c>
      <c r="L4" s="16"/>
    </row>
    <row r="5">
      <c r="A5" s="16"/>
      <c r="B5" s="16"/>
      <c r="C5" s="16"/>
      <c r="D5" s="16" t="s">
        <v>48</v>
      </c>
      <c r="E5" s="16"/>
      <c r="F5" s="25" t="s">
        <v>41</v>
      </c>
      <c r="G5" s="18"/>
      <c r="H5" s="23"/>
      <c r="I5" s="23"/>
      <c r="J5" s="16"/>
      <c r="K5" s="19">
        <f t="shared" si="1"/>
        <v>0</v>
      </c>
      <c r="L5" s="16"/>
    </row>
    <row r="6">
      <c r="A6" s="16"/>
      <c r="B6" s="16"/>
      <c r="C6" s="16"/>
      <c r="D6" s="16" t="s">
        <v>48</v>
      </c>
      <c r="E6" s="16"/>
      <c r="F6" s="25" t="s">
        <v>41</v>
      </c>
      <c r="G6" s="18"/>
      <c r="H6" s="23"/>
      <c r="I6" s="23"/>
      <c r="J6" s="16"/>
      <c r="K6" s="19">
        <f t="shared" si="1"/>
        <v>0</v>
      </c>
      <c r="L6" s="16"/>
    </row>
    <row r="7">
      <c r="A7" s="16"/>
      <c r="B7" s="16"/>
      <c r="C7" s="16"/>
      <c r="D7" s="16" t="s">
        <v>48</v>
      </c>
      <c r="E7" s="16"/>
      <c r="F7" s="25" t="s">
        <v>41</v>
      </c>
      <c r="G7" s="18"/>
      <c r="H7" s="23"/>
      <c r="I7" s="23"/>
      <c r="J7" s="16"/>
      <c r="K7" s="19">
        <f t="shared" si="1"/>
        <v>0</v>
      </c>
      <c r="L7" s="16"/>
    </row>
    <row r="8">
      <c r="A8" s="16"/>
      <c r="B8" s="16"/>
      <c r="C8" s="16"/>
      <c r="D8" s="16"/>
      <c r="E8" s="16"/>
      <c r="F8" s="16"/>
      <c r="G8" s="18"/>
      <c r="H8" s="23"/>
      <c r="I8" s="23"/>
      <c r="J8" s="16"/>
      <c r="K8" s="19">
        <f t="shared" si="1"/>
        <v>0</v>
      </c>
      <c r="L8" s="16"/>
    </row>
    <row r="9">
      <c r="A9" s="16"/>
      <c r="B9" s="16"/>
      <c r="C9" s="16"/>
      <c r="D9" s="16"/>
      <c r="E9" s="16" t="s">
        <v>60</v>
      </c>
      <c r="F9" s="22" t="s">
        <v>61</v>
      </c>
      <c r="G9" s="18"/>
      <c r="H9" s="23"/>
      <c r="I9" s="23"/>
      <c r="J9" s="16"/>
      <c r="K9" s="23"/>
      <c r="L9" s="16"/>
    </row>
    <row r="10">
      <c r="A10" s="16"/>
      <c r="B10" s="16"/>
      <c r="C10" s="16"/>
      <c r="D10" s="16"/>
      <c r="E10" s="16" t="s">
        <v>62</v>
      </c>
      <c r="F10" s="22" t="s">
        <v>61</v>
      </c>
      <c r="G10" s="23"/>
      <c r="H10" s="23"/>
      <c r="I10" s="23"/>
      <c r="J10" s="16"/>
      <c r="K10" s="16"/>
      <c r="L10" s="16"/>
    </row>
    <row r="11">
      <c r="A11" s="24">
        <f>SUM(A2:A10)</f>
        <v>294000</v>
      </c>
      <c r="B11" s="16"/>
      <c r="C11" s="16"/>
      <c r="D11" s="16"/>
      <c r="E11" s="25"/>
      <c r="F11" s="25"/>
      <c r="G11" s="24" t="s">
        <v>63</v>
      </c>
      <c r="H11" s="24">
        <f t="shared" ref="H11:K11" si="2">SUM(H2:H10)</f>
        <v>4490000</v>
      </c>
      <c r="I11" s="24">
        <f t="shared" si="2"/>
        <v>4490000</v>
      </c>
      <c r="J11" s="24">
        <f t="shared" si="2"/>
        <v>0</v>
      </c>
      <c r="K11" s="24">
        <f t="shared" si="2"/>
        <v>0</v>
      </c>
      <c r="L11" s="16"/>
    </row>
    <row r="12">
      <c r="A12" s="26"/>
      <c r="B12" s="26"/>
      <c r="C12" s="26"/>
      <c r="D12" s="26"/>
      <c r="E12" s="26"/>
      <c r="F12" s="27"/>
      <c r="G12" s="27"/>
      <c r="H12" s="22" t="s">
        <v>64</v>
      </c>
      <c r="I12" s="24">
        <f>SUM(I11+J11)-B35</f>
        <v>2896000</v>
      </c>
      <c r="J12" s="26"/>
      <c r="K12" s="26"/>
      <c r="L12" s="26"/>
    </row>
    <row r="13">
      <c r="A13" s="26"/>
      <c r="B13" s="26"/>
      <c r="C13" s="26"/>
      <c r="D13" s="26"/>
      <c r="E13" s="26"/>
      <c r="F13" s="26"/>
      <c r="G13" s="26"/>
      <c r="H13" s="28" t="s">
        <v>65</v>
      </c>
      <c r="I13" s="29">
        <f>(H11*4)/1000</f>
        <v>17960</v>
      </c>
      <c r="J13" s="26"/>
      <c r="K13" s="26"/>
      <c r="L13" s="26"/>
    </row>
    <row r="14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</row>
    <row r="15">
      <c r="A15" s="28" t="s">
        <v>66</v>
      </c>
      <c r="B15" s="30"/>
      <c r="C15" s="26"/>
      <c r="D15" s="26" t="s">
        <v>67</v>
      </c>
      <c r="E15" s="26"/>
      <c r="F15" s="26"/>
      <c r="G15" s="26"/>
      <c r="H15" s="26"/>
      <c r="I15" s="26"/>
      <c r="J15" s="26"/>
      <c r="K15" s="26"/>
      <c r="L15" s="26"/>
    </row>
    <row r="16">
      <c r="A16" s="25" t="s">
        <v>20</v>
      </c>
      <c r="B16" s="29">
        <f>A11</f>
        <v>294000</v>
      </c>
      <c r="C16" s="26"/>
      <c r="D16" s="31"/>
      <c r="E16" s="31"/>
      <c r="F16" s="31"/>
      <c r="G16" s="31"/>
      <c r="H16" s="31"/>
      <c r="I16" s="31"/>
      <c r="J16" s="31"/>
      <c r="K16" s="26"/>
      <c r="L16" s="26"/>
    </row>
    <row r="17">
      <c r="A17" s="17" t="s">
        <v>84</v>
      </c>
      <c r="B17" s="33">
        <v>1300000.0</v>
      </c>
      <c r="C17" s="26"/>
      <c r="D17" s="37" t="s">
        <v>85</v>
      </c>
      <c r="K17" s="26"/>
      <c r="L17" s="26"/>
    </row>
    <row r="18">
      <c r="A18" s="25"/>
      <c r="B18" s="29">
        <v>0.0</v>
      </c>
      <c r="C18" s="26"/>
      <c r="K18" s="26"/>
      <c r="L18" s="26"/>
    </row>
    <row r="19">
      <c r="A19" s="25"/>
      <c r="B19" s="29">
        <v>0.0</v>
      </c>
      <c r="C19" s="26"/>
      <c r="K19" s="26"/>
      <c r="L19" s="26"/>
    </row>
    <row r="20">
      <c r="A20" s="25"/>
      <c r="B20" s="29">
        <v>0.0</v>
      </c>
      <c r="C20" s="26"/>
      <c r="K20" s="26"/>
      <c r="L20" s="26"/>
    </row>
    <row r="21">
      <c r="A21" s="25"/>
      <c r="B21" s="29">
        <v>0.0</v>
      </c>
      <c r="C21" s="26"/>
      <c r="K21" s="26"/>
      <c r="L21" s="26"/>
    </row>
    <row r="22">
      <c r="A22" s="25"/>
      <c r="B22" s="29">
        <v>0.0</v>
      </c>
      <c r="C22" s="26"/>
      <c r="K22" s="26"/>
      <c r="L22" s="26"/>
    </row>
    <row r="23">
      <c r="A23" s="25"/>
      <c r="B23" s="29">
        <v>0.0</v>
      </c>
      <c r="C23" s="26"/>
      <c r="K23" s="26"/>
      <c r="L23" s="26"/>
    </row>
    <row r="24">
      <c r="A24" s="25"/>
      <c r="B24" s="29">
        <v>0.0</v>
      </c>
      <c r="C24" s="26"/>
      <c r="K24" s="26"/>
      <c r="L24" s="26"/>
    </row>
    <row r="25">
      <c r="A25" s="25"/>
      <c r="B25" s="29">
        <v>0.0</v>
      </c>
      <c r="C25" s="26"/>
      <c r="K25" s="26"/>
      <c r="L25" s="26"/>
    </row>
    <row r="26">
      <c r="A26" s="25"/>
      <c r="B26" s="29">
        <v>0.0</v>
      </c>
      <c r="C26" s="26"/>
      <c r="D26" s="26"/>
      <c r="E26" s="26"/>
      <c r="F26" s="26"/>
      <c r="G26" s="26"/>
      <c r="H26" s="26"/>
      <c r="I26" s="26"/>
      <c r="J26" s="26"/>
      <c r="K26" s="26"/>
      <c r="L26" s="26"/>
    </row>
    <row r="27">
      <c r="A27" s="25"/>
      <c r="B27" s="29">
        <v>0.0</v>
      </c>
      <c r="C27" s="26"/>
      <c r="D27" s="26"/>
      <c r="E27" s="26"/>
      <c r="F27" s="26"/>
      <c r="G27" s="26"/>
      <c r="H27" s="26"/>
      <c r="I27" s="26"/>
      <c r="J27" s="26"/>
      <c r="K27" s="26"/>
      <c r="L27" s="26"/>
    </row>
    <row r="28">
      <c r="A28" s="25"/>
      <c r="B28" s="29">
        <v>0.0</v>
      </c>
      <c r="C28" s="26"/>
      <c r="D28" s="26"/>
      <c r="E28" s="26"/>
      <c r="F28" s="26"/>
      <c r="G28" s="26"/>
      <c r="H28" s="26"/>
      <c r="I28" s="26"/>
      <c r="J28" s="26"/>
      <c r="K28" s="26"/>
      <c r="L28" s="26"/>
    </row>
    <row r="29">
      <c r="A29" s="25"/>
      <c r="B29" s="29">
        <v>0.0</v>
      </c>
      <c r="C29" s="26"/>
      <c r="D29" s="26"/>
      <c r="E29" s="26"/>
      <c r="F29" s="26"/>
      <c r="G29" s="26"/>
      <c r="H29" s="26"/>
      <c r="I29" s="26"/>
      <c r="J29" s="26"/>
      <c r="K29" s="26"/>
      <c r="L29" s="26"/>
    </row>
    <row r="30">
      <c r="A30" s="25"/>
      <c r="B30" s="29">
        <v>0.0</v>
      </c>
      <c r="C30" s="26"/>
      <c r="D30" s="26"/>
      <c r="E30" s="26"/>
      <c r="F30" s="26"/>
      <c r="G30" s="26"/>
      <c r="H30" s="26"/>
      <c r="I30" s="26"/>
      <c r="J30" s="26"/>
      <c r="K30" s="26"/>
      <c r="L30" s="26"/>
    </row>
    <row r="31">
      <c r="A31" s="25"/>
      <c r="B31" s="29">
        <v>0.0</v>
      </c>
      <c r="C31" s="26"/>
      <c r="D31" s="26"/>
      <c r="E31" s="26"/>
      <c r="F31" s="26"/>
      <c r="G31" s="26"/>
      <c r="H31" s="26"/>
      <c r="I31" s="26"/>
      <c r="J31" s="26"/>
      <c r="K31" s="26"/>
      <c r="L31" s="26"/>
      <c r="N31" s="4" t="s">
        <v>86</v>
      </c>
      <c r="O31" s="29">
        <v>651377.0</v>
      </c>
    </row>
    <row r="32">
      <c r="A32" s="25" t="s">
        <v>76</v>
      </c>
      <c r="B32" s="29">
        <v>0.0</v>
      </c>
      <c r="C32" s="26"/>
      <c r="D32" s="26"/>
      <c r="E32" s="26"/>
      <c r="F32" s="26"/>
      <c r="G32" s="26"/>
      <c r="H32" s="26"/>
      <c r="I32" s="26"/>
      <c r="J32" s="26"/>
      <c r="K32" s="26"/>
      <c r="L32" s="26"/>
      <c r="N32" s="4" t="s">
        <v>87</v>
      </c>
      <c r="O32" s="29">
        <v>317997.0</v>
      </c>
    </row>
    <row r="33">
      <c r="A33" s="25"/>
      <c r="B33" s="29">
        <v>0.0</v>
      </c>
      <c r="C33" s="26"/>
      <c r="D33" s="26"/>
      <c r="E33" s="26"/>
      <c r="F33" s="26"/>
      <c r="G33" s="26"/>
      <c r="H33" s="26"/>
      <c r="I33" s="26"/>
      <c r="J33" s="26"/>
      <c r="K33" s="26"/>
      <c r="L33" s="26"/>
      <c r="N33" s="4" t="s">
        <v>8</v>
      </c>
      <c r="O33" s="3">
        <f>SUM(O31:O32)</f>
        <v>969374</v>
      </c>
    </row>
    <row r="34">
      <c r="A34" s="25"/>
      <c r="B34" s="29">
        <v>0.0</v>
      </c>
      <c r="C34" s="18"/>
      <c r="D34" s="26"/>
      <c r="E34" s="26"/>
      <c r="F34" s="26"/>
      <c r="G34" s="26"/>
      <c r="H34" s="26"/>
      <c r="I34" s="26"/>
      <c r="J34" s="26"/>
      <c r="K34" s="26"/>
      <c r="L34" s="26"/>
      <c r="N34" s="4" t="s">
        <v>88</v>
      </c>
      <c r="O34" s="29">
        <v>930000.0</v>
      </c>
    </row>
    <row r="35">
      <c r="A35" s="28" t="s">
        <v>8</v>
      </c>
      <c r="B35" s="35">
        <f>SUM(B16:B34)</f>
        <v>1594000</v>
      </c>
      <c r="C35" s="26"/>
      <c r="D35" s="26"/>
      <c r="E35" s="26"/>
      <c r="F35" s="26"/>
      <c r="G35" s="26"/>
      <c r="H35" s="26"/>
      <c r="I35" s="26"/>
      <c r="J35" s="26"/>
      <c r="K35" s="26"/>
      <c r="L35" s="26"/>
      <c r="N35" s="4" t="s">
        <v>89</v>
      </c>
      <c r="O35" s="3">
        <f>O33-O34</f>
        <v>39374</v>
      </c>
    </row>
  </sheetData>
  <mergeCells count="1">
    <mergeCell ref="D17:J25"/>
  </mergeCells>
  <dataValidations>
    <dataValidation type="list" allowBlank="1" showErrorMessage="1" sqref="C2:C3">
      <formula1>"FUN DIVE,OPEN,AVANZADO,RESCUE,ESPECIALIDAD"</formula1>
    </dataValidation>
    <dataValidation type="list" allowBlank="1" showErrorMessage="1" sqref="F2:F7">
      <formula1>"Multiple,Pareja,Sencilla"</formula1>
    </dataValidation>
    <dataValidation type="list" allowBlank="1" showErrorMessage="1" sqref="D2:D7">
      <formula1>"SI,NO"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13.5"/>
    <col customWidth="1" min="3" max="3" width="14.75"/>
    <col customWidth="1" min="8" max="8" width="16.75"/>
  </cols>
  <sheetData>
    <row r="1">
      <c r="A1" s="12" t="s">
        <v>20</v>
      </c>
      <c r="B1" s="12" t="s">
        <v>21</v>
      </c>
      <c r="C1" s="12" t="s">
        <v>22</v>
      </c>
      <c r="D1" s="12" t="s">
        <v>23</v>
      </c>
      <c r="E1" s="12" t="s">
        <v>24</v>
      </c>
      <c r="F1" s="12" t="s">
        <v>25</v>
      </c>
      <c r="G1" s="12" t="s">
        <v>26</v>
      </c>
      <c r="H1" s="12" t="s">
        <v>27</v>
      </c>
      <c r="I1" s="12" t="s">
        <v>29</v>
      </c>
      <c r="J1" s="12" t="s">
        <v>30</v>
      </c>
      <c r="K1" s="12" t="s">
        <v>31</v>
      </c>
      <c r="L1" s="12" t="s">
        <v>32</v>
      </c>
    </row>
    <row r="2">
      <c r="A2" s="38"/>
      <c r="B2" s="16"/>
      <c r="C2" s="15" t="s">
        <v>51</v>
      </c>
      <c r="D2" s="16" t="s">
        <v>48</v>
      </c>
      <c r="E2" s="15" t="s">
        <v>90</v>
      </c>
      <c r="F2" s="25" t="s">
        <v>41</v>
      </c>
      <c r="G2" s="18"/>
      <c r="H2" s="20">
        <v>3290000.0</v>
      </c>
      <c r="I2" s="19">
        <f>1000000+2290000</f>
        <v>3290000</v>
      </c>
      <c r="J2" s="16"/>
      <c r="K2" s="19">
        <f t="shared" ref="K2:K8" si="1">H2-(I2-J2)</f>
        <v>0</v>
      </c>
      <c r="L2" s="16"/>
    </row>
    <row r="3">
      <c r="A3" s="39">
        <v>294000.0</v>
      </c>
      <c r="B3" s="16"/>
      <c r="C3" s="15" t="s">
        <v>47</v>
      </c>
      <c r="D3" s="16" t="s">
        <v>48</v>
      </c>
      <c r="E3" s="15" t="s">
        <v>91</v>
      </c>
      <c r="F3" s="25" t="s">
        <v>41</v>
      </c>
      <c r="G3" s="18"/>
      <c r="H3" s="21">
        <f>3125000+1045000</f>
        <v>4170000</v>
      </c>
      <c r="I3" s="23">
        <f>1500000+1625000+1045000</f>
        <v>4170000</v>
      </c>
      <c r="J3" s="16"/>
      <c r="K3" s="19">
        <f t="shared" si="1"/>
        <v>0</v>
      </c>
      <c r="L3" s="16"/>
    </row>
    <row r="4">
      <c r="A4" s="16"/>
      <c r="B4" s="16"/>
      <c r="C4" s="16"/>
      <c r="D4" s="16" t="s">
        <v>48</v>
      </c>
      <c r="E4" s="15" t="s">
        <v>92</v>
      </c>
      <c r="F4" s="25" t="s">
        <v>41</v>
      </c>
      <c r="G4" s="18"/>
      <c r="H4" s="21">
        <v>300000.0</v>
      </c>
      <c r="I4" s="21">
        <v>300000.0</v>
      </c>
      <c r="J4" s="16"/>
      <c r="K4" s="19">
        <f t="shared" si="1"/>
        <v>0</v>
      </c>
      <c r="L4" s="16"/>
    </row>
    <row r="5">
      <c r="A5" s="16"/>
      <c r="B5" s="16"/>
      <c r="C5" s="16"/>
      <c r="D5" s="16" t="s">
        <v>48</v>
      </c>
      <c r="E5" s="16"/>
      <c r="F5" s="25" t="s">
        <v>41</v>
      </c>
      <c r="G5" s="18"/>
      <c r="H5" s="23"/>
      <c r="I5" s="23"/>
      <c r="J5" s="16"/>
      <c r="K5" s="19">
        <f t="shared" si="1"/>
        <v>0</v>
      </c>
      <c r="L5" s="16"/>
    </row>
    <row r="6">
      <c r="A6" s="16"/>
      <c r="B6" s="16"/>
      <c r="C6" s="16"/>
      <c r="D6" s="16" t="s">
        <v>48</v>
      </c>
      <c r="E6" s="16"/>
      <c r="F6" s="25" t="s">
        <v>41</v>
      </c>
      <c r="G6" s="18"/>
      <c r="H6" s="23"/>
      <c r="I6" s="23"/>
      <c r="J6" s="16"/>
      <c r="K6" s="19">
        <f t="shared" si="1"/>
        <v>0</v>
      </c>
      <c r="L6" s="16"/>
    </row>
    <row r="7">
      <c r="A7" s="16"/>
      <c r="B7" s="16"/>
      <c r="C7" s="16"/>
      <c r="D7" s="16" t="s">
        <v>48</v>
      </c>
      <c r="E7" s="16"/>
      <c r="F7" s="25" t="s">
        <v>41</v>
      </c>
      <c r="G7" s="18"/>
      <c r="H7" s="23"/>
      <c r="I7" s="23"/>
      <c r="J7" s="16"/>
      <c r="K7" s="19">
        <f t="shared" si="1"/>
        <v>0</v>
      </c>
      <c r="L7" s="16"/>
    </row>
    <row r="8">
      <c r="A8" s="16"/>
      <c r="B8" s="16"/>
      <c r="C8" s="16"/>
      <c r="D8" s="16"/>
      <c r="E8" s="16"/>
      <c r="F8" s="16"/>
      <c r="G8" s="18"/>
      <c r="H8" s="23"/>
      <c r="I8" s="23"/>
      <c r="J8" s="16"/>
      <c r="K8" s="19">
        <f t="shared" si="1"/>
        <v>0</v>
      </c>
      <c r="L8" s="16"/>
    </row>
    <row r="9">
      <c r="A9" s="16"/>
      <c r="B9" s="16"/>
      <c r="C9" s="16"/>
      <c r="D9" s="16"/>
      <c r="E9" s="16" t="s">
        <v>60</v>
      </c>
      <c r="F9" s="22" t="s">
        <v>61</v>
      </c>
      <c r="G9" s="18"/>
      <c r="H9" s="23"/>
      <c r="I9" s="23"/>
      <c r="J9" s="16"/>
      <c r="K9" s="23"/>
      <c r="L9" s="16"/>
    </row>
    <row r="10">
      <c r="A10" s="16"/>
      <c r="B10" s="16"/>
      <c r="C10" s="16"/>
      <c r="D10" s="16"/>
      <c r="E10" s="16" t="s">
        <v>62</v>
      </c>
      <c r="F10" s="22" t="s">
        <v>61</v>
      </c>
      <c r="G10" s="23"/>
      <c r="H10" s="23"/>
      <c r="I10" s="23"/>
      <c r="J10" s="16"/>
      <c r="K10" s="16"/>
      <c r="L10" s="16"/>
    </row>
    <row r="11">
      <c r="A11" s="24">
        <f>SUM(A3:A10)</f>
        <v>294000</v>
      </c>
      <c r="B11" s="16"/>
      <c r="C11" s="16"/>
      <c r="D11" s="16"/>
      <c r="E11" s="25"/>
      <c r="F11" s="25"/>
      <c r="G11" s="24" t="s">
        <v>63</v>
      </c>
      <c r="H11" s="24">
        <f t="shared" ref="H11:K11" si="2">SUM(H2:H10)</f>
        <v>7760000</v>
      </c>
      <c r="I11" s="24">
        <f t="shared" si="2"/>
        <v>7760000</v>
      </c>
      <c r="J11" s="24">
        <f t="shared" si="2"/>
        <v>0</v>
      </c>
      <c r="K11" s="24">
        <f t="shared" si="2"/>
        <v>0</v>
      </c>
      <c r="L11" s="16"/>
    </row>
    <row r="12">
      <c r="A12" s="26"/>
      <c r="B12" s="26"/>
      <c r="C12" s="26"/>
      <c r="D12" s="26"/>
      <c r="E12" s="26"/>
      <c r="F12" s="27"/>
      <c r="G12" s="27"/>
      <c r="H12" s="22" t="s">
        <v>64</v>
      </c>
      <c r="I12" s="24">
        <f>SUM(I11+J11)-B35</f>
        <v>798620</v>
      </c>
      <c r="J12" s="26"/>
      <c r="K12" s="26"/>
      <c r="L12" s="26"/>
    </row>
    <row r="13">
      <c r="A13" s="26"/>
      <c r="B13" s="26"/>
      <c r="C13" s="26"/>
      <c r="D13" s="26"/>
      <c r="E13" s="26"/>
      <c r="F13" s="26"/>
      <c r="G13" s="26"/>
      <c r="H13" s="28" t="s">
        <v>65</v>
      </c>
      <c r="I13" s="29">
        <f>(H11*4)/1000</f>
        <v>31040</v>
      </c>
      <c r="J13" s="26"/>
      <c r="K13" s="26"/>
      <c r="L13" s="26"/>
    </row>
    <row r="14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</row>
    <row r="15">
      <c r="A15" s="28" t="s">
        <v>66</v>
      </c>
      <c r="B15" s="30"/>
      <c r="C15" s="26"/>
      <c r="D15" s="26" t="s">
        <v>67</v>
      </c>
      <c r="E15" s="26"/>
      <c r="F15" s="26"/>
      <c r="G15" s="26"/>
      <c r="H15" s="26"/>
      <c r="I15" s="26"/>
      <c r="J15" s="26"/>
      <c r="K15" s="26"/>
      <c r="L15" s="26"/>
    </row>
    <row r="16">
      <c r="A16" s="25" t="s">
        <v>20</v>
      </c>
      <c r="B16" s="29">
        <f>A11</f>
        <v>294000</v>
      </c>
      <c r="C16" s="26"/>
      <c r="D16" s="31"/>
      <c r="E16" s="31"/>
      <c r="F16" s="31"/>
      <c r="G16" s="31"/>
      <c r="H16" s="31"/>
      <c r="I16" s="31"/>
      <c r="J16" s="31"/>
      <c r="K16" s="26"/>
      <c r="L16" s="26"/>
    </row>
    <row r="17">
      <c r="A17" s="17" t="s">
        <v>68</v>
      </c>
      <c r="B17" s="33">
        <v>615692.0</v>
      </c>
      <c r="C17" s="26"/>
      <c r="D17" s="40" t="s">
        <v>85</v>
      </c>
      <c r="E17" s="41"/>
      <c r="F17" s="41"/>
      <c r="G17" s="41"/>
      <c r="H17" s="41"/>
      <c r="I17" s="41"/>
      <c r="J17" s="42"/>
      <c r="K17" s="26"/>
      <c r="L17" s="26"/>
    </row>
    <row r="18">
      <c r="A18" s="17" t="s">
        <v>93</v>
      </c>
      <c r="B18" s="29">
        <f>138000+138000</f>
        <v>276000</v>
      </c>
      <c r="C18" s="26"/>
      <c r="D18" s="43"/>
      <c r="J18" s="44"/>
      <c r="K18" s="26"/>
      <c r="L18" s="26"/>
    </row>
    <row r="19">
      <c r="A19" s="17" t="s">
        <v>94</v>
      </c>
      <c r="B19" s="33">
        <f>173000+195000</f>
        <v>368000</v>
      </c>
      <c r="C19" s="26"/>
      <c r="D19" s="43"/>
      <c r="J19" s="44"/>
      <c r="K19" s="26"/>
      <c r="L19" s="26"/>
    </row>
    <row r="20">
      <c r="A20" s="17" t="s">
        <v>95</v>
      </c>
      <c r="B20" s="33">
        <v>21000.0</v>
      </c>
      <c r="C20" s="26"/>
      <c r="D20" s="43"/>
      <c r="J20" s="44"/>
      <c r="K20" s="26"/>
      <c r="L20" s="26"/>
    </row>
    <row r="21">
      <c r="A21" s="17" t="s">
        <v>96</v>
      </c>
      <c r="B21" s="33">
        <v>28488.0</v>
      </c>
      <c r="C21" s="26"/>
      <c r="D21" s="43"/>
      <c r="J21" s="44"/>
      <c r="K21" s="26"/>
      <c r="L21" s="26"/>
    </row>
    <row r="22">
      <c r="A22" s="17" t="s">
        <v>75</v>
      </c>
      <c r="B22" s="29">
        <f>40000+32500+7100+12000+40000</f>
        <v>131600</v>
      </c>
      <c r="C22" s="26"/>
      <c r="D22" s="43"/>
      <c r="J22" s="44"/>
      <c r="K22" s="26"/>
      <c r="L22" s="26"/>
    </row>
    <row r="23">
      <c r="A23" s="17" t="s">
        <v>97</v>
      </c>
      <c r="B23" s="33">
        <v>3876000.0</v>
      </c>
      <c r="C23" s="26"/>
      <c r="D23" s="43"/>
      <c r="J23" s="44"/>
      <c r="K23" s="26"/>
      <c r="L23" s="26"/>
    </row>
    <row r="24">
      <c r="A24" s="17" t="s">
        <v>98</v>
      </c>
      <c r="B24" s="33">
        <v>700000.0</v>
      </c>
      <c r="C24" s="26"/>
      <c r="D24" s="43"/>
      <c r="J24" s="44"/>
      <c r="K24" s="26"/>
      <c r="L24" s="26"/>
    </row>
    <row r="25">
      <c r="A25" s="17" t="s">
        <v>99</v>
      </c>
      <c r="B25" s="33">
        <v>650600.0</v>
      </c>
      <c r="C25" s="26"/>
      <c r="D25" s="45"/>
      <c r="E25" s="46"/>
      <c r="F25" s="46"/>
      <c r="G25" s="46"/>
      <c r="H25" s="46"/>
      <c r="I25" s="46"/>
      <c r="J25" s="47"/>
      <c r="K25" s="26"/>
      <c r="L25" s="26"/>
    </row>
    <row r="26">
      <c r="A26" s="25"/>
      <c r="B26" s="29">
        <v>0.0</v>
      </c>
      <c r="C26" s="26"/>
      <c r="D26" s="34"/>
      <c r="E26" s="26"/>
      <c r="F26" s="26"/>
      <c r="G26" s="26"/>
      <c r="H26" s="26"/>
      <c r="I26" s="26"/>
      <c r="J26" s="26"/>
      <c r="K26" s="26"/>
      <c r="L26" s="26"/>
    </row>
    <row r="27">
      <c r="A27" s="25"/>
      <c r="B27" s="29">
        <v>0.0</v>
      </c>
      <c r="C27" s="26"/>
      <c r="D27" s="26"/>
      <c r="E27" s="26"/>
      <c r="F27" s="26"/>
      <c r="G27" s="26"/>
      <c r="H27" s="26"/>
      <c r="I27" s="26"/>
      <c r="J27" s="26"/>
      <c r="K27" s="26"/>
      <c r="L27" s="26"/>
    </row>
    <row r="28">
      <c r="A28" s="25"/>
      <c r="B28" s="29">
        <v>0.0</v>
      </c>
      <c r="C28" s="26"/>
      <c r="D28" s="26"/>
      <c r="E28" s="26"/>
      <c r="F28" s="26"/>
      <c r="G28" s="26"/>
      <c r="H28" s="26"/>
      <c r="I28" s="26"/>
      <c r="J28" s="26"/>
      <c r="K28" s="26"/>
      <c r="L28" s="26"/>
    </row>
    <row r="29">
      <c r="A29" s="25"/>
      <c r="B29" s="29">
        <v>0.0</v>
      </c>
      <c r="C29" s="26"/>
      <c r="D29" s="26"/>
      <c r="E29" s="26"/>
      <c r="F29" s="26"/>
      <c r="G29" s="26"/>
      <c r="H29" s="26"/>
      <c r="I29" s="26"/>
      <c r="J29" s="26"/>
      <c r="K29" s="26"/>
      <c r="L29" s="26"/>
    </row>
    <row r="30">
      <c r="A30" s="25"/>
      <c r="B30" s="29">
        <v>0.0</v>
      </c>
      <c r="C30" s="26"/>
      <c r="D30" s="26"/>
      <c r="E30" s="26"/>
      <c r="F30" s="26"/>
      <c r="G30" s="26"/>
      <c r="H30" s="26"/>
      <c r="I30" s="26"/>
      <c r="J30" s="26"/>
      <c r="K30" s="26"/>
      <c r="L30" s="26"/>
    </row>
    <row r="31">
      <c r="A31" s="25"/>
      <c r="B31" s="29">
        <v>0.0</v>
      </c>
      <c r="C31" s="26"/>
      <c r="D31" s="26"/>
      <c r="E31" s="26"/>
      <c r="F31" s="26"/>
      <c r="G31" s="26"/>
      <c r="H31" s="26"/>
      <c r="I31" s="26"/>
      <c r="J31" s="26"/>
      <c r="K31" s="26"/>
      <c r="L31" s="26"/>
    </row>
    <row r="32">
      <c r="A32" s="25" t="s">
        <v>76</v>
      </c>
      <c r="B32" s="29">
        <v>0.0</v>
      </c>
      <c r="C32" s="26"/>
      <c r="D32" s="26"/>
      <c r="E32" s="26"/>
      <c r="F32" s="26"/>
      <c r="G32" s="26"/>
      <c r="H32" s="26"/>
      <c r="I32" s="26"/>
      <c r="J32" s="26"/>
      <c r="K32" s="26"/>
      <c r="L32" s="26"/>
    </row>
    <row r="33">
      <c r="A33" s="25"/>
      <c r="B33" s="29">
        <v>0.0</v>
      </c>
      <c r="C33" s="26"/>
      <c r="D33" s="26"/>
      <c r="E33" s="26"/>
      <c r="F33" s="26"/>
      <c r="G33" s="26"/>
      <c r="H33" s="26"/>
      <c r="I33" s="26"/>
      <c r="J33" s="26"/>
      <c r="K33" s="26"/>
      <c r="L33" s="26"/>
    </row>
    <row r="34">
      <c r="A34" s="25"/>
      <c r="B34" s="29">
        <v>0.0</v>
      </c>
      <c r="C34" s="48"/>
      <c r="D34" s="26"/>
      <c r="E34" s="26"/>
      <c r="F34" s="26"/>
      <c r="G34" s="26"/>
      <c r="H34" s="26"/>
      <c r="I34" s="26"/>
      <c r="J34" s="26"/>
      <c r="K34" s="26"/>
      <c r="L34" s="26"/>
    </row>
    <row r="35">
      <c r="A35" s="28" t="s">
        <v>8</v>
      </c>
      <c r="B35" s="35">
        <f>SUM(B16:B34)</f>
        <v>6961380</v>
      </c>
      <c r="C35" s="26"/>
      <c r="D35" s="26"/>
      <c r="E35" s="26"/>
      <c r="F35" s="26"/>
      <c r="G35" s="26"/>
      <c r="H35" s="26"/>
      <c r="I35" s="26"/>
      <c r="J35" s="26"/>
      <c r="K35" s="26"/>
      <c r="L35" s="26"/>
    </row>
  </sheetData>
  <mergeCells count="1">
    <mergeCell ref="D17:J25"/>
  </mergeCells>
  <dataValidations>
    <dataValidation type="list" allowBlank="1" showErrorMessage="1" sqref="C2:C3">
      <formula1>"FUN DIVE,OPEN,AVANZADO,RESCUE,ESPECIALIDAD"</formula1>
    </dataValidation>
    <dataValidation type="list" allowBlank="1" showErrorMessage="1" sqref="F2:F7">
      <formula1>"Multiple,Pareja,Sencilla"</formula1>
    </dataValidation>
    <dataValidation type="list" allowBlank="1" showErrorMessage="1" sqref="D2:D7">
      <formula1>"SI,NO"</formula1>
    </dataValidation>
  </dataValidation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3" max="3" width="18.0"/>
    <col customWidth="1" min="5" max="5" width="15.13"/>
    <col customWidth="1" min="6" max="6" width="15.88"/>
    <col customWidth="1" min="9" max="9" width="16.88"/>
    <col customWidth="1" min="13" max="13" width="12.63"/>
    <col customWidth="1" min="17" max="17" width="3.0"/>
    <col customWidth="1" min="18" max="18" width="2.88"/>
  </cols>
  <sheetData>
    <row r="1">
      <c r="A1" s="12" t="s">
        <v>20</v>
      </c>
      <c r="B1" s="12" t="s">
        <v>21</v>
      </c>
      <c r="C1" s="12" t="s">
        <v>22</v>
      </c>
      <c r="D1" s="12" t="s">
        <v>23</v>
      </c>
      <c r="E1" s="13" t="s">
        <v>100</v>
      </c>
      <c r="F1" s="12" t="s">
        <v>24</v>
      </c>
      <c r="G1" s="12"/>
      <c r="H1" s="12" t="s">
        <v>25</v>
      </c>
      <c r="I1" s="12" t="s">
        <v>27</v>
      </c>
      <c r="J1" s="12" t="s">
        <v>29</v>
      </c>
      <c r="K1" s="12" t="s">
        <v>30</v>
      </c>
      <c r="L1" s="12" t="s">
        <v>31</v>
      </c>
      <c r="M1" s="12" t="s">
        <v>32</v>
      </c>
      <c r="N1" s="9" t="s">
        <v>101</v>
      </c>
    </row>
    <row r="2">
      <c r="A2" s="19">
        <v>294000.0</v>
      </c>
      <c r="B2" s="16"/>
      <c r="C2" s="16" t="s">
        <v>47</v>
      </c>
      <c r="D2" s="16" t="s">
        <v>35</v>
      </c>
      <c r="E2" s="49"/>
      <c r="F2" s="49" t="s">
        <v>102</v>
      </c>
      <c r="G2" s="50" t="s">
        <v>103</v>
      </c>
      <c r="H2" s="16" t="s">
        <v>56</v>
      </c>
      <c r="I2" s="20">
        <f t="shared" ref="I2:I3" si="1">4190000+1100000</f>
        <v>5290000</v>
      </c>
      <c r="J2" s="19">
        <f t="shared" ref="J2:J3" si="2">1000000+4290000</f>
        <v>5290000</v>
      </c>
      <c r="K2" s="23"/>
      <c r="L2" s="19">
        <f>I2-J2-K2</f>
        <v>0</v>
      </c>
      <c r="M2" s="51" t="s">
        <v>42</v>
      </c>
      <c r="N2" s="9" t="s">
        <v>104</v>
      </c>
    </row>
    <row r="3">
      <c r="A3" s="19">
        <v>324500.0</v>
      </c>
      <c r="B3" s="16"/>
      <c r="C3" s="15" t="s">
        <v>34</v>
      </c>
      <c r="D3" s="16" t="s">
        <v>35</v>
      </c>
      <c r="E3" s="52" t="s">
        <v>105</v>
      </c>
      <c r="F3" s="52" t="s">
        <v>106</v>
      </c>
      <c r="G3" s="50" t="s">
        <v>103</v>
      </c>
      <c r="H3" s="16" t="s">
        <v>56</v>
      </c>
      <c r="I3" s="20">
        <f t="shared" si="1"/>
        <v>5290000</v>
      </c>
      <c r="J3" s="19">
        <f t="shared" si="2"/>
        <v>5290000</v>
      </c>
      <c r="K3" s="16"/>
      <c r="L3" s="19">
        <f t="shared" ref="L3:L5" si="3">I3-J3</f>
        <v>0</v>
      </c>
      <c r="M3" s="51" t="s">
        <v>42</v>
      </c>
      <c r="N3" s="9" t="s">
        <v>107</v>
      </c>
    </row>
    <row r="4">
      <c r="A4" s="19">
        <v>0.0</v>
      </c>
      <c r="B4" s="16"/>
      <c r="C4" s="15" t="s">
        <v>51</v>
      </c>
      <c r="D4" s="16" t="s">
        <v>48</v>
      </c>
      <c r="E4" s="53" t="s">
        <v>105</v>
      </c>
      <c r="F4" s="54" t="s">
        <v>108</v>
      </c>
      <c r="G4" s="50" t="s">
        <v>109</v>
      </c>
      <c r="H4" s="16" t="s">
        <v>56</v>
      </c>
      <c r="I4" s="19">
        <f>4190000+350000</f>
        <v>4540000</v>
      </c>
      <c r="J4" s="19">
        <f>1000000+3536460+3540</f>
        <v>4540000</v>
      </c>
      <c r="K4" s="16"/>
      <c r="L4" s="19">
        <f t="shared" si="3"/>
        <v>0</v>
      </c>
      <c r="M4" s="51" t="s">
        <v>42</v>
      </c>
      <c r="N4" s="9" t="s">
        <v>110</v>
      </c>
    </row>
    <row r="5">
      <c r="A5" s="19">
        <v>0.0</v>
      </c>
      <c r="B5" s="16"/>
      <c r="C5" s="15" t="s">
        <v>51</v>
      </c>
      <c r="D5" s="15" t="s">
        <v>35</v>
      </c>
      <c r="E5" s="53"/>
      <c r="F5" s="53" t="s">
        <v>111</v>
      </c>
      <c r="G5" s="50" t="s">
        <v>109</v>
      </c>
      <c r="H5" s="16" t="s">
        <v>56</v>
      </c>
      <c r="I5" s="20">
        <f>1690000+350000+350000</f>
        <v>2390000</v>
      </c>
      <c r="J5" s="19">
        <f>1000000+1390000</f>
        <v>2390000</v>
      </c>
      <c r="K5" s="16"/>
      <c r="L5" s="19">
        <f t="shared" si="3"/>
        <v>0</v>
      </c>
      <c r="M5" s="51" t="s">
        <v>42</v>
      </c>
    </row>
    <row r="6">
      <c r="A6" s="16"/>
      <c r="B6" s="16"/>
      <c r="C6" s="15" t="s">
        <v>51</v>
      </c>
      <c r="D6" s="15" t="s">
        <v>35</v>
      </c>
      <c r="E6" s="53" t="s">
        <v>105</v>
      </c>
      <c r="F6" s="54" t="s">
        <v>112</v>
      </c>
      <c r="G6" s="50" t="s">
        <v>109</v>
      </c>
      <c r="H6" s="16" t="s">
        <v>56</v>
      </c>
      <c r="I6" s="19">
        <f>4190000+300000+350000</f>
        <v>4840000</v>
      </c>
      <c r="J6" s="19">
        <f>1000000+4090000</f>
        <v>5090000</v>
      </c>
      <c r="K6" s="16"/>
      <c r="L6" s="20">
        <v>0.0</v>
      </c>
      <c r="M6" s="51" t="s">
        <v>42</v>
      </c>
      <c r="N6" s="9" t="s">
        <v>110</v>
      </c>
    </row>
    <row r="7">
      <c r="A7" s="16"/>
      <c r="B7" s="16"/>
      <c r="C7" s="15" t="s">
        <v>51</v>
      </c>
      <c r="D7" s="16" t="s">
        <v>48</v>
      </c>
      <c r="E7" s="53" t="s">
        <v>105</v>
      </c>
      <c r="F7" s="53" t="s">
        <v>113</v>
      </c>
      <c r="G7" s="50" t="s">
        <v>109</v>
      </c>
      <c r="H7" s="16" t="s">
        <v>56</v>
      </c>
      <c r="I7" s="21">
        <f>4190000+350000</f>
        <v>4540000</v>
      </c>
      <c r="J7" s="21">
        <f>2500000+1000000+690000+350000</f>
        <v>4540000</v>
      </c>
      <c r="K7" s="16"/>
      <c r="L7" s="20">
        <v>0.0</v>
      </c>
      <c r="M7" s="51" t="s">
        <v>42</v>
      </c>
      <c r="N7" s="9" t="s">
        <v>114</v>
      </c>
    </row>
    <row r="8">
      <c r="A8" s="16"/>
      <c r="B8" s="16"/>
      <c r="C8" s="15" t="s">
        <v>51</v>
      </c>
      <c r="D8" s="15" t="s">
        <v>35</v>
      </c>
      <c r="E8" s="53"/>
      <c r="F8" s="53" t="s">
        <v>115</v>
      </c>
      <c r="G8" s="50" t="s">
        <v>109</v>
      </c>
      <c r="H8" s="16" t="s">
        <v>56</v>
      </c>
      <c r="I8" s="21">
        <f>1690000+700000</f>
        <v>2390000</v>
      </c>
      <c r="J8" s="21">
        <f>1000000+690000+700000</f>
        <v>2390000</v>
      </c>
      <c r="K8" s="16"/>
      <c r="L8" s="19">
        <f>I8-J8</f>
        <v>0</v>
      </c>
      <c r="M8" s="51" t="s">
        <v>42</v>
      </c>
    </row>
    <row r="9">
      <c r="A9" s="16"/>
      <c r="B9" s="16"/>
      <c r="C9" s="15" t="s">
        <v>51</v>
      </c>
      <c r="D9" s="15" t="s">
        <v>48</v>
      </c>
      <c r="E9" s="52" t="s">
        <v>105</v>
      </c>
      <c r="F9" s="52" t="s">
        <v>116</v>
      </c>
      <c r="G9" s="50" t="s">
        <v>103</v>
      </c>
      <c r="H9" s="16" t="s">
        <v>56</v>
      </c>
      <c r="I9" s="21">
        <v>3990000.0</v>
      </c>
      <c r="J9" s="23">
        <f>2000000</f>
        <v>2000000</v>
      </c>
      <c r="K9" s="21">
        <v>1990000.0</v>
      </c>
      <c r="L9" s="19">
        <f>I9-J9-K9</f>
        <v>0</v>
      </c>
      <c r="M9" s="51" t="s">
        <v>42</v>
      </c>
      <c r="N9" s="9" t="s">
        <v>117</v>
      </c>
    </row>
    <row r="10">
      <c r="A10" s="19">
        <v>324500.0</v>
      </c>
      <c r="B10" s="16"/>
      <c r="C10" s="15" t="s">
        <v>34</v>
      </c>
      <c r="D10" s="15" t="s">
        <v>35</v>
      </c>
      <c r="E10" s="55" t="s">
        <v>105</v>
      </c>
      <c r="F10" s="55" t="s">
        <v>118</v>
      </c>
      <c r="G10" s="50" t="s">
        <v>119</v>
      </c>
      <c r="H10" s="16" t="s">
        <v>56</v>
      </c>
      <c r="I10" s="21">
        <f>4190000+1100000</f>
        <v>5290000</v>
      </c>
      <c r="J10" s="21">
        <f>2190000+3108479</f>
        <v>5298479</v>
      </c>
      <c r="K10" s="16"/>
      <c r="L10" s="20">
        <v>0.0</v>
      </c>
      <c r="M10" s="51" t="s">
        <v>42</v>
      </c>
      <c r="N10" s="9" t="s">
        <v>107</v>
      </c>
    </row>
    <row r="11">
      <c r="A11" s="16"/>
      <c r="B11" s="16"/>
      <c r="C11" s="16" t="s">
        <v>54</v>
      </c>
      <c r="D11" s="15" t="s">
        <v>48</v>
      </c>
      <c r="E11" s="55" t="s">
        <v>105</v>
      </c>
      <c r="F11" s="55" t="s">
        <v>120</v>
      </c>
      <c r="G11" s="50" t="s">
        <v>119</v>
      </c>
      <c r="H11" s="16" t="s">
        <v>56</v>
      </c>
      <c r="I11" s="21">
        <v>3980500.0</v>
      </c>
      <c r="J11" s="21">
        <v>3980500.0</v>
      </c>
      <c r="K11" s="16"/>
      <c r="L11" s="19">
        <f t="shared" ref="L11:L16" si="4">I11-J11</f>
        <v>0</v>
      </c>
      <c r="M11" s="51" t="s">
        <v>42</v>
      </c>
    </row>
    <row r="12">
      <c r="A12" s="16"/>
      <c r="B12" s="16"/>
      <c r="C12" s="16" t="s">
        <v>54</v>
      </c>
      <c r="D12" s="15" t="s">
        <v>35</v>
      </c>
      <c r="E12" s="56" t="s">
        <v>105</v>
      </c>
      <c r="F12" s="56" t="s">
        <v>121</v>
      </c>
      <c r="G12" s="50" t="s">
        <v>119</v>
      </c>
      <c r="H12" s="16" t="s">
        <v>56</v>
      </c>
      <c r="I12" s="21">
        <f>4190000+350000</f>
        <v>4540000</v>
      </c>
      <c r="J12" s="21">
        <f>1000000+2000000+1190000+350000</f>
        <v>4540000</v>
      </c>
      <c r="K12" s="16"/>
      <c r="L12" s="19">
        <f t="shared" si="4"/>
        <v>0</v>
      </c>
      <c r="M12" s="51" t="s">
        <v>42</v>
      </c>
      <c r="N12" s="9" t="s">
        <v>122</v>
      </c>
      <c r="Q12" s="9" t="s">
        <v>42</v>
      </c>
      <c r="R12" s="9">
        <v>3.0</v>
      </c>
    </row>
    <row r="13" ht="15.0" customHeight="1">
      <c r="A13" s="19">
        <v>324500.0</v>
      </c>
      <c r="B13" s="16"/>
      <c r="C13" s="15" t="s">
        <v>34</v>
      </c>
      <c r="D13" s="15" t="s">
        <v>35</v>
      </c>
      <c r="E13" s="52" t="s">
        <v>105</v>
      </c>
      <c r="F13" s="52" t="s">
        <v>123</v>
      </c>
      <c r="G13" s="50" t="s">
        <v>103</v>
      </c>
      <c r="H13" s="16" t="s">
        <v>56</v>
      </c>
      <c r="I13" s="21">
        <f>4190000+1100000</f>
        <v>5290000</v>
      </c>
      <c r="J13" s="21">
        <f>1620000+3670000</f>
        <v>5290000</v>
      </c>
      <c r="K13" s="16"/>
      <c r="L13" s="19">
        <f t="shared" si="4"/>
        <v>0</v>
      </c>
      <c r="M13" s="51" t="s">
        <v>42</v>
      </c>
      <c r="N13" s="9" t="s">
        <v>107</v>
      </c>
      <c r="Q13" s="9" t="s">
        <v>53</v>
      </c>
      <c r="R13" s="9">
        <v>7.0</v>
      </c>
    </row>
    <row r="14">
      <c r="A14" s="19"/>
      <c r="B14" s="16"/>
      <c r="C14" s="15" t="s">
        <v>51</v>
      </c>
      <c r="D14" s="15" t="s">
        <v>48</v>
      </c>
      <c r="E14" s="15" t="s">
        <v>105</v>
      </c>
      <c r="F14" s="15" t="s">
        <v>124</v>
      </c>
      <c r="G14" s="50" t="s">
        <v>125</v>
      </c>
      <c r="H14" s="16" t="s">
        <v>56</v>
      </c>
      <c r="I14" s="21">
        <f>4190000+300000</f>
        <v>4490000</v>
      </c>
      <c r="J14" s="23">
        <f>2000000+2490000</f>
        <v>4490000</v>
      </c>
      <c r="K14" s="16"/>
      <c r="L14" s="19">
        <f t="shared" si="4"/>
        <v>0</v>
      </c>
      <c r="M14" s="51" t="s">
        <v>42</v>
      </c>
      <c r="N14" s="9" t="s">
        <v>122</v>
      </c>
      <c r="Q14" s="9" t="s">
        <v>38</v>
      </c>
      <c r="R14" s="9">
        <v>1.0</v>
      </c>
    </row>
    <row r="15">
      <c r="A15" s="19">
        <v>324500.0</v>
      </c>
      <c r="B15" s="16"/>
      <c r="C15" s="16" t="s">
        <v>54</v>
      </c>
      <c r="D15" s="16"/>
      <c r="E15" s="15" t="s">
        <v>105</v>
      </c>
      <c r="F15" s="15" t="s">
        <v>126</v>
      </c>
      <c r="G15" s="50" t="s">
        <v>103</v>
      </c>
      <c r="H15" s="16" t="s">
        <v>56</v>
      </c>
      <c r="I15" s="21">
        <f>4190000+1100000</f>
        <v>5290000</v>
      </c>
      <c r="J15" s="21">
        <f>500000+300000+300000+4190000</f>
        <v>5290000</v>
      </c>
      <c r="K15" s="16"/>
      <c r="L15" s="19">
        <f t="shared" si="4"/>
        <v>0</v>
      </c>
      <c r="M15" s="51" t="s">
        <v>42</v>
      </c>
      <c r="N15" s="9" t="s">
        <v>127</v>
      </c>
      <c r="Q15" s="9" t="s">
        <v>45</v>
      </c>
      <c r="R15" s="9">
        <v>2.0</v>
      </c>
    </row>
    <row r="16">
      <c r="A16" s="16"/>
      <c r="B16" s="16"/>
      <c r="C16" s="16"/>
      <c r="D16" s="16"/>
      <c r="E16" s="15" t="s">
        <v>105</v>
      </c>
      <c r="F16" s="15" t="s">
        <v>128</v>
      </c>
      <c r="G16" s="50" t="s">
        <v>103</v>
      </c>
      <c r="H16" s="16" t="s">
        <v>56</v>
      </c>
      <c r="I16" s="21">
        <v>4190000.0</v>
      </c>
      <c r="J16" s="21">
        <f>3000000+1190000</f>
        <v>4190000</v>
      </c>
      <c r="K16" s="16"/>
      <c r="L16" s="19">
        <f t="shared" si="4"/>
        <v>0</v>
      </c>
      <c r="M16" s="51" t="s">
        <v>42</v>
      </c>
      <c r="N16" s="9" t="s">
        <v>110</v>
      </c>
      <c r="R16" s="36">
        <f>SUM(R12:R15)</f>
        <v>13</v>
      </c>
    </row>
    <row r="17">
      <c r="A17" s="16"/>
      <c r="B17" s="16"/>
      <c r="C17" s="16"/>
      <c r="D17" s="16"/>
      <c r="E17" s="15" t="s">
        <v>105</v>
      </c>
      <c r="F17" s="15" t="s">
        <v>129</v>
      </c>
      <c r="G17" s="22"/>
      <c r="H17" s="22"/>
      <c r="I17" s="21">
        <v>4190000.0</v>
      </c>
      <c r="J17" s="21">
        <v>4430000.0</v>
      </c>
      <c r="K17" s="16"/>
      <c r="L17" s="20">
        <v>0.0</v>
      </c>
      <c r="M17" s="16"/>
    </row>
    <row r="18">
      <c r="A18" s="16"/>
      <c r="B18" s="16"/>
      <c r="C18" s="16"/>
      <c r="D18" s="16"/>
      <c r="E18" s="16"/>
      <c r="F18" s="15" t="s">
        <v>130</v>
      </c>
      <c r="G18" s="22"/>
      <c r="H18" s="22"/>
      <c r="I18" s="21">
        <f>4690000+350000</f>
        <v>5040000</v>
      </c>
      <c r="J18" s="21">
        <v>2500000.0</v>
      </c>
      <c r="K18" s="21">
        <f>1000000+1540000</f>
        <v>2540000</v>
      </c>
      <c r="L18" s="19">
        <f t="shared" ref="L18:L21" si="5">I18-J18-K18</f>
        <v>0</v>
      </c>
      <c r="M18" s="16"/>
    </row>
    <row r="19">
      <c r="A19" s="16"/>
      <c r="B19" s="16"/>
      <c r="C19" s="16"/>
      <c r="D19" s="16"/>
      <c r="E19" s="16"/>
      <c r="F19" s="15" t="s">
        <v>131</v>
      </c>
      <c r="G19" s="22"/>
      <c r="H19" s="22"/>
      <c r="I19" s="21">
        <v>350000.0</v>
      </c>
      <c r="J19" s="23"/>
      <c r="K19" s="21">
        <v>350000.0</v>
      </c>
      <c r="L19" s="19">
        <f t="shared" si="5"/>
        <v>0</v>
      </c>
      <c r="M19" s="16"/>
    </row>
    <row r="20">
      <c r="A20" s="16"/>
      <c r="B20" s="16"/>
      <c r="C20" s="16"/>
      <c r="D20" s="16"/>
      <c r="E20" s="16"/>
      <c r="F20" s="15" t="s">
        <v>132</v>
      </c>
      <c r="G20" s="22"/>
      <c r="H20" s="22"/>
      <c r="I20" s="21">
        <f>7900000+350000+250000</f>
        <v>8500000</v>
      </c>
      <c r="J20" s="21">
        <v>600000.0</v>
      </c>
      <c r="K20" s="21">
        <v>7900000.0</v>
      </c>
      <c r="L20" s="19">
        <f t="shared" si="5"/>
        <v>0</v>
      </c>
      <c r="M20" s="16"/>
    </row>
    <row r="21">
      <c r="A21" s="16"/>
      <c r="B21" s="16"/>
      <c r="C21" s="16"/>
      <c r="D21" s="16"/>
      <c r="E21" s="16"/>
      <c r="F21" s="15" t="s">
        <v>133</v>
      </c>
      <c r="G21" s="22"/>
      <c r="H21" s="22"/>
      <c r="I21" s="21">
        <v>350000.0</v>
      </c>
      <c r="J21" s="21">
        <v>350000.0</v>
      </c>
      <c r="K21" s="16"/>
      <c r="L21" s="19">
        <f t="shared" si="5"/>
        <v>0</v>
      </c>
      <c r="M21" s="16"/>
    </row>
    <row r="22">
      <c r="A22" s="15">
        <v>324500.0</v>
      </c>
      <c r="B22" s="16"/>
      <c r="C22" s="16"/>
      <c r="D22" s="16"/>
      <c r="E22" s="16"/>
      <c r="F22" s="16" t="s">
        <v>60</v>
      </c>
      <c r="G22" s="22"/>
      <c r="H22" s="22" t="s">
        <v>61</v>
      </c>
      <c r="I22" s="23"/>
      <c r="J22" s="23"/>
      <c r="K22" s="16"/>
      <c r="L22" s="16"/>
      <c r="M22" s="16"/>
    </row>
    <row r="23">
      <c r="A23" s="16"/>
      <c r="B23" s="16"/>
      <c r="C23" s="16"/>
      <c r="D23" s="16"/>
      <c r="E23" s="16"/>
      <c r="F23" s="16" t="s">
        <v>62</v>
      </c>
      <c r="G23" s="22"/>
      <c r="H23" s="22" t="s">
        <v>61</v>
      </c>
      <c r="I23" s="23"/>
      <c r="J23" s="23"/>
      <c r="K23" s="16"/>
      <c r="L23" s="16"/>
      <c r="M23" s="16"/>
    </row>
    <row r="24">
      <c r="A24" s="24">
        <f>SUM(A2:A23)</f>
        <v>1916500</v>
      </c>
      <c r="B24" s="16"/>
      <c r="C24" s="16"/>
      <c r="D24" s="16"/>
      <c r="E24" s="16"/>
      <c r="F24" s="16"/>
      <c r="G24" s="16"/>
      <c r="H24" s="16"/>
      <c r="I24" s="23"/>
      <c r="J24" s="24">
        <f t="shared" ref="J24:L24" si="6">SUM(J2:J23)</f>
        <v>72488979</v>
      </c>
      <c r="K24" s="24">
        <f t="shared" si="6"/>
        <v>12780000</v>
      </c>
      <c r="L24" s="24">
        <f t="shared" si="6"/>
        <v>0</v>
      </c>
      <c r="M24" s="16"/>
    </row>
    <row r="25">
      <c r="A25" s="26"/>
      <c r="B25" s="26"/>
      <c r="C25" s="26"/>
      <c r="D25" s="26"/>
      <c r="E25" s="26"/>
      <c r="F25" s="26"/>
      <c r="G25" s="26"/>
      <c r="H25" s="27"/>
      <c r="I25" s="22" t="s">
        <v>64</v>
      </c>
      <c r="J25" s="24">
        <f>SUM(J24+K24)-B57</f>
        <v>37749236</v>
      </c>
      <c r="K25" s="26"/>
      <c r="L25" s="26"/>
      <c r="M25" s="26"/>
    </row>
    <row r="26">
      <c r="A26" s="26"/>
      <c r="B26" s="26"/>
      <c r="C26" s="26"/>
      <c r="D26" s="26"/>
      <c r="E26" s="26"/>
      <c r="F26" s="26"/>
      <c r="G26" s="26"/>
      <c r="H26" s="26"/>
      <c r="I26" s="28" t="s">
        <v>65</v>
      </c>
      <c r="J26" s="29">
        <f>(I24*4)/1000</f>
        <v>0</v>
      </c>
      <c r="K26" s="26"/>
      <c r="L26" s="26"/>
      <c r="M26" s="26"/>
    </row>
    <row r="27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</row>
    <row r="28">
      <c r="A28" s="28" t="s">
        <v>66</v>
      </c>
      <c r="B28" s="30"/>
      <c r="C28" s="26"/>
      <c r="D28" s="26" t="s">
        <v>67</v>
      </c>
      <c r="E28" s="26"/>
      <c r="F28" s="26"/>
      <c r="G28" s="26"/>
      <c r="H28" s="26"/>
      <c r="I28" s="26"/>
      <c r="J28" s="26"/>
      <c r="K28" s="26"/>
      <c r="L28" s="26"/>
      <c r="M28" s="26"/>
    </row>
    <row r="29">
      <c r="A29" s="25" t="s">
        <v>20</v>
      </c>
      <c r="B29" s="29">
        <f>A24</f>
        <v>1916500</v>
      </c>
      <c r="C29" s="26"/>
      <c r="D29" s="31"/>
      <c r="E29" s="31"/>
      <c r="F29" s="31"/>
      <c r="G29" s="31"/>
      <c r="H29" s="31"/>
      <c r="I29" s="31"/>
      <c r="J29" s="31"/>
      <c r="K29" s="31"/>
      <c r="L29" s="26"/>
      <c r="M29" s="26"/>
    </row>
    <row r="30">
      <c r="A30" s="25" t="s">
        <v>68</v>
      </c>
      <c r="B30" s="33">
        <f>405000+591400+292400+389000+603444+84403+109724+496100</f>
        <v>2971471</v>
      </c>
      <c r="C30" s="26"/>
      <c r="D30" s="32" t="s">
        <v>134</v>
      </c>
      <c r="L30" s="26"/>
      <c r="M30" s="26"/>
    </row>
    <row r="31">
      <c r="A31" s="25" t="s">
        <v>135</v>
      </c>
      <c r="B31" s="29">
        <f>138000+148000+27000+27000+35000</f>
        <v>375000</v>
      </c>
      <c r="C31" s="26"/>
      <c r="L31" s="26"/>
      <c r="M31" s="26"/>
    </row>
    <row r="32">
      <c r="A32" s="25" t="s">
        <v>136</v>
      </c>
      <c r="B32" s="33">
        <v>100000.0</v>
      </c>
      <c r="C32" s="26"/>
      <c r="L32" s="26"/>
      <c r="M32" s="26"/>
    </row>
    <row r="33">
      <c r="A33" s="25" t="s">
        <v>137</v>
      </c>
      <c r="B33" s="33">
        <v>526400.0</v>
      </c>
      <c r="C33" s="26"/>
      <c r="L33" s="26"/>
      <c r="M33" s="26"/>
    </row>
    <row r="34">
      <c r="A34" s="25" t="s">
        <v>70</v>
      </c>
      <c r="B34" s="29">
        <v>0.0</v>
      </c>
      <c r="C34" s="26"/>
      <c r="L34" s="26"/>
      <c r="M34" s="26"/>
    </row>
    <row r="35">
      <c r="A35" s="25" t="s">
        <v>138</v>
      </c>
      <c r="B35" s="29">
        <v>0.0</v>
      </c>
      <c r="C35" s="26"/>
      <c r="L35" s="26"/>
      <c r="M35" s="26"/>
    </row>
    <row r="36">
      <c r="A36" s="25" t="s">
        <v>139</v>
      </c>
      <c r="B36" s="29">
        <v>0.0</v>
      </c>
      <c r="C36" s="26"/>
      <c r="L36" s="26"/>
      <c r="M36" s="26"/>
    </row>
    <row r="37">
      <c r="A37" s="25" t="s">
        <v>140</v>
      </c>
      <c r="B37" s="29">
        <v>0.0</v>
      </c>
      <c r="C37" s="26"/>
      <c r="L37" s="26"/>
      <c r="M37" s="26"/>
    </row>
    <row r="38">
      <c r="A38" s="25" t="s">
        <v>141</v>
      </c>
      <c r="B38" s="29">
        <v>0.0</v>
      </c>
      <c r="C38" s="26"/>
      <c r="L38" s="26"/>
      <c r="M38" s="26"/>
    </row>
    <row r="39">
      <c r="A39" s="25" t="s">
        <v>142</v>
      </c>
      <c r="B39" s="29">
        <f>31400+40150+23900+116000+32900+100000+26000+30000+16000+47000+35900+10500+127000+20500+65000+16000+53000+54000+36400+191000+80000+45000+16000+27000+5000+12100+162500+35000+28000+92000+45000+50000+60000+12000+15000+40000+110000+110000+29000+100000+100000</f>
        <v>2246250</v>
      </c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</row>
    <row r="40">
      <c r="A40" s="25" t="s">
        <v>143</v>
      </c>
      <c r="B40" s="29">
        <f>153000+153000</f>
        <v>306000</v>
      </c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</row>
    <row r="41">
      <c r="A41" s="25" t="s">
        <v>96</v>
      </c>
      <c r="B41" s="29">
        <v>0.0</v>
      </c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</row>
    <row r="42">
      <c r="A42" s="25" t="s">
        <v>144</v>
      </c>
      <c r="B42" s="29">
        <v>0.0</v>
      </c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</row>
    <row r="43">
      <c r="A43" s="25" t="s">
        <v>145</v>
      </c>
      <c r="B43" s="29">
        <v>0.0</v>
      </c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</row>
    <row r="44">
      <c r="A44" s="17" t="s">
        <v>146</v>
      </c>
      <c r="B44" s="33">
        <f>100000+80000</f>
        <v>180000</v>
      </c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</row>
    <row r="45">
      <c r="A45" s="17" t="s">
        <v>147</v>
      </c>
      <c r="B45" s="33">
        <v>1000000.0</v>
      </c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</row>
    <row r="46">
      <c r="A46" s="17" t="s">
        <v>148</v>
      </c>
      <c r="B46" s="33">
        <f>230000+230000</f>
        <v>460000</v>
      </c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</row>
    <row r="47">
      <c r="A47" s="17" t="s">
        <v>149</v>
      </c>
      <c r="B47" s="33">
        <v>43922.0</v>
      </c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</row>
    <row r="48">
      <c r="A48" s="17" t="s">
        <v>150</v>
      </c>
      <c r="B48" s="33">
        <v>148700.0</v>
      </c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</row>
    <row r="49">
      <c r="A49" s="17" t="s">
        <v>151</v>
      </c>
      <c r="B49" s="33">
        <v>280000.0</v>
      </c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</row>
    <row r="50">
      <c r="A50" s="17" t="s">
        <v>99</v>
      </c>
      <c r="B50" s="33">
        <v>1000000.0</v>
      </c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</row>
    <row r="51">
      <c r="A51" s="17" t="s">
        <v>95</v>
      </c>
      <c r="B51" s="33">
        <f>30940+385560</f>
        <v>416500</v>
      </c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</row>
    <row r="52">
      <c r="A52" s="17" t="s">
        <v>152</v>
      </c>
      <c r="B52" s="33">
        <v>420000.0</v>
      </c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</row>
    <row r="53">
      <c r="A53" s="17" t="s">
        <v>153</v>
      </c>
      <c r="B53" s="33">
        <v>600000.0</v>
      </c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</row>
    <row r="54">
      <c r="A54" s="17" t="s">
        <v>154</v>
      </c>
      <c r="B54" s="33">
        <f>5229000+4190000+7900000</f>
        <v>17319000</v>
      </c>
      <c r="C54" s="34" t="s">
        <v>155</v>
      </c>
      <c r="D54" s="26"/>
      <c r="E54" s="26"/>
      <c r="F54" s="26"/>
      <c r="G54" s="26"/>
      <c r="H54" s="26"/>
      <c r="I54" s="26"/>
      <c r="J54" s="26"/>
      <c r="K54" s="26"/>
      <c r="L54" s="26"/>
      <c r="M54" s="26"/>
    </row>
    <row r="55">
      <c r="A55" s="17" t="s">
        <v>156</v>
      </c>
      <c r="B55" s="33">
        <v>1160000.0</v>
      </c>
      <c r="C55" s="34"/>
      <c r="D55" s="26"/>
      <c r="E55" s="26"/>
      <c r="F55" s="26"/>
      <c r="G55" s="26"/>
      <c r="H55" s="26"/>
      <c r="I55" s="26"/>
      <c r="J55" s="26"/>
      <c r="K55" s="26"/>
      <c r="L55" s="26"/>
      <c r="M55" s="26"/>
    </row>
    <row r="56">
      <c r="A56" s="17" t="s">
        <v>157</v>
      </c>
      <c r="B56" s="33">
        <f>8000000+8050000</f>
        <v>16050000</v>
      </c>
      <c r="C56" s="34"/>
      <c r="D56" s="26"/>
      <c r="E56" s="26"/>
      <c r="F56" s="26"/>
      <c r="G56" s="26"/>
      <c r="H56" s="26"/>
      <c r="I56" s="26"/>
      <c r="J56" s="26"/>
      <c r="K56" s="26"/>
      <c r="L56" s="26"/>
      <c r="M56" s="26"/>
    </row>
    <row r="57">
      <c r="A57" s="28" t="s">
        <v>8</v>
      </c>
      <c r="B57" s="35">
        <f>SUM(B29:B56)</f>
        <v>47519743</v>
      </c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</row>
  </sheetData>
  <mergeCells count="1">
    <mergeCell ref="D30:K38"/>
  </mergeCells>
  <dataValidations>
    <dataValidation type="list" allowBlank="1" showErrorMessage="1" sqref="C2:C15">
      <formula1>"FUN DIVE,OPEN,AVANZADO,RESCUE,ESPECIALIDAD"</formula1>
    </dataValidation>
    <dataValidation type="list" allowBlank="1" showErrorMessage="1" sqref="H2:H16">
      <formula1>"Multiple,Pareja,Sencilla"</formula1>
    </dataValidation>
    <dataValidation type="list" allowBlank="1" showErrorMessage="1" sqref="M2:M16">
      <formula1>"S,M,L,XL,XXL"</formula1>
    </dataValidation>
    <dataValidation type="list" allowBlank="1" showErrorMessage="1" sqref="D2:D14">
      <formula1>"SI,NO"</formula1>
    </dataValidation>
  </dataValidation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13.5"/>
    <col customWidth="1" min="3" max="3" width="10.63"/>
    <col customWidth="1" min="4" max="4" width="23.5"/>
    <col customWidth="1" min="5" max="5" width="12.25"/>
    <col customWidth="1" min="6" max="6" width="11.13"/>
    <col customWidth="1" min="7" max="7" width="6.0"/>
    <col customWidth="1" min="8" max="8" width="16.75"/>
    <col customWidth="1" min="9" max="9" width="10.88"/>
    <col customWidth="1" min="10" max="10" width="12.13"/>
    <col customWidth="1" min="11" max="11" width="13.0"/>
    <col customWidth="1" min="12" max="12" width="12.63"/>
  </cols>
  <sheetData>
    <row r="1">
      <c r="A1" s="12" t="s">
        <v>20</v>
      </c>
      <c r="B1" s="12" t="s">
        <v>21</v>
      </c>
      <c r="C1" s="12" t="s">
        <v>22</v>
      </c>
      <c r="D1" s="12" t="s">
        <v>23</v>
      </c>
      <c r="E1" s="12" t="s">
        <v>24</v>
      </c>
      <c r="F1" s="12" t="s">
        <v>25</v>
      </c>
      <c r="G1" s="12" t="s">
        <v>26</v>
      </c>
      <c r="H1" s="12" t="s">
        <v>27</v>
      </c>
      <c r="I1" s="12" t="s">
        <v>29</v>
      </c>
      <c r="J1" s="12" t="s">
        <v>30</v>
      </c>
      <c r="K1" s="12" t="s">
        <v>31</v>
      </c>
      <c r="L1" s="12" t="s">
        <v>32</v>
      </c>
    </row>
    <row r="2">
      <c r="A2" s="14">
        <v>324500.0</v>
      </c>
      <c r="B2" s="16"/>
      <c r="C2" s="16" t="s">
        <v>34</v>
      </c>
      <c r="D2" s="15" t="s">
        <v>35</v>
      </c>
      <c r="E2" s="16" t="s">
        <v>158</v>
      </c>
      <c r="F2" s="25" t="s">
        <v>41</v>
      </c>
      <c r="G2" s="18"/>
      <c r="H2" s="19">
        <f t="shared" ref="H2:H3" si="1">3390000+1100000</f>
        <v>4490000</v>
      </c>
      <c r="I2" s="19">
        <f t="shared" ref="I2:I3" si="2">1347000+3143000</f>
        <v>4490000</v>
      </c>
      <c r="J2" s="16"/>
      <c r="K2" s="19">
        <f t="shared" ref="K2:K8" si="3">H2-(I2-J2)</f>
        <v>0</v>
      </c>
      <c r="L2" s="16"/>
    </row>
    <row r="3">
      <c r="A3" s="14">
        <v>324500.0</v>
      </c>
      <c r="B3" s="16"/>
      <c r="C3" s="16" t="s">
        <v>34</v>
      </c>
      <c r="D3" s="15" t="s">
        <v>35</v>
      </c>
      <c r="E3" s="16" t="s">
        <v>159</v>
      </c>
      <c r="F3" s="25" t="s">
        <v>41</v>
      </c>
      <c r="G3" s="18"/>
      <c r="H3" s="19">
        <f t="shared" si="1"/>
        <v>4490000</v>
      </c>
      <c r="I3" s="19">
        <f t="shared" si="2"/>
        <v>4490000</v>
      </c>
      <c r="J3" s="16"/>
      <c r="K3" s="19">
        <f t="shared" si="3"/>
        <v>0</v>
      </c>
      <c r="L3" s="16"/>
    </row>
    <row r="4">
      <c r="A4" s="16"/>
      <c r="B4" s="16"/>
      <c r="C4" s="16"/>
      <c r="D4" s="16" t="s">
        <v>48</v>
      </c>
      <c r="E4" s="16"/>
      <c r="F4" s="16"/>
      <c r="G4" s="18"/>
      <c r="H4" s="23"/>
      <c r="I4" s="23"/>
      <c r="J4" s="16"/>
      <c r="K4" s="19">
        <f t="shared" si="3"/>
        <v>0</v>
      </c>
      <c r="L4" s="16"/>
    </row>
    <row r="5">
      <c r="A5" s="16"/>
      <c r="B5" s="16"/>
      <c r="C5" s="16"/>
      <c r="D5" s="16" t="s">
        <v>48</v>
      </c>
      <c r="E5" s="16"/>
      <c r="F5" s="16"/>
      <c r="G5" s="18"/>
      <c r="H5" s="23"/>
      <c r="I5" s="23"/>
      <c r="J5" s="16"/>
      <c r="K5" s="19">
        <f t="shared" si="3"/>
        <v>0</v>
      </c>
      <c r="L5" s="16"/>
    </row>
    <row r="6">
      <c r="A6" s="16"/>
      <c r="B6" s="16"/>
      <c r="C6" s="16"/>
      <c r="D6" s="16" t="s">
        <v>48</v>
      </c>
      <c r="E6" s="16"/>
      <c r="F6" s="16"/>
      <c r="G6" s="18"/>
      <c r="H6" s="23"/>
      <c r="I6" s="23"/>
      <c r="J6" s="16"/>
      <c r="K6" s="19">
        <f t="shared" si="3"/>
        <v>0</v>
      </c>
      <c r="L6" s="16"/>
    </row>
    <row r="7">
      <c r="A7" s="16"/>
      <c r="B7" s="16"/>
      <c r="C7" s="16"/>
      <c r="D7" s="16" t="s">
        <v>48</v>
      </c>
      <c r="E7" s="16"/>
      <c r="F7" s="16"/>
      <c r="G7" s="18"/>
      <c r="H7" s="23"/>
      <c r="I7" s="23"/>
      <c r="J7" s="16"/>
      <c r="K7" s="19">
        <f t="shared" si="3"/>
        <v>0</v>
      </c>
      <c r="L7" s="16"/>
    </row>
    <row r="8">
      <c r="A8" s="16"/>
      <c r="B8" s="16"/>
      <c r="C8" s="16"/>
      <c r="D8" s="16"/>
      <c r="E8" s="16"/>
      <c r="F8" s="16"/>
      <c r="G8" s="18"/>
      <c r="H8" s="23"/>
      <c r="I8" s="23"/>
      <c r="J8" s="16"/>
      <c r="K8" s="19">
        <f t="shared" si="3"/>
        <v>0</v>
      </c>
      <c r="L8" s="16"/>
    </row>
    <row r="9">
      <c r="A9" s="16"/>
      <c r="B9" s="16"/>
      <c r="C9" s="16"/>
      <c r="D9" s="16"/>
      <c r="E9" s="16" t="s">
        <v>60</v>
      </c>
      <c r="F9" s="22" t="s">
        <v>61</v>
      </c>
      <c r="G9" s="18"/>
      <c r="H9" s="23"/>
      <c r="I9" s="23"/>
      <c r="J9" s="16"/>
      <c r="K9" s="23"/>
      <c r="L9" s="16"/>
    </row>
    <row r="10">
      <c r="A10" s="16"/>
      <c r="B10" s="16"/>
      <c r="C10" s="16"/>
      <c r="D10" s="16"/>
      <c r="E10" s="16" t="s">
        <v>62</v>
      </c>
      <c r="F10" s="22" t="s">
        <v>61</v>
      </c>
      <c r="G10" s="23"/>
      <c r="H10" s="23"/>
      <c r="I10" s="23"/>
      <c r="J10" s="16"/>
      <c r="K10" s="16"/>
      <c r="L10" s="16"/>
    </row>
    <row r="11">
      <c r="A11" s="24">
        <f>SUM(A2:A10)</f>
        <v>649000</v>
      </c>
      <c r="B11" s="16"/>
      <c r="C11" s="16"/>
      <c r="D11" s="16"/>
      <c r="E11" s="25"/>
      <c r="F11" s="25"/>
      <c r="G11" s="24" t="s">
        <v>63</v>
      </c>
      <c r="H11" s="24">
        <f t="shared" ref="H11:K11" si="4">SUM(H2:H10)</f>
        <v>8980000</v>
      </c>
      <c r="I11" s="24">
        <f t="shared" si="4"/>
        <v>8980000</v>
      </c>
      <c r="J11" s="24">
        <f t="shared" si="4"/>
        <v>0</v>
      </c>
      <c r="K11" s="24">
        <f t="shared" si="4"/>
        <v>0</v>
      </c>
      <c r="L11" s="16"/>
    </row>
    <row r="12">
      <c r="A12" s="26"/>
      <c r="B12" s="26"/>
      <c r="C12" s="26"/>
      <c r="D12" s="26"/>
      <c r="E12" s="26"/>
      <c r="F12" s="27"/>
      <c r="G12" s="27"/>
      <c r="H12" s="22" t="s">
        <v>64</v>
      </c>
      <c r="I12" s="24">
        <f>SUM(I11+J11)-B36</f>
        <v>3106638</v>
      </c>
      <c r="J12" s="26"/>
      <c r="K12" s="26"/>
      <c r="L12" s="26"/>
    </row>
    <row r="13">
      <c r="A13" s="26"/>
      <c r="B13" s="26"/>
      <c r="C13" s="26"/>
      <c r="D13" s="26"/>
      <c r="E13" s="26"/>
      <c r="F13" s="26"/>
      <c r="G13" s="26"/>
      <c r="H13" s="28" t="s">
        <v>65</v>
      </c>
      <c r="I13" s="29">
        <f>(H11*4)/1000</f>
        <v>35920</v>
      </c>
      <c r="J13" s="26"/>
      <c r="K13" s="26"/>
      <c r="L13" s="26"/>
    </row>
    <row r="14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</row>
    <row r="15">
      <c r="A15" s="28" t="s">
        <v>66</v>
      </c>
      <c r="B15" s="30"/>
      <c r="C15" s="26"/>
      <c r="D15" s="26" t="s">
        <v>67</v>
      </c>
      <c r="E15" s="26"/>
      <c r="F15" s="26"/>
      <c r="G15" s="26"/>
      <c r="H15" s="26"/>
      <c r="I15" s="26"/>
      <c r="J15" s="26"/>
      <c r="K15" s="26"/>
      <c r="L15" s="26"/>
    </row>
    <row r="16">
      <c r="A16" s="25" t="s">
        <v>20</v>
      </c>
      <c r="B16" s="29">
        <f>A11</f>
        <v>649000</v>
      </c>
      <c r="C16" s="26"/>
      <c r="D16" s="31"/>
      <c r="E16" s="31"/>
      <c r="F16" s="31"/>
      <c r="G16" s="31"/>
      <c r="H16" s="31"/>
      <c r="I16" s="31"/>
      <c r="J16" s="31"/>
      <c r="K16" s="26"/>
      <c r="L16" s="26"/>
    </row>
    <row r="17">
      <c r="A17" s="25" t="s">
        <v>68</v>
      </c>
      <c r="B17" s="29">
        <v>0.0</v>
      </c>
      <c r="C17" s="26"/>
      <c r="D17" s="37" t="s">
        <v>85</v>
      </c>
      <c r="K17" s="26"/>
      <c r="L17" s="26"/>
    </row>
    <row r="18">
      <c r="A18" s="25" t="s">
        <v>135</v>
      </c>
      <c r="B18" s="33">
        <v>27000.0</v>
      </c>
      <c r="C18" s="26"/>
      <c r="K18" s="26"/>
      <c r="L18" s="26"/>
    </row>
    <row r="19">
      <c r="A19" s="25" t="s">
        <v>136</v>
      </c>
      <c r="B19" s="29">
        <v>0.0</v>
      </c>
      <c r="C19" s="26"/>
      <c r="K19" s="26"/>
      <c r="L19" s="26"/>
    </row>
    <row r="20">
      <c r="A20" s="25" t="s">
        <v>137</v>
      </c>
      <c r="B20" s="29">
        <v>0.0</v>
      </c>
      <c r="C20" s="26"/>
      <c r="K20" s="26"/>
      <c r="L20" s="26"/>
    </row>
    <row r="21">
      <c r="A21" s="25" t="s">
        <v>70</v>
      </c>
      <c r="B21" s="29">
        <v>0.0</v>
      </c>
      <c r="C21" s="26"/>
      <c r="K21" s="26"/>
      <c r="L21" s="26"/>
    </row>
    <row r="22">
      <c r="A22" s="25" t="s">
        <v>138</v>
      </c>
      <c r="B22" s="29">
        <v>0.0</v>
      </c>
      <c r="C22" s="26"/>
      <c r="K22" s="26"/>
      <c r="L22" s="26"/>
    </row>
    <row r="23">
      <c r="A23" s="25" t="s">
        <v>139</v>
      </c>
      <c r="B23" s="29">
        <v>0.0</v>
      </c>
      <c r="C23" s="26"/>
      <c r="K23" s="26"/>
      <c r="L23" s="26"/>
    </row>
    <row r="24">
      <c r="A24" s="25" t="s">
        <v>140</v>
      </c>
      <c r="B24" s="29">
        <v>0.0</v>
      </c>
      <c r="C24" s="26"/>
      <c r="K24" s="26"/>
      <c r="L24" s="26"/>
    </row>
    <row r="25">
      <c r="A25" s="25" t="s">
        <v>141</v>
      </c>
      <c r="B25" s="29">
        <v>0.0</v>
      </c>
      <c r="C25" s="26"/>
      <c r="K25" s="26"/>
      <c r="L25" s="26"/>
    </row>
    <row r="26">
      <c r="A26" s="25" t="s">
        <v>142</v>
      </c>
      <c r="B26" s="33">
        <f>472000+15000+31000+17000+8000</f>
        <v>543000</v>
      </c>
      <c r="C26" s="26"/>
      <c r="D26" s="26"/>
      <c r="E26" s="26"/>
      <c r="F26" s="26"/>
      <c r="G26" s="26"/>
      <c r="H26" s="26"/>
      <c r="I26" s="26"/>
      <c r="J26" s="26"/>
      <c r="K26" s="26"/>
      <c r="L26" s="26"/>
    </row>
    <row r="27">
      <c r="A27" s="25" t="s">
        <v>143</v>
      </c>
      <c r="B27" s="29">
        <v>0.0</v>
      </c>
      <c r="C27" s="26"/>
      <c r="D27" s="26"/>
      <c r="E27" s="26"/>
      <c r="F27" s="26"/>
      <c r="G27" s="26"/>
      <c r="H27" s="26"/>
      <c r="I27" s="26"/>
      <c r="J27" s="26"/>
      <c r="K27" s="26"/>
      <c r="L27" s="26"/>
    </row>
    <row r="28">
      <c r="A28" s="25" t="s">
        <v>96</v>
      </c>
      <c r="B28" s="29">
        <v>0.0</v>
      </c>
      <c r="C28" s="26"/>
      <c r="D28" s="26"/>
      <c r="E28" s="26"/>
      <c r="F28" s="26"/>
      <c r="G28" s="26"/>
      <c r="H28" s="26"/>
      <c r="I28" s="26"/>
      <c r="J28" s="26"/>
      <c r="K28" s="26"/>
      <c r="L28" s="26"/>
    </row>
    <row r="29">
      <c r="A29" s="25" t="s">
        <v>144</v>
      </c>
      <c r="B29" s="29">
        <v>0.0</v>
      </c>
      <c r="C29" s="26"/>
      <c r="D29" s="26"/>
      <c r="E29" s="26"/>
      <c r="F29" s="26"/>
      <c r="G29" s="26"/>
      <c r="H29" s="26"/>
      <c r="I29" s="26"/>
      <c r="J29" s="26"/>
      <c r="K29" s="26"/>
      <c r="L29" s="26"/>
    </row>
    <row r="30">
      <c r="A30" s="25" t="s">
        <v>145</v>
      </c>
      <c r="B30" s="29">
        <v>0.0</v>
      </c>
      <c r="C30" s="26"/>
      <c r="D30" s="26"/>
      <c r="E30" s="26"/>
      <c r="F30" s="26"/>
      <c r="G30" s="26"/>
      <c r="H30" s="26"/>
      <c r="I30" s="26"/>
      <c r="J30" s="26"/>
      <c r="K30" s="26"/>
      <c r="L30" s="26"/>
    </row>
    <row r="31">
      <c r="A31" s="25" t="s">
        <v>160</v>
      </c>
      <c r="B31" s="29">
        <v>0.0</v>
      </c>
      <c r="C31" s="26"/>
      <c r="D31" s="26"/>
      <c r="E31" s="26"/>
      <c r="F31" s="26"/>
      <c r="G31" s="26"/>
      <c r="H31" s="26"/>
      <c r="I31" s="26"/>
      <c r="J31" s="26"/>
      <c r="K31" s="26"/>
      <c r="L31" s="26"/>
    </row>
    <row r="32">
      <c r="A32" s="17" t="s">
        <v>161</v>
      </c>
      <c r="B32" s="33">
        <v>2160000.0</v>
      </c>
      <c r="C32" s="26"/>
      <c r="D32" s="26"/>
      <c r="E32" s="26"/>
      <c r="F32" s="26"/>
      <c r="G32" s="26"/>
      <c r="H32" s="26"/>
      <c r="I32" s="26"/>
      <c r="J32" s="26"/>
      <c r="K32" s="26"/>
      <c r="L32" s="26"/>
    </row>
    <row r="33">
      <c r="A33" s="25" t="s">
        <v>162</v>
      </c>
      <c r="B33" s="29">
        <v>0.0</v>
      </c>
      <c r="C33" s="26"/>
      <c r="D33" s="26"/>
      <c r="E33" s="26"/>
      <c r="F33" s="26"/>
      <c r="G33" s="26"/>
      <c r="H33" s="26"/>
      <c r="I33" s="26"/>
      <c r="J33" s="26"/>
      <c r="K33" s="26"/>
      <c r="L33" s="26"/>
    </row>
    <row r="34">
      <c r="A34" s="17" t="s">
        <v>72</v>
      </c>
      <c r="B34" s="33">
        <v>2494362.0</v>
      </c>
      <c r="C34" s="26"/>
      <c r="D34" s="26"/>
      <c r="E34" s="26"/>
      <c r="F34" s="26"/>
      <c r="G34" s="26"/>
      <c r="H34" s="26"/>
      <c r="I34" s="26"/>
      <c r="J34" s="26"/>
      <c r="K34" s="26"/>
      <c r="L34" s="26"/>
    </row>
    <row r="35">
      <c r="A35" s="25" t="s">
        <v>163</v>
      </c>
      <c r="B35" s="29">
        <v>0.0</v>
      </c>
      <c r="C35" s="18"/>
      <c r="D35" s="26"/>
      <c r="E35" s="26"/>
      <c r="F35" s="26"/>
      <c r="G35" s="26"/>
      <c r="H35" s="26"/>
      <c r="I35" s="26"/>
      <c r="J35" s="26"/>
      <c r="K35" s="26"/>
      <c r="L35" s="26"/>
    </row>
    <row r="36">
      <c r="A36" s="28" t="s">
        <v>8</v>
      </c>
      <c r="B36" s="35">
        <f>SUM(B16:B35)</f>
        <v>5873362</v>
      </c>
      <c r="C36" s="26"/>
      <c r="D36" s="26"/>
      <c r="E36" s="26"/>
      <c r="F36" s="26"/>
      <c r="G36" s="26"/>
      <c r="H36" s="26"/>
      <c r="I36" s="26"/>
      <c r="J36" s="26"/>
      <c r="K36" s="26"/>
      <c r="L36" s="26"/>
    </row>
  </sheetData>
  <mergeCells count="1">
    <mergeCell ref="D17:J25"/>
  </mergeCells>
  <dataValidations>
    <dataValidation type="list" allowBlank="1" showErrorMessage="1" sqref="C2:C3">
      <formula1>"FUN DIVE,OPEN,AVANZADO,RESCUE,ESPECIALIDAD"</formula1>
    </dataValidation>
    <dataValidation type="list" allowBlank="1" showErrorMessage="1" sqref="F2:F3">
      <formula1>"Multiple,Pareja,Sencilla"</formula1>
    </dataValidation>
    <dataValidation type="list" allowBlank="1" showErrorMessage="1" sqref="D2:D7">
      <formula1>"SI,NO"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5" max="5" width="16.13"/>
    <col customWidth="1" min="8" max="8" width="16.75"/>
    <col customWidth="1" min="15" max="15" width="17.0"/>
    <col customWidth="1" min="17" max="17" width="18.38"/>
    <col customWidth="1" hidden="1" min="18" max="18" width="9.38"/>
    <col customWidth="1" min="19" max="19" width="10.25"/>
  </cols>
  <sheetData>
    <row r="1">
      <c r="A1" s="12" t="s">
        <v>20</v>
      </c>
      <c r="B1" s="12" t="s">
        <v>21</v>
      </c>
      <c r="C1" s="12" t="s">
        <v>22</v>
      </c>
      <c r="D1" s="12" t="s">
        <v>23</v>
      </c>
      <c r="E1" s="12" t="s">
        <v>24</v>
      </c>
      <c r="F1" s="12" t="s">
        <v>25</v>
      </c>
      <c r="G1" s="12" t="s">
        <v>26</v>
      </c>
      <c r="H1" s="12" t="s">
        <v>27</v>
      </c>
      <c r="I1" s="12" t="s">
        <v>29</v>
      </c>
      <c r="J1" s="12" t="s">
        <v>30</v>
      </c>
      <c r="K1" s="12" t="s">
        <v>31</v>
      </c>
      <c r="L1" s="12" t="s">
        <v>32</v>
      </c>
      <c r="M1" s="9" t="s">
        <v>164</v>
      </c>
    </row>
    <row r="2">
      <c r="A2" s="16"/>
      <c r="B2" s="16"/>
      <c r="C2" s="16" t="s">
        <v>47</v>
      </c>
      <c r="D2" s="16" t="s">
        <v>48</v>
      </c>
      <c r="E2" s="15" t="s">
        <v>165</v>
      </c>
      <c r="F2" s="25" t="s">
        <v>41</v>
      </c>
      <c r="G2" s="18"/>
      <c r="H2" s="20">
        <v>3790500.0</v>
      </c>
      <c r="I2" s="20">
        <v>2000000.0</v>
      </c>
      <c r="J2" s="21">
        <v>1800000.0</v>
      </c>
      <c r="K2" s="20">
        <v>0.0</v>
      </c>
      <c r="L2" s="15"/>
      <c r="M2" s="9" t="s">
        <v>48</v>
      </c>
    </row>
    <row r="3">
      <c r="A3" s="16"/>
      <c r="B3" s="16"/>
      <c r="C3" s="16" t="s">
        <v>34</v>
      </c>
      <c r="D3" s="16" t="s">
        <v>48</v>
      </c>
      <c r="E3" s="15" t="s">
        <v>166</v>
      </c>
      <c r="F3" s="25" t="s">
        <v>41</v>
      </c>
      <c r="G3" s="18"/>
      <c r="H3" s="21">
        <f>3790500+295000</f>
        <v>4085500</v>
      </c>
      <c r="I3" s="21">
        <v>295000.0</v>
      </c>
      <c r="J3" s="21">
        <v>3800000.0</v>
      </c>
      <c r="K3" s="20">
        <v>0.0</v>
      </c>
      <c r="L3" s="15" t="s">
        <v>53</v>
      </c>
      <c r="M3" s="9" t="s">
        <v>48</v>
      </c>
    </row>
    <row r="4">
      <c r="A4" s="14">
        <v>294000.0</v>
      </c>
      <c r="B4" s="16"/>
      <c r="C4" s="16" t="s">
        <v>47</v>
      </c>
      <c r="D4" s="16" t="s">
        <v>48</v>
      </c>
      <c r="E4" s="15" t="s">
        <v>167</v>
      </c>
      <c r="F4" s="25" t="s">
        <v>41</v>
      </c>
      <c r="G4" s="18"/>
      <c r="H4" s="21">
        <f>3790500+950000+290500</f>
        <v>5031000</v>
      </c>
      <c r="I4" s="21">
        <f>1500000+1250000+1281000</f>
        <v>4031000</v>
      </c>
      <c r="J4" s="21">
        <f>1000000</f>
        <v>1000000</v>
      </c>
      <c r="K4" s="19">
        <f>H4-I4-J4</f>
        <v>0</v>
      </c>
      <c r="L4" s="15" t="s">
        <v>38</v>
      </c>
      <c r="M4" s="9" t="s">
        <v>168</v>
      </c>
    </row>
    <row r="5">
      <c r="A5" s="16"/>
      <c r="B5" s="16"/>
      <c r="C5" s="16"/>
      <c r="D5" s="16" t="s">
        <v>48</v>
      </c>
      <c r="E5" s="15" t="s">
        <v>83</v>
      </c>
      <c r="F5" s="25" t="s">
        <v>41</v>
      </c>
      <c r="G5" s="18"/>
      <c r="H5" s="21">
        <f>3790500+290500</f>
        <v>4081000</v>
      </c>
      <c r="I5" s="21">
        <f>1000000+2000000+1085000</f>
        <v>4085000</v>
      </c>
      <c r="J5" s="21"/>
      <c r="K5" s="20">
        <v>0.0</v>
      </c>
      <c r="L5" s="15"/>
      <c r="M5" s="9" t="s">
        <v>48</v>
      </c>
    </row>
    <row r="6">
      <c r="A6" s="16"/>
      <c r="B6" s="16"/>
      <c r="C6" s="16"/>
      <c r="D6" s="16" t="s">
        <v>48</v>
      </c>
      <c r="E6" s="15" t="s">
        <v>169</v>
      </c>
      <c r="F6" s="25" t="s">
        <v>41</v>
      </c>
      <c r="G6" s="18"/>
      <c r="H6" s="21">
        <f t="shared" ref="H6:H7" si="1">3290500</f>
        <v>3290500</v>
      </c>
      <c r="I6" s="21">
        <f t="shared" ref="I6:I7" si="2">3000000+250500</f>
        <v>3250500</v>
      </c>
      <c r="J6" s="21"/>
      <c r="K6" s="20">
        <v>0.0</v>
      </c>
      <c r="L6" s="15" t="s">
        <v>42</v>
      </c>
      <c r="M6" s="9" t="s">
        <v>168</v>
      </c>
    </row>
    <row r="7">
      <c r="A7" s="16"/>
      <c r="B7" s="16"/>
      <c r="C7" s="16"/>
      <c r="D7" s="16" t="s">
        <v>48</v>
      </c>
      <c r="E7" s="15" t="s">
        <v>170</v>
      </c>
      <c r="F7" s="25" t="s">
        <v>41</v>
      </c>
      <c r="G7" s="18"/>
      <c r="H7" s="21">
        <f t="shared" si="1"/>
        <v>3290500</v>
      </c>
      <c r="I7" s="21">
        <f t="shared" si="2"/>
        <v>3250500</v>
      </c>
      <c r="J7" s="21"/>
      <c r="K7" s="20">
        <v>0.0</v>
      </c>
      <c r="L7" s="15" t="s">
        <v>38</v>
      </c>
      <c r="M7" s="9" t="s">
        <v>168</v>
      </c>
    </row>
    <row r="8">
      <c r="A8" s="16"/>
      <c r="B8" s="16"/>
      <c r="C8" s="16"/>
      <c r="D8" s="16"/>
      <c r="E8" s="15" t="s">
        <v>171</v>
      </c>
      <c r="F8" s="16"/>
      <c r="G8" s="18"/>
      <c r="H8" s="21">
        <f>3790500+295000</f>
        <v>4085500</v>
      </c>
      <c r="I8" s="21">
        <f>800000+920500</f>
        <v>1720500</v>
      </c>
      <c r="J8" s="21">
        <f>2000000+365000</f>
        <v>2365000</v>
      </c>
      <c r="K8" s="20">
        <f>H8-I8-J8</f>
        <v>0</v>
      </c>
      <c r="L8" s="15"/>
      <c r="M8" s="9" t="s">
        <v>172</v>
      </c>
    </row>
    <row r="9">
      <c r="A9" s="16"/>
      <c r="B9" s="16"/>
      <c r="C9" s="16"/>
      <c r="D9" s="16"/>
      <c r="E9" s="15" t="s">
        <v>173</v>
      </c>
      <c r="F9" s="22"/>
      <c r="G9" s="18"/>
      <c r="H9" s="21">
        <v>2018000.0</v>
      </c>
      <c r="I9" s="23"/>
      <c r="J9" s="21">
        <v>2018000.0</v>
      </c>
      <c r="K9" s="20">
        <v>0.0</v>
      </c>
      <c r="L9" s="15"/>
      <c r="M9" s="9" t="s">
        <v>172</v>
      </c>
    </row>
    <row r="10">
      <c r="A10" s="16"/>
      <c r="B10" s="16"/>
      <c r="C10" s="16"/>
      <c r="D10" s="16"/>
      <c r="E10" s="16" t="s">
        <v>60</v>
      </c>
      <c r="F10" s="22" t="s">
        <v>61</v>
      </c>
      <c r="G10" s="18"/>
      <c r="H10" s="23"/>
      <c r="I10" s="23"/>
      <c r="J10" s="16"/>
      <c r="K10" s="23"/>
      <c r="L10" s="16"/>
    </row>
    <row r="11">
      <c r="A11" s="16"/>
      <c r="B11" s="16"/>
      <c r="C11" s="16"/>
      <c r="D11" s="16"/>
      <c r="E11" s="16" t="s">
        <v>62</v>
      </c>
      <c r="F11" s="22" t="s">
        <v>61</v>
      </c>
      <c r="G11" s="23"/>
      <c r="H11" s="23"/>
      <c r="I11" s="23"/>
      <c r="J11" s="16"/>
      <c r="K11" s="16"/>
      <c r="L11" s="16"/>
    </row>
    <row r="12">
      <c r="A12" s="24">
        <f>SUM(A3:A11)</f>
        <v>294000</v>
      </c>
      <c r="B12" s="16"/>
      <c r="C12" s="16"/>
      <c r="D12" s="16"/>
      <c r="E12" s="25"/>
      <c r="F12" s="25"/>
      <c r="G12" s="24" t="s">
        <v>63</v>
      </c>
      <c r="H12" s="24">
        <f t="shared" ref="H12:K12" si="3">SUM(H2:H11)</f>
        <v>29672500</v>
      </c>
      <c r="I12" s="24">
        <f t="shared" si="3"/>
        <v>18632500</v>
      </c>
      <c r="J12" s="24">
        <f t="shared" si="3"/>
        <v>10983000</v>
      </c>
      <c r="K12" s="24">
        <f t="shared" si="3"/>
        <v>0</v>
      </c>
      <c r="L12" s="16"/>
    </row>
    <row r="13">
      <c r="A13" s="26"/>
      <c r="B13" s="26"/>
      <c r="C13" s="26"/>
      <c r="D13" s="26"/>
      <c r="E13" s="26"/>
      <c r="F13" s="27"/>
      <c r="G13" s="27"/>
      <c r="H13" s="22" t="s">
        <v>64</v>
      </c>
      <c r="I13" s="24">
        <f>SUM(I12+J12)-B36</f>
        <v>6691364</v>
      </c>
      <c r="J13" s="26"/>
      <c r="K13" s="26"/>
      <c r="L13" s="26"/>
    </row>
    <row r="14">
      <c r="A14" s="26"/>
      <c r="B14" s="26"/>
      <c r="C14" s="26"/>
      <c r="D14" s="26"/>
      <c r="E14" s="26"/>
      <c r="F14" s="26"/>
      <c r="G14" s="26"/>
      <c r="H14" s="28" t="s">
        <v>65</v>
      </c>
      <c r="I14" s="29">
        <f>(H12*4)/1000</f>
        <v>118690</v>
      </c>
      <c r="J14" s="26"/>
      <c r="K14" s="26"/>
      <c r="L14" s="26"/>
    </row>
    <row r="1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</row>
    <row r="16">
      <c r="A16" s="28" t="s">
        <v>66</v>
      </c>
      <c r="B16" s="30"/>
      <c r="C16" s="26"/>
      <c r="D16" s="26" t="s">
        <v>67</v>
      </c>
      <c r="E16" s="26"/>
      <c r="F16" s="26"/>
      <c r="G16" s="26"/>
      <c r="H16" s="26"/>
      <c r="I16" s="26"/>
      <c r="J16" s="26"/>
      <c r="K16" s="26"/>
      <c r="L16" s="26"/>
    </row>
    <row r="17">
      <c r="A17" s="25" t="s">
        <v>20</v>
      </c>
      <c r="B17" s="29">
        <f>A12</f>
        <v>294000</v>
      </c>
      <c r="C17" s="26"/>
      <c r="D17" s="31"/>
      <c r="E17" s="31"/>
      <c r="F17" s="31"/>
      <c r="G17" s="31"/>
      <c r="H17" s="31"/>
      <c r="I17" s="31"/>
      <c r="J17" s="31"/>
      <c r="K17" s="26"/>
      <c r="L17" s="26"/>
      <c r="O17" s="57" t="s">
        <v>174</v>
      </c>
      <c r="P17" s="58"/>
    </row>
    <row r="18">
      <c r="A18" s="17" t="s">
        <v>68</v>
      </c>
      <c r="B18" s="59">
        <v>1424685.0</v>
      </c>
      <c r="C18" s="26"/>
      <c r="D18" s="37" t="s">
        <v>85</v>
      </c>
      <c r="K18" s="26"/>
      <c r="L18" s="26"/>
      <c r="O18" s="4" t="s">
        <v>175</v>
      </c>
      <c r="P18" s="29">
        <f>3290500*2</f>
        <v>6581000</v>
      </c>
    </row>
    <row r="19">
      <c r="A19" s="17" t="s">
        <v>176</v>
      </c>
      <c r="B19" s="33">
        <f>138000+120000+120000+100000</f>
        <v>478000</v>
      </c>
      <c r="C19" s="26"/>
      <c r="K19" s="26"/>
      <c r="L19" s="26"/>
      <c r="O19" s="2" t="s">
        <v>8</v>
      </c>
      <c r="P19" s="60">
        <f>SUM(P18)</f>
        <v>6581000</v>
      </c>
    </row>
    <row r="20">
      <c r="A20" s="17" t="s">
        <v>177</v>
      </c>
      <c r="B20" s="33">
        <v>98000.0</v>
      </c>
      <c r="C20" s="26"/>
      <c r="K20" s="26"/>
      <c r="L20" s="26"/>
      <c r="O20" s="4" t="s">
        <v>178</v>
      </c>
      <c r="P20" s="33">
        <v>6000000.0</v>
      </c>
    </row>
    <row r="21">
      <c r="A21" s="17" t="s">
        <v>66</v>
      </c>
      <c r="B21" s="33">
        <v>20755.0</v>
      </c>
      <c r="C21" s="26"/>
      <c r="K21" s="26"/>
      <c r="L21" s="26"/>
      <c r="O21" s="4" t="s">
        <v>179</v>
      </c>
      <c r="P21" s="33">
        <v>80000.0</v>
      </c>
    </row>
    <row r="22">
      <c r="A22" s="17" t="s">
        <v>180</v>
      </c>
      <c r="B22" s="33">
        <v>7426564.0</v>
      </c>
      <c r="C22" s="26"/>
      <c r="K22" s="26"/>
      <c r="L22" s="26"/>
      <c r="O22" s="2" t="s">
        <v>181</v>
      </c>
      <c r="P22" s="60">
        <f>P19-P20-P21</f>
        <v>501000</v>
      </c>
    </row>
    <row r="23">
      <c r="A23" s="17" t="s">
        <v>179</v>
      </c>
      <c r="B23" s="33">
        <v>80000.0</v>
      </c>
      <c r="C23" s="26"/>
      <c r="K23" s="26"/>
      <c r="L23" s="26"/>
    </row>
    <row r="24">
      <c r="A24" s="17" t="s">
        <v>182</v>
      </c>
      <c r="B24" s="33">
        <v>196296.0</v>
      </c>
      <c r="C24" s="26"/>
      <c r="K24" s="26"/>
      <c r="L24" s="26"/>
    </row>
    <row r="25">
      <c r="A25" s="17" t="s">
        <v>183</v>
      </c>
      <c r="B25" s="33">
        <v>120000.0</v>
      </c>
      <c r="C25" s="26"/>
      <c r="K25" s="26"/>
      <c r="L25" s="26"/>
    </row>
    <row r="26">
      <c r="A26" s="17" t="s">
        <v>184</v>
      </c>
      <c r="B26" s="33">
        <v>67000.0</v>
      </c>
      <c r="C26" s="26"/>
      <c r="K26" s="26"/>
      <c r="L26" s="26"/>
    </row>
    <row r="27">
      <c r="A27" s="17" t="s">
        <v>185</v>
      </c>
      <c r="B27" s="33">
        <v>47000.0</v>
      </c>
      <c r="C27" s="26"/>
      <c r="D27" s="26"/>
      <c r="E27" s="26"/>
      <c r="F27" s="26"/>
      <c r="G27" s="26"/>
      <c r="H27" s="26"/>
      <c r="I27" s="26"/>
      <c r="J27" s="26"/>
      <c r="K27" s="26"/>
      <c r="L27" s="26"/>
    </row>
    <row r="28">
      <c r="A28" s="17" t="s">
        <v>186</v>
      </c>
      <c r="B28" s="29">
        <v>1.2107916E7</v>
      </c>
      <c r="D28" s="26"/>
      <c r="E28" s="26"/>
      <c r="F28" s="26"/>
      <c r="G28" s="26"/>
      <c r="H28" s="26"/>
      <c r="I28" s="26"/>
      <c r="J28" s="26"/>
      <c r="K28" s="26"/>
      <c r="L28" s="26"/>
    </row>
    <row r="29">
      <c r="A29" s="17" t="s">
        <v>95</v>
      </c>
      <c r="B29" s="33">
        <v>80920.0</v>
      </c>
      <c r="C29" s="26"/>
      <c r="D29" s="26"/>
      <c r="E29" s="26"/>
      <c r="F29" s="26"/>
      <c r="G29" s="26"/>
      <c r="H29" s="26"/>
      <c r="I29" s="26"/>
      <c r="J29" s="26"/>
      <c r="K29" s="26"/>
      <c r="L29" s="26"/>
      <c r="Q29" s="2" t="s">
        <v>187</v>
      </c>
      <c r="R29" s="61">
        <v>1212950.0</v>
      </c>
      <c r="S29" s="61">
        <f>R29*7</f>
        <v>8490650</v>
      </c>
    </row>
    <row r="30">
      <c r="A30" s="17" t="s">
        <v>188</v>
      </c>
      <c r="B30" s="33">
        <v>183000.0</v>
      </c>
      <c r="C30" s="26"/>
      <c r="D30" s="26"/>
      <c r="E30" s="26"/>
      <c r="F30" s="26"/>
      <c r="G30" s="26"/>
      <c r="H30" s="26"/>
      <c r="I30" s="26"/>
      <c r="J30" s="26"/>
      <c r="K30" s="26"/>
      <c r="L30" s="26"/>
      <c r="Q30" s="2" t="s">
        <v>189</v>
      </c>
      <c r="R30" s="61">
        <v>808633.0</v>
      </c>
      <c r="S30" s="61">
        <f>R30*2</f>
        <v>1617266</v>
      </c>
    </row>
    <row r="31">
      <c r="A31" s="17" t="s">
        <v>152</v>
      </c>
      <c r="B31" s="33">
        <v>300000.0</v>
      </c>
      <c r="C31" s="26"/>
      <c r="D31" s="26"/>
      <c r="E31" s="26"/>
      <c r="F31" s="26"/>
      <c r="G31" s="26"/>
      <c r="H31" s="26"/>
      <c r="I31" s="26"/>
      <c r="J31" s="26"/>
      <c r="K31" s="26"/>
      <c r="L31" s="26"/>
      <c r="Q31" s="2" t="s">
        <v>190</v>
      </c>
      <c r="R31" s="61">
        <v>250000.0</v>
      </c>
      <c r="S31" s="61">
        <f>250000*8</f>
        <v>2000000</v>
      </c>
    </row>
    <row r="32">
      <c r="A32" s="25"/>
      <c r="B32" s="29">
        <v>0.0</v>
      </c>
      <c r="C32" s="26"/>
      <c r="D32" s="26"/>
      <c r="E32" s="26"/>
      <c r="F32" s="26"/>
      <c r="G32" s="26"/>
      <c r="H32" s="26"/>
      <c r="I32" s="26"/>
      <c r="J32" s="26"/>
      <c r="K32" s="26"/>
      <c r="L32" s="26"/>
      <c r="N32" s="4" t="s">
        <v>86</v>
      </c>
      <c r="O32" s="29">
        <v>651377.0</v>
      </c>
      <c r="Q32" s="2" t="s">
        <v>8</v>
      </c>
      <c r="R32" s="62"/>
      <c r="S32" s="60">
        <f>SUM(S29:S31)</f>
        <v>12107916</v>
      </c>
    </row>
    <row r="33">
      <c r="A33" s="25" t="s">
        <v>76</v>
      </c>
      <c r="B33" s="29">
        <v>0.0</v>
      </c>
      <c r="C33" s="26"/>
      <c r="D33" s="26"/>
      <c r="E33" s="26"/>
      <c r="F33" s="26"/>
      <c r="G33" s="26"/>
      <c r="H33" s="26"/>
      <c r="I33" s="26"/>
      <c r="J33" s="26"/>
      <c r="K33" s="26"/>
      <c r="L33" s="26"/>
      <c r="N33" s="4" t="s">
        <v>87</v>
      </c>
      <c r="O33" s="29">
        <v>317997.0</v>
      </c>
    </row>
    <row r="34">
      <c r="A34" s="25"/>
      <c r="B34" s="29">
        <v>0.0</v>
      </c>
      <c r="C34" s="26"/>
      <c r="D34" s="26"/>
      <c r="E34" s="26"/>
      <c r="F34" s="26"/>
      <c r="G34" s="26"/>
      <c r="H34" s="26"/>
      <c r="I34" s="26"/>
      <c r="J34" s="26"/>
      <c r="K34" s="26"/>
      <c r="L34" s="26"/>
      <c r="N34" s="4" t="s">
        <v>8</v>
      </c>
      <c r="O34" s="3">
        <f>SUM(O32:O33)</f>
        <v>969374</v>
      </c>
    </row>
    <row r="35">
      <c r="A35" s="25"/>
      <c r="B35" s="29">
        <v>0.0</v>
      </c>
      <c r="C35" s="18"/>
      <c r="D35" s="26"/>
      <c r="E35" s="26"/>
      <c r="F35" s="26"/>
      <c r="G35" s="34" t="s">
        <v>191</v>
      </c>
      <c r="H35" s="34">
        <v>1212950.0</v>
      </c>
      <c r="I35" s="21">
        <f>H35*9</f>
        <v>10916550</v>
      </c>
      <c r="J35" s="26"/>
      <c r="K35" s="26"/>
      <c r="L35" s="26"/>
      <c r="N35" s="4" t="s">
        <v>88</v>
      </c>
      <c r="O35" s="29">
        <v>930000.0</v>
      </c>
    </row>
    <row r="36">
      <c r="A36" s="28" t="s">
        <v>8</v>
      </c>
      <c r="B36" s="35">
        <f>SUM(B17:B35)</f>
        <v>22924136</v>
      </c>
      <c r="C36" s="26"/>
      <c r="D36" s="26"/>
      <c r="E36" s="26"/>
      <c r="F36" s="26"/>
      <c r="G36" s="34" t="s">
        <v>192</v>
      </c>
      <c r="H36" s="34">
        <v>250000.0</v>
      </c>
      <c r="I36" s="21">
        <f>H36*6</f>
        <v>1500000</v>
      </c>
      <c r="J36" s="26"/>
      <c r="K36" s="26"/>
      <c r="L36" s="26"/>
      <c r="N36" s="4" t="s">
        <v>89</v>
      </c>
      <c r="O36" s="3">
        <f>O34-O35</f>
        <v>39374</v>
      </c>
    </row>
    <row r="42">
      <c r="L42" s="63">
        <f>H12-B36</f>
        <v>6748364</v>
      </c>
      <c r="M42" s="63">
        <f>L42/2</f>
        <v>3374182</v>
      </c>
    </row>
  </sheetData>
  <mergeCells count="2">
    <mergeCell ref="O17:P17"/>
    <mergeCell ref="D18:J26"/>
  </mergeCells>
  <dataValidations>
    <dataValidation type="list" allowBlank="1" showErrorMessage="1" sqref="C2:C4">
      <formula1>"FUN DIVE,OPEN,AVANZADO,RESCUE,ESPECIALIDAD"</formula1>
    </dataValidation>
    <dataValidation type="list" allowBlank="1" showErrorMessage="1" sqref="F2:F7">
      <formula1>"Multiple,Pareja,Sencilla"</formula1>
    </dataValidation>
    <dataValidation type="list" allowBlank="1" showErrorMessage="1" sqref="D2:D7">
      <formula1>"SI,NO"</formula1>
    </dataValidation>
  </dataValidation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13.5"/>
    <col customWidth="1" min="3" max="3" width="13.63"/>
    <col customWidth="1" min="4" max="4" width="23.5"/>
    <col customWidth="1" min="5" max="5" width="15.63"/>
    <col customWidth="1" min="6" max="6" width="11.13"/>
    <col customWidth="1" min="8" max="8" width="16.75"/>
  </cols>
  <sheetData>
    <row r="1">
      <c r="A1" s="12" t="s">
        <v>20</v>
      </c>
      <c r="B1" s="12" t="s">
        <v>21</v>
      </c>
      <c r="C1" s="12" t="s">
        <v>22</v>
      </c>
      <c r="D1" s="12" t="s">
        <v>23</v>
      </c>
      <c r="E1" s="12" t="s">
        <v>24</v>
      </c>
      <c r="F1" s="12" t="s">
        <v>25</v>
      </c>
      <c r="G1" s="12" t="s">
        <v>26</v>
      </c>
      <c r="H1" s="12" t="s">
        <v>27</v>
      </c>
      <c r="I1" s="12" t="s">
        <v>29</v>
      </c>
      <c r="J1" s="12" t="s">
        <v>30</v>
      </c>
      <c r="K1" s="12" t="s">
        <v>31</v>
      </c>
      <c r="L1" s="12" t="s">
        <v>32</v>
      </c>
    </row>
    <row r="2">
      <c r="A2" s="64">
        <v>324500.0</v>
      </c>
      <c r="B2" s="16"/>
      <c r="C2" s="15" t="s">
        <v>34</v>
      </c>
      <c r="D2" s="16" t="s">
        <v>48</v>
      </c>
      <c r="E2" s="15" t="s">
        <v>193</v>
      </c>
      <c r="F2" s="25" t="s">
        <v>41</v>
      </c>
      <c r="G2" s="18"/>
      <c r="H2" s="20">
        <f>3390000+1100000</f>
        <v>4490000</v>
      </c>
      <c r="I2" s="20">
        <f>1000000+1000000+500000+600000+1390000</f>
        <v>4490000</v>
      </c>
      <c r="J2" s="16"/>
      <c r="K2" s="19">
        <f t="shared" ref="K2:K8" si="1">H2-(I2-J2)</f>
        <v>0</v>
      </c>
      <c r="L2" s="16"/>
    </row>
    <row r="3">
      <c r="A3" s="16"/>
      <c r="B3" s="16"/>
      <c r="C3" s="15" t="s">
        <v>51</v>
      </c>
      <c r="D3" s="16" t="s">
        <v>48</v>
      </c>
      <c r="E3" s="15" t="s">
        <v>194</v>
      </c>
      <c r="F3" s="25" t="s">
        <v>41</v>
      </c>
      <c r="G3" s="18"/>
      <c r="H3" s="20">
        <v>3220500.0</v>
      </c>
      <c r="I3" s="21">
        <f>1000000+1000000+500000+600000+120500</f>
        <v>3220500</v>
      </c>
      <c r="J3" s="16"/>
      <c r="K3" s="19">
        <f t="shared" si="1"/>
        <v>0</v>
      </c>
      <c r="L3" s="16"/>
    </row>
    <row r="4">
      <c r="A4" s="16"/>
      <c r="B4" s="16"/>
      <c r="C4" s="15" t="s">
        <v>51</v>
      </c>
      <c r="D4" s="16" t="s">
        <v>48</v>
      </c>
      <c r="E4" s="15" t="s">
        <v>195</v>
      </c>
      <c r="F4" s="25" t="s">
        <v>41</v>
      </c>
      <c r="G4" s="18"/>
      <c r="H4" s="20">
        <f>3220500+425000</f>
        <v>3645500</v>
      </c>
      <c r="I4" s="21">
        <f>3000000+220500+425000</f>
        <v>3645500</v>
      </c>
      <c r="J4" s="16"/>
      <c r="K4" s="19">
        <f t="shared" si="1"/>
        <v>0</v>
      </c>
      <c r="L4" s="16"/>
    </row>
    <row r="5">
      <c r="A5" s="64">
        <f>324500+70400+193000</f>
        <v>587900</v>
      </c>
      <c r="B5" s="16"/>
      <c r="C5" s="15" t="s">
        <v>34</v>
      </c>
      <c r="D5" s="16" t="s">
        <v>48</v>
      </c>
      <c r="E5" s="15" t="s">
        <v>196</v>
      </c>
      <c r="F5" s="25" t="s">
        <v>41</v>
      </c>
      <c r="G5" s="18"/>
      <c r="H5" s="21">
        <v>4490000.0</v>
      </c>
      <c r="I5" s="21">
        <f>1100000+2500000+890000</f>
        <v>4490000</v>
      </c>
      <c r="J5" s="16"/>
      <c r="K5" s="19">
        <f t="shared" si="1"/>
        <v>0</v>
      </c>
      <c r="L5" s="16"/>
    </row>
    <row r="6">
      <c r="A6" s="16"/>
      <c r="B6" s="16"/>
      <c r="C6" s="16"/>
      <c r="D6" s="16" t="s">
        <v>48</v>
      </c>
      <c r="E6" s="16"/>
      <c r="F6" s="25" t="s">
        <v>41</v>
      </c>
      <c r="G6" s="18"/>
      <c r="H6" s="23"/>
      <c r="I6" s="23"/>
      <c r="J6" s="16"/>
      <c r="K6" s="19">
        <f t="shared" si="1"/>
        <v>0</v>
      </c>
      <c r="L6" s="16"/>
    </row>
    <row r="7">
      <c r="A7" s="16"/>
      <c r="B7" s="16"/>
      <c r="C7" s="16"/>
      <c r="D7" s="16" t="s">
        <v>48</v>
      </c>
      <c r="E7" s="16"/>
      <c r="F7" s="25" t="s">
        <v>41</v>
      </c>
      <c r="G7" s="18"/>
      <c r="H7" s="23"/>
      <c r="I7" s="23"/>
      <c r="J7" s="16"/>
      <c r="K7" s="19">
        <f t="shared" si="1"/>
        <v>0</v>
      </c>
      <c r="L7" s="16"/>
    </row>
    <row r="8">
      <c r="A8" s="16"/>
      <c r="B8" s="16"/>
      <c r="C8" s="16"/>
      <c r="D8" s="16"/>
      <c r="E8" s="16"/>
      <c r="F8" s="16"/>
      <c r="G8" s="18"/>
      <c r="H8" s="23"/>
      <c r="I8" s="23"/>
      <c r="J8" s="16"/>
      <c r="K8" s="19">
        <f t="shared" si="1"/>
        <v>0</v>
      </c>
      <c r="L8" s="16"/>
    </row>
    <row r="9">
      <c r="A9" s="16"/>
      <c r="B9" s="16"/>
      <c r="C9" s="16"/>
      <c r="D9" s="16"/>
      <c r="E9" s="16" t="s">
        <v>60</v>
      </c>
      <c r="F9" s="22" t="s">
        <v>61</v>
      </c>
      <c r="G9" s="18"/>
      <c r="H9" s="23"/>
      <c r="I9" s="23"/>
      <c r="J9" s="16"/>
      <c r="K9" s="23"/>
      <c r="L9" s="16"/>
    </row>
    <row r="10">
      <c r="A10" s="16"/>
      <c r="B10" s="16"/>
      <c r="C10" s="16"/>
      <c r="D10" s="16"/>
      <c r="E10" s="16" t="s">
        <v>62</v>
      </c>
      <c r="F10" s="22" t="s">
        <v>61</v>
      </c>
      <c r="G10" s="23"/>
      <c r="H10" s="23"/>
      <c r="I10" s="23"/>
      <c r="J10" s="16"/>
      <c r="K10" s="16"/>
      <c r="L10" s="16"/>
    </row>
    <row r="11">
      <c r="A11" s="24">
        <f>SUM(A2:A10)</f>
        <v>912400</v>
      </c>
      <c r="B11" s="16"/>
      <c r="C11" s="16"/>
      <c r="D11" s="16"/>
      <c r="E11" s="25"/>
      <c r="F11" s="25"/>
      <c r="G11" s="24" t="s">
        <v>63</v>
      </c>
      <c r="H11" s="24">
        <f t="shared" ref="H11:K11" si="2">SUM(H2:H10)</f>
        <v>15846000</v>
      </c>
      <c r="I11" s="24">
        <f t="shared" si="2"/>
        <v>15846000</v>
      </c>
      <c r="J11" s="24">
        <f t="shared" si="2"/>
        <v>0</v>
      </c>
      <c r="K11" s="24">
        <f t="shared" si="2"/>
        <v>0</v>
      </c>
      <c r="L11" s="16"/>
    </row>
    <row r="12">
      <c r="A12" s="26"/>
      <c r="B12" s="26"/>
      <c r="C12" s="26"/>
      <c r="D12" s="26"/>
      <c r="E12" s="26"/>
      <c r="F12" s="27"/>
      <c r="G12" s="27"/>
      <c r="H12" s="22" t="s">
        <v>64</v>
      </c>
      <c r="I12" s="24">
        <f>SUM(I11+J11)-B35</f>
        <v>1677832</v>
      </c>
      <c r="J12" s="26"/>
      <c r="K12" s="26"/>
      <c r="L12" s="26"/>
    </row>
    <row r="13">
      <c r="A13" s="26"/>
      <c r="B13" s="26"/>
      <c r="C13" s="26"/>
      <c r="D13" s="26"/>
      <c r="E13" s="26"/>
      <c r="F13" s="26"/>
      <c r="G13" s="26"/>
      <c r="H13" s="28" t="s">
        <v>65</v>
      </c>
      <c r="I13" s="29">
        <f>(H11*4)/1000</f>
        <v>63384</v>
      </c>
      <c r="J13" s="26"/>
      <c r="K13" s="26"/>
      <c r="L13" s="26"/>
    </row>
    <row r="14">
      <c r="A14" s="26"/>
      <c r="B14" s="26"/>
      <c r="C14" s="26"/>
      <c r="D14" s="26"/>
      <c r="E14" s="26"/>
      <c r="F14" s="26"/>
      <c r="G14" s="26"/>
      <c r="J14" s="26"/>
      <c r="K14" s="26"/>
      <c r="L14" s="26"/>
    </row>
    <row r="15">
      <c r="A15" s="28" t="s">
        <v>66</v>
      </c>
      <c r="B15" s="30"/>
      <c r="C15" s="26"/>
      <c r="D15" s="26" t="s">
        <v>67</v>
      </c>
      <c r="E15" s="26"/>
      <c r="F15" s="26"/>
      <c r="G15" s="26"/>
      <c r="H15" s="26"/>
      <c r="I15" s="26"/>
      <c r="J15" s="26"/>
      <c r="K15" s="26"/>
      <c r="L15" s="26"/>
    </row>
    <row r="16">
      <c r="A16" s="25" t="s">
        <v>20</v>
      </c>
      <c r="B16" s="29">
        <f>A11</f>
        <v>912400</v>
      </c>
      <c r="C16" s="26"/>
      <c r="D16" s="31"/>
      <c r="E16" s="31"/>
      <c r="F16" s="31"/>
      <c r="G16" s="31"/>
      <c r="H16" s="31"/>
      <c r="I16" s="31"/>
      <c r="J16" s="31"/>
      <c r="K16" s="26"/>
      <c r="L16" s="26"/>
    </row>
    <row r="17">
      <c r="A17" s="17" t="s">
        <v>197</v>
      </c>
      <c r="B17" s="33">
        <v>149900.0</v>
      </c>
      <c r="C17" s="26"/>
      <c r="D17" s="28" t="s">
        <v>2</v>
      </c>
      <c r="E17" s="35">
        <v>5000000.0</v>
      </c>
      <c r="F17" s="37"/>
      <c r="G17" s="37"/>
      <c r="H17" s="37"/>
      <c r="I17" s="37"/>
      <c r="J17" s="37"/>
      <c r="K17" s="26"/>
      <c r="L17" s="26"/>
    </row>
    <row r="18">
      <c r="A18" s="17" t="s">
        <v>198</v>
      </c>
      <c r="B18" s="33">
        <v>202600.0</v>
      </c>
      <c r="C18" s="26"/>
      <c r="D18" s="37"/>
      <c r="E18" s="37"/>
      <c r="F18" s="37"/>
      <c r="G18" s="37"/>
      <c r="H18" s="37"/>
      <c r="I18" s="37"/>
      <c r="J18" s="37"/>
      <c r="K18" s="26"/>
      <c r="L18" s="26"/>
    </row>
    <row r="19">
      <c r="A19" s="17" t="s">
        <v>68</v>
      </c>
      <c r="B19" s="33">
        <v>813900.0</v>
      </c>
      <c r="C19" s="26"/>
      <c r="D19" s="37"/>
      <c r="E19" s="37"/>
      <c r="F19" s="37"/>
      <c r="G19" s="37"/>
      <c r="H19" s="37"/>
      <c r="I19" s="37"/>
      <c r="J19" s="37"/>
      <c r="K19" s="26"/>
      <c r="L19" s="26"/>
    </row>
    <row r="20">
      <c r="A20" s="17" t="s">
        <v>72</v>
      </c>
      <c r="B20" s="29">
        <f>1400000+3980000</f>
        <v>5380000</v>
      </c>
      <c r="C20" s="26"/>
      <c r="D20" s="37"/>
      <c r="E20" s="37"/>
      <c r="F20" s="37"/>
      <c r="G20" s="37"/>
      <c r="H20" s="37"/>
      <c r="I20" s="37"/>
      <c r="J20" s="37"/>
      <c r="K20" s="26"/>
      <c r="L20" s="26"/>
    </row>
    <row r="21">
      <c r="A21" s="17" t="s">
        <v>199</v>
      </c>
      <c r="B21" s="29">
        <f>450900+695135</f>
        <v>1146035</v>
      </c>
      <c r="C21" s="26"/>
      <c r="D21" s="37"/>
      <c r="E21" s="37"/>
      <c r="F21" s="37"/>
      <c r="G21" s="37"/>
      <c r="H21" s="37"/>
      <c r="I21" s="37"/>
      <c r="J21" s="37"/>
      <c r="K21" s="26"/>
      <c r="L21" s="26"/>
    </row>
    <row r="22">
      <c r="A22" s="17" t="s">
        <v>200</v>
      </c>
      <c r="B22" s="33">
        <v>365000.0</v>
      </c>
      <c r="C22" s="26"/>
      <c r="D22" s="37"/>
      <c r="E22" s="37"/>
      <c r="F22" s="37"/>
      <c r="G22" s="37"/>
      <c r="H22" s="37"/>
      <c r="I22" s="37"/>
      <c r="J22" s="37"/>
      <c r="K22" s="26"/>
      <c r="L22" s="26"/>
    </row>
    <row r="23">
      <c r="A23" s="17" t="s">
        <v>201</v>
      </c>
      <c r="B23" s="29">
        <f>26000+153000+30000+20000+22000+27000+122000+51000</f>
        <v>451000</v>
      </c>
      <c r="C23" s="26"/>
      <c r="D23" s="37"/>
      <c r="E23" s="37"/>
      <c r="F23" s="37"/>
      <c r="G23" s="37"/>
      <c r="H23" s="37"/>
      <c r="I23" s="37"/>
      <c r="J23" s="37"/>
      <c r="K23" s="26"/>
      <c r="L23" s="26"/>
    </row>
    <row r="24">
      <c r="A24" s="17" t="s">
        <v>142</v>
      </c>
      <c r="B24" s="29">
        <f>132000+65450+56000+65933+62700+50000+46000+79000+91500+70950+93800+56000+61000+50000</f>
        <v>980333</v>
      </c>
      <c r="C24" s="26"/>
      <c r="D24" s="37"/>
      <c r="E24" s="37"/>
      <c r="F24" s="37"/>
      <c r="G24" s="37"/>
      <c r="H24" s="37"/>
      <c r="I24" s="37"/>
      <c r="J24" s="37"/>
      <c r="K24" s="26"/>
      <c r="L24" s="26"/>
    </row>
    <row r="25">
      <c r="A25" s="17" t="s">
        <v>202</v>
      </c>
      <c r="B25" s="33">
        <v>2745000.0</v>
      </c>
      <c r="C25" s="26"/>
      <c r="D25" s="37"/>
      <c r="E25" s="37"/>
      <c r="F25" s="37"/>
      <c r="G25" s="37"/>
      <c r="H25" s="37"/>
      <c r="I25" s="37"/>
      <c r="J25" s="37"/>
      <c r="K25" s="26"/>
      <c r="L25" s="26"/>
    </row>
    <row r="26">
      <c r="A26" s="17" t="s">
        <v>203</v>
      </c>
      <c r="B26" s="29">
        <f>120000</f>
        <v>120000</v>
      </c>
      <c r="C26" s="26"/>
      <c r="D26" s="26"/>
      <c r="E26" s="26"/>
      <c r="F26" s="26"/>
      <c r="G26" s="26"/>
      <c r="H26" s="26"/>
      <c r="I26" s="26"/>
      <c r="J26" s="26"/>
      <c r="K26" s="26"/>
      <c r="L26" s="26"/>
    </row>
    <row r="27">
      <c r="A27" s="17" t="s">
        <v>95</v>
      </c>
      <c r="B27" s="33">
        <v>45000.0</v>
      </c>
      <c r="C27" s="26"/>
      <c r="D27" s="26"/>
      <c r="E27" s="26"/>
      <c r="F27" s="26"/>
      <c r="G27" s="26"/>
      <c r="H27" s="26"/>
      <c r="I27" s="26"/>
      <c r="J27" s="26"/>
      <c r="K27" s="26"/>
      <c r="L27" s="26"/>
    </row>
    <row r="28">
      <c r="A28" s="17" t="s">
        <v>138</v>
      </c>
      <c r="B28" s="33">
        <v>357000.0</v>
      </c>
      <c r="C28" s="26"/>
      <c r="D28" s="26"/>
      <c r="E28" s="26"/>
      <c r="F28" s="26"/>
      <c r="G28" s="26"/>
      <c r="H28" s="26"/>
      <c r="I28" s="26"/>
      <c r="J28" s="26"/>
      <c r="K28" s="26"/>
      <c r="L28" s="26"/>
    </row>
    <row r="29">
      <c r="A29" s="17" t="s">
        <v>204</v>
      </c>
      <c r="B29" s="33">
        <v>500000.0</v>
      </c>
      <c r="C29" s="26"/>
      <c r="D29" s="26"/>
      <c r="E29" s="26"/>
      <c r="F29" s="26"/>
      <c r="G29" s="26"/>
      <c r="H29" s="26"/>
      <c r="I29" s="26"/>
      <c r="J29" s="26"/>
      <c r="K29" s="26"/>
      <c r="L29" s="26"/>
    </row>
    <row r="30">
      <c r="A30" s="25"/>
      <c r="B30" s="29">
        <v>0.0</v>
      </c>
      <c r="C30" s="26"/>
      <c r="D30" s="26"/>
      <c r="E30" s="26"/>
      <c r="F30" s="26"/>
      <c r="G30" s="26"/>
      <c r="H30" s="26"/>
      <c r="I30" s="26"/>
      <c r="J30" s="26"/>
      <c r="K30" s="26"/>
      <c r="L30" s="26"/>
    </row>
    <row r="31">
      <c r="A31" s="25"/>
      <c r="B31" s="29">
        <v>0.0</v>
      </c>
      <c r="C31" s="26"/>
      <c r="D31" s="26"/>
      <c r="E31" s="26"/>
      <c r="F31" s="26"/>
      <c r="G31" s="26"/>
      <c r="H31" s="26"/>
      <c r="I31" s="26"/>
      <c r="J31" s="26"/>
      <c r="K31" s="26"/>
      <c r="L31" s="26"/>
      <c r="N31" s="4" t="s">
        <v>86</v>
      </c>
      <c r="O31" s="29">
        <v>651377.0</v>
      </c>
    </row>
    <row r="32">
      <c r="A32" s="25" t="s">
        <v>76</v>
      </c>
      <c r="B32" s="29">
        <v>0.0</v>
      </c>
      <c r="C32" s="26"/>
      <c r="D32" s="26"/>
      <c r="E32" s="26"/>
      <c r="F32" s="26"/>
      <c r="G32" s="26"/>
      <c r="H32" s="26"/>
      <c r="I32" s="26"/>
      <c r="J32" s="26"/>
      <c r="K32" s="26"/>
      <c r="L32" s="26"/>
      <c r="N32" s="4" t="s">
        <v>87</v>
      </c>
      <c r="O32" s="29">
        <v>317997.0</v>
      </c>
    </row>
    <row r="33">
      <c r="A33" s="65"/>
      <c r="B33" s="66">
        <v>0.0</v>
      </c>
      <c r="C33" s="26"/>
      <c r="D33" s="26"/>
      <c r="E33" s="26"/>
      <c r="F33" s="26"/>
      <c r="G33" s="26"/>
      <c r="H33" s="26"/>
      <c r="I33" s="26"/>
      <c r="J33" s="26"/>
      <c r="K33" s="26"/>
      <c r="L33" s="26"/>
      <c r="N33" s="4" t="s">
        <v>8</v>
      </c>
      <c r="O33" s="3">
        <f>SUM(O31:O32)</f>
        <v>969374</v>
      </c>
    </row>
    <row r="34">
      <c r="A34" s="38"/>
      <c r="B34" s="38"/>
      <c r="C34" s="48"/>
      <c r="D34" s="26"/>
      <c r="E34" s="26"/>
      <c r="F34" s="26"/>
      <c r="G34" s="26"/>
      <c r="H34" s="26"/>
      <c r="I34" s="26"/>
      <c r="J34" s="26"/>
      <c r="K34" s="26"/>
      <c r="L34" s="26"/>
      <c r="N34" s="4" t="s">
        <v>88</v>
      </c>
      <c r="O34" s="29">
        <v>930000.0</v>
      </c>
    </row>
    <row r="35">
      <c r="A35" s="67" t="s">
        <v>8</v>
      </c>
      <c r="B35" s="68">
        <f>SUM(B16:B33)</f>
        <v>14168168</v>
      </c>
      <c r="C35" s="26"/>
      <c r="D35" s="26"/>
      <c r="E35" s="26"/>
      <c r="F35" s="26"/>
      <c r="G35" s="26"/>
      <c r="H35" s="26"/>
      <c r="I35" s="26"/>
      <c r="J35" s="26"/>
      <c r="K35" s="26"/>
      <c r="L35" s="26"/>
      <c r="N35" s="4" t="s">
        <v>89</v>
      </c>
      <c r="O35" s="3">
        <f>O33-O34</f>
        <v>39374</v>
      </c>
    </row>
  </sheetData>
  <dataValidations>
    <dataValidation type="list" allowBlank="1" showErrorMessage="1" sqref="C2:C5">
      <formula1>"FUN DIVE,OPEN,AVANZADO,RESCUE,ESPECIALIDAD"</formula1>
    </dataValidation>
    <dataValidation type="list" allowBlank="1" showErrorMessage="1" sqref="F2:F7">
      <formula1>"Multiple,Pareja,Sencilla"</formula1>
    </dataValidation>
    <dataValidation type="list" allowBlank="1" showErrorMessage="1" sqref="D2:D7">
      <formula1>"SI,NO"</formula1>
    </dataValidation>
  </dataValidations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5" max="5" width="14.75"/>
    <col customWidth="1" min="7" max="7" width="6.0"/>
    <col customWidth="1" min="8" max="8" width="16.75"/>
    <col customWidth="1" min="12" max="12" width="12.63"/>
  </cols>
  <sheetData>
    <row r="1">
      <c r="A1" s="12" t="s">
        <v>20</v>
      </c>
      <c r="B1" s="12" t="s">
        <v>21</v>
      </c>
      <c r="C1" s="12" t="s">
        <v>22</v>
      </c>
      <c r="D1" s="12" t="s">
        <v>23</v>
      </c>
      <c r="E1" s="12" t="s">
        <v>24</v>
      </c>
      <c r="F1" s="12" t="s">
        <v>25</v>
      </c>
      <c r="G1" s="12" t="s">
        <v>26</v>
      </c>
      <c r="H1" s="12" t="s">
        <v>27</v>
      </c>
      <c r="I1" s="12" t="s">
        <v>29</v>
      </c>
      <c r="J1" s="12" t="s">
        <v>30</v>
      </c>
      <c r="K1" s="12" t="s">
        <v>31</v>
      </c>
      <c r="L1" s="12" t="s">
        <v>32</v>
      </c>
    </row>
    <row r="2">
      <c r="A2" s="14"/>
      <c r="B2" s="16"/>
      <c r="C2" s="16" t="s">
        <v>47</v>
      </c>
      <c r="D2" s="16" t="s">
        <v>48</v>
      </c>
      <c r="E2" s="15" t="s">
        <v>205</v>
      </c>
      <c r="F2" s="25" t="s">
        <v>41</v>
      </c>
      <c r="G2" s="18"/>
      <c r="H2" s="21">
        <v>4600000.0</v>
      </c>
      <c r="I2" s="20">
        <v>4600000.0</v>
      </c>
      <c r="J2" s="16"/>
      <c r="K2" s="19">
        <f t="shared" ref="K2:K6" si="1">H2-(I2-J2)</f>
        <v>0</v>
      </c>
      <c r="L2" s="16"/>
    </row>
    <row r="3">
      <c r="A3" s="16"/>
      <c r="B3" s="16"/>
      <c r="C3" s="16"/>
      <c r="D3" s="16" t="s">
        <v>48</v>
      </c>
      <c r="E3" s="15" t="s">
        <v>206</v>
      </c>
      <c r="F3" s="25" t="s">
        <v>41</v>
      </c>
      <c r="G3" s="18"/>
      <c r="H3" s="21">
        <v>4600000.0</v>
      </c>
      <c r="I3" s="21">
        <v>4600000.0</v>
      </c>
      <c r="J3" s="16"/>
      <c r="K3" s="19">
        <f t="shared" si="1"/>
        <v>0</v>
      </c>
      <c r="L3" s="16"/>
    </row>
    <row r="4">
      <c r="A4" s="16"/>
      <c r="B4" s="16"/>
      <c r="C4" s="16"/>
      <c r="D4" s="16" t="s">
        <v>48</v>
      </c>
      <c r="E4" s="15" t="s">
        <v>207</v>
      </c>
      <c r="F4" s="25" t="s">
        <v>41</v>
      </c>
      <c r="G4" s="18"/>
      <c r="H4" s="21">
        <v>4600000.0</v>
      </c>
      <c r="I4" s="21">
        <v>4600000.0</v>
      </c>
      <c r="J4" s="16"/>
      <c r="K4" s="19">
        <f t="shared" si="1"/>
        <v>0</v>
      </c>
      <c r="L4" s="16"/>
    </row>
    <row r="5">
      <c r="A5" s="16"/>
      <c r="B5" s="16"/>
      <c r="C5" s="16"/>
      <c r="D5" s="16" t="s">
        <v>48</v>
      </c>
      <c r="E5" s="15" t="s">
        <v>208</v>
      </c>
      <c r="F5" s="25" t="s">
        <v>41</v>
      </c>
      <c r="G5" s="18"/>
      <c r="H5" s="21">
        <v>4600000.0</v>
      </c>
      <c r="I5" s="21">
        <v>4600000.0</v>
      </c>
      <c r="J5" s="16"/>
      <c r="K5" s="19">
        <f t="shared" si="1"/>
        <v>0</v>
      </c>
      <c r="L5" s="16"/>
    </row>
    <row r="6">
      <c r="A6" s="16"/>
      <c r="B6" s="16"/>
      <c r="C6" s="16"/>
      <c r="D6" s="16"/>
      <c r="E6" s="16"/>
      <c r="F6" s="16"/>
      <c r="G6" s="18"/>
      <c r="H6" s="23"/>
      <c r="I6" s="23"/>
      <c r="J6" s="16"/>
      <c r="K6" s="19">
        <f t="shared" si="1"/>
        <v>0</v>
      </c>
      <c r="L6" s="16"/>
    </row>
    <row r="7">
      <c r="A7" s="16"/>
      <c r="B7" s="16"/>
      <c r="C7" s="16"/>
      <c r="D7" s="16"/>
      <c r="E7" s="16" t="s">
        <v>60</v>
      </c>
      <c r="F7" s="22" t="s">
        <v>61</v>
      </c>
      <c r="G7" s="18"/>
      <c r="H7" s="23"/>
      <c r="I7" s="23"/>
      <c r="J7" s="16"/>
      <c r="K7" s="23"/>
      <c r="L7" s="16"/>
    </row>
    <row r="8">
      <c r="A8" s="16"/>
      <c r="B8" s="16"/>
      <c r="C8" s="16"/>
      <c r="D8" s="16"/>
      <c r="E8" s="16" t="s">
        <v>62</v>
      </c>
      <c r="F8" s="22" t="s">
        <v>61</v>
      </c>
      <c r="G8" s="23"/>
      <c r="H8" s="23"/>
      <c r="I8" s="23"/>
      <c r="J8" s="16"/>
      <c r="K8" s="16"/>
      <c r="L8" s="16"/>
    </row>
    <row r="9">
      <c r="A9" s="24">
        <f>SUM(A2:A8)</f>
        <v>0</v>
      </c>
      <c r="B9" s="16"/>
      <c r="C9" s="16"/>
      <c r="D9" s="16"/>
      <c r="E9" s="25"/>
      <c r="F9" s="25"/>
      <c r="G9" s="24" t="s">
        <v>63</v>
      </c>
      <c r="H9" s="24">
        <f t="shared" ref="H9:K9" si="2">SUM(H2:H8)</f>
        <v>18400000</v>
      </c>
      <c r="I9" s="24">
        <f t="shared" si="2"/>
        <v>18400000</v>
      </c>
      <c r="J9" s="24">
        <f t="shared" si="2"/>
        <v>0</v>
      </c>
      <c r="K9" s="24">
        <f t="shared" si="2"/>
        <v>0</v>
      </c>
      <c r="L9" s="16"/>
    </row>
    <row r="10">
      <c r="A10" s="26"/>
      <c r="B10" s="26"/>
      <c r="C10" s="26"/>
      <c r="D10" s="26"/>
      <c r="E10" s="26"/>
      <c r="F10" s="27"/>
      <c r="G10" s="27"/>
      <c r="H10" s="22" t="s">
        <v>64</v>
      </c>
      <c r="I10" s="24">
        <f>SUM(I9+J9)-B33</f>
        <v>3511980</v>
      </c>
      <c r="J10" s="26"/>
      <c r="K10" s="26"/>
      <c r="L10" s="26"/>
    </row>
    <row r="11">
      <c r="A11" s="26"/>
      <c r="B11" s="26"/>
      <c r="C11" s="26"/>
      <c r="D11" s="26"/>
      <c r="E11" s="26"/>
      <c r="F11" s="26"/>
      <c r="G11" s="26"/>
      <c r="H11" s="28" t="s">
        <v>65</v>
      </c>
      <c r="I11" s="29">
        <f>(H9*4)/1000</f>
        <v>73600</v>
      </c>
      <c r="J11" s="26"/>
      <c r="K11" s="26"/>
      <c r="L11" s="26"/>
    </row>
    <row r="12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</row>
    <row r="13">
      <c r="A13" s="28" t="s">
        <v>66</v>
      </c>
      <c r="B13" s="30"/>
      <c r="C13" s="26"/>
      <c r="D13" s="26" t="s">
        <v>67</v>
      </c>
      <c r="E13" s="26"/>
      <c r="F13" s="26"/>
      <c r="G13" s="26"/>
      <c r="H13" s="26"/>
      <c r="I13" s="26"/>
      <c r="J13" s="26"/>
      <c r="K13" s="26"/>
      <c r="L13" s="26"/>
    </row>
    <row r="14">
      <c r="A14" s="25" t="s">
        <v>20</v>
      </c>
      <c r="B14" s="29">
        <f>A9</f>
        <v>0</v>
      </c>
      <c r="C14" s="26"/>
      <c r="D14" s="31"/>
      <c r="E14" s="31"/>
      <c r="F14" s="31"/>
      <c r="G14" s="31"/>
      <c r="H14" s="31"/>
      <c r="I14" s="31"/>
      <c r="J14" s="31"/>
      <c r="K14" s="26"/>
      <c r="L14" s="26"/>
    </row>
    <row r="15">
      <c r="A15" s="17" t="s">
        <v>68</v>
      </c>
      <c r="B15" s="33">
        <v>579400.0</v>
      </c>
      <c r="C15" s="26"/>
      <c r="D15" s="37" t="s">
        <v>85</v>
      </c>
      <c r="K15" s="26"/>
      <c r="L15" s="26"/>
    </row>
    <row r="16">
      <c r="A16" s="17" t="s">
        <v>95</v>
      </c>
      <c r="B16" s="33">
        <v>33320.0</v>
      </c>
      <c r="C16" s="26"/>
      <c r="K16" s="26"/>
      <c r="L16" s="26"/>
    </row>
    <row r="17">
      <c r="A17" s="17" t="s">
        <v>209</v>
      </c>
      <c r="B17" s="33">
        <f>25300+22000+43000+15000+10000</f>
        <v>115300</v>
      </c>
      <c r="C17" s="26"/>
      <c r="K17" s="26"/>
      <c r="L17" s="26"/>
    </row>
    <row r="18">
      <c r="A18" s="17" t="s">
        <v>210</v>
      </c>
      <c r="B18" s="33">
        <v>1.0E7</v>
      </c>
      <c r="K18" s="26"/>
      <c r="L18" s="26"/>
    </row>
    <row r="19">
      <c r="A19" s="17" t="s">
        <v>211</v>
      </c>
      <c r="B19" s="33">
        <v>4160000.0</v>
      </c>
      <c r="C19" s="26"/>
      <c r="K19" s="26"/>
      <c r="L19" s="26"/>
    </row>
    <row r="20">
      <c r="A20" s="25"/>
      <c r="B20" s="29">
        <v>0.0</v>
      </c>
      <c r="C20" s="26"/>
      <c r="K20" s="26"/>
      <c r="L20" s="26"/>
    </row>
    <row r="21">
      <c r="A21" s="25"/>
      <c r="B21" s="29">
        <v>0.0</v>
      </c>
      <c r="C21" s="26"/>
      <c r="K21" s="26"/>
      <c r="L21" s="26"/>
    </row>
    <row r="22">
      <c r="A22" s="25"/>
      <c r="B22" s="29">
        <v>0.0</v>
      </c>
      <c r="C22" s="26"/>
      <c r="K22" s="26"/>
      <c r="L22" s="26"/>
    </row>
    <row r="23">
      <c r="A23" s="25"/>
      <c r="B23" s="29">
        <v>0.0</v>
      </c>
      <c r="C23" s="26"/>
      <c r="K23" s="26"/>
      <c r="L23" s="26"/>
    </row>
    <row r="24">
      <c r="A24" s="25"/>
      <c r="B24" s="29">
        <v>0.0</v>
      </c>
      <c r="C24" s="26"/>
      <c r="D24" s="26"/>
      <c r="E24" s="26"/>
      <c r="F24" s="26"/>
      <c r="G24" s="26"/>
      <c r="H24" s="26"/>
      <c r="I24" s="26"/>
      <c r="J24" s="26"/>
      <c r="K24" s="26"/>
      <c r="L24" s="26"/>
    </row>
    <row r="25">
      <c r="A25" s="25"/>
      <c r="B25" s="29">
        <v>0.0</v>
      </c>
      <c r="C25" s="26"/>
      <c r="D25" s="26"/>
      <c r="E25" s="26"/>
      <c r="F25" s="26"/>
      <c r="G25" s="26"/>
      <c r="H25" s="26"/>
      <c r="I25" s="26"/>
      <c r="J25" s="26"/>
      <c r="K25" s="26"/>
      <c r="L25" s="26"/>
    </row>
    <row r="26">
      <c r="A26" s="25"/>
      <c r="B26" s="29">
        <v>0.0</v>
      </c>
      <c r="C26" s="26"/>
      <c r="D26" s="26"/>
      <c r="E26" s="26"/>
      <c r="F26" s="26"/>
      <c r="G26" s="26"/>
      <c r="H26" s="26"/>
      <c r="I26" s="26"/>
      <c r="J26" s="26"/>
      <c r="K26" s="26"/>
      <c r="L26" s="26"/>
    </row>
    <row r="27">
      <c r="A27" s="25"/>
      <c r="B27" s="29">
        <v>0.0</v>
      </c>
      <c r="C27" s="26"/>
      <c r="D27" s="26"/>
      <c r="E27" s="26"/>
      <c r="F27" s="26"/>
      <c r="G27" s="26"/>
      <c r="H27" s="26"/>
      <c r="I27" s="26"/>
      <c r="J27" s="26"/>
      <c r="K27" s="26"/>
      <c r="L27" s="26"/>
    </row>
    <row r="28">
      <c r="A28" s="25"/>
      <c r="B28" s="29">
        <v>0.0</v>
      </c>
      <c r="C28" s="26"/>
      <c r="D28" s="26"/>
      <c r="E28" s="26"/>
      <c r="F28" s="26"/>
      <c r="G28" s="26"/>
      <c r="H28" s="26"/>
      <c r="I28" s="26"/>
      <c r="J28" s="26"/>
      <c r="K28" s="26"/>
      <c r="L28" s="26"/>
    </row>
    <row r="29">
      <c r="A29" s="25"/>
      <c r="B29" s="29">
        <v>0.0</v>
      </c>
      <c r="C29" s="26"/>
      <c r="D29" s="26"/>
      <c r="E29" s="26"/>
      <c r="F29" s="26"/>
      <c r="G29" s="26"/>
      <c r="H29" s="26"/>
      <c r="I29" s="26"/>
      <c r="J29" s="26"/>
      <c r="K29" s="26"/>
      <c r="L29" s="26"/>
    </row>
    <row r="30">
      <c r="A30" s="25" t="s">
        <v>76</v>
      </c>
      <c r="B30" s="29">
        <v>0.0</v>
      </c>
      <c r="C30" s="26"/>
      <c r="D30" s="26"/>
      <c r="E30" s="26"/>
      <c r="F30" s="26"/>
      <c r="G30" s="26"/>
      <c r="H30" s="26"/>
      <c r="I30" s="26"/>
      <c r="J30" s="26"/>
      <c r="K30" s="26"/>
      <c r="L30" s="26"/>
    </row>
    <row r="31">
      <c r="A31" s="25"/>
      <c r="B31" s="29">
        <v>0.0</v>
      </c>
      <c r="C31" s="26"/>
      <c r="D31" s="26"/>
      <c r="E31" s="26"/>
      <c r="F31" s="26"/>
      <c r="G31" s="26"/>
      <c r="H31" s="26"/>
      <c r="I31" s="26"/>
      <c r="J31" s="26"/>
      <c r="K31" s="26"/>
      <c r="L31" s="26"/>
    </row>
    <row r="32">
      <c r="A32" s="25"/>
      <c r="B32" s="29">
        <v>0.0</v>
      </c>
      <c r="C32" s="18"/>
      <c r="D32" s="26"/>
      <c r="E32" s="26"/>
      <c r="F32" s="26"/>
      <c r="G32" s="26"/>
      <c r="H32" s="26"/>
      <c r="I32" s="26"/>
      <c r="J32" s="26"/>
      <c r="K32" s="26"/>
      <c r="L32" s="26"/>
    </row>
    <row r="33">
      <c r="A33" s="28" t="s">
        <v>8</v>
      </c>
      <c r="B33" s="35">
        <f>SUM(B14:B32)</f>
        <v>14888020</v>
      </c>
      <c r="C33" s="26"/>
      <c r="D33" s="26"/>
      <c r="E33" s="26"/>
      <c r="F33" s="26"/>
      <c r="G33" s="26"/>
      <c r="H33" s="26"/>
      <c r="I33" s="26"/>
      <c r="J33" s="26"/>
      <c r="K33" s="26"/>
      <c r="L33" s="26"/>
    </row>
  </sheetData>
  <mergeCells count="1">
    <mergeCell ref="D15:J23"/>
  </mergeCells>
  <dataValidations>
    <dataValidation type="list" allowBlank="1" showErrorMessage="1" sqref="C2">
      <formula1>"FUN DIVE,OPEN,AVANZADO,RESCUE,ESPECIALIDAD"</formula1>
    </dataValidation>
    <dataValidation type="list" allowBlank="1" showErrorMessage="1" sqref="F2:F5">
      <formula1>"Multiple,Pareja,Sencilla"</formula1>
    </dataValidation>
    <dataValidation type="list" allowBlank="1" showErrorMessage="1" sqref="D2:D5">
      <formula1>"SI,NO"</formula1>
    </dataValidation>
  </dataValidations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6" max="7" width="15.13"/>
    <col customWidth="1" min="9" max="9" width="16.75"/>
    <col customWidth="1" min="15" max="15" width="6.5"/>
    <col customWidth="1" min="16" max="16" width="15.13"/>
    <col customWidth="1" min="17" max="17" width="9.13"/>
    <col customWidth="1" min="18" max="18" width="13.63"/>
    <col customWidth="1" min="19" max="19" width="14.13"/>
    <col customWidth="1" min="20" max="20" width="12.13"/>
    <col customWidth="1" min="21" max="21" width="15.13"/>
    <col customWidth="1" min="22" max="22" width="6.88"/>
    <col customWidth="1" min="23" max="23" width="8.63"/>
    <col customWidth="1" min="24" max="24" width="4.63"/>
    <col customWidth="1" min="25" max="25" width="10.38"/>
    <col customWidth="1" min="26" max="27" width="7.13"/>
  </cols>
  <sheetData>
    <row r="1">
      <c r="A1" s="12" t="s">
        <v>20</v>
      </c>
      <c r="B1" s="12" t="s">
        <v>212</v>
      </c>
      <c r="C1" s="12" t="s">
        <v>89</v>
      </c>
      <c r="D1" s="12" t="s">
        <v>22</v>
      </c>
      <c r="E1" s="12" t="s">
        <v>23</v>
      </c>
      <c r="F1" s="12" t="s">
        <v>24</v>
      </c>
      <c r="G1" s="12"/>
      <c r="H1" s="12" t="s">
        <v>25</v>
      </c>
      <c r="I1" s="12" t="s">
        <v>27</v>
      </c>
      <c r="J1" s="12" t="s">
        <v>29</v>
      </c>
      <c r="K1" s="12" t="s">
        <v>30</v>
      </c>
      <c r="L1" s="12" t="s">
        <v>213</v>
      </c>
      <c r="M1" s="12" t="s">
        <v>31</v>
      </c>
      <c r="N1" s="12" t="s">
        <v>32</v>
      </c>
      <c r="O1" s="12"/>
      <c r="P1" s="12" t="s">
        <v>24</v>
      </c>
      <c r="Q1" s="12" t="s">
        <v>100</v>
      </c>
      <c r="R1" s="12" t="s">
        <v>214</v>
      </c>
      <c r="S1" s="12" t="s">
        <v>215</v>
      </c>
      <c r="T1" s="12" t="s">
        <v>216</v>
      </c>
      <c r="U1" s="12"/>
      <c r="V1" s="69" t="s">
        <v>217</v>
      </c>
      <c r="W1" s="69" t="s">
        <v>218</v>
      </c>
      <c r="X1" s="69" t="s">
        <v>219</v>
      </c>
      <c r="Y1" s="69" t="s">
        <v>220</v>
      </c>
      <c r="Z1" s="70" t="s">
        <v>221</v>
      </c>
      <c r="AA1" s="69" t="s">
        <v>222</v>
      </c>
      <c r="AB1" s="9" t="s">
        <v>223</v>
      </c>
      <c r="AC1" s="9" t="s">
        <v>224</v>
      </c>
    </row>
    <row r="2">
      <c r="A2" s="23"/>
      <c r="B2" s="19">
        <f t="shared" ref="B2:B18" si="1">SUM(A2)</f>
        <v>0</v>
      </c>
      <c r="C2" s="19">
        <f t="shared" ref="C2:C18" si="2">I2-B2</f>
        <v>4550000</v>
      </c>
      <c r="D2" s="16" t="s">
        <v>51</v>
      </c>
      <c r="E2" s="16" t="s">
        <v>48</v>
      </c>
      <c r="F2" s="16" t="s">
        <v>225</v>
      </c>
      <c r="G2" s="15" t="s">
        <v>105</v>
      </c>
      <c r="H2" s="16" t="s">
        <v>37</v>
      </c>
      <c r="I2" s="20">
        <v>4550000.0</v>
      </c>
      <c r="J2" s="19">
        <f>1400000+1575000+1575000</f>
        <v>4550000</v>
      </c>
      <c r="K2" s="23"/>
      <c r="L2" s="23"/>
      <c r="M2" s="19">
        <f t="shared" ref="M2:M20" si="3">I2-J2-K2</f>
        <v>0</v>
      </c>
      <c r="N2" s="51" t="s">
        <v>42</v>
      </c>
      <c r="O2" s="16"/>
      <c r="P2" s="16" t="s">
        <v>225</v>
      </c>
      <c r="Q2" s="71" t="s">
        <v>105</v>
      </c>
      <c r="R2" s="71" t="s">
        <v>105</v>
      </c>
      <c r="S2" s="71" t="s">
        <v>105</v>
      </c>
      <c r="T2" s="71" t="s">
        <v>105</v>
      </c>
      <c r="U2" s="16" t="s">
        <v>225</v>
      </c>
      <c r="V2" s="4" t="s">
        <v>38</v>
      </c>
      <c r="W2" s="4" t="s">
        <v>226</v>
      </c>
      <c r="X2" s="38"/>
      <c r="Y2" s="38"/>
      <c r="Z2" s="38"/>
      <c r="AA2" s="38"/>
      <c r="AB2" s="9">
        <v>270000.0</v>
      </c>
    </row>
    <row r="3">
      <c r="A3" s="23"/>
      <c r="B3" s="19">
        <f t="shared" si="1"/>
        <v>0</v>
      </c>
      <c r="C3" s="19">
        <f t="shared" si="2"/>
        <v>4690000</v>
      </c>
      <c r="D3" s="16" t="s">
        <v>51</v>
      </c>
      <c r="E3" s="16" t="s">
        <v>48</v>
      </c>
      <c r="F3" s="25" t="s">
        <v>59</v>
      </c>
      <c r="G3" s="15" t="s">
        <v>105</v>
      </c>
      <c r="H3" s="16" t="s">
        <v>37</v>
      </c>
      <c r="I3" s="19">
        <v>4690000.0</v>
      </c>
      <c r="J3" s="23"/>
      <c r="K3" s="17">
        <v>4690000.0</v>
      </c>
      <c r="L3" s="23"/>
      <c r="M3" s="19">
        <f t="shared" si="3"/>
        <v>0</v>
      </c>
      <c r="N3" s="51" t="s">
        <v>38</v>
      </c>
      <c r="O3" s="16"/>
      <c r="P3" s="25" t="s">
        <v>59</v>
      </c>
      <c r="Q3" s="71" t="s">
        <v>105</v>
      </c>
      <c r="R3" s="71" t="s">
        <v>105</v>
      </c>
      <c r="S3" s="71" t="s">
        <v>105</v>
      </c>
      <c r="T3" s="71" t="s">
        <v>105</v>
      </c>
      <c r="U3" s="25" t="s">
        <v>59</v>
      </c>
      <c r="V3" s="4" t="s">
        <v>227</v>
      </c>
      <c r="W3" s="4" t="s">
        <v>227</v>
      </c>
      <c r="X3" s="4" t="s">
        <v>227</v>
      </c>
      <c r="Y3" s="4" t="s">
        <v>227</v>
      </c>
      <c r="Z3" s="4" t="s">
        <v>227</v>
      </c>
      <c r="AA3" s="4" t="s">
        <v>227</v>
      </c>
    </row>
    <row r="4">
      <c r="A4" s="23"/>
      <c r="B4" s="19">
        <f t="shared" si="1"/>
        <v>0</v>
      </c>
      <c r="C4" s="19">
        <f t="shared" si="2"/>
        <v>1407000</v>
      </c>
      <c r="D4" s="16" t="s">
        <v>51</v>
      </c>
      <c r="E4" s="16" t="s">
        <v>48</v>
      </c>
      <c r="F4" s="16" t="s">
        <v>228</v>
      </c>
      <c r="G4" s="15" t="s">
        <v>105</v>
      </c>
      <c r="H4" s="16" t="s">
        <v>37</v>
      </c>
      <c r="I4" s="20">
        <v>1407000.0</v>
      </c>
      <c r="J4" s="19">
        <f>600000+807000</f>
        <v>1407000</v>
      </c>
      <c r="K4" s="25"/>
      <c r="L4" s="23"/>
      <c r="M4" s="19">
        <f t="shared" si="3"/>
        <v>0</v>
      </c>
      <c r="N4" s="51" t="s">
        <v>38</v>
      </c>
      <c r="O4" s="16"/>
      <c r="P4" s="16" t="s">
        <v>228</v>
      </c>
      <c r="Q4" s="71" t="s">
        <v>105</v>
      </c>
      <c r="R4" s="71" t="s">
        <v>105</v>
      </c>
      <c r="S4" s="71" t="s">
        <v>105</v>
      </c>
      <c r="T4" s="71" t="s">
        <v>105</v>
      </c>
      <c r="U4" s="16" t="s">
        <v>228</v>
      </c>
      <c r="V4" s="38"/>
      <c r="W4" s="38"/>
      <c r="X4" s="38"/>
      <c r="Y4" s="38"/>
      <c r="Z4" s="38"/>
      <c r="AA4" s="38"/>
    </row>
    <row r="5">
      <c r="A5" s="21">
        <v>294000.0</v>
      </c>
      <c r="B5" s="19">
        <f t="shared" si="1"/>
        <v>294000</v>
      </c>
      <c r="C5" s="19">
        <f t="shared" si="2"/>
        <v>5496000</v>
      </c>
      <c r="D5" s="16" t="s">
        <v>51</v>
      </c>
      <c r="E5" s="16" t="s">
        <v>48</v>
      </c>
      <c r="F5" s="17" t="s">
        <v>36</v>
      </c>
      <c r="G5" s="15" t="s">
        <v>105</v>
      </c>
      <c r="H5" s="16" t="s">
        <v>37</v>
      </c>
      <c r="I5" s="19">
        <f>4690000+1100000</f>
        <v>5790000</v>
      </c>
      <c r="J5" s="21">
        <f>1100000+4690000</f>
        <v>5790000</v>
      </c>
      <c r="K5" s="25"/>
      <c r="L5" s="23"/>
      <c r="M5" s="19">
        <f t="shared" si="3"/>
        <v>0</v>
      </c>
      <c r="N5" s="51" t="s">
        <v>53</v>
      </c>
      <c r="O5" s="15"/>
      <c r="P5" s="17" t="s">
        <v>36</v>
      </c>
      <c r="Q5" s="71" t="s">
        <v>105</v>
      </c>
      <c r="R5" s="71" t="s">
        <v>105</v>
      </c>
      <c r="S5" s="71" t="s">
        <v>105</v>
      </c>
      <c r="T5" s="71" t="s">
        <v>105</v>
      </c>
      <c r="U5" s="17" t="s">
        <v>36</v>
      </c>
      <c r="V5" s="4" t="s">
        <v>38</v>
      </c>
      <c r="W5" s="4" t="s">
        <v>226</v>
      </c>
      <c r="X5" s="38"/>
      <c r="Y5" s="4" t="s">
        <v>226</v>
      </c>
      <c r="Z5" s="38"/>
      <c r="AA5" s="38"/>
      <c r="AB5" s="9">
        <v>270000.0</v>
      </c>
    </row>
    <row r="6">
      <c r="A6" s="16"/>
      <c r="B6" s="19">
        <f t="shared" si="1"/>
        <v>0</v>
      </c>
      <c r="C6" s="19">
        <f t="shared" si="2"/>
        <v>4550000</v>
      </c>
      <c r="D6" s="16" t="s">
        <v>51</v>
      </c>
      <c r="E6" s="16" t="s">
        <v>48</v>
      </c>
      <c r="F6" s="17" t="s">
        <v>229</v>
      </c>
      <c r="G6" s="15" t="s">
        <v>105</v>
      </c>
      <c r="H6" s="16" t="s">
        <v>37</v>
      </c>
      <c r="I6" s="20">
        <v>4550000.0</v>
      </c>
      <c r="J6" s="21">
        <f>2000000+2550000</f>
        <v>4550000</v>
      </c>
      <c r="K6" s="16"/>
      <c r="L6" s="23"/>
      <c r="M6" s="19">
        <f t="shared" si="3"/>
        <v>0</v>
      </c>
      <c r="N6" s="51" t="s">
        <v>53</v>
      </c>
      <c r="O6" s="15"/>
      <c r="P6" s="17" t="s">
        <v>229</v>
      </c>
      <c r="Q6" s="71" t="s">
        <v>230</v>
      </c>
      <c r="R6" s="71" t="s">
        <v>230</v>
      </c>
      <c r="S6" s="71" t="s">
        <v>230</v>
      </c>
      <c r="T6" s="71" t="s">
        <v>230</v>
      </c>
      <c r="U6" s="17" t="s">
        <v>229</v>
      </c>
      <c r="V6" s="4" t="s">
        <v>231</v>
      </c>
      <c r="W6" s="4" t="s">
        <v>48</v>
      </c>
      <c r="X6" s="4" t="s">
        <v>227</v>
      </c>
      <c r="Y6" s="4" t="s">
        <v>227</v>
      </c>
      <c r="Z6" s="4" t="s">
        <v>232</v>
      </c>
      <c r="AA6" s="4" t="s">
        <v>48</v>
      </c>
      <c r="AB6" s="9">
        <v>270000.0</v>
      </c>
    </row>
    <row r="7">
      <c r="A7" s="23"/>
      <c r="B7" s="19">
        <f t="shared" si="1"/>
        <v>0</v>
      </c>
      <c r="C7" s="19">
        <f t="shared" si="2"/>
        <v>4690000</v>
      </c>
      <c r="D7" s="16" t="s">
        <v>51</v>
      </c>
      <c r="E7" s="16" t="s">
        <v>48</v>
      </c>
      <c r="F7" s="17" t="s">
        <v>120</v>
      </c>
      <c r="G7" s="15" t="s">
        <v>105</v>
      </c>
      <c r="H7" s="16" t="s">
        <v>37</v>
      </c>
      <c r="I7" s="19">
        <v>4690000.0</v>
      </c>
      <c r="J7" s="21">
        <f>3000000+1690000</f>
        <v>4690000</v>
      </c>
      <c r="K7" s="16"/>
      <c r="L7" s="23"/>
      <c r="M7" s="19">
        <f t="shared" si="3"/>
        <v>0</v>
      </c>
      <c r="N7" s="51" t="s">
        <v>233</v>
      </c>
      <c r="O7" s="15"/>
      <c r="P7" s="17" t="s">
        <v>120</v>
      </c>
      <c r="Q7" s="71" t="s">
        <v>105</v>
      </c>
      <c r="R7" s="71" t="s">
        <v>105</v>
      </c>
      <c r="S7" s="71" t="s">
        <v>105</v>
      </c>
      <c r="T7" s="71" t="s">
        <v>105</v>
      </c>
      <c r="U7" s="17" t="s">
        <v>120</v>
      </c>
      <c r="V7" s="4" t="s">
        <v>227</v>
      </c>
      <c r="W7" s="4" t="s">
        <v>227</v>
      </c>
      <c r="X7" s="4" t="s">
        <v>45</v>
      </c>
      <c r="Y7" s="38"/>
      <c r="Z7" s="38"/>
      <c r="AA7" s="38"/>
      <c r="AB7" s="9">
        <v>135000.0</v>
      </c>
    </row>
    <row r="8">
      <c r="A8" s="23"/>
      <c r="B8" s="19">
        <f t="shared" si="1"/>
        <v>0</v>
      </c>
      <c r="C8" s="19">
        <f t="shared" si="2"/>
        <v>4690000</v>
      </c>
      <c r="D8" s="16" t="s">
        <v>51</v>
      </c>
      <c r="E8" s="16" t="s">
        <v>48</v>
      </c>
      <c r="F8" s="17" t="s">
        <v>234</v>
      </c>
      <c r="G8" s="15" t="s">
        <v>105</v>
      </c>
      <c r="H8" s="16" t="s">
        <v>37</v>
      </c>
      <c r="I8" s="19">
        <v>4690000.0</v>
      </c>
      <c r="J8" s="21">
        <v>4690000.0</v>
      </c>
      <c r="K8" s="16"/>
      <c r="L8" s="23"/>
      <c r="M8" s="19">
        <f t="shared" si="3"/>
        <v>0</v>
      </c>
      <c r="N8" s="51" t="s">
        <v>233</v>
      </c>
      <c r="O8" s="15"/>
      <c r="P8" s="17" t="s">
        <v>234</v>
      </c>
      <c r="Q8" s="71" t="s">
        <v>105</v>
      </c>
      <c r="R8" s="71" t="s">
        <v>105</v>
      </c>
      <c r="S8" s="71" t="s">
        <v>105</v>
      </c>
      <c r="T8" s="71" t="s">
        <v>105</v>
      </c>
      <c r="U8" s="17" t="s">
        <v>234</v>
      </c>
      <c r="V8" s="4" t="s">
        <v>227</v>
      </c>
      <c r="W8" s="4" t="s">
        <v>227</v>
      </c>
      <c r="X8" s="4" t="s">
        <v>45</v>
      </c>
      <c r="Y8" s="4" t="s">
        <v>227</v>
      </c>
      <c r="Z8" s="4" t="s">
        <v>235</v>
      </c>
      <c r="AA8" s="4" t="s">
        <v>227</v>
      </c>
      <c r="AC8" s="9">
        <v>270000.0</v>
      </c>
    </row>
    <row r="9">
      <c r="A9" s="23"/>
      <c r="B9" s="19">
        <f t="shared" si="1"/>
        <v>0</v>
      </c>
      <c r="C9" s="19">
        <f t="shared" si="2"/>
        <v>4690000</v>
      </c>
      <c r="D9" s="16" t="s">
        <v>51</v>
      </c>
      <c r="E9" s="16" t="s">
        <v>48</v>
      </c>
      <c r="F9" s="17" t="s">
        <v>236</v>
      </c>
      <c r="G9" s="15" t="s">
        <v>105</v>
      </c>
      <c r="H9" s="16" t="s">
        <v>37</v>
      </c>
      <c r="I9" s="19">
        <v>4690000.0</v>
      </c>
      <c r="J9" s="21">
        <v>4690000.0</v>
      </c>
      <c r="K9" s="16"/>
      <c r="L9" s="23"/>
      <c r="M9" s="19">
        <f t="shared" si="3"/>
        <v>0</v>
      </c>
      <c r="N9" s="51" t="s">
        <v>38</v>
      </c>
      <c r="O9" s="15"/>
      <c r="P9" s="17" t="s">
        <v>236</v>
      </c>
      <c r="Q9" s="71" t="s">
        <v>105</v>
      </c>
      <c r="R9" s="71" t="s">
        <v>105</v>
      </c>
      <c r="S9" s="71" t="s">
        <v>105</v>
      </c>
      <c r="T9" s="71" t="s">
        <v>105</v>
      </c>
      <c r="U9" s="17" t="s">
        <v>236</v>
      </c>
      <c r="V9" s="4" t="s">
        <v>227</v>
      </c>
      <c r="W9" s="4" t="s">
        <v>227</v>
      </c>
      <c r="X9" s="4" t="s">
        <v>42</v>
      </c>
      <c r="Y9" s="4" t="s">
        <v>227</v>
      </c>
      <c r="Z9" s="4" t="s">
        <v>227</v>
      </c>
      <c r="AA9" s="4" t="s">
        <v>227</v>
      </c>
      <c r="AC9" s="9">
        <v>135000.0</v>
      </c>
    </row>
    <row r="10">
      <c r="A10" s="16"/>
      <c r="B10" s="19">
        <f t="shared" si="1"/>
        <v>0</v>
      </c>
      <c r="C10" s="19">
        <f t="shared" si="2"/>
        <v>4690000</v>
      </c>
      <c r="D10" s="16" t="s">
        <v>51</v>
      </c>
      <c r="E10" s="16" t="s">
        <v>48</v>
      </c>
      <c r="F10" s="17" t="s">
        <v>237</v>
      </c>
      <c r="G10" s="15" t="s">
        <v>105</v>
      </c>
      <c r="H10" s="16" t="s">
        <v>37</v>
      </c>
      <c r="I10" s="19">
        <v>4690000.0</v>
      </c>
      <c r="J10" s="21">
        <f>1100000+1100000</f>
        <v>2200000</v>
      </c>
      <c r="K10" s="18"/>
      <c r="L10" s="23"/>
      <c r="M10" s="19">
        <f t="shared" si="3"/>
        <v>2490000</v>
      </c>
      <c r="N10" s="51" t="s">
        <v>45</v>
      </c>
      <c r="O10" s="15"/>
      <c r="P10" s="17" t="s">
        <v>237</v>
      </c>
      <c r="Q10" s="71" t="s">
        <v>105</v>
      </c>
      <c r="R10" s="71" t="s">
        <v>105</v>
      </c>
      <c r="S10" s="71" t="s">
        <v>105</v>
      </c>
      <c r="T10" s="71" t="s">
        <v>105</v>
      </c>
      <c r="U10" s="17" t="s">
        <v>237</v>
      </c>
      <c r="V10" s="4" t="s">
        <v>227</v>
      </c>
      <c r="W10" s="4" t="s">
        <v>227</v>
      </c>
      <c r="X10" s="4" t="s">
        <v>227</v>
      </c>
      <c r="Y10" s="4" t="s">
        <v>227</v>
      </c>
      <c r="Z10" s="4" t="s">
        <v>227</v>
      </c>
      <c r="AA10" s="4" t="s">
        <v>227</v>
      </c>
    </row>
    <row r="11">
      <c r="A11" s="16"/>
      <c r="B11" s="19">
        <f t="shared" si="1"/>
        <v>0</v>
      </c>
      <c r="C11" s="19">
        <f t="shared" si="2"/>
        <v>4690000</v>
      </c>
      <c r="D11" s="16" t="s">
        <v>51</v>
      </c>
      <c r="E11" s="15" t="s">
        <v>35</v>
      </c>
      <c r="F11" s="17" t="s">
        <v>238</v>
      </c>
      <c r="G11" s="15" t="s">
        <v>105</v>
      </c>
      <c r="H11" s="16" t="s">
        <v>37</v>
      </c>
      <c r="I11" s="19">
        <v>4690000.0</v>
      </c>
      <c r="J11" s="21">
        <f t="shared" ref="J11:J12" si="4">1000000+3490000+200000</f>
        <v>4690000</v>
      </c>
      <c r="K11" s="16"/>
      <c r="L11" s="23"/>
      <c r="M11" s="19">
        <f t="shared" si="3"/>
        <v>0</v>
      </c>
      <c r="N11" s="51" t="s">
        <v>42</v>
      </c>
      <c r="O11" s="15"/>
      <c r="P11" s="17" t="s">
        <v>238</v>
      </c>
      <c r="Q11" s="71" t="s">
        <v>230</v>
      </c>
      <c r="R11" s="71" t="s">
        <v>230</v>
      </c>
      <c r="S11" s="71" t="s">
        <v>230</v>
      </c>
      <c r="T11" s="71" t="s">
        <v>230</v>
      </c>
      <c r="U11" s="17" t="s">
        <v>238</v>
      </c>
      <c r="V11" s="4" t="s">
        <v>53</v>
      </c>
      <c r="W11" s="4" t="s">
        <v>48</v>
      </c>
      <c r="X11" s="4" t="s">
        <v>227</v>
      </c>
      <c r="Y11" s="4" t="s">
        <v>227</v>
      </c>
      <c r="Z11" s="4" t="s">
        <v>227</v>
      </c>
      <c r="AA11" s="4" t="s">
        <v>227</v>
      </c>
      <c r="AB11" s="9">
        <v>270000.0</v>
      </c>
    </row>
    <row r="12">
      <c r="A12" s="16"/>
      <c r="B12" s="19">
        <f t="shared" si="1"/>
        <v>0</v>
      </c>
      <c r="C12" s="19">
        <f t="shared" si="2"/>
        <v>4690000</v>
      </c>
      <c r="D12" s="16" t="s">
        <v>51</v>
      </c>
      <c r="E12" s="15" t="s">
        <v>35</v>
      </c>
      <c r="F12" s="17" t="s">
        <v>239</v>
      </c>
      <c r="G12" s="15" t="s">
        <v>105</v>
      </c>
      <c r="H12" s="16" t="s">
        <v>37</v>
      </c>
      <c r="I12" s="19">
        <v>4690000.0</v>
      </c>
      <c r="J12" s="21">
        <f t="shared" si="4"/>
        <v>4690000</v>
      </c>
      <c r="K12" s="16"/>
      <c r="L12" s="23"/>
      <c r="M12" s="19">
        <f t="shared" si="3"/>
        <v>0</v>
      </c>
      <c r="N12" s="51" t="s">
        <v>42</v>
      </c>
      <c r="O12" s="15"/>
      <c r="P12" s="17" t="s">
        <v>239</v>
      </c>
      <c r="Q12" s="71" t="s">
        <v>105</v>
      </c>
      <c r="R12" s="71" t="s">
        <v>105</v>
      </c>
      <c r="S12" s="71" t="s">
        <v>105</v>
      </c>
      <c r="T12" s="71" t="s">
        <v>105</v>
      </c>
      <c r="U12" s="17" t="s">
        <v>239</v>
      </c>
      <c r="V12" s="4" t="s">
        <v>38</v>
      </c>
      <c r="W12" s="4" t="s">
        <v>226</v>
      </c>
      <c r="X12" s="38"/>
      <c r="Y12" s="38"/>
      <c r="Z12" s="38"/>
      <c r="AA12" s="38"/>
      <c r="AB12" s="9">
        <v>270000.0</v>
      </c>
    </row>
    <row r="13">
      <c r="A13" s="16"/>
      <c r="B13" s="19">
        <f t="shared" si="1"/>
        <v>0</v>
      </c>
      <c r="C13" s="19">
        <f t="shared" si="2"/>
        <v>4690000</v>
      </c>
      <c r="D13" s="16" t="s">
        <v>51</v>
      </c>
      <c r="E13" s="15" t="s">
        <v>35</v>
      </c>
      <c r="F13" s="17" t="s">
        <v>240</v>
      </c>
      <c r="G13" s="15" t="s">
        <v>105</v>
      </c>
      <c r="H13" s="16" t="s">
        <v>37</v>
      </c>
      <c r="I13" s="19">
        <v>4690000.0</v>
      </c>
      <c r="J13" s="21">
        <f>1000000+3690000</f>
        <v>4690000</v>
      </c>
      <c r="K13" s="16"/>
      <c r="L13" s="23"/>
      <c r="M13" s="19">
        <f t="shared" si="3"/>
        <v>0</v>
      </c>
      <c r="N13" s="51" t="s">
        <v>38</v>
      </c>
      <c r="O13" s="15"/>
      <c r="P13" s="17" t="s">
        <v>240</v>
      </c>
      <c r="Q13" s="71" t="s">
        <v>105</v>
      </c>
      <c r="R13" s="71" t="s">
        <v>105</v>
      </c>
      <c r="S13" s="71" t="s">
        <v>105</v>
      </c>
      <c r="T13" s="71" t="s">
        <v>105</v>
      </c>
      <c r="U13" s="17" t="s">
        <v>240</v>
      </c>
      <c r="V13" s="38"/>
      <c r="W13" s="38"/>
      <c r="X13" s="38"/>
      <c r="Y13" s="38"/>
      <c r="Z13" s="38"/>
      <c r="AA13" s="38"/>
      <c r="AB13" s="9">
        <f>190000+95000</f>
        <v>285000</v>
      </c>
    </row>
    <row r="14">
      <c r="A14" s="16"/>
      <c r="B14" s="19">
        <f t="shared" si="1"/>
        <v>0</v>
      </c>
      <c r="C14" s="19">
        <f t="shared" si="2"/>
        <v>4690000</v>
      </c>
      <c r="D14" s="16" t="s">
        <v>51</v>
      </c>
      <c r="E14" s="15" t="s">
        <v>35</v>
      </c>
      <c r="F14" s="17" t="s">
        <v>241</v>
      </c>
      <c r="G14" s="15" t="s">
        <v>105</v>
      </c>
      <c r="H14" s="16" t="s">
        <v>37</v>
      </c>
      <c r="I14" s="19">
        <v>4690000.0</v>
      </c>
      <c r="J14" s="21">
        <f>1407000+3000000+688000</f>
        <v>5095000</v>
      </c>
      <c r="K14" s="16"/>
      <c r="L14" s="23"/>
      <c r="M14" s="19">
        <f t="shared" si="3"/>
        <v>-405000</v>
      </c>
      <c r="N14" s="51" t="s">
        <v>53</v>
      </c>
      <c r="O14" s="15"/>
      <c r="P14" s="17" t="s">
        <v>241</v>
      </c>
      <c r="Q14" s="71" t="s">
        <v>105</v>
      </c>
      <c r="R14" s="71" t="s">
        <v>105</v>
      </c>
      <c r="S14" s="71" t="s">
        <v>105</v>
      </c>
      <c r="T14" s="71" t="s">
        <v>105</v>
      </c>
      <c r="U14" s="17" t="s">
        <v>241</v>
      </c>
      <c r="V14" s="38"/>
      <c r="W14" s="38"/>
      <c r="X14" s="38"/>
      <c r="Y14" s="38"/>
      <c r="Z14" s="38"/>
      <c r="AA14" s="38"/>
      <c r="AB14" s="9">
        <v>555000.0</v>
      </c>
    </row>
    <row r="15">
      <c r="A15" s="16"/>
      <c r="B15" s="19">
        <f t="shared" si="1"/>
        <v>0</v>
      </c>
      <c r="C15" s="19">
        <f t="shared" si="2"/>
        <v>4550000</v>
      </c>
      <c r="D15" s="16" t="s">
        <v>51</v>
      </c>
      <c r="E15" s="16" t="s">
        <v>48</v>
      </c>
      <c r="F15" s="17" t="s">
        <v>242</v>
      </c>
      <c r="G15" s="15" t="s">
        <v>105</v>
      </c>
      <c r="H15" s="16" t="s">
        <v>37</v>
      </c>
      <c r="I15" s="20">
        <v>4550000.0</v>
      </c>
      <c r="J15" s="21">
        <f>1500000+1500000</f>
        <v>3000000</v>
      </c>
      <c r="K15" s="23"/>
      <c r="L15" s="23"/>
      <c r="M15" s="19">
        <f t="shared" si="3"/>
        <v>1550000</v>
      </c>
      <c r="N15" s="51" t="s">
        <v>53</v>
      </c>
      <c r="O15" s="15"/>
      <c r="P15" s="17" t="s">
        <v>242</v>
      </c>
      <c r="Q15" s="71" t="s">
        <v>105</v>
      </c>
      <c r="R15" s="71" t="s">
        <v>105</v>
      </c>
      <c r="S15" s="71" t="s">
        <v>105</v>
      </c>
      <c r="T15" s="71" t="s">
        <v>105</v>
      </c>
      <c r="U15" s="17" t="s">
        <v>242</v>
      </c>
      <c r="V15" s="38"/>
      <c r="W15" s="38"/>
      <c r="X15" s="38"/>
      <c r="Y15" s="38"/>
      <c r="Z15" s="38"/>
      <c r="AA15" s="38"/>
      <c r="AB15" s="9">
        <v>420000.0</v>
      </c>
    </row>
    <row r="16">
      <c r="A16" s="16"/>
      <c r="B16" s="19">
        <f t="shared" si="1"/>
        <v>0</v>
      </c>
      <c r="C16" s="19">
        <f t="shared" si="2"/>
        <v>4690000</v>
      </c>
      <c r="D16" s="16" t="s">
        <v>51</v>
      </c>
      <c r="E16" s="16" t="s">
        <v>48</v>
      </c>
      <c r="F16" s="4" t="s">
        <v>243</v>
      </c>
      <c r="G16" s="72"/>
      <c r="H16" s="16" t="s">
        <v>37</v>
      </c>
      <c r="I16" s="19">
        <v>4690000.0</v>
      </c>
      <c r="J16" s="21">
        <f>3340000+1350000</f>
        <v>4690000</v>
      </c>
      <c r="K16" s="23"/>
      <c r="L16" s="23"/>
      <c r="M16" s="19">
        <f t="shared" si="3"/>
        <v>0</v>
      </c>
      <c r="N16" s="51" t="s">
        <v>38</v>
      </c>
      <c r="O16" s="72"/>
      <c r="P16" s="4" t="s">
        <v>244</v>
      </c>
      <c r="Q16" s="71" t="s">
        <v>105</v>
      </c>
      <c r="R16" s="71" t="s">
        <v>105</v>
      </c>
      <c r="S16" s="71" t="s">
        <v>105</v>
      </c>
      <c r="T16" s="71" t="s">
        <v>105</v>
      </c>
      <c r="U16" s="4" t="s">
        <v>244</v>
      </c>
      <c r="V16" s="38"/>
      <c r="W16" s="38"/>
      <c r="X16" s="38"/>
      <c r="Y16" s="38"/>
      <c r="Z16" s="38"/>
      <c r="AA16" s="38"/>
    </row>
    <row r="17">
      <c r="A17" s="16"/>
      <c r="B17" s="19">
        <f t="shared" si="1"/>
        <v>0</v>
      </c>
      <c r="C17" s="19">
        <f t="shared" si="2"/>
        <v>200000</v>
      </c>
      <c r="D17" s="16" t="s">
        <v>51</v>
      </c>
      <c r="E17" s="16" t="s">
        <v>48</v>
      </c>
      <c r="F17" s="4" t="s">
        <v>244</v>
      </c>
      <c r="G17" s="72" t="s">
        <v>105</v>
      </c>
      <c r="H17" s="22" t="s">
        <v>61</v>
      </c>
      <c r="I17" s="20">
        <v>200000.0</v>
      </c>
      <c r="J17" s="23"/>
      <c r="K17" s="19">
        <v>200000.0</v>
      </c>
      <c r="L17" s="23"/>
      <c r="M17" s="19">
        <f t="shared" si="3"/>
        <v>0</v>
      </c>
      <c r="N17" s="51" t="s">
        <v>42</v>
      </c>
      <c r="O17" s="72"/>
      <c r="P17" s="4" t="s">
        <v>245</v>
      </c>
      <c r="Q17" s="71" t="s">
        <v>105</v>
      </c>
      <c r="R17" s="71" t="s">
        <v>105</v>
      </c>
      <c r="S17" s="71" t="s">
        <v>105</v>
      </c>
      <c r="T17" s="71" t="s">
        <v>105</v>
      </c>
      <c r="U17" s="4" t="s">
        <v>245</v>
      </c>
      <c r="V17" s="38"/>
      <c r="W17" s="38"/>
      <c r="X17" s="38"/>
      <c r="Y17" s="38"/>
      <c r="Z17" s="38"/>
      <c r="AA17" s="38"/>
    </row>
    <row r="18">
      <c r="A18" s="16"/>
      <c r="B18" s="19">
        <f t="shared" si="1"/>
        <v>0</v>
      </c>
      <c r="C18" s="19">
        <f t="shared" si="2"/>
        <v>200000</v>
      </c>
      <c r="D18" s="16" t="s">
        <v>51</v>
      </c>
      <c r="E18" s="16" t="s">
        <v>48</v>
      </c>
      <c r="F18" s="4" t="s">
        <v>245</v>
      </c>
      <c r="G18" s="72" t="s">
        <v>105</v>
      </c>
      <c r="H18" s="22" t="s">
        <v>61</v>
      </c>
      <c r="I18" s="20">
        <v>200000.0</v>
      </c>
      <c r="J18" s="23"/>
      <c r="K18" s="19">
        <v>200000.0</v>
      </c>
      <c r="L18" s="23"/>
      <c r="M18" s="19">
        <f t="shared" si="3"/>
        <v>0</v>
      </c>
      <c r="N18" s="51" t="s">
        <v>42</v>
      </c>
      <c r="O18" s="73"/>
      <c r="P18" s="38"/>
      <c r="Q18" s="74"/>
      <c r="R18" s="74"/>
      <c r="S18" s="74"/>
      <c r="T18" s="74"/>
      <c r="U18" s="4" t="s">
        <v>246</v>
      </c>
      <c r="V18" s="4" t="s">
        <v>42</v>
      </c>
      <c r="W18" s="4" t="s">
        <v>42</v>
      </c>
      <c r="X18" s="4" t="s">
        <v>42</v>
      </c>
      <c r="Y18" s="38"/>
      <c r="Z18" s="38"/>
      <c r="AA18" s="38"/>
      <c r="AC18" s="9">
        <v>405000.0</v>
      </c>
    </row>
    <row r="19">
      <c r="A19" s="20">
        <v>294000.0</v>
      </c>
      <c r="B19" s="20">
        <v>294000.0</v>
      </c>
      <c r="C19" s="16"/>
      <c r="D19" s="16"/>
      <c r="E19" s="16"/>
      <c r="F19" s="15" t="s">
        <v>246</v>
      </c>
      <c r="G19" s="16"/>
      <c r="H19" s="22"/>
      <c r="I19" s="20">
        <v>5560000.0</v>
      </c>
      <c r="J19" s="61">
        <f>2000000+560000+3000000</f>
        <v>5560000</v>
      </c>
      <c r="K19" s="16"/>
      <c r="L19" s="16"/>
      <c r="M19" s="19">
        <f t="shared" si="3"/>
        <v>0</v>
      </c>
      <c r="N19" s="16"/>
      <c r="O19" s="16"/>
      <c r="P19" s="25"/>
      <c r="Q19" s="74"/>
      <c r="R19" s="74"/>
      <c r="S19" s="74"/>
      <c r="T19" s="74"/>
      <c r="U19" s="38"/>
      <c r="V19" s="38"/>
      <c r="W19" s="38"/>
      <c r="X19" s="38"/>
      <c r="Y19" s="38"/>
      <c r="Z19" s="38"/>
      <c r="AA19" s="38"/>
      <c r="AB19" s="75">
        <f>SUM(AB2:AB17)</f>
        <v>2745000</v>
      </c>
    </row>
    <row r="20">
      <c r="A20" s="16"/>
      <c r="B20" s="16"/>
      <c r="C20" s="16"/>
      <c r="D20" s="16"/>
      <c r="E20" s="16"/>
      <c r="F20" s="16" t="s">
        <v>60</v>
      </c>
      <c r="G20" s="16"/>
      <c r="H20" s="22" t="s">
        <v>61</v>
      </c>
      <c r="I20" s="21">
        <v>3555000.0</v>
      </c>
      <c r="J20" s="4">
        <v>2745000.0</v>
      </c>
      <c r="K20" s="16"/>
      <c r="L20" s="16"/>
      <c r="M20" s="19">
        <f t="shared" si="3"/>
        <v>810000</v>
      </c>
      <c r="N20" s="16"/>
      <c r="O20" s="16"/>
      <c r="P20" s="25"/>
      <c r="Q20" s="74"/>
      <c r="R20" s="74"/>
      <c r="S20" s="74"/>
      <c r="T20" s="74"/>
      <c r="U20" s="38"/>
      <c r="V20" s="38"/>
      <c r="W20" s="38"/>
      <c r="X20" s="38"/>
      <c r="Y20" s="38"/>
      <c r="Z20" s="38"/>
      <c r="AA20" s="38"/>
    </row>
    <row r="21">
      <c r="A21" s="16"/>
      <c r="B21" s="16"/>
      <c r="C21" s="16"/>
      <c r="D21" s="16"/>
      <c r="E21" s="16"/>
      <c r="F21" s="16" t="s">
        <v>62</v>
      </c>
      <c r="G21" s="16"/>
      <c r="H21" s="22" t="s">
        <v>61</v>
      </c>
      <c r="I21" s="23"/>
      <c r="J21" s="23"/>
      <c r="K21" s="16"/>
      <c r="L21" s="16"/>
      <c r="M21" s="16"/>
      <c r="N21" s="16"/>
      <c r="O21" s="76"/>
      <c r="P21" s="76"/>
      <c r="Q21" s="74"/>
      <c r="R21" s="74"/>
      <c r="S21" s="74"/>
      <c r="T21" s="74"/>
      <c r="U21" s="38"/>
      <c r="V21" s="38"/>
      <c r="W21" s="38"/>
      <c r="X21" s="38"/>
      <c r="Y21" s="38"/>
      <c r="Z21" s="38"/>
      <c r="AA21" s="38"/>
    </row>
    <row r="22">
      <c r="A22" s="24">
        <f t="shared" ref="A22:C22" si="5">SUM(A2:A21)</f>
        <v>588000</v>
      </c>
      <c r="B22" s="24">
        <f t="shared" si="5"/>
        <v>588000</v>
      </c>
      <c r="C22" s="24">
        <f t="shared" si="5"/>
        <v>67853000</v>
      </c>
      <c r="D22" s="16"/>
      <c r="E22" s="16"/>
      <c r="F22" s="16"/>
      <c r="G22" s="16"/>
      <c r="H22" s="16"/>
      <c r="I22" s="24">
        <f t="shared" ref="I22:K22" si="6">SUM(I2:I21)</f>
        <v>77262000</v>
      </c>
      <c r="J22" s="24">
        <f t="shared" si="6"/>
        <v>67727000</v>
      </c>
      <c r="K22" s="24">
        <f t="shared" si="6"/>
        <v>5090000</v>
      </c>
      <c r="L22" s="23"/>
      <c r="M22" s="24">
        <f>SUM(M2:M21)</f>
        <v>4445000</v>
      </c>
      <c r="N22" s="16"/>
    </row>
    <row r="23">
      <c r="A23" s="26"/>
      <c r="B23" s="26"/>
      <c r="C23" s="26"/>
      <c r="D23" s="26"/>
      <c r="E23" s="26"/>
      <c r="F23" s="26"/>
      <c r="G23" s="26"/>
      <c r="H23" s="27"/>
      <c r="I23" s="22" t="s">
        <v>64</v>
      </c>
      <c r="J23" s="24">
        <f>SUM(J22+K22)-B53</f>
        <v>-417998</v>
      </c>
      <c r="K23" s="26"/>
      <c r="L23" s="26"/>
      <c r="M23" s="26"/>
      <c r="N23" s="26"/>
    </row>
    <row r="24">
      <c r="A24" s="26"/>
      <c r="B24" s="26"/>
      <c r="C24" s="26"/>
      <c r="D24" s="26"/>
      <c r="E24" s="26"/>
      <c r="F24" s="26"/>
      <c r="G24" s="26"/>
      <c r="H24" s="26"/>
      <c r="I24" s="28" t="s">
        <v>65</v>
      </c>
      <c r="J24" s="29">
        <f>(I22*4)/1000</f>
        <v>309048</v>
      </c>
      <c r="K24" s="26"/>
      <c r="L24" s="26"/>
      <c r="M24" s="26"/>
      <c r="N24" s="26"/>
    </row>
    <row r="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</row>
    <row r="26">
      <c r="A26" s="77" t="s">
        <v>66</v>
      </c>
      <c r="B26" s="30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</row>
    <row r="27">
      <c r="A27" s="25" t="s">
        <v>247</v>
      </c>
      <c r="B27" s="29">
        <f>A22</f>
        <v>588000</v>
      </c>
      <c r="C27" s="26"/>
      <c r="D27" s="26"/>
      <c r="E27" s="26" t="s">
        <v>67</v>
      </c>
      <c r="F27" s="26"/>
      <c r="G27" s="26"/>
      <c r="H27" s="26"/>
      <c r="I27" s="26"/>
      <c r="J27" s="26"/>
      <c r="K27" s="26"/>
      <c r="L27" s="26"/>
      <c r="M27" s="26"/>
      <c r="N27" s="26"/>
    </row>
    <row r="28">
      <c r="A28" s="25" t="s">
        <v>68</v>
      </c>
      <c r="B28" s="61">
        <v>567890.0</v>
      </c>
      <c r="C28" s="26"/>
      <c r="D28" s="26"/>
      <c r="E28" s="31"/>
      <c r="L28" s="26"/>
      <c r="M28" s="26"/>
      <c r="N28" s="26"/>
      <c r="U28" s="38"/>
      <c r="V28" s="78" t="s">
        <v>248</v>
      </c>
      <c r="W28" s="78" t="s">
        <v>218</v>
      </c>
      <c r="X28" s="78" t="s">
        <v>219</v>
      </c>
      <c r="Y28" s="78" t="s">
        <v>232</v>
      </c>
    </row>
    <row r="29">
      <c r="A29" s="25" t="s">
        <v>135</v>
      </c>
      <c r="B29" s="18">
        <f>120000+120000</f>
        <v>240000</v>
      </c>
      <c r="C29" s="34" t="s">
        <v>249</v>
      </c>
      <c r="D29" s="26"/>
      <c r="L29" s="26"/>
      <c r="M29" s="26"/>
      <c r="N29" s="26"/>
      <c r="U29" s="25" t="s">
        <v>225</v>
      </c>
      <c r="V29" s="4" t="s">
        <v>38</v>
      </c>
      <c r="W29" s="4" t="s">
        <v>48</v>
      </c>
      <c r="X29" s="38"/>
      <c r="Y29" s="38"/>
    </row>
    <row r="30">
      <c r="A30" s="25" t="s">
        <v>136</v>
      </c>
      <c r="B30" s="18"/>
      <c r="C30" s="26"/>
      <c r="D30" s="26"/>
      <c r="L30" s="26"/>
      <c r="M30" s="26"/>
      <c r="N30" s="26"/>
      <c r="U30" s="17" t="s">
        <v>36</v>
      </c>
      <c r="V30" s="4" t="s">
        <v>38</v>
      </c>
      <c r="W30" s="4" t="s">
        <v>48</v>
      </c>
      <c r="X30" s="38"/>
      <c r="Y30" s="38"/>
    </row>
    <row r="31">
      <c r="A31" s="25" t="s">
        <v>137</v>
      </c>
      <c r="B31" s="61">
        <v>987000.0</v>
      </c>
      <c r="C31" s="26"/>
      <c r="D31" s="26"/>
      <c r="L31" s="26"/>
      <c r="M31" s="26"/>
      <c r="N31" s="26"/>
      <c r="U31" s="17" t="s">
        <v>229</v>
      </c>
      <c r="V31" s="4" t="s">
        <v>231</v>
      </c>
      <c r="W31" s="4" t="s">
        <v>48</v>
      </c>
      <c r="X31" s="38"/>
      <c r="Y31" s="4" t="s">
        <v>42</v>
      </c>
    </row>
    <row r="32">
      <c r="A32" s="79" t="s">
        <v>70</v>
      </c>
      <c r="B32" s="21">
        <v>1314000.0</v>
      </c>
      <c r="C32" s="26"/>
      <c r="D32" s="26"/>
      <c r="L32" s="26"/>
      <c r="M32" s="26"/>
      <c r="N32" s="26"/>
      <c r="U32" s="17" t="s">
        <v>238</v>
      </c>
      <c r="V32" s="4" t="s">
        <v>53</v>
      </c>
      <c r="W32" s="4" t="s">
        <v>48</v>
      </c>
      <c r="X32" s="38"/>
      <c r="Y32" s="38"/>
    </row>
    <row r="33">
      <c r="A33" s="80" t="s">
        <v>250</v>
      </c>
      <c r="B33" s="21">
        <v>3645000.0</v>
      </c>
      <c r="C33" s="26"/>
      <c r="D33" s="26"/>
      <c r="L33" s="26"/>
      <c r="M33" s="26"/>
      <c r="N33" s="26"/>
      <c r="U33" s="17" t="s">
        <v>239</v>
      </c>
      <c r="V33" s="4" t="s">
        <v>38</v>
      </c>
      <c r="W33" s="4" t="s">
        <v>48</v>
      </c>
      <c r="X33" s="38"/>
      <c r="Y33" s="38"/>
    </row>
    <row r="34">
      <c r="A34" s="79" t="s">
        <v>139</v>
      </c>
      <c r="B34" s="21">
        <v>5000000.0</v>
      </c>
      <c r="C34" s="26"/>
      <c r="D34" s="26"/>
      <c r="L34" s="26"/>
      <c r="M34" s="26"/>
      <c r="N34" s="26"/>
      <c r="U34" s="17" t="s">
        <v>120</v>
      </c>
      <c r="V34" s="4" t="s">
        <v>227</v>
      </c>
      <c r="W34" s="4" t="s">
        <v>227</v>
      </c>
      <c r="X34" s="4" t="s">
        <v>45</v>
      </c>
      <c r="Y34" s="38"/>
    </row>
    <row r="35">
      <c r="A35" s="80" t="s">
        <v>251</v>
      </c>
      <c r="B35" s="21">
        <v>77350.0</v>
      </c>
      <c r="C35" s="26"/>
      <c r="D35" s="26"/>
      <c r="L35" s="26"/>
      <c r="M35" s="26"/>
      <c r="N35" s="26"/>
      <c r="U35" s="17" t="s">
        <v>234</v>
      </c>
      <c r="V35" s="4" t="s">
        <v>227</v>
      </c>
      <c r="W35" s="4" t="s">
        <v>227</v>
      </c>
      <c r="X35" s="4" t="s">
        <v>45</v>
      </c>
      <c r="Y35" s="4" t="s">
        <v>38</v>
      </c>
    </row>
    <row r="36">
      <c r="A36" s="80" t="s">
        <v>95</v>
      </c>
      <c r="B36" s="21">
        <f>460530+5950</f>
        <v>466480</v>
      </c>
      <c r="C36" s="26"/>
      <c r="D36" s="26"/>
      <c r="L36" s="26"/>
      <c r="M36" s="26"/>
      <c r="N36" s="26"/>
      <c r="U36" s="17" t="s">
        <v>236</v>
      </c>
      <c r="V36" s="4" t="s">
        <v>227</v>
      </c>
      <c r="W36" s="4" t="s">
        <v>227</v>
      </c>
      <c r="X36" s="4" t="s">
        <v>42</v>
      </c>
      <c r="Y36" s="38"/>
    </row>
    <row r="37">
      <c r="A37" s="80" t="s">
        <v>252</v>
      </c>
      <c r="B37" s="21">
        <v>178500.0</v>
      </c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</row>
    <row r="38">
      <c r="A38" s="80" t="s">
        <v>253</v>
      </c>
      <c r="B38" s="21">
        <v>153000.0</v>
      </c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</row>
    <row r="39">
      <c r="A39" s="79" t="s">
        <v>96</v>
      </c>
      <c r="B39" s="21">
        <v>269244.0</v>
      </c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</row>
    <row r="40">
      <c r="A40" s="80" t="s">
        <v>140</v>
      </c>
      <c r="B40" s="21">
        <f>120000+112050</f>
        <v>232050</v>
      </c>
      <c r="C40" s="26"/>
      <c r="D40" s="48"/>
      <c r="E40" s="26"/>
      <c r="F40" s="26"/>
      <c r="G40" s="26"/>
      <c r="H40" s="26"/>
      <c r="I40" s="26"/>
      <c r="J40" s="26"/>
      <c r="K40" s="26"/>
      <c r="L40" s="26"/>
      <c r="M40" s="26"/>
      <c r="N40" s="26"/>
    </row>
    <row r="41">
      <c r="A41" s="80" t="s">
        <v>254</v>
      </c>
      <c r="B41" s="23">
        <f>90000+41000+44000+99000</f>
        <v>274000</v>
      </c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</row>
    <row r="42">
      <c r="A42" s="80" t="s">
        <v>255</v>
      </c>
      <c r="B42" s="21">
        <v>190000.0</v>
      </c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</row>
    <row r="43">
      <c r="A43" s="79" t="s">
        <v>256</v>
      </c>
      <c r="B43" s="21">
        <f>1350000+1150000</f>
        <v>2500000</v>
      </c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</row>
    <row r="44">
      <c r="A44" s="80" t="s">
        <v>257</v>
      </c>
      <c r="B44" s="61">
        <v>149900.0</v>
      </c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</row>
    <row r="45">
      <c r="A45" s="17" t="s">
        <v>258</v>
      </c>
      <c r="B45" s="61">
        <v>2550000.0</v>
      </c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</row>
    <row r="46">
      <c r="A46" s="25"/>
      <c r="B46" s="18"/>
      <c r="C46" s="26"/>
      <c r="D46" s="48"/>
      <c r="E46" s="26"/>
      <c r="F46" s="26"/>
      <c r="G46" s="26"/>
      <c r="H46" s="26"/>
      <c r="I46" s="26"/>
      <c r="J46" s="26"/>
      <c r="K46" s="26"/>
      <c r="L46" s="26"/>
      <c r="M46" s="26"/>
      <c r="N46" s="26"/>
    </row>
    <row r="47">
      <c r="A47" s="25"/>
      <c r="B47" s="18"/>
      <c r="C47" s="48"/>
      <c r="D47" s="48"/>
      <c r="E47" s="26"/>
      <c r="F47" s="26"/>
      <c r="G47" s="26"/>
      <c r="H47" s="26"/>
      <c r="I47" s="26"/>
      <c r="J47" s="26"/>
      <c r="K47" s="26"/>
      <c r="L47" s="26"/>
      <c r="M47" s="26"/>
      <c r="N47" s="26"/>
    </row>
    <row r="48">
      <c r="A48" s="25" t="s">
        <v>259</v>
      </c>
      <c r="B48" s="61">
        <v>1350000.0</v>
      </c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</row>
    <row r="49">
      <c r="A49" s="25" t="s">
        <v>260</v>
      </c>
      <c r="B49" s="29">
        <f>4182000+10000000+10000000+28320584</f>
        <v>52502584</v>
      </c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</row>
    <row r="50">
      <c r="A50" s="25"/>
      <c r="B50" s="18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</row>
    <row r="51">
      <c r="A51" s="25"/>
      <c r="B51" s="18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</row>
    <row r="52">
      <c r="A52" s="25"/>
      <c r="B52" s="18"/>
      <c r="C52" s="34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</row>
    <row r="53">
      <c r="A53" s="67" t="s">
        <v>8</v>
      </c>
      <c r="B53" s="24">
        <f>SUM(B27:B52)</f>
        <v>73234998</v>
      </c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</row>
  </sheetData>
  <mergeCells count="1">
    <mergeCell ref="E28:K36"/>
  </mergeCells>
  <dataValidations>
    <dataValidation type="list" allowBlank="1" showErrorMessage="1" sqref="D2:D18">
      <formula1>"FUN DIVE,OPEN,AVANZADO,RESCUE,ESPECIALIDAD"</formula1>
    </dataValidation>
    <dataValidation type="list" allowBlank="1" showErrorMessage="1" sqref="H2:H16">
      <formula1>"Multiple,Pareja,Sencilla"</formula1>
    </dataValidation>
    <dataValidation type="list" allowBlank="1" showErrorMessage="1" sqref="N2:N18">
      <formula1>"S,M,L,XL,XXL"</formula1>
    </dataValidation>
    <dataValidation type="list" allowBlank="1" showErrorMessage="1" sqref="E2:E18">
      <formula1>"SI,NO"</formula1>
    </dataValidation>
  </dataValidations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13.5"/>
    <col customWidth="1" min="3" max="3" width="14.75"/>
    <col customWidth="1" min="4" max="4" width="8.63"/>
    <col customWidth="1" min="5" max="5" width="13.5"/>
    <col customWidth="1" min="6" max="6" width="11.13"/>
    <col customWidth="1" min="7" max="7" width="6.0"/>
    <col customWidth="1" min="8" max="8" width="16.75"/>
    <col customWidth="1" min="9" max="9" width="10.88"/>
    <col customWidth="1" min="10" max="10" width="12.13"/>
    <col customWidth="1" min="11" max="11" width="13.0"/>
    <col customWidth="1" min="12" max="12" width="12.63"/>
    <col customWidth="1" min="17" max="17" width="13.5"/>
    <col customWidth="1" min="18" max="18" width="5.88"/>
    <col customWidth="1" min="19" max="19" width="11.5"/>
    <col customWidth="1" min="23" max="23" width="13.5"/>
  </cols>
  <sheetData>
    <row r="1">
      <c r="A1" s="12" t="s">
        <v>20</v>
      </c>
      <c r="B1" s="12" t="s">
        <v>21</v>
      </c>
      <c r="C1" s="12" t="s">
        <v>22</v>
      </c>
      <c r="D1" s="12" t="s">
        <v>23</v>
      </c>
      <c r="E1" s="12" t="s">
        <v>24</v>
      </c>
      <c r="F1" s="12" t="s">
        <v>25</v>
      </c>
      <c r="G1" s="12" t="s">
        <v>26</v>
      </c>
      <c r="H1" s="12" t="s">
        <v>27</v>
      </c>
      <c r="I1" s="12" t="s">
        <v>29</v>
      </c>
      <c r="J1" s="12" t="s">
        <v>30</v>
      </c>
      <c r="K1" s="12" t="s">
        <v>31</v>
      </c>
      <c r="L1" s="12" t="s">
        <v>32</v>
      </c>
    </row>
    <row r="2">
      <c r="A2" s="14"/>
      <c r="B2" s="16"/>
      <c r="C2" s="15" t="s">
        <v>51</v>
      </c>
      <c r="D2" s="16" t="s">
        <v>48</v>
      </c>
      <c r="E2" s="15" t="s">
        <v>261</v>
      </c>
      <c r="F2" s="25" t="s">
        <v>41</v>
      </c>
      <c r="G2" s="18"/>
      <c r="H2" s="20">
        <f>3980500+350000</f>
        <v>4330500</v>
      </c>
      <c r="I2" s="20">
        <f>500000+1500000+2190000+350000</f>
        <v>4540000</v>
      </c>
      <c r="J2" s="16"/>
      <c r="K2" s="19">
        <f t="shared" ref="K2:K6" si="1">H2-(I2-J2)</f>
        <v>-209500</v>
      </c>
      <c r="L2" s="16"/>
    </row>
    <row r="3">
      <c r="A3" s="15">
        <v>294000.0</v>
      </c>
      <c r="B3" s="16"/>
      <c r="C3" s="16" t="s">
        <v>47</v>
      </c>
      <c r="D3" s="16" t="s">
        <v>48</v>
      </c>
      <c r="E3" s="15" t="s">
        <v>262</v>
      </c>
      <c r="F3" s="25" t="s">
        <v>41</v>
      </c>
      <c r="G3" s="18"/>
      <c r="H3" s="20">
        <f t="shared" ref="H3:H4" si="2">3980500+1100000+350000</f>
        <v>5430500</v>
      </c>
      <c r="I3" s="21">
        <f>1000000+2000000+1000000+350000+1080500</f>
        <v>5430500</v>
      </c>
      <c r="J3" s="16"/>
      <c r="K3" s="19">
        <f t="shared" si="1"/>
        <v>0</v>
      </c>
      <c r="L3" s="16"/>
    </row>
    <row r="4">
      <c r="A4" s="15">
        <v>294000.0</v>
      </c>
      <c r="B4" s="16"/>
      <c r="C4" s="16" t="s">
        <v>47</v>
      </c>
      <c r="D4" s="16" t="s">
        <v>48</v>
      </c>
      <c r="E4" s="15" t="s">
        <v>263</v>
      </c>
      <c r="F4" s="25" t="s">
        <v>41</v>
      </c>
      <c r="G4" s="18"/>
      <c r="H4" s="20">
        <f t="shared" si="2"/>
        <v>5430500</v>
      </c>
      <c r="I4" s="21">
        <f>3000000+1500000+350000+580500</f>
        <v>5430500</v>
      </c>
      <c r="J4" s="16"/>
      <c r="K4" s="19">
        <f t="shared" si="1"/>
        <v>0</v>
      </c>
      <c r="L4" s="16"/>
    </row>
    <row r="5">
      <c r="A5" s="16"/>
      <c r="B5" s="16"/>
      <c r="C5" s="15" t="s">
        <v>51</v>
      </c>
      <c r="D5" s="16" t="s">
        <v>48</v>
      </c>
      <c r="E5" s="15" t="s">
        <v>264</v>
      </c>
      <c r="F5" s="25" t="s">
        <v>41</v>
      </c>
      <c r="G5" s="18"/>
      <c r="H5" s="21">
        <f>3990000+350000</f>
        <v>4340000</v>
      </c>
      <c r="I5" s="21">
        <f>3000000+990000+350000</f>
        <v>4340000</v>
      </c>
      <c r="J5" s="16"/>
      <c r="K5" s="19">
        <f t="shared" si="1"/>
        <v>0</v>
      </c>
      <c r="L5" s="16"/>
    </row>
    <row r="6">
      <c r="A6" s="15">
        <v>294000.0</v>
      </c>
      <c r="B6" s="16"/>
      <c r="C6" s="16" t="s">
        <v>47</v>
      </c>
      <c r="D6" s="16" t="s">
        <v>48</v>
      </c>
      <c r="E6" s="15" t="s">
        <v>159</v>
      </c>
      <c r="F6" s="25" t="s">
        <v>41</v>
      </c>
      <c r="G6" s="18"/>
      <c r="H6" s="20">
        <f>3980500+1050000+350000</f>
        <v>5380500</v>
      </c>
      <c r="I6" s="21">
        <f>2000000+3025500</f>
        <v>5025500</v>
      </c>
      <c r="J6" s="25"/>
      <c r="K6" s="19">
        <f t="shared" si="1"/>
        <v>355000</v>
      </c>
      <c r="L6" s="16"/>
    </row>
    <row r="7">
      <c r="A7" s="16"/>
      <c r="B7" s="16"/>
      <c r="C7" s="15" t="s">
        <v>51</v>
      </c>
      <c r="D7" s="16" t="s">
        <v>48</v>
      </c>
      <c r="E7" s="15" t="s">
        <v>265</v>
      </c>
      <c r="F7" s="25" t="s">
        <v>41</v>
      </c>
      <c r="G7" s="18"/>
      <c r="H7" s="21">
        <f>3980500+483200+350000</f>
        <v>4813700</v>
      </c>
      <c r="I7" s="21">
        <v>350000.0</v>
      </c>
      <c r="J7" s="21">
        <v>4463700.0</v>
      </c>
      <c r="K7" s="19">
        <f t="shared" ref="K7:K14" si="3">H7-I7-J7</f>
        <v>0</v>
      </c>
      <c r="L7" s="16"/>
    </row>
    <row r="8">
      <c r="A8" s="16"/>
      <c r="B8" s="16"/>
      <c r="C8" s="15" t="s">
        <v>51</v>
      </c>
      <c r="D8" s="16" t="s">
        <v>48</v>
      </c>
      <c r="E8" s="15" t="s">
        <v>266</v>
      </c>
      <c r="F8" s="25" t="s">
        <v>41</v>
      </c>
      <c r="G8" s="18"/>
      <c r="H8" s="20">
        <f>3980500+350000</f>
        <v>4330500</v>
      </c>
      <c r="I8" s="21">
        <f>1000000+1000000+1980500+350000</f>
        <v>4330500</v>
      </c>
      <c r="J8" s="25"/>
      <c r="K8" s="19">
        <f t="shared" si="3"/>
        <v>0</v>
      </c>
      <c r="L8" s="16"/>
      <c r="P8" s="81" t="s">
        <v>267</v>
      </c>
      <c r="Q8" s="81" t="s">
        <v>95</v>
      </c>
    </row>
    <row r="9">
      <c r="A9" s="15">
        <v>294000.0</v>
      </c>
      <c r="B9" s="16"/>
      <c r="C9" s="15" t="s">
        <v>51</v>
      </c>
      <c r="D9" s="15" t="s">
        <v>35</v>
      </c>
      <c r="E9" s="15" t="s">
        <v>268</v>
      </c>
      <c r="F9" s="25" t="s">
        <v>41</v>
      </c>
      <c r="G9" s="18"/>
      <c r="H9" s="20">
        <f>3980500+1100000+350000</f>
        <v>5430500</v>
      </c>
      <c r="I9" s="21">
        <f>1450000+3980500</f>
        <v>5430500</v>
      </c>
      <c r="J9" s="25"/>
      <c r="K9" s="19">
        <f t="shared" si="3"/>
        <v>0</v>
      </c>
      <c r="L9" s="16"/>
      <c r="P9" s="9" t="s">
        <v>269</v>
      </c>
      <c r="Q9" s="9">
        <v>12.0</v>
      </c>
    </row>
    <row r="10">
      <c r="A10" s="16"/>
      <c r="B10" s="16"/>
      <c r="C10" s="15" t="s">
        <v>51</v>
      </c>
      <c r="D10" s="16" t="s">
        <v>48</v>
      </c>
      <c r="E10" s="15" t="s">
        <v>270</v>
      </c>
      <c r="F10" s="25" t="s">
        <v>41</v>
      </c>
      <c r="G10" s="18"/>
      <c r="H10" s="20">
        <f>350000+690000</f>
        <v>1040000</v>
      </c>
      <c r="I10" s="21">
        <f>690000+350000</f>
        <v>1040000</v>
      </c>
      <c r="J10" s="16"/>
      <c r="K10" s="19">
        <f t="shared" si="3"/>
        <v>0</v>
      </c>
      <c r="L10" s="16"/>
    </row>
    <row r="11">
      <c r="A11" s="15">
        <v>324500.0</v>
      </c>
      <c r="B11" s="15">
        <v>324500.0</v>
      </c>
      <c r="C11" s="15" t="s">
        <v>34</v>
      </c>
      <c r="D11" s="16" t="s">
        <v>48</v>
      </c>
      <c r="E11" s="15" t="s">
        <v>271</v>
      </c>
      <c r="F11" s="25" t="s">
        <v>41</v>
      </c>
      <c r="G11" s="18"/>
      <c r="H11" s="21">
        <v>1745000.0</v>
      </c>
      <c r="I11" s="21">
        <v>1745000.0</v>
      </c>
      <c r="J11" s="16"/>
      <c r="K11" s="19">
        <f t="shared" si="3"/>
        <v>0</v>
      </c>
      <c r="L11" s="16"/>
    </row>
    <row r="12">
      <c r="A12" s="16"/>
      <c r="B12" s="16"/>
      <c r="C12" s="15" t="s">
        <v>51</v>
      </c>
      <c r="D12" s="16" t="s">
        <v>48</v>
      </c>
      <c r="E12" s="15" t="s">
        <v>173</v>
      </c>
      <c r="F12" s="25" t="s">
        <v>41</v>
      </c>
      <c r="G12" s="18"/>
      <c r="H12" s="23"/>
      <c r="I12" s="23"/>
      <c r="J12" s="16"/>
      <c r="K12" s="19">
        <f t="shared" si="3"/>
        <v>0</v>
      </c>
      <c r="L12" s="16"/>
    </row>
    <row r="13">
      <c r="A13" s="16"/>
      <c r="B13" s="16"/>
      <c r="C13" s="15" t="s">
        <v>51</v>
      </c>
      <c r="D13" s="16" t="s">
        <v>48</v>
      </c>
      <c r="E13" s="15" t="s">
        <v>272</v>
      </c>
      <c r="F13" s="25" t="s">
        <v>41</v>
      </c>
      <c r="G13" s="18"/>
      <c r="H13" s="21">
        <f>3980500+350000</f>
        <v>4330500</v>
      </c>
      <c r="I13" s="23"/>
      <c r="J13" s="16"/>
      <c r="K13" s="19">
        <f t="shared" si="3"/>
        <v>4330500</v>
      </c>
      <c r="L13" s="16"/>
    </row>
    <row r="14">
      <c r="A14" s="15">
        <v>294000.0</v>
      </c>
      <c r="B14" s="16"/>
      <c r="C14" s="15" t="s">
        <v>51</v>
      </c>
      <c r="D14" s="16" t="s">
        <v>48</v>
      </c>
      <c r="E14" s="15" t="s">
        <v>273</v>
      </c>
      <c r="F14" s="25" t="s">
        <v>41</v>
      </c>
      <c r="G14" s="18"/>
      <c r="H14" s="21">
        <f>1390000+350000</f>
        <v>1740000</v>
      </c>
      <c r="I14" s="21">
        <v>1390000.0</v>
      </c>
      <c r="J14" s="21">
        <v>350000.0</v>
      </c>
      <c r="K14" s="19">
        <f t="shared" si="3"/>
        <v>0</v>
      </c>
      <c r="L14" s="16"/>
    </row>
    <row r="15">
      <c r="A15" s="16"/>
      <c r="B15" s="16"/>
      <c r="C15" s="16"/>
      <c r="D15" s="16"/>
      <c r="E15" s="16" t="s">
        <v>60</v>
      </c>
      <c r="F15" s="22" t="s">
        <v>61</v>
      </c>
      <c r="G15" s="18"/>
      <c r="H15" s="23"/>
      <c r="I15" s="23"/>
      <c r="J15" s="16"/>
      <c r="K15" s="19">
        <f>H15-(I15-J15)</f>
        <v>0</v>
      </c>
      <c r="L15" s="16"/>
    </row>
    <row r="16">
      <c r="A16" s="16"/>
      <c r="B16" s="16"/>
      <c r="C16" s="16"/>
      <c r="D16" s="16"/>
      <c r="E16" s="16" t="s">
        <v>62</v>
      </c>
      <c r="F16" s="22" t="s">
        <v>61</v>
      </c>
      <c r="G16" s="23"/>
      <c r="H16" s="23"/>
      <c r="I16" s="23"/>
      <c r="J16" s="16"/>
      <c r="K16" s="16"/>
      <c r="L16" s="16"/>
    </row>
    <row r="17">
      <c r="A17" s="24">
        <f>SUM(A2:A16)</f>
        <v>1794500</v>
      </c>
      <c r="B17" s="16"/>
      <c r="C17" s="16"/>
      <c r="D17" s="16"/>
      <c r="E17" s="25"/>
      <c r="F17" s="25"/>
      <c r="G17" s="24" t="s">
        <v>63</v>
      </c>
      <c r="H17" s="24">
        <f t="shared" ref="H17:K17" si="4">SUM(H2:H16)</f>
        <v>48342200</v>
      </c>
      <c r="I17" s="24">
        <f t="shared" si="4"/>
        <v>39052500</v>
      </c>
      <c r="J17" s="24">
        <f t="shared" si="4"/>
        <v>4813700</v>
      </c>
      <c r="K17" s="24">
        <f t="shared" si="4"/>
        <v>4476000</v>
      </c>
      <c r="L17" s="16"/>
    </row>
    <row r="18">
      <c r="A18" s="26"/>
      <c r="B18" s="26"/>
      <c r="C18" s="26"/>
      <c r="D18" s="26"/>
      <c r="E18" s="26"/>
      <c r="F18" s="27"/>
      <c r="G18" s="27"/>
      <c r="H18" s="22" t="s">
        <v>64</v>
      </c>
      <c r="I18" s="24">
        <f>SUM(I17+J17)-B41</f>
        <v>8425142</v>
      </c>
      <c r="J18" s="26"/>
      <c r="K18" s="26"/>
      <c r="L18" s="26"/>
    </row>
    <row r="19">
      <c r="A19" s="26"/>
      <c r="B19" s="26"/>
      <c r="C19" s="26"/>
      <c r="D19" s="26"/>
      <c r="E19" s="26"/>
      <c r="F19" s="26"/>
      <c r="G19" s="26"/>
      <c r="H19" s="28" t="s">
        <v>65</v>
      </c>
      <c r="I19" s="29">
        <f>(H17*4)/1000</f>
        <v>193368.8</v>
      </c>
      <c r="J19" s="26"/>
      <c r="K19" s="26"/>
      <c r="L19" s="26"/>
      <c r="Q19" s="17" t="s">
        <v>261</v>
      </c>
      <c r="R19" s="82" t="s">
        <v>50</v>
      </c>
      <c r="S19" s="4" t="s">
        <v>274</v>
      </c>
    </row>
    <row r="20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Q20" s="17" t="s">
        <v>270</v>
      </c>
      <c r="R20" s="83"/>
      <c r="S20" s="4" t="s">
        <v>274</v>
      </c>
      <c r="W20" s="17" t="s">
        <v>261</v>
      </c>
      <c r="X20" s="82" t="s">
        <v>50</v>
      </c>
      <c r="Y20" s="4" t="s">
        <v>274</v>
      </c>
    </row>
    <row r="21">
      <c r="A21" s="28" t="s">
        <v>66</v>
      </c>
      <c r="B21" s="30"/>
      <c r="C21" s="26"/>
      <c r="D21" s="26" t="s">
        <v>67</v>
      </c>
      <c r="E21" s="26"/>
      <c r="F21" s="26"/>
      <c r="G21" s="26"/>
      <c r="H21" s="26"/>
      <c r="I21" s="26"/>
      <c r="J21" s="26"/>
      <c r="K21" s="26"/>
      <c r="L21" s="26"/>
      <c r="Q21" s="17" t="s">
        <v>275</v>
      </c>
      <c r="R21" s="82" t="s">
        <v>276</v>
      </c>
      <c r="S21" s="4" t="s">
        <v>274</v>
      </c>
      <c r="W21" s="17" t="s">
        <v>270</v>
      </c>
      <c r="X21" s="83"/>
      <c r="Y21" s="4" t="s">
        <v>274</v>
      </c>
    </row>
    <row r="22">
      <c r="A22" s="25" t="s">
        <v>20</v>
      </c>
      <c r="B22" s="29">
        <f>A17</f>
        <v>1794500</v>
      </c>
      <c r="C22" s="26"/>
      <c r="D22" s="31"/>
      <c r="E22" s="31"/>
      <c r="F22" s="31"/>
      <c r="G22" s="31"/>
      <c r="H22" s="31"/>
      <c r="I22" s="31"/>
      <c r="J22" s="31"/>
      <c r="K22" s="26"/>
      <c r="L22" s="26"/>
      <c r="Q22" s="84" t="s">
        <v>171</v>
      </c>
      <c r="R22" s="85"/>
      <c r="S22" s="84" t="s">
        <v>277</v>
      </c>
      <c r="W22" s="86" t="s">
        <v>275</v>
      </c>
      <c r="X22" s="87" t="s">
        <v>276</v>
      </c>
      <c r="Y22" s="88" t="s">
        <v>274</v>
      </c>
    </row>
    <row r="23">
      <c r="A23" s="17" t="s">
        <v>68</v>
      </c>
      <c r="B23" s="33">
        <f>1449600+1145200</f>
        <v>2594800</v>
      </c>
      <c r="C23" s="26"/>
      <c r="D23" s="37" t="s">
        <v>85</v>
      </c>
      <c r="K23" s="26"/>
      <c r="L23" s="26"/>
      <c r="Q23" s="17" t="s">
        <v>264</v>
      </c>
      <c r="R23" s="83"/>
      <c r="S23" s="4" t="s">
        <v>274</v>
      </c>
      <c r="W23" s="88" t="s">
        <v>171</v>
      </c>
      <c r="X23" s="85"/>
      <c r="Y23" s="88" t="s">
        <v>277</v>
      </c>
    </row>
    <row r="24">
      <c r="A24" s="17" t="s">
        <v>72</v>
      </c>
      <c r="B24" s="33">
        <v>7916000.0</v>
      </c>
      <c r="K24" s="26"/>
      <c r="L24" s="26"/>
      <c r="Q24" s="4" t="s">
        <v>278</v>
      </c>
      <c r="R24" s="82" t="s">
        <v>50</v>
      </c>
      <c r="S24" s="4" t="s">
        <v>274</v>
      </c>
      <c r="W24" s="86" t="s">
        <v>264</v>
      </c>
      <c r="X24" s="83"/>
      <c r="Y24" s="88" t="s">
        <v>274</v>
      </c>
    </row>
    <row r="25">
      <c r="A25" s="17" t="s">
        <v>279</v>
      </c>
      <c r="B25" s="33">
        <v>200000.0</v>
      </c>
      <c r="C25" s="26"/>
      <c r="K25" s="26"/>
      <c r="L25" s="26"/>
      <c r="Q25" s="17" t="s">
        <v>273</v>
      </c>
      <c r="R25" s="83"/>
      <c r="S25" s="4" t="s">
        <v>274</v>
      </c>
      <c r="W25" s="4" t="s">
        <v>278</v>
      </c>
      <c r="X25" s="82" t="s">
        <v>276</v>
      </c>
      <c r="Y25" s="4" t="s">
        <v>274</v>
      </c>
    </row>
    <row r="26">
      <c r="A26" s="17" t="s">
        <v>280</v>
      </c>
      <c r="B26" s="33">
        <f>453200+689484</f>
        <v>1142684</v>
      </c>
      <c r="C26" s="26"/>
      <c r="K26" s="26"/>
      <c r="L26" s="26"/>
      <c r="Q26" s="17" t="s">
        <v>159</v>
      </c>
      <c r="R26" s="82" t="s">
        <v>50</v>
      </c>
      <c r="S26" s="4" t="s">
        <v>274</v>
      </c>
      <c r="W26" s="17" t="s">
        <v>273</v>
      </c>
      <c r="X26" s="85"/>
      <c r="Y26" s="4" t="s">
        <v>274</v>
      </c>
    </row>
    <row r="27">
      <c r="A27" s="17" t="s">
        <v>157</v>
      </c>
      <c r="B27" s="33">
        <v>1.421E7</v>
      </c>
      <c r="C27" s="26"/>
      <c r="K27" s="26"/>
      <c r="L27" s="26"/>
      <c r="Q27" s="17" t="s">
        <v>271</v>
      </c>
      <c r="R27" s="83"/>
      <c r="S27" s="4" t="s">
        <v>281</v>
      </c>
      <c r="T27" s="9">
        <v>220000.0</v>
      </c>
      <c r="U27" s="9">
        <v>160000.0</v>
      </c>
      <c r="W27" s="17" t="s">
        <v>159</v>
      </c>
      <c r="X27" s="83"/>
      <c r="Y27" s="4" t="s">
        <v>274</v>
      </c>
    </row>
    <row r="28">
      <c r="A28" s="17" t="s">
        <v>282</v>
      </c>
      <c r="B28" s="29">
        <f>120000+68000+153000+27000+30000+123600+84000+84000+545000+65000+65000+45000+34000+32900+140000</f>
        <v>1616500</v>
      </c>
      <c r="C28" s="26"/>
      <c r="K28" s="26"/>
      <c r="L28" s="26"/>
      <c r="Q28" s="17" t="s">
        <v>266</v>
      </c>
      <c r="R28" s="82" t="s">
        <v>41</v>
      </c>
      <c r="S28" s="4" t="s">
        <v>274</v>
      </c>
      <c r="W28" s="89" t="s">
        <v>271</v>
      </c>
      <c r="X28" s="90" t="s">
        <v>283</v>
      </c>
      <c r="Y28" s="91" t="s">
        <v>281</v>
      </c>
    </row>
    <row r="29">
      <c r="A29" s="17" t="s">
        <v>284</v>
      </c>
      <c r="B29" s="29">
        <f>45000+15000+50000+153000+27000+28000+120000+28000+40000+40000+35000+25000+13000</f>
        <v>619000</v>
      </c>
      <c r="C29" s="26"/>
      <c r="K29" s="26"/>
      <c r="L29" s="26"/>
      <c r="Q29" s="17" t="s">
        <v>268</v>
      </c>
      <c r="R29" s="83"/>
      <c r="S29" s="4" t="s">
        <v>274</v>
      </c>
      <c r="W29" s="17" t="s">
        <v>266</v>
      </c>
      <c r="X29" s="82" t="s">
        <v>41</v>
      </c>
      <c r="Y29" s="4" t="s">
        <v>274</v>
      </c>
    </row>
    <row r="30">
      <c r="A30" s="17" t="s">
        <v>285</v>
      </c>
      <c r="B30" s="33">
        <v>5347574.0</v>
      </c>
      <c r="C30" s="26"/>
      <c r="K30" s="26"/>
      <c r="L30" s="26"/>
      <c r="Q30" s="4" t="s">
        <v>286</v>
      </c>
      <c r="R30" s="82" t="s">
        <v>41</v>
      </c>
      <c r="S30" s="4" t="s">
        <v>274</v>
      </c>
      <c r="W30" s="17" t="s">
        <v>268</v>
      </c>
      <c r="X30" s="83"/>
      <c r="Y30" s="4" t="s">
        <v>274</v>
      </c>
    </row>
    <row r="31">
      <c r="A31" s="25"/>
      <c r="B31" s="29">
        <v>0.0</v>
      </c>
      <c r="C31" s="26"/>
      <c r="K31" s="26"/>
      <c r="L31" s="26"/>
      <c r="Q31" s="17" t="s">
        <v>173</v>
      </c>
      <c r="R31" s="83"/>
      <c r="S31" s="4" t="s">
        <v>274</v>
      </c>
      <c r="W31" s="4" t="s">
        <v>286</v>
      </c>
      <c r="X31" s="82" t="s">
        <v>41</v>
      </c>
      <c r="Y31" s="4" t="s">
        <v>274</v>
      </c>
    </row>
    <row r="32">
      <c r="A32" s="25"/>
      <c r="B32" s="29">
        <v>0.0</v>
      </c>
      <c r="C32" s="26"/>
      <c r="D32" s="26"/>
      <c r="E32" s="26"/>
      <c r="F32" s="26"/>
      <c r="G32" s="26"/>
      <c r="H32" s="26"/>
      <c r="I32" s="26"/>
      <c r="J32" s="26"/>
      <c r="K32" s="26"/>
      <c r="L32" s="26"/>
      <c r="Q32" s="17" t="s">
        <v>262</v>
      </c>
      <c r="R32" s="82" t="s">
        <v>41</v>
      </c>
      <c r="S32" s="4" t="s">
        <v>274</v>
      </c>
      <c r="W32" s="17" t="s">
        <v>173</v>
      </c>
      <c r="X32" s="83"/>
      <c r="Y32" s="4" t="s">
        <v>274</v>
      </c>
    </row>
    <row r="33">
      <c r="A33" s="25"/>
      <c r="B33" s="29">
        <v>0.0</v>
      </c>
      <c r="C33" s="26"/>
      <c r="D33" s="26"/>
      <c r="E33" s="26"/>
      <c r="F33" s="26"/>
      <c r="G33" s="26"/>
      <c r="H33" s="26"/>
      <c r="I33" s="26"/>
      <c r="J33" s="26"/>
      <c r="K33" s="26"/>
      <c r="L33" s="26"/>
      <c r="Q33" s="17" t="s">
        <v>263</v>
      </c>
      <c r="R33" s="83"/>
      <c r="S33" s="4" t="s">
        <v>274</v>
      </c>
      <c r="W33" s="17" t="s">
        <v>262</v>
      </c>
      <c r="X33" s="82" t="s">
        <v>41</v>
      </c>
      <c r="Y33" s="4" t="s">
        <v>274</v>
      </c>
    </row>
    <row r="34">
      <c r="A34" s="25"/>
      <c r="B34" s="29">
        <v>0.0</v>
      </c>
      <c r="C34" s="26"/>
      <c r="D34" s="26"/>
      <c r="E34" s="26"/>
      <c r="F34" s="26"/>
      <c r="G34" s="26"/>
      <c r="H34" s="26"/>
      <c r="I34" s="26"/>
      <c r="J34" s="26"/>
      <c r="K34" s="26"/>
      <c r="L34" s="26"/>
      <c r="W34" s="17" t="s">
        <v>263</v>
      </c>
      <c r="X34" s="83"/>
      <c r="Y34" s="4" t="s">
        <v>274</v>
      </c>
    </row>
    <row r="35">
      <c r="A35" s="25"/>
      <c r="B35" s="29">
        <v>0.0</v>
      </c>
      <c r="C35" s="26"/>
      <c r="D35" s="26"/>
      <c r="E35" s="26"/>
      <c r="F35" s="26"/>
      <c r="G35" s="26"/>
      <c r="H35" s="26"/>
      <c r="I35" s="26"/>
      <c r="J35" s="26"/>
      <c r="K35" s="26"/>
      <c r="L35" s="26"/>
    </row>
    <row r="36">
      <c r="A36" s="25"/>
      <c r="B36" s="29">
        <v>0.0</v>
      </c>
      <c r="C36" s="26"/>
      <c r="D36" s="26"/>
      <c r="E36" s="26"/>
      <c r="F36" s="26"/>
      <c r="G36" s="26"/>
      <c r="H36" s="26"/>
      <c r="I36" s="26"/>
      <c r="J36" s="26"/>
      <c r="K36" s="26"/>
      <c r="L36" s="26"/>
    </row>
    <row r="37">
      <c r="A37" s="25"/>
      <c r="B37" s="29">
        <v>0.0</v>
      </c>
      <c r="C37" s="26"/>
      <c r="D37" s="26"/>
      <c r="E37" s="26"/>
      <c r="F37" s="26"/>
      <c r="G37" s="26"/>
      <c r="H37" s="26"/>
      <c r="I37" s="26"/>
      <c r="J37" s="26"/>
      <c r="K37" s="26"/>
      <c r="L37" s="26"/>
      <c r="N37" s="4"/>
    </row>
    <row r="38">
      <c r="A38" s="25" t="s">
        <v>76</v>
      </c>
      <c r="B38" s="29">
        <v>0.0</v>
      </c>
      <c r="C38" s="26"/>
      <c r="D38" s="26"/>
      <c r="E38" s="26"/>
      <c r="F38" s="26"/>
      <c r="G38" s="26"/>
      <c r="H38" s="26"/>
      <c r="I38" s="26"/>
      <c r="J38" s="26"/>
      <c r="K38" s="26"/>
      <c r="L38" s="26"/>
      <c r="N38" s="4"/>
      <c r="O38" s="29"/>
    </row>
    <row r="39">
      <c r="A39" s="25"/>
      <c r="B39" s="29">
        <v>0.0</v>
      </c>
      <c r="C39" s="26"/>
      <c r="D39" s="26"/>
      <c r="E39" s="26"/>
      <c r="F39" s="26"/>
      <c r="G39" s="26"/>
      <c r="H39" s="26"/>
      <c r="I39" s="26"/>
      <c r="J39" s="26"/>
      <c r="K39" s="26"/>
      <c r="L39" s="26"/>
      <c r="N39" s="4"/>
      <c r="O39" s="38"/>
    </row>
    <row r="40">
      <c r="A40" s="25"/>
      <c r="B40" s="29">
        <v>0.0</v>
      </c>
      <c r="C40" s="18"/>
      <c r="D40" s="26"/>
      <c r="E40" s="26"/>
      <c r="F40" s="26"/>
      <c r="G40" s="26"/>
      <c r="H40" s="26"/>
      <c r="I40" s="26"/>
      <c r="J40" s="26"/>
      <c r="K40" s="26"/>
      <c r="L40" s="26"/>
      <c r="N40" s="4"/>
      <c r="O40" s="29"/>
    </row>
    <row r="41">
      <c r="A41" s="28" t="s">
        <v>8</v>
      </c>
      <c r="B41" s="35">
        <f>SUM(B22:B40)</f>
        <v>35441058</v>
      </c>
      <c r="C41" s="26"/>
      <c r="D41" s="26"/>
      <c r="E41" s="26"/>
      <c r="F41" s="26"/>
      <c r="G41" s="26"/>
      <c r="H41" s="26"/>
      <c r="I41" s="26"/>
      <c r="J41" s="26"/>
      <c r="K41" s="26"/>
      <c r="L41" s="26"/>
      <c r="N41" s="4"/>
      <c r="O41" s="38"/>
      <c r="R41" s="82"/>
      <c r="T41" s="82" t="s">
        <v>276</v>
      </c>
      <c r="U41" s="4" t="s">
        <v>274</v>
      </c>
    </row>
    <row r="42">
      <c r="R42" s="83"/>
      <c r="T42" s="85"/>
      <c r="U42" s="4" t="s">
        <v>274</v>
      </c>
    </row>
    <row r="43">
      <c r="T43" s="83"/>
      <c r="U43" s="4" t="s">
        <v>274</v>
      </c>
    </row>
    <row r="44">
      <c r="R44" s="9" t="s">
        <v>274</v>
      </c>
    </row>
    <row r="45">
      <c r="R45" s="9" t="s">
        <v>274</v>
      </c>
    </row>
  </sheetData>
  <mergeCells count="16">
    <mergeCell ref="R26:R27"/>
    <mergeCell ref="R28:R29"/>
    <mergeCell ref="R24:R25"/>
    <mergeCell ref="R30:R31"/>
    <mergeCell ref="R32:R33"/>
    <mergeCell ref="R41:R42"/>
    <mergeCell ref="T41:T43"/>
    <mergeCell ref="X31:X32"/>
    <mergeCell ref="X33:X34"/>
    <mergeCell ref="R19:R20"/>
    <mergeCell ref="X20:X21"/>
    <mergeCell ref="R21:R23"/>
    <mergeCell ref="X22:X24"/>
    <mergeCell ref="D23:J31"/>
    <mergeCell ref="X25:X27"/>
    <mergeCell ref="X29:X30"/>
  </mergeCells>
  <dataValidations>
    <dataValidation type="list" allowBlank="1" showErrorMessage="1" sqref="C2:C14">
      <formula1>"FUN DIVE,OPEN,AVANZADO,RESCUE,ESPECIALIDAD"</formula1>
    </dataValidation>
    <dataValidation type="list" allowBlank="1" showErrorMessage="1" sqref="F2:F14">
      <formula1>"Multiple,Pareja,Sencilla"</formula1>
    </dataValidation>
    <dataValidation type="list" allowBlank="1" showErrorMessage="1" sqref="D2:D14">
      <formula1>"SI,NO"</formula1>
    </dataValidation>
  </dataValidations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5" max="5" width="14.75"/>
    <col customWidth="1" min="7" max="7" width="6.0"/>
    <col customWidth="1" min="8" max="8" width="16.75"/>
  </cols>
  <sheetData>
    <row r="1">
      <c r="A1" s="12" t="s">
        <v>20</v>
      </c>
      <c r="B1" s="12" t="s">
        <v>21</v>
      </c>
      <c r="C1" s="12" t="s">
        <v>22</v>
      </c>
      <c r="D1" s="12" t="s">
        <v>23</v>
      </c>
      <c r="E1" s="12" t="s">
        <v>24</v>
      </c>
      <c r="F1" s="12" t="s">
        <v>25</v>
      </c>
      <c r="G1" s="12" t="s">
        <v>26</v>
      </c>
      <c r="H1" s="12" t="s">
        <v>27</v>
      </c>
      <c r="I1" s="12" t="s">
        <v>29</v>
      </c>
      <c r="J1" s="12" t="s">
        <v>30</v>
      </c>
      <c r="K1" s="12" t="s">
        <v>31</v>
      </c>
      <c r="L1" s="12" t="s">
        <v>32</v>
      </c>
    </row>
    <row r="2">
      <c r="A2" s="14"/>
      <c r="B2" s="16"/>
      <c r="C2" s="16" t="s">
        <v>47</v>
      </c>
      <c r="D2" s="16" t="s">
        <v>48</v>
      </c>
      <c r="E2" s="15" t="s">
        <v>287</v>
      </c>
      <c r="F2" s="25" t="s">
        <v>41</v>
      </c>
      <c r="G2" s="18"/>
      <c r="H2" s="20">
        <v>3990000.0</v>
      </c>
      <c r="I2" s="20">
        <v>1000000.0</v>
      </c>
      <c r="J2" s="16"/>
      <c r="K2" s="19">
        <f t="shared" ref="K2:K7" si="1">H2-(I2-J2)</f>
        <v>2990000</v>
      </c>
      <c r="L2" s="16"/>
    </row>
    <row r="3">
      <c r="A3" s="16"/>
      <c r="B3" s="16"/>
      <c r="C3" s="16"/>
      <c r="D3" s="16" t="s">
        <v>48</v>
      </c>
      <c r="E3" s="15" t="s">
        <v>288</v>
      </c>
      <c r="F3" s="25"/>
      <c r="G3" s="18"/>
      <c r="H3" s="20">
        <v>3990000.0</v>
      </c>
      <c r="I3" s="21">
        <v>2000000.0</v>
      </c>
      <c r="J3" s="16"/>
      <c r="K3" s="19">
        <f t="shared" si="1"/>
        <v>1990000</v>
      </c>
      <c r="L3" s="16"/>
    </row>
    <row r="4">
      <c r="A4" s="16"/>
      <c r="B4" s="16"/>
      <c r="C4" s="16"/>
      <c r="D4" s="16" t="s">
        <v>48</v>
      </c>
      <c r="E4" s="15"/>
      <c r="F4" s="25"/>
      <c r="G4" s="18"/>
      <c r="H4" s="21"/>
      <c r="I4" s="21"/>
      <c r="J4" s="16"/>
      <c r="K4" s="19">
        <f t="shared" si="1"/>
        <v>0</v>
      </c>
      <c r="L4" s="16"/>
    </row>
    <row r="5">
      <c r="A5" s="16"/>
      <c r="B5" s="16"/>
      <c r="C5" s="16"/>
      <c r="D5" s="16" t="s">
        <v>48</v>
      </c>
      <c r="E5" s="15"/>
      <c r="F5" s="25"/>
      <c r="G5" s="18"/>
      <c r="H5" s="21"/>
      <c r="I5" s="23"/>
      <c r="J5" s="16"/>
      <c r="K5" s="19">
        <f t="shared" si="1"/>
        <v>0</v>
      </c>
      <c r="L5" s="16"/>
    </row>
    <row r="6">
      <c r="A6" s="16"/>
      <c r="B6" s="16"/>
      <c r="C6" s="16"/>
      <c r="D6" s="16" t="s">
        <v>48</v>
      </c>
      <c r="E6" s="16"/>
      <c r="F6" s="25"/>
      <c r="G6" s="18"/>
      <c r="H6" s="23"/>
      <c r="I6" s="23"/>
      <c r="J6" s="16"/>
      <c r="K6" s="19">
        <f t="shared" si="1"/>
        <v>0</v>
      </c>
      <c r="L6" s="16"/>
    </row>
    <row r="7">
      <c r="A7" s="16"/>
      <c r="B7" s="16"/>
      <c r="C7" s="16"/>
      <c r="D7" s="16"/>
      <c r="E7" s="16"/>
      <c r="F7" s="16"/>
      <c r="G7" s="18"/>
      <c r="H7" s="23"/>
      <c r="I7" s="23"/>
      <c r="J7" s="16"/>
      <c r="K7" s="19">
        <f t="shared" si="1"/>
        <v>0</v>
      </c>
      <c r="L7" s="16"/>
    </row>
    <row r="8">
      <c r="A8" s="16"/>
      <c r="B8" s="16"/>
      <c r="C8" s="16"/>
      <c r="D8" s="16"/>
      <c r="E8" s="16" t="s">
        <v>60</v>
      </c>
      <c r="F8" s="22" t="s">
        <v>61</v>
      </c>
      <c r="G8" s="18"/>
      <c r="H8" s="23"/>
      <c r="I8" s="23"/>
      <c r="J8" s="16"/>
      <c r="K8" s="23"/>
      <c r="L8" s="16"/>
    </row>
    <row r="9">
      <c r="A9" s="16"/>
      <c r="B9" s="16"/>
      <c r="C9" s="16"/>
      <c r="D9" s="16"/>
      <c r="E9" s="16" t="s">
        <v>62</v>
      </c>
      <c r="F9" s="22" t="s">
        <v>61</v>
      </c>
      <c r="G9" s="23"/>
      <c r="H9" s="23"/>
      <c r="I9" s="23"/>
      <c r="J9" s="16"/>
      <c r="K9" s="16"/>
      <c r="L9" s="16"/>
    </row>
    <row r="10">
      <c r="A10" s="24">
        <f>SUM(A2:A9)</f>
        <v>0</v>
      </c>
      <c r="B10" s="16"/>
      <c r="C10" s="16"/>
      <c r="D10" s="16"/>
      <c r="E10" s="25"/>
      <c r="F10" s="25"/>
      <c r="G10" s="24" t="s">
        <v>63</v>
      </c>
      <c r="H10" s="24">
        <f t="shared" ref="H10:K10" si="2">SUM(H2:H9)</f>
        <v>7980000</v>
      </c>
      <c r="I10" s="24">
        <f t="shared" si="2"/>
        <v>3000000</v>
      </c>
      <c r="J10" s="24">
        <f t="shared" si="2"/>
        <v>0</v>
      </c>
      <c r="K10" s="24">
        <f t="shared" si="2"/>
        <v>4980000</v>
      </c>
      <c r="L10" s="16"/>
    </row>
    <row r="11">
      <c r="A11" s="26"/>
      <c r="B11" s="26"/>
      <c r="C11" s="26"/>
      <c r="D11" s="26"/>
      <c r="E11" s="26"/>
      <c r="F11" s="27"/>
      <c r="G11" s="27"/>
      <c r="H11" s="22" t="s">
        <v>64</v>
      </c>
      <c r="I11" s="24">
        <f>SUM(I10+J10)-B34</f>
        <v>1300000</v>
      </c>
      <c r="J11" s="26"/>
      <c r="K11" s="26"/>
      <c r="L11" s="26"/>
    </row>
    <row r="12">
      <c r="A12" s="26"/>
      <c r="B12" s="26"/>
      <c r="C12" s="26"/>
      <c r="D12" s="26"/>
      <c r="E12" s="26"/>
      <c r="F12" s="26"/>
      <c r="G12" s="26"/>
      <c r="H12" s="28" t="s">
        <v>65</v>
      </c>
      <c r="I12" s="29">
        <f>(H10*4)/1000</f>
        <v>31920</v>
      </c>
      <c r="J12" s="26"/>
      <c r="K12" s="26"/>
      <c r="L12" s="26"/>
    </row>
    <row r="13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</row>
    <row r="14">
      <c r="A14" s="28" t="s">
        <v>66</v>
      </c>
      <c r="B14" s="30"/>
      <c r="C14" s="26"/>
      <c r="D14" s="26" t="s">
        <v>67</v>
      </c>
      <c r="E14" s="26"/>
      <c r="F14" s="26"/>
      <c r="G14" s="26"/>
      <c r="H14" s="26"/>
      <c r="I14" s="26"/>
      <c r="J14" s="26"/>
      <c r="K14" s="26"/>
      <c r="L14" s="26"/>
    </row>
    <row r="15">
      <c r="A15" s="25" t="s">
        <v>20</v>
      </c>
      <c r="B15" s="29">
        <f>A10</f>
        <v>0</v>
      </c>
      <c r="C15" s="26"/>
      <c r="D15" s="31"/>
      <c r="E15" s="31"/>
      <c r="F15" s="31"/>
      <c r="G15" s="31"/>
      <c r="H15" s="31"/>
      <c r="I15" s="31"/>
      <c r="J15" s="31"/>
      <c r="K15" s="26"/>
      <c r="L15" s="26"/>
    </row>
    <row r="16">
      <c r="A16" s="17" t="s">
        <v>289</v>
      </c>
      <c r="B16" s="33">
        <v>1700000.0</v>
      </c>
      <c r="C16" s="26"/>
      <c r="D16" s="37" t="s">
        <v>85</v>
      </c>
      <c r="K16" s="26"/>
      <c r="L16" s="26"/>
    </row>
    <row r="17">
      <c r="A17" s="25"/>
      <c r="B17" s="29">
        <v>0.0</v>
      </c>
      <c r="C17" s="26"/>
      <c r="K17" s="26"/>
      <c r="L17" s="26"/>
    </row>
    <row r="18">
      <c r="A18" s="25"/>
      <c r="B18" s="29">
        <v>0.0</v>
      </c>
      <c r="C18" s="26"/>
      <c r="K18" s="26"/>
      <c r="L18" s="26"/>
    </row>
    <row r="19">
      <c r="A19" s="25"/>
      <c r="B19" s="29">
        <v>0.0</v>
      </c>
      <c r="C19" s="26"/>
      <c r="K19" s="26"/>
      <c r="L19" s="26"/>
    </row>
    <row r="20">
      <c r="A20" s="25"/>
      <c r="B20" s="29">
        <v>0.0</v>
      </c>
      <c r="C20" s="26"/>
      <c r="K20" s="26"/>
      <c r="L20" s="26"/>
    </row>
    <row r="21">
      <c r="A21" s="25"/>
      <c r="B21" s="29">
        <v>0.0</v>
      </c>
      <c r="C21" s="26"/>
      <c r="K21" s="26"/>
      <c r="L21" s="26"/>
    </row>
    <row r="22">
      <c r="A22" s="25"/>
      <c r="B22" s="29">
        <v>0.0</v>
      </c>
      <c r="C22" s="26"/>
      <c r="K22" s="26"/>
      <c r="L22" s="26"/>
    </row>
    <row r="23">
      <c r="A23" s="25"/>
      <c r="B23" s="29">
        <v>0.0</v>
      </c>
      <c r="C23" s="26"/>
      <c r="K23" s="26"/>
      <c r="L23" s="26"/>
    </row>
    <row r="24">
      <c r="A24" s="25"/>
      <c r="B24" s="29">
        <v>0.0</v>
      </c>
      <c r="C24" s="26"/>
      <c r="K24" s="26"/>
      <c r="L24" s="26"/>
    </row>
    <row r="25">
      <c r="A25" s="25"/>
      <c r="B25" s="29">
        <v>0.0</v>
      </c>
      <c r="C25" s="26"/>
      <c r="D25" s="26"/>
      <c r="E25" s="26"/>
      <c r="F25" s="26"/>
      <c r="G25" s="26"/>
      <c r="H25" s="26"/>
      <c r="I25" s="26"/>
      <c r="J25" s="26"/>
      <c r="K25" s="26"/>
      <c r="L25" s="26"/>
    </row>
    <row r="26">
      <c r="A26" s="25"/>
      <c r="B26" s="29">
        <v>0.0</v>
      </c>
      <c r="C26" s="26"/>
      <c r="D26" s="26"/>
      <c r="E26" s="26"/>
      <c r="F26" s="26"/>
      <c r="G26" s="26"/>
      <c r="H26" s="26"/>
      <c r="I26" s="26"/>
      <c r="J26" s="26"/>
      <c r="K26" s="26"/>
      <c r="L26" s="26"/>
    </row>
    <row r="27">
      <c r="A27" s="25"/>
      <c r="B27" s="29">
        <v>0.0</v>
      </c>
      <c r="C27" s="26"/>
      <c r="D27" s="26"/>
      <c r="E27" s="26"/>
      <c r="F27" s="26"/>
      <c r="G27" s="26"/>
      <c r="H27" s="26"/>
      <c r="I27" s="26"/>
      <c r="J27" s="26"/>
      <c r="K27" s="26"/>
      <c r="L27" s="26"/>
    </row>
    <row r="28">
      <c r="A28" s="25"/>
      <c r="B28" s="29">
        <v>0.0</v>
      </c>
      <c r="C28" s="26"/>
      <c r="D28" s="26"/>
      <c r="E28" s="26"/>
      <c r="F28" s="26"/>
      <c r="G28" s="26"/>
      <c r="H28" s="26"/>
      <c r="I28" s="26"/>
      <c r="J28" s="26"/>
      <c r="K28" s="26"/>
      <c r="L28" s="26"/>
    </row>
    <row r="29">
      <c r="A29" s="25"/>
      <c r="B29" s="29">
        <v>0.0</v>
      </c>
      <c r="C29" s="26"/>
      <c r="D29" s="26"/>
      <c r="E29" s="26"/>
      <c r="F29" s="26"/>
      <c r="G29" s="26"/>
      <c r="H29" s="26"/>
      <c r="I29" s="26"/>
      <c r="J29" s="26"/>
      <c r="K29" s="26"/>
      <c r="L29" s="26"/>
    </row>
    <row r="30">
      <c r="A30" s="25"/>
      <c r="B30" s="29">
        <v>0.0</v>
      </c>
      <c r="C30" s="26"/>
      <c r="D30" s="26"/>
      <c r="E30" s="26"/>
      <c r="F30" s="26"/>
      <c r="G30" s="26"/>
      <c r="H30" s="26"/>
      <c r="I30" s="26"/>
      <c r="J30" s="26"/>
      <c r="K30" s="26"/>
      <c r="L30" s="26"/>
    </row>
    <row r="31">
      <c r="A31" s="25" t="s">
        <v>76</v>
      </c>
      <c r="B31" s="29">
        <v>0.0</v>
      </c>
      <c r="C31" s="26"/>
      <c r="D31" s="26"/>
      <c r="E31" s="26"/>
      <c r="F31" s="26"/>
      <c r="G31" s="26"/>
      <c r="H31" s="26"/>
      <c r="I31" s="26"/>
      <c r="J31" s="26"/>
      <c r="K31" s="26"/>
      <c r="L31" s="26"/>
    </row>
    <row r="32">
      <c r="A32" s="25"/>
      <c r="B32" s="29">
        <v>0.0</v>
      </c>
      <c r="C32" s="26"/>
      <c r="D32" s="26"/>
      <c r="E32" s="26"/>
      <c r="F32" s="26"/>
      <c r="G32" s="26"/>
      <c r="H32" s="26"/>
      <c r="I32" s="26"/>
      <c r="J32" s="26"/>
      <c r="K32" s="26"/>
      <c r="L32" s="26"/>
    </row>
    <row r="33">
      <c r="A33" s="25"/>
      <c r="B33" s="29">
        <v>0.0</v>
      </c>
      <c r="C33" s="18"/>
      <c r="D33" s="26"/>
      <c r="E33" s="26"/>
      <c r="F33" s="26"/>
      <c r="G33" s="26"/>
      <c r="H33" s="26"/>
      <c r="I33" s="26"/>
      <c r="J33" s="26"/>
      <c r="K33" s="26"/>
      <c r="L33" s="26"/>
    </row>
    <row r="34">
      <c r="A34" s="28" t="s">
        <v>8</v>
      </c>
      <c r="B34" s="35">
        <f>SUM(B15:B33)</f>
        <v>1700000</v>
      </c>
      <c r="C34" s="26"/>
      <c r="D34" s="26"/>
      <c r="E34" s="26"/>
      <c r="F34" s="26"/>
      <c r="G34" s="26"/>
      <c r="H34" s="26"/>
      <c r="I34" s="26"/>
      <c r="J34" s="26"/>
      <c r="K34" s="26"/>
      <c r="L34" s="26"/>
    </row>
  </sheetData>
  <mergeCells count="1">
    <mergeCell ref="D16:J24"/>
  </mergeCells>
  <dataValidations>
    <dataValidation type="list" allowBlank="1" showErrorMessage="1" sqref="C2">
      <formula1>"FUN DIVE,OPEN,AVANZADO,RESCUE,ESPECIALIDAD"</formula1>
    </dataValidation>
    <dataValidation type="list" allowBlank="1" showErrorMessage="1" sqref="F2:F6">
      <formula1>"Multiple,Pareja,Sencilla"</formula1>
    </dataValidation>
    <dataValidation type="list" allowBlank="1" showErrorMessage="1" sqref="D2:D6">
      <formula1>"SI,NO"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5" max="5" width="14.75"/>
    <col customWidth="1" min="7" max="7" width="6.0"/>
    <col customWidth="1" min="8" max="8" width="16.75"/>
  </cols>
  <sheetData>
    <row r="1">
      <c r="A1" s="12" t="s">
        <v>20</v>
      </c>
      <c r="B1" s="12" t="s">
        <v>21</v>
      </c>
      <c r="C1" s="12" t="s">
        <v>22</v>
      </c>
      <c r="D1" s="12" t="s">
        <v>23</v>
      </c>
      <c r="E1" s="12" t="s">
        <v>24</v>
      </c>
      <c r="F1" s="12" t="s">
        <v>25</v>
      </c>
      <c r="G1" s="12" t="s">
        <v>26</v>
      </c>
      <c r="H1" s="12" t="s">
        <v>27</v>
      </c>
      <c r="I1" s="12" t="s">
        <v>29</v>
      </c>
      <c r="J1" s="12" t="s">
        <v>30</v>
      </c>
      <c r="K1" s="12" t="s">
        <v>31</v>
      </c>
      <c r="L1" s="12" t="s">
        <v>32</v>
      </c>
    </row>
    <row r="2">
      <c r="A2" s="64">
        <v>324500.0</v>
      </c>
      <c r="B2" s="16"/>
      <c r="C2" s="15" t="s">
        <v>34</v>
      </c>
      <c r="D2" s="16" t="s">
        <v>48</v>
      </c>
      <c r="E2" s="15" t="s">
        <v>290</v>
      </c>
      <c r="F2" s="25" t="s">
        <v>41</v>
      </c>
      <c r="G2" s="18"/>
      <c r="H2" s="20">
        <v>4790000.0</v>
      </c>
      <c r="I2" s="20">
        <v>600000.0</v>
      </c>
      <c r="J2" s="16"/>
      <c r="K2" s="19">
        <f t="shared" ref="K2:K7" si="1">H2-(I2-J2)</f>
        <v>4190000</v>
      </c>
      <c r="L2" s="16"/>
    </row>
    <row r="3">
      <c r="A3" s="16"/>
      <c r="B3" s="16"/>
      <c r="C3" s="16"/>
      <c r="D3" s="16" t="s">
        <v>48</v>
      </c>
      <c r="E3" s="15" t="s">
        <v>291</v>
      </c>
      <c r="F3" s="25" t="s">
        <v>41</v>
      </c>
      <c r="G3" s="18"/>
      <c r="H3" s="20">
        <v>4790000.0</v>
      </c>
      <c r="I3" s="23"/>
      <c r="J3" s="16"/>
      <c r="K3" s="19">
        <f t="shared" si="1"/>
        <v>4790000</v>
      </c>
      <c r="L3" s="16"/>
    </row>
    <row r="4">
      <c r="A4" s="16"/>
      <c r="B4" s="16"/>
      <c r="C4" s="16"/>
      <c r="D4" s="16" t="s">
        <v>48</v>
      </c>
      <c r="E4" s="15" t="s">
        <v>236</v>
      </c>
      <c r="F4" s="25" t="s">
        <v>41</v>
      </c>
      <c r="G4" s="18"/>
      <c r="H4" s="21">
        <v>4600000.0</v>
      </c>
      <c r="I4" s="21"/>
      <c r="J4" s="16"/>
      <c r="K4" s="19">
        <f t="shared" si="1"/>
        <v>4600000</v>
      </c>
      <c r="L4" s="16"/>
    </row>
    <row r="5">
      <c r="A5" s="16"/>
      <c r="B5" s="16"/>
      <c r="C5" s="16"/>
      <c r="D5" s="16" t="s">
        <v>48</v>
      </c>
      <c r="E5" s="15" t="s">
        <v>292</v>
      </c>
      <c r="F5" s="25" t="s">
        <v>41</v>
      </c>
      <c r="G5" s="18"/>
      <c r="H5" s="21">
        <v>4600000.0</v>
      </c>
      <c r="I5" s="23"/>
      <c r="J5" s="16"/>
      <c r="K5" s="19">
        <f t="shared" si="1"/>
        <v>4600000</v>
      </c>
      <c r="L5" s="16"/>
    </row>
    <row r="6">
      <c r="A6" s="16"/>
      <c r="B6" s="16"/>
      <c r="C6" s="16"/>
      <c r="D6" s="16" t="s">
        <v>48</v>
      </c>
      <c r="E6" s="16"/>
      <c r="F6" s="25" t="s">
        <v>41</v>
      </c>
      <c r="G6" s="18"/>
      <c r="H6" s="23"/>
      <c r="I6" s="23"/>
      <c r="J6" s="16"/>
      <c r="K6" s="19">
        <f t="shared" si="1"/>
        <v>0</v>
      </c>
      <c r="L6" s="16"/>
    </row>
    <row r="7">
      <c r="A7" s="16"/>
      <c r="B7" s="16"/>
      <c r="C7" s="16"/>
      <c r="D7" s="16"/>
      <c r="E7" s="16"/>
      <c r="F7" s="16"/>
      <c r="G7" s="18"/>
      <c r="H7" s="23"/>
      <c r="I7" s="23"/>
      <c r="J7" s="16"/>
      <c r="K7" s="19">
        <f t="shared" si="1"/>
        <v>0</v>
      </c>
      <c r="L7" s="16"/>
    </row>
    <row r="8">
      <c r="A8" s="16"/>
      <c r="B8" s="16"/>
      <c r="C8" s="16"/>
      <c r="D8" s="16"/>
      <c r="E8" s="16" t="s">
        <v>60</v>
      </c>
      <c r="F8" s="22" t="s">
        <v>61</v>
      </c>
      <c r="G8" s="18"/>
      <c r="H8" s="23"/>
      <c r="I8" s="23"/>
      <c r="J8" s="16"/>
      <c r="K8" s="23"/>
      <c r="L8" s="16"/>
    </row>
    <row r="9">
      <c r="A9" s="16"/>
      <c r="B9" s="16"/>
      <c r="C9" s="16"/>
      <c r="D9" s="16"/>
      <c r="E9" s="16" t="s">
        <v>62</v>
      </c>
      <c r="F9" s="22" t="s">
        <v>61</v>
      </c>
      <c r="G9" s="23"/>
      <c r="H9" s="23"/>
      <c r="I9" s="23"/>
      <c r="J9" s="16"/>
      <c r="K9" s="16"/>
      <c r="L9" s="16"/>
    </row>
    <row r="10">
      <c r="A10" s="24">
        <f>SUM(A2:A9)</f>
        <v>324500</v>
      </c>
      <c r="B10" s="16"/>
      <c r="C10" s="16"/>
      <c r="D10" s="16"/>
      <c r="E10" s="25"/>
      <c r="F10" s="25"/>
      <c r="G10" s="24" t="s">
        <v>63</v>
      </c>
      <c r="H10" s="24">
        <f t="shared" ref="H10:K10" si="2">SUM(H2:H9)</f>
        <v>18780000</v>
      </c>
      <c r="I10" s="24">
        <f t="shared" si="2"/>
        <v>600000</v>
      </c>
      <c r="J10" s="24">
        <f t="shared" si="2"/>
        <v>0</v>
      </c>
      <c r="K10" s="24">
        <f t="shared" si="2"/>
        <v>18180000</v>
      </c>
      <c r="L10" s="16"/>
    </row>
    <row r="11">
      <c r="A11" s="26"/>
      <c r="B11" s="26"/>
      <c r="C11" s="26"/>
      <c r="D11" s="26"/>
      <c r="E11" s="26"/>
      <c r="F11" s="27"/>
      <c r="G11" s="27"/>
      <c r="H11" s="22" t="s">
        <v>64</v>
      </c>
      <c r="I11" s="24">
        <f>SUM(I10+J10)-B34</f>
        <v>275500</v>
      </c>
      <c r="J11" s="26"/>
      <c r="K11" s="26"/>
      <c r="L11" s="26"/>
    </row>
    <row r="12">
      <c r="A12" s="26"/>
      <c r="B12" s="26"/>
      <c r="C12" s="26"/>
      <c r="D12" s="26"/>
      <c r="E12" s="26"/>
      <c r="F12" s="26"/>
      <c r="G12" s="26"/>
      <c r="H12" s="28" t="s">
        <v>65</v>
      </c>
      <c r="I12" s="29">
        <f>(H10*4)/1000</f>
        <v>75120</v>
      </c>
      <c r="J12" s="26"/>
      <c r="K12" s="26"/>
      <c r="L12" s="26"/>
    </row>
    <row r="13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</row>
    <row r="14">
      <c r="A14" s="28" t="s">
        <v>66</v>
      </c>
      <c r="B14" s="30"/>
      <c r="C14" s="26"/>
      <c r="D14" s="26" t="s">
        <v>67</v>
      </c>
      <c r="E14" s="26"/>
      <c r="F14" s="26"/>
      <c r="G14" s="26"/>
      <c r="H14" s="26"/>
      <c r="I14" s="26"/>
      <c r="J14" s="26"/>
      <c r="K14" s="26"/>
      <c r="L14" s="26"/>
    </row>
    <row r="15">
      <c r="A15" s="25" t="s">
        <v>20</v>
      </c>
      <c r="B15" s="29">
        <f>A10</f>
        <v>324500</v>
      </c>
      <c r="C15" s="26"/>
      <c r="D15" s="31"/>
      <c r="E15" s="31"/>
      <c r="F15" s="31"/>
      <c r="G15" s="31"/>
      <c r="H15" s="31"/>
      <c r="I15" s="31"/>
      <c r="J15" s="31"/>
      <c r="K15" s="26"/>
      <c r="L15" s="26"/>
    </row>
    <row r="16">
      <c r="A16" s="17" t="s">
        <v>68</v>
      </c>
      <c r="B16" s="33"/>
      <c r="C16" s="26"/>
      <c r="D16" s="37" t="s">
        <v>85</v>
      </c>
      <c r="K16" s="26"/>
      <c r="L16" s="26"/>
    </row>
    <row r="17">
      <c r="A17" s="25"/>
      <c r="B17" s="29">
        <v>0.0</v>
      </c>
      <c r="C17" s="26"/>
      <c r="K17" s="26"/>
      <c r="L17" s="26"/>
    </row>
    <row r="18">
      <c r="A18" s="25"/>
      <c r="B18" s="29">
        <v>0.0</v>
      </c>
      <c r="C18" s="26"/>
      <c r="K18" s="26"/>
      <c r="L18" s="26"/>
    </row>
    <row r="19">
      <c r="A19" s="25"/>
      <c r="B19" s="29">
        <v>0.0</v>
      </c>
      <c r="C19" s="26"/>
      <c r="K19" s="26"/>
      <c r="L19" s="26"/>
    </row>
    <row r="20">
      <c r="A20" s="25"/>
      <c r="B20" s="29">
        <v>0.0</v>
      </c>
      <c r="C20" s="26"/>
      <c r="K20" s="26"/>
      <c r="L20" s="26"/>
    </row>
    <row r="21">
      <c r="A21" s="25"/>
      <c r="B21" s="29">
        <v>0.0</v>
      </c>
      <c r="C21" s="26"/>
      <c r="K21" s="26"/>
      <c r="L21" s="26"/>
    </row>
    <row r="22">
      <c r="A22" s="25"/>
      <c r="B22" s="29">
        <v>0.0</v>
      </c>
      <c r="C22" s="26"/>
      <c r="K22" s="26"/>
      <c r="L22" s="26"/>
    </row>
    <row r="23">
      <c r="A23" s="25"/>
      <c r="B23" s="29">
        <v>0.0</v>
      </c>
      <c r="C23" s="26"/>
      <c r="K23" s="26"/>
      <c r="L23" s="26"/>
    </row>
    <row r="24">
      <c r="A24" s="25"/>
      <c r="B24" s="29">
        <v>0.0</v>
      </c>
      <c r="C24" s="26"/>
      <c r="K24" s="26"/>
      <c r="L24" s="26"/>
    </row>
    <row r="25">
      <c r="A25" s="25"/>
      <c r="B25" s="29">
        <v>0.0</v>
      </c>
      <c r="C25" s="26"/>
      <c r="D25" s="26"/>
      <c r="E25" s="26"/>
      <c r="F25" s="26"/>
      <c r="G25" s="26"/>
      <c r="H25" s="26"/>
      <c r="I25" s="26"/>
      <c r="J25" s="26"/>
      <c r="K25" s="26"/>
      <c r="L25" s="26"/>
    </row>
    <row r="26">
      <c r="A26" s="25"/>
      <c r="B26" s="29">
        <v>0.0</v>
      </c>
      <c r="C26" s="26"/>
      <c r="D26" s="26"/>
      <c r="E26" s="26"/>
      <c r="F26" s="26"/>
      <c r="G26" s="26"/>
      <c r="H26" s="26"/>
      <c r="I26" s="26"/>
      <c r="J26" s="26"/>
      <c r="K26" s="26"/>
      <c r="L26" s="26"/>
    </row>
    <row r="27">
      <c r="A27" s="25"/>
      <c r="B27" s="29">
        <v>0.0</v>
      </c>
      <c r="C27" s="26"/>
      <c r="D27" s="26"/>
      <c r="E27" s="26"/>
      <c r="F27" s="26"/>
      <c r="G27" s="26"/>
      <c r="H27" s="26"/>
      <c r="I27" s="26"/>
      <c r="J27" s="26"/>
      <c r="K27" s="26"/>
      <c r="L27" s="26"/>
    </row>
    <row r="28">
      <c r="A28" s="25"/>
      <c r="B28" s="29">
        <v>0.0</v>
      </c>
      <c r="C28" s="26"/>
      <c r="D28" s="26"/>
      <c r="E28" s="26"/>
      <c r="F28" s="26"/>
      <c r="G28" s="26"/>
      <c r="H28" s="26"/>
      <c r="I28" s="26"/>
      <c r="J28" s="26"/>
      <c r="K28" s="26"/>
      <c r="L28" s="26"/>
    </row>
    <row r="29">
      <c r="A29" s="25"/>
      <c r="B29" s="29">
        <v>0.0</v>
      </c>
      <c r="C29" s="26"/>
      <c r="D29" s="26"/>
      <c r="E29" s="26"/>
      <c r="F29" s="26"/>
      <c r="G29" s="26"/>
      <c r="H29" s="26"/>
      <c r="I29" s="26"/>
      <c r="J29" s="26"/>
      <c r="K29" s="26"/>
      <c r="L29" s="26"/>
    </row>
    <row r="30">
      <c r="A30" s="25"/>
      <c r="B30" s="29">
        <v>0.0</v>
      </c>
      <c r="C30" s="26"/>
      <c r="D30" s="26"/>
      <c r="E30" s="26"/>
      <c r="F30" s="26"/>
      <c r="G30" s="26"/>
      <c r="H30" s="26"/>
      <c r="I30" s="26"/>
      <c r="J30" s="26"/>
      <c r="K30" s="26"/>
      <c r="L30" s="26"/>
    </row>
    <row r="31">
      <c r="A31" s="25" t="s">
        <v>76</v>
      </c>
      <c r="B31" s="29">
        <v>0.0</v>
      </c>
      <c r="C31" s="26"/>
      <c r="D31" s="26"/>
      <c r="E31" s="26"/>
      <c r="F31" s="26"/>
      <c r="G31" s="26"/>
      <c r="H31" s="26"/>
      <c r="I31" s="26"/>
      <c r="J31" s="26"/>
      <c r="K31" s="26"/>
      <c r="L31" s="26"/>
    </row>
    <row r="32">
      <c r="A32" s="25"/>
      <c r="B32" s="29">
        <v>0.0</v>
      </c>
      <c r="C32" s="26"/>
      <c r="D32" s="26"/>
      <c r="E32" s="26"/>
      <c r="F32" s="26"/>
      <c r="G32" s="26"/>
      <c r="H32" s="26"/>
      <c r="I32" s="26"/>
      <c r="J32" s="26"/>
      <c r="K32" s="26"/>
      <c r="L32" s="26"/>
    </row>
    <row r="33">
      <c r="A33" s="25"/>
      <c r="B33" s="29">
        <v>0.0</v>
      </c>
      <c r="C33" s="18"/>
      <c r="D33" s="26"/>
      <c r="E33" s="26"/>
      <c r="F33" s="26"/>
      <c r="G33" s="26"/>
      <c r="H33" s="26"/>
      <c r="I33" s="26"/>
      <c r="J33" s="26"/>
      <c r="K33" s="26"/>
      <c r="L33" s="26"/>
    </row>
    <row r="34">
      <c r="A34" s="28" t="s">
        <v>8</v>
      </c>
      <c r="B34" s="35">
        <f>SUM(B15:B33)</f>
        <v>324500</v>
      </c>
      <c r="C34" s="26"/>
      <c r="D34" s="26"/>
      <c r="E34" s="26"/>
      <c r="F34" s="26"/>
      <c r="G34" s="26"/>
      <c r="H34" s="26"/>
      <c r="I34" s="26"/>
      <c r="J34" s="26"/>
      <c r="K34" s="26"/>
      <c r="L34" s="26"/>
    </row>
  </sheetData>
  <mergeCells count="1">
    <mergeCell ref="D16:J24"/>
  </mergeCells>
  <dataValidations>
    <dataValidation type="list" allowBlank="1" showErrorMessage="1" sqref="C2">
      <formula1>"FUN DIVE,OPEN,AVANZADO,RESCUE,ESPECIALIDAD"</formula1>
    </dataValidation>
    <dataValidation type="list" allowBlank="1" showErrorMessage="1" sqref="F2:F6">
      <formula1>"Multiple,Pareja,Sencilla"</formula1>
    </dataValidation>
    <dataValidation type="list" allowBlank="1" showErrorMessage="1" sqref="D2:D6">
      <formula1>"SI,NO"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5" max="5" width="17.25"/>
    <col customWidth="1" min="8" max="8" width="16.75"/>
  </cols>
  <sheetData>
    <row r="1">
      <c r="A1" s="12" t="s">
        <v>20</v>
      </c>
      <c r="B1" s="12" t="s">
        <v>21</v>
      </c>
      <c r="C1" s="12" t="s">
        <v>22</v>
      </c>
      <c r="D1" s="12" t="s">
        <v>23</v>
      </c>
      <c r="E1" s="12" t="s">
        <v>24</v>
      </c>
      <c r="F1" s="12" t="s">
        <v>25</v>
      </c>
      <c r="G1" s="12" t="s">
        <v>26</v>
      </c>
      <c r="H1" s="12" t="s">
        <v>27</v>
      </c>
      <c r="I1" s="12" t="s">
        <v>29</v>
      </c>
      <c r="J1" s="12" t="s">
        <v>30</v>
      </c>
      <c r="K1" s="12" t="s">
        <v>31</v>
      </c>
      <c r="L1" s="12" t="s">
        <v>32</v>
      </c>
    </row>
    <row r="2">
      <c r="A2" s="64">
        <v>311500.0</v>
      </c>
      <c r="B2" s="16"/>
      <c r="C2" s="15" t="s">
        <v>51</v>
      </c>
      <c r="D2" s="16" t="s">
        <v>48</v>
      </c>
      <c r="E2" s="15" t="s">
        <v>293</v>
      </c>
      <c r="F2" s="25" t="s">
        <v>41</v>
      </c>
      <c r="G2" s="18"/>
      <c r="H2" s="20">
        <f>3190000+1750000</f>
        <v>4940000</v>
      </c>
      <c r="I2" s="20">
        <f>1000000+875500+3000000</f>
        <v>4875500</v>
      </c>
      <c r="J2" s="16"/>
      <c r="K2" s="19">
        <f t="shared" ref="K2:K8" si="1">H2-(I2-J2)</f>
        <v>64500</v>
      </c>
      <c r="L2" s="16"/>
    </row>
    <row r="3">
      <c r="A3" s="16"/>
      <c r="B3" s="16"/>
      <c r="C3" s="16" t="s">
        <v>34</v>
      </c>
      <c r="D3" s="16" t="s">
        <v>48</v>
      </c>
      <c r="E3" s="16"/>
      <c r="F3" s="25" t="s">
        <v>41</v>
      </c>
      <c r="G3" s="18"/>
      <c r="H3" s="23"/>
      <c r="I3" s="23"/>
      <c r="J3" s="16"/>
      <c r="K3" s="19">
        <f t="shared" si="1"/>
        <v>0</v>
      </c>
      <c r="L3" s="16"/>
    </row>
    <row r="4">
      <c r="A4" s="16"/>
      <c r="B4" s="16"/>
      <c r="C4" s="16"/>
      <c r="D4" s="16" t="s">
        <v>48</v>
      </c>
      <c r="E4" s="16"/>
      <c r="F4" s="25" t="s">
        <v>41</v>
      </c>
      <c r="G4" s="18"/>
      <c r="H4" s="23"/>
      <c r="I4" s="23"/>
      <c r="J4" s="16"/>
      <c r="K4" s="19">
        <f t="shared" si="1"/>
        <v>0</v>
      </c>
      <c r="L4" s="16"/>
    </row>
    <row r="5">
      <c r="A5" s="16"/>
      <c r="B5" s="16"/>
      <c r="C5" s="16"/>
      <c r="D5" s="16" t="s">
        <v>48</v>
      </c>
      <c r="E5" s="16"/>
      <c r="F5" s="25" t="s">
        <v>41</v>
      </c>
      <c r="G5" s="18"/>
      <c r="H5" s="23"/>
      <c r="I5" s="23"/>
      <c r="J5" s="16"/>
      <c r="K5" s="19">
        <f t="shared" si="1"/>
        <v>0</v>
      </c>
      <c r="L5" s="16"/>
    </row>
    <row r="6">
      <c r="A6" s="16"/>
      <c r="B6" s="16"/>
      <c r="C6" s="16"/>
      <c r="D6" s="16" t="s">
        <v>48</v>
      </c>
      <c r="E6" s="16"/>
      <c r="F6" s="25" t="s">
        <v>41</v>
      </c>
      <c r="G6" s="18"/>
      <c r="H6" s="23"/>
      <c r="I6" s="23"/>
      <c r="J6" s="16"/>
      <c r="K6" s="19">
        <f t="shared" si="1"/>
        <v>0</v>
      </c>
      <c r="L6" s="16"/>
    </row>
    <row r="7">
      <c r="A7" s="16"/>
      <c r="B7" s="16"/>
      <c r="C7" s="16"/>
      <c r="D7" s="16" t="s">
        <v>48</v>
      </c>
      <c r="E7" s="16"/>
      <c r="F7" s="25" t="s">
        <v>41</v>
      </c>
      <c r="G7" s="18"/>
      <c r="H7" s="23"/>
      <c r="I7" s="23"/>
      <c r="J7" s="16"/>
      <c r="K7" s="19">
        <f t="shared" si="1"/>
        <v>0</v>
      </c>
      <c r="L7" s="16"/>
    </row>
    <row r="8">
      <c r="A8" s="16"/>
      <c r="B8" s="16"/>
      <c r="C8" s="16"/>
      <c r="D8" s="16"/>
      <c r="E8" s="16"/>
      <c r="F8" s="16"/>
      <c r="G8" s="18"/>
      <c r="H8" s="23"/>
      <c r="I8" s="23"/>
      <c r="J8" s="16"/>
      <c r="K8" s="19">
        <f t="shared" si="1"/>
        <v>0</v>
      </c>
      <c r="L8" s="16"/>
    </row>
    <row r="9">
      <c r="A9" s="16"/>
      <c r="B9" s="16"/>
      <c r="C9" s="16"/>
      <c r="D9" s="16"/>
      <c r="E9" s="16" t="s">
        <v>60</v>
      </c>
      <c r="F9" s="22" t="s">
        <v>61</v>
      </c>
      <c r="G9" s="18"/>
      <c r="H9" s="23"/>
      <c r="I9" s="23"/>
      <c r="J9" s="16"/>
      <c r="K9" s="23"/>
      <c r="L9" s="16"/>
    </row>
    <row r="10">
      <c r="A10" s="16"/>
      <c r="B10" s="16"/>
      <c r="C10" s="16"/>
      <c r="D10" s="16"/>
      <c r="E10" s="16" t="s">
        <v>62</v>
      </c>
      <c r="F10" s="22" t="s">
        <v>61</v>
      </c>
      <c r="G10" s="23"/>
      <c r="H10" s="23"/>
      <c r="I10" s="23"/>
      <c r="J10" s="16"/>
      <c r="K10" s="16"/>
      <c r="L10" s="16"/>
    </row>
    <row r="11">
      <c r="A11" s="24">
        <f>SUM(A2:A10)</f>
        <v>311500</v>
      </c>
      <c r="B11" s="16"/>
      <c r="C11" s="16"/>
      <c r="D11" s="16"/>
      <c r="E11" s="25"/>
      <c r="F11" s="25"/>
      <c r="G11" s="24" t="s">
        <v>63</v>
      </c>
      <c r="H11" s="24">
        <f t="shared" ref="H11:K11" si="2">SUM(H2:H10)</f>
        <v>4940000</v>
      </c>
      <c r="I11" s="24">
        <f t="shared" si="2"/>
        <v>4875500</v>
      </c>
      <c r="J11" s="24">
        <f t="shared" si="2"/>
        <v>0</v>
      </c>
      <c r="K11" s="24">
        <f t="shared" si="2"/>
        <v>64500</v>
      </c>
      <c r="L11" s="16"/>
    </row>
    <row r="12">
      <c r="A12" s="26"/>
      <c r="B12" s="26"/>
      <c r="C12" s="26"/>
      <c r="D12" s="26"/>
      <c r="E12" s="26"/>
      <c r="F12" s="27"/>
      <c r="G12" s="27"/>
      <c r="H12" s="22" t="s">
        <v>64</v>
      </c>
      <c r="I12" s="24">
        <f>SUM(I11+J11)-B35</f>
        <v>1702880</v>
      </c>
      <c r="J12" s="26"/>
      <c r="K12" s="26"/>
      <c r="L12" s="26"/>
    </row>
    <row r="13">
      <c r="A13" s="26"/>
      <c r="B13" s="26"/>
      <c r="C13" s="26"/>
      <c r="D13" s="26"/>
      <c r="E13" s="26"/>
      <c r="F13" s="26"/>
      <c r="G13" s="26"/>
      <c r="H13" s="28" t="s">
        <v>65</v>
      </c>
      <c r="I13" s="29">
        <f>(H11*4)/1000</f>
        <v>19760</v>
      </c>
      <c r="J13" s="26"/>
      <c r="K13" s="26"/>
      <c r="L13" s="26"/>
    </row>
    <row r="14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</row>
    <row r="15">
      <c r="A15" s="28" t="s">
        <v>66</v>
      </c>
      <c r="B15" s="30"/>
      <c r="C15" s="26"/>
      <c r="D15" s="26" t="s">
        <v>67</v>
      </c>
      <c r="E15" s="26"/>
      <c r="F15" s="26"/>
      <c r="G15" s="26"/>
      <c r="H15" s="26"/>
      <c r="I15" s="26"/>
      <c r="J15" s="26"/>
      <c r="K15" s="26"/>
      <c r="L15" s="26"/>
    </row>
    <row r="16">
      <c r="A16" s="25" t="s">
        <v>20</v>
      </c>
      <c r="B16" s="29">
        <f>A11</f>
        <v>311500</v>
      </c>
      <c r="C16" s="26"/>
      <c r="D16" s="31"/>
      <c r="E16" s="31"/>
      <c r="F16" s="31"/>
      <c r="G16" s="31"/>
      <c r="H16" s="31"/>
      <c r="I16" s="31"/>
      <c r="J16" s="31"/>
      <c r="K16" s="26"/>
      <c r="L16" s="26"/>
    </row>
    <row r="17">
      <c r="A17" s="17"/>
      <c r="B17" s="33"/>
      <c r="C17" s="26"/>
      <c r="D17" s="37" t="s">
        <v>85</v>
      </c>
      <c r="K17" s="26"/>
      <c r="L17" s="26"/>
    </row>
    <row r="18">
      <c r="A18" s="17" t="s">
        <v>294</v>
      </c>
      <c r="B18" s="33">
        <v>761120.0</v>
      </c>
      <c r="C18" s="26"/>
      <c r="K18" s="26"/>
      <c r="L18" s="26"/>
    </row>
    <row r="19">
      <c r="A19" s="17" t="s">
        <v>295</v>
      </c>
      <c r="B19" s="33">
        <v>2100000.0</v>
      </c>
      <c r="C19" s="26"/>
      <c r="K19" s="26"/>
      <c r="L19" s="26"/>
    </row>
    <row r="20">
      <c r="A20" s="25"/>
      <c r="B20" s="29">
        <v>0.0</v>
      </c>
      <c r="C20" s="26"/>
      <c r="K20" s="26"/>
      <c r="L20" s="26"/>
    </row>
    <row r="21">
      <c r="A21" s="25"/>
      <c r="B21" s="29">
        <v>0.0</v>
      </c>
      <c r="C21" s="26"/>
      <c r="K21" s="26"/>
      <c r="L21" s="26"/>
    </row>
    <row r="22">
      <c r="A22" s="25"/>
      <c r="B22" s="29">
        <v>0.0</v>
      </c>
      <c r="C22" s="26"/>
      <c r="K22" s="26"/>
      <c r="L22" s="26"/>
    </row>
    <row r="23">
      <c r="A23" s="25"/>
      <c r="B23" s="29">
        <v>0.0</v>
      </c>
      <c r="C23" s="26"/>
      <c r="K23" s="26"/>
      <c r="L23" s="26"/>
    </row>
    <row r="24">
      <c r="A24" s="25"/>
      <c r="B24" s="29">
        <v>0.0</v>
      </c>
      <c r="C24" s="26"/>
      <c r="K24" s="26"/>
      <c r="L24" s="26"/>
    </row>
    <row r="25">
      <c r="A25" s="25"/>
      <c r="B25" s="29">
        <v>0.0</v>
      </c>
      <c r="C25" s="26"/>
      <c r="K25" s="26"/>
      <c r="L25" s="26"/>
    </row>
    <row r="26">
      <c r="A26" s="25"/>
      <c r="B26" s="29">
        <v>0.0</v>
      </c>
      <c r="C26" s="26"/>
      <c r="D26" s="26"/>
      <c r="E26" s="26"/>
      <c r="F26" s="26"/>
      <c r="G26" s="26"/>
      <c r="H26" s="26"/>
      <c r="I26" s="26"/>
      <c r="J26" s="26"/>
      <c r="K26" s="26"/>
      <c r="L26" s="26"/>
    </row>
    <row r="27">
      <c r="A27" s="25"/>
      <c r="B27" s="29">
        <v>0.0</v>
      </c>
      <c r="C27" s="26"/>
      <c r="D27" s="26"/>
      <c r="E27" s="26"/>
      <c r="F27" s="26"/>
      <c r="G27" s="26"/>
      <c r="H27" s="26"/>
      <c r="I27" s="26"/>
      <c r="J27" s="26"/>
      <c r="K27" s="26"/>
      <c r="L27" s="26"/>
    </row>
    <row r="28">
      <c r="A28" s="25"/>
      <c r="B28" s="29">
        <v>0.0</v>
      </c>
      <c r="C28" s="26"/>
      <c r="D28" s="26"/>
      <c r="E28" s="26"/>
      <c r="F28" s="26"/>
      <c r="G28" s="26"/>
      <c r="H28" s="26"/>
      <c r="I28" s="26"/>
      <c r="J28" s="26"/>
      <c r="K28" s="26"/>
      <c r="L28" s="26"/>
    </row>
    <row r="29">
      <c r="A29" s="25"/>
      <c r="B29" s="29">
        <v>0.0</v>
      </c>
      <c r="C29" s="26"/>
      <c r="D29" s="26"/>
      <c r="E29" s="26"/>
      <c r="F29" s="26"/>
      <c r="G29" s="26"/>
      <c r="H29" s="26"/>
      <c r="I29" s="26"/>
      <c r="J29" s="26"/>
      <c r="K29" s="26"/>
      <c r="L29" s="26"/>
    </row>
    <row r="30">
      <c r="A30" s="25"/>
      <c r="B30" s="29">
        <v>0.0</v>
      </c>
      <c r="C30" s="26"/>
      <c r="D30" s="26"/>
      <c r="E30" s="26"/>
      <c r="F30" s="26"/>
      <c r="G30" s="26"/>
      <c r="H30" s="26"/>
      <c r="I30" s="26"/>
      <c r="J30" s="26"/>
      <c r="K30" s="26"/>
      <c r="L30" s="26"/>
    </row>
    <row r="31">
      <c r="A31" s="25"/>
      <c r="B31" s="29">
        <v>0.0</v>
      </c>
      <c r="C31" s="26"/>
      <c r="D31" s="26"/>
      <c r="E31" s="26"/>
      <c r="F31" s="26"/>
      <c r="G31" s="26"/>
      <c r="H31" s="26"/>
      <c r="I31" s="26"/>
      <c r="J31" s="26"/>
      <c r="K31" s="26"/>
      <c r="L31" s="26"/>
    </row>
    <row r="32">
      <c r="A32" s="25" t="s">
        <v>76</v>
      </c>
      <c r="B32" s="29">
        <v>0.0</v>
      </c>
      <c r="C32" s="26"/>
      <c r="D32" s="26"/>
      <c r="E32" s="26"/>
      <c r="F32" s="26"/>
      <c r="G32" s="26"/>
      <c r="H32" s="26"/>
      <c r="I32" s="26"/>
      <c r="J32" s="26"/>
      <c r="K32" s="26"/>
      <c r="L32" s="26"/>
    </row>
    <row r="33">
      <c r="A33" s="25"/>
      <c r="B33" s="29">
        <v>0.0</v>
      </c>
      <c r="C33" s="26"/>
      <c r="D33" s="26"/>
      <c r="E33" s="26"/>
      <c r="F33" s="26"/>
      <c r="G33" s="26"/>
      <c r="H33" s="26"/>
      <c r="I33" s="26"/>
      <c r="J33" s="26"/>
      <c r="K33" s="26"/>
      <c r="L33" s="26"/>
    </row>
    <row r="34">
      <c r="A34" s="25"/>
      <c r="B34" s="29">
        <v>0.0</v>
      </c>
      <c r="C34" s="18"/>
      <c r="D34" s="26"/>
      <c r="E34" s="26"/>
      <c r="F34" s="26"/>
      <c r="G34" s="26"/>
      <c r="H34" s="26"/>
      <c r="I34" s="26"/>
      <c r="J34" s="26"/>
      <c r="K34" s="26"/>
      <c r="L34" s="26"/>
    </row>
    <row r="35">
      <c r="A35" s="28" t="s">
        <v>8</v>
      </c>
      <c r="B35" s="35">
        <f>SUM(B16:B34)</f>
        <v>3172620</v>
      </c>
      <c r="C35" s="26"/>
      <c r="D35" s="26"/>
      <c r="E35" s="26"/>
      <c r="F35" s="26"/>
      <c r="G35" s="26"/>
      <c r="H35" s="26"/>
      <c r="I35" s="26"/>
      <c r="J35" s="26"/>
      <c r="K35" s="26"/>
      <c r="L35" s="26"/>
    </row>
  </sheetData>
  <mergeCells count="1">
    <mergeCell ref="D17:J25"/>
  </mergeCells>
  <dataValidations>
    <dataValidation type="list" allowBlank="1" showErrorMessage="1" sqref="C2:C3">
      <formula1>"FUN DIVE,OPEN,AVANZADO,RESCUE,ESPECIALIDAD"</formula1>
    </dataValidation>
    <dataValidation type="list" allowBlank="1" showErrorMessage="1" sqref="F2:F7">
      <formula1>"Multiple,Pareja,Sencilla"</formula1>
    </dataValidation>
    <dataValidation type="list" allowBlank="1" showErrorMessage="1" sqref="D2:D7">
      <formula1>"SI,NO"</formula1>
    </dataValidation>
  </dataValidations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6" max="6" width="2.88"/>
    <col customWidth="1" min="7" max="7" width="16.75"/>
    <col customWidth="1" min="8" max="8" width="16.0"/>
    <col customWidth="1" min="9" max="9" width="16.75"/>
    <col customWidth="1" min="10" max="10" width="10.88"/>
    <col customWidth="1" min="11" max="11" width="14.0"/>
    <col customWidth="1" min="12" max="12" width="4.13"/>
  </cols>
  <sheetData>
    <row r="1">
      <c r="A1" s="12" t="s">
        <v>20</v>
      </c>
      <c r="B1" s="12" t="s">
        <v>212</v>
      </c>
      <c r="C1" s="12" t="s">
        <v>89</v>
      </c>
      <c r="D1" s="12" t="s">
        <v>22</v>
      </c>
      <c r="E1" s="12" t="s">
        <v>23</v>
      </c>
      <c r="F1" s="12"/>
      <c r="G1" s="12" t="s">
        <v>24</v>
      </c>
      <c r="H1" s="12" t="s">
        <v>25</v>
      </c>
      <c r="I1" s="12" t="s">
        <v>27</v>
      </c>
      <c r="J1" s="12" t="s">
        <v>29</v>
      </c>
      <c r="K1" s="12" t="s">
        <v>30</v>
      </c>
      <c r="L1" s="12" t="s">
        <v>213</v>
      </c>
      <c r="M1" s="12" t="s">
        <v>31</v>
      </c>
      <c r="N1" s="12" t="s">
        <v>32</v>
      </c>
    </row>
    <row r="2">
      <c r="A2" s="23"/>
      <c r="B2" s="19">
        <f t="shared" ref="B2:B20" si="1">SUM(A2)</f>
        <v>0</v>
      </c>
      <c r="C2" s="19">
        <f t="shared" ref="C2:C20" si="2">I2-B2</f>
        <v>4190000</v>
      </c>
      <c r="D2" s="16" t="s">
        <v>51</v>
      </c>
      <c r="E2" s="16" t="s">
        <v>48</v>
      </c>
      <c r="F2" s="15">
        <v>1.0</v>
      </c>
      <c r="G2" s="25" t="s">
        <v>58</v>
      </c>
      <c r="H2" s="25" t="s">
        <v>37</v>
      </c>
      <c r="I2" s="29">
        <v>4190000.0</v>
      </c>
      <c r="J2" s="29">
        <f>1000000+154000</f>
        <v>1154000</v>
      </c>
      <c r="K2" s="18"/>
      <c r="L2" s="23"/>
      <c r="M2" s="19">
        <f>I2-J2-K2</f>
        <v>3036000</v>
      </c>
      <c r="N2" s="51" t="s">
        <v>42</v>
      </c>
    </row>
    <row r="3">
      <c r="A3" s="23"/>
      <c r="B3" s="19">
        <f t="shared" si="1"/>
        <v>0</v>
      </c>
      <c r="C3" s="19">
        <f t="shared" si="2"/>
        <v>4190000</v>
      </c>
      <c r="D3" s="16" t="s">
        <v>51</v>
      </c>
      <c r="E3" s="16" t="s">
        <v>48</v>
      </c>
      <c r="F3" s="15">
        <v>2.0</v>
      </c>
      <c r="G3" s="17" t="s">
        <v>296</v>
      </c>
      <c r="H3" s="25" t="s">
        <v>37</v>
      </c>
      <c r="I3" s="29">
        <v>4190000.0</v>
      </c>
      <c r="J3" s="29">
        <f>900000+1600000</f>
        <v>2500000</v>
      </c>
      <c r="K3" s="25"/>
      <c r="L3" s="23"/>
      <c r="M3" s="19">
        <f>I3-S36-K3</f>
        <v>4190000</v>
      </c>
      <c r="N3" s="51" t="s">
        <v>42</v>
      </c>
    </row>
    <row r="4">
      <c r="A4" s="23"/>
      <c r="B4" s="19">
        <f t="shared" si="1"/>
        <v>0</v>
      </c>
      <c r="C4" s="19">
        <f t="shared" si="2"/>
        <v>4190000</v>
      </c>
      <c r="D4" s="16" t="s">
        <v>51</v>
      </c>
      <c r="E4" s="16" t="s">
        <v>48</v>
      </c>
      <c r="F4" s="15">
        <v>3.0</v>
      </c>
      <c r="G4" s="25" t="s">
        <v>261</v>
      </c>
      <c r="H4" s="25" t="s">
        <v>37</v>
      </c>
      <c r="I4" s="29">
        <v>4190000.0</v>
      </c>
      <c r="J4" s="29">
        <f>500000+1000000+209500</f>
        <v>1709500</v>
      </c>
      <c r="K4" s="25"/>
      <c r="L4" s="23"/>
      <c r="M4" s="19">
        <f>I4-J4-K4</f>
        <v>2480500</v>
      </c>
      <c r="N4" s="51" t="s">
        <v>42</v>
      </c>
    </row>
    <row r="5">
      <c r="A5" s="23"/>
      <c r="B5" s="19">
        <f t="shared" si="1"/>
        <v>0</v>
      </c>
      <c r="C5" s="19">
        <f t="shared" si="2"/>
        <v>4190000</v>
      </c>
      <c r="D5" s="16" t="s">
        <v>51</v>
      </c>
      <c r="E5" s="16" t="s">
        <v>48</v>
      </c>
      <c r="F5" s="15">
        <v>4.0</v>
      </c>
      <c r="G5" s="9" t="s">
        <v>297</v>
      </c>
      <c r="H5" s="25" t="s">
        <v>37</v>
      </c>
      <c r="I5" s="29">
        <v>4190000.0</v>
      </c>
      <c r="J5" s="29">
        <f>1000000+1000000</f>
        <v>2000000</v>
      </c>
      <c r="K5" s="25"/>
      <c r="L5" s="23"/>
      <c r="M5" s="19">
        <f>I5-Q33-K5</f>
        <v>3590000</v>
      </c>
      <c r="N5" s="51" t="s">
        <v>42</v>
      </c>
    </row>
    <row r="6">
      <c r="A6" s="23"/>
      <c r="B6" s="19">
        <f t="shared" si="1"/>
        <v>0</v>
      </c>
      <c r="C6" s="19">
        <f t="shared" si="2"/>
        <v>4190000</v>
      </c>
      <c r="D6" s="16" t="s">
        <v>51</v>
      </c>
      <c r="E6" s="16" t="s">
        <v>48</v>
      </c>
      <c r="F6" s="15">
        <v>5.0</v>
      </c>
      <c r="G6" s="17" t="s">
        <v>298</v>
      </c>
      <c r="H6" s="25" t="s">
        <v>37</v>
      </c>
      <c r="I6" s="29">
        <v>4190000.0</v>
      </c>
      <c r="J6" s="29">
        <f>900000+1600000</f>
        <v>2500000</v>
      </c>
      <c r="K6" s="25"/>
      <c r="L6" s="23"/>
      <c r="M6" s="19">
        <f t="shared" ref="M6:M16" si="3">I6-J6-K6</f>
        <v>1690000</v>
      </c>
      <c r="N6" s="51" t="s">
        <v>42</v>
      </c>
    </row>
    <row r="7">
      <c r="A7" s="23"/>
      <c r="B7" s="19">
        <f t="shared" si="1"/>
        <v>0</v>
      </c>
      <c r="C7" s="19">
        <f t="shared" si="2"/>
        <v>4190000</v>
      </c>
      <c r="D7" s="16" t="s">
        <v>51</v>
      </c>
      <c r="E7" s="16" t="s">
        <v>48</v>
      </c>
      <c r="F7" s="15">
        <v>6.0</v>
      </c>
      <c r="G7" s="25" t="s">
        <v>299</v>
      </c>
      <c r="H7" s="25" t="s">
        <v>37</v>
      </c>
      <c r="I7" s="29">
        <v>4190000.0</v>
      </c>
      <c r="J7" s="29">
        <v>1000000.0</v>
      </c>
      <c r="K7" s="25"/>
      <c r="L7" s="23"/>
      <c r="M7" s="19">
        <f t="shared" si="3"/>
        <v>3190000</v>
      </c>
      <c r="N7" s="51" t="s">
        <v>42</v>
      </c>
    </row>
    <row r="8">
      <c r="A8" s="16"/>
      <c r="B8" s="19">
        <f t="shared" si="1"/>
        <v>0</v>
      </c>
      <c r="C8" s="19">
        <f t="shared" si="2"/>
        <v>4190000</v>
      </c>
      <c r="D8" s="16" t="s">
        <v>51</v>
      </c>
      <c r="E8" s="16" t="s">
        <v>48</v>
      </c>
      <c r="F8" s="15">
        <v>7.0</v>
      </c>
      <c r="G8" s="25" t="s">
        <v>300</v>
      </c>
      <c r="H8" s="25" t="s">
        <v>37</v>
      </c>
      <c r="I8" s="29">
        <v>4190000.0</v>
      </c>
      <c r="J8" s="29">
        <f>1000000+2190000</f>
        <v>3190000</v>
      </c>
      <c r="K8" s="25"/>
      <c r="L8" s="23"/>
      <c r="M8" s="19">
        <f t="shared" si="3"/>
        <v>1000000</v>
      </c>
      <c r="N8" s="51" t="s">
        <v>42</v>
      </c>
    </row>
    <row r="9">
      <c r="A9" s="23"/>
      <c r="B9" s="19">
        <f t="shared" si="1"/>
        <v>0</v>
      </c>
      <c r="C9" s="19">
        <f t="shared" si="2"/>
        <v>4190000</v>
      </c>
      <c r="D9" s="16" t="s">
        <v>51</v>
      </c>
      <c r="E9" s="16" t="s">
        <v>48</v>
      </c>
      <c r="F9" s="15">
        <v>8.0</v>
      </c>
      <c r="G9" s="25" t="s">
        <v>301</v>
      </c>
      <c r="H9" s="25" t="s">
        <v>37</v>
      </c>
      <c r="I9" s="29">
        <v>4190000.0</v>
      </c>
      <c r="J9" s="29"/>
      <c r="K9" s="25"/>
      <c r="L9" s="23"/>
      <c r="M9" s="19">
        <f t="shared" si="3"/>
        <v>4190000</v>
      </c>
      <c r="N9" s="51" t="s">
        <v>42</v>
      </c>
    </row>
    <row r="10">
      <c r="A10" s="23"/>
      <c r="B10" s="19">
        <f t="shared" si="1"/>
        <v>0</v>
      </c>
      <c r="C10" s="19">
        <f t="shared" si="2"/>
        <v>4190000</v>
      </c>
      <c r="D10" s="16" t="s">
        <v>51</v>
      </c>
      <c r="E10" s="16" t="s">
        <v>48</v>
      </c>
      <c r="F10" s="15">
        <v>9.0</v>
      </c>
      <c r="G10" s="25" t="s">
        <v>302</v>
      </c>
      <c r="H10" s="25" t="s">
        <v>37</v>
      </c>
      <c r="I10" s="29">
        <v>4190000.0</v>
      </c>
      <c r="J10" s="29">
        <v>1000000.0</v>
      </c>
      <c r="K10" s="25"/>
      <c r="L10" s="23"/>
      <c r="M10" s="19">
        <f t="shared" si="3"/>
        <v>3190000</v>
      </c>
      <c r="N10" s="51" t="s">
        <v>42</v>
      </c>
    </row>
    <row r="11">
      <c r="A11" s="16"/>
      <c r="B11" s="19">
        <f t="shared" si="1"/>
        <v>0</v>
      </c>
      <c r="C11" s="19">
        <f t="shared" si="2"/>
        <v>4190000</v>
      </c>
      <c r="D11" s="16" t="s">
        <v>51</v>
      </c>
      <c r="E11" s="16" t="s">
        <v>48</v>
      </c>
      <c r="F11" s="15">
        <v>10.0</v>
      </c>
      <c r="G11" s="25" t="s">
        <v>303</v>
      </c>
      <c r="H11" s="17" t="s">
        <v>304</v>
      </c>
      <c r="I11" s="29">
        <v>4190000.0</v>
      </c>
      <c r="J11" s="29">
        <f t="shared" ref="J11:J12" si="4">1000000+1000000+1000000</f>
        <v>3000000</v>
      </c>
      <c r="K11" s="18"/>
      <c r="L11" s="23"/>
      <c r="M11" s="19">
        <f t="shared" si="3"/>
        <v>1190000</v>
      </c>
      <c r="N11" s="51" t="s">
        <v>42</v>
      </c>
    </row>
    <row r="12">
      <c r="A12" s="16"/>
      <c r="B12" s="19">
        <f t="shared" si="1"/>
        <v>0</v>
      </c>
      <c r="C12" s="19">
        <f t="shared" si="2"/>
        <v>4190000</v>
      </c>
      <c r="D12" s="16" t="s">
        <v>51</v>
      </c>
      <c r="E12" s="16" t="s">
        <v>48</v>
      </c>
      <c r="F12" s="15">
        <v>11.0</v>
      </c>
      <c r="G12" s="25" t="s">
        <v>305</v>
      </c>
      <c r="H12" s="17" t="s">
        <v>304</v>
      </c>
      <c r="I12" s="29">
        <v>4190000.0</v>
      </c>
      <c r="J12" s="29">
        <f t="shared" si="4"/>
        <v>3000000</v>
      </c>
      <c r="K12" s="25"/>
      <c r="L12" s="23"/>
      <c r="M12" s="19">
        <f t="shared" si="3"/>
        <v>1190000</v>
      </c>
      <c r="N12" s="51" t="s">
        <v>42</v>
      </c>
    </row>
    <row r="13">
      <c r="A13" s="16"/>
      <c r="B13" s="19">
        <f t="shared" si="1"/>
        <v>0</v>
      </c>
      <c r="C13" s="19">
        <f t="shared" si="2"/>
        <v>4190000</v>
      </c>
      <c r="D13" s="16" t="s">
        <v>51</v>
      </c>
      <c r="E13" s="16" t="s">
        <v>48</v>
      </c>
      <c r="F13" s="15">
        <v>12.0</v>
      </c>
      <c r="G13" s="25" t="s">
        <v>306</v>
      </c>
      <c r="H13" s="25" t="s">
        <v>37</v>
      </c>
      <c r="I13" s="29">
        <v>4190000.0</v>
      </c>
      <c r="J13" s="29">
        <v>1000000.0</v>
      </c>
      <c r="K13" s="25"/>
      <c r="L13" s="23"/>
      <c r="M13" s="19">
        <f t="shared" si="3"/>
        <v>3190000</v>
      </c>
      <c r="N13" s="51" t="s">
        <v>42</v>
      </c>
    </row>
    <row r="14">
      <c r="A14" s="16"/>
      <c r="B14" s="19">
        <f t="shared" si="1"/>
        <v>0</v>
      </c>
      <c r="C14" s="19">
        <f t="shared" si="2"/>
        <v>4190000</v>
      </c>
      <c r="D14" s="16" t="s">
        <v>51</v>
      </c>
      <c r="E14" s="16" t="s">
        <v>48</v>
      </c>
      <c r="F14" s="15">
        <v>13.0</v>
      </c>
      <c r="G14" s="25" t="s">
        <v>244</v>
      </c>
      <c r="H14" s="17" t="s">
        <v>307</v>
      </c>
      <c r="I14" s="29">
        <v>4190000.0</v>
      </c>
      <c r="J14" s="29"/>
      <c r="K14" s="25"/>
      <c r="L14" s="23"/>
      <c r="M14" s="19">
        <f t="shared" si="3"/>
        <v>4190000</v>
      </c>
      <c r="N14" s="51" t="s">
        <v>42</v>
      </c>
    </row>
    <row r="15">
      <c r="A15" s="16"/>
      <c r="B15" s="19">
        <f t="shared" si="1"/>
        <v>0</v>
      </c>
      <c r="C15" s="19">
        <f t="shared" si="2"/>
        <v>4190000</v>
      </c>
      <c r="D15" s="16" t="s">
        <v>51</v>
      </c>
      <c r="E15" s="16" t="s">
        <v>48</v>
      </c>
      <c r="F15" s="15">
        <v>14.0</v>
      </c>
      <c r="G15" s="25" t="s">
        <v>245</v>
      </c>
      <c r="H15" s="17" t="s">
        <v>307</v>
      </c>
      <c r="I15" s="29">
        <v>4190000.0</v>
      </c>
      <c r="J15" s="33">
        <f>900000+1000000</f>
        <v>1900000</v>
      </c>
      <c r="K15" s="25"/>
      <c r="L15" s="23"/>
      <c r="M15" s="19">
        <f t="shared" si="3"/>
        <v>2290000</v>
      </c>
      <c r="N15" s="51" t="s">
        <v>42</v>
      </c>
    </row>
    <row r="16">
      <c r="A16" s="16"/>
      <c r="B16" s="19">
        <f t="shared" si="1"/>
        <v>0</v>
      </c>
      <c r="C16" s="19">
        <f t="shared" si="2"/>
        <v>4190000</v>
      </c>
      <c r="D16" s="16" t="s">
        <v>51</v>
      </c>
      <c r="E16" s="16" t="s">
        <v>48</v>
      </c>
      <c r="F16" s="15">
        <v>15.0</v>
      </c>
      <c r="G16" s="25" t="s">
        <v>165</v>
      </c>
      <c r="H16" s="25" t="s">
        <v>37</v>
      </c>
      <c r="I16" s="29">
        <v>4190000.0</v>
      </c>
      <c r="J16" s="29"/>
      <c r="K16" s="18"/>
      <c r="L16" s="23"/>
      <c r="M16" s="19">
        <f t="shared" si="3"/>
        <v>4190000</v>
      </c>
      <c r="N16" s="51" t="s">
        <v>42</v>
      </c>
    </row>
    <row r="17">
      <c r="A17" s="16"/>
      <c r="B17" s="19">
        <f t="shared" si="1"/>
        <v>0</v>
      </c>
      <c r="C17" s="19">
        <f t="shared" si="2"/>
        <v>4190000</v>
      </c>
      <c r="D17" s="16" t="s">
        <v>51</v>
      </c>
      <c r="E17" s="16" t="s">
        <v>48</v>
      </c>
      <c r="F17" s="15">
        <v>16.0</v>
      </c>
      <c r="G17" s="17" t="s">
        <v>308</v>
      </c>
      <c r="H17" s="25" t="s">
        <v>37</v>
      </c>
      <c r="I17" s="29">
        <v>4190000.0</v>
      </c>
      <c r="J17" s="29"/>
      <c r="K17" s="18"/>
      <c r="L17" s="23"/>
      <c r="M17" s="19">
        <f t="shared" ref="M17:M18" si="5">I17-S37-K17</f>
        <v>4190000</v>
      </c>
      <c r="N17" s="51" t="s">
        <v>42</v>
      </c>
    </row>
    <row r="18">
      <c r="A18" s="16"/>
      <c r="B18" s="19">
        <f t="shared" si="1"/>
        <v>0</v>
      </c>
      <c r="C18" s="19">
        <f t="shared" si="2"/>
        <v>4190000</v>
      </c>
      <c r="D18" s="16" t="s">
        <v>51</v>
      </c>
      <c r="E18" s="16" t="s">
        <v>48</v>
      </c>
      <c r="F18" s="15">
        <v>17.0</v>
      </c>
      <c r="G18" s="17" t="s">
        <v>309</v>
      </c>
      <c r="H18" s="25" t="s">
        <v>37</v>
      </c>
      <c r="I18" s="29">
        <v>4190000.0</v>
      </c>
      <c r="J18" s="29"/>
      <c r="K18" s="25"/>
      <c r="L18" s="23"/>
      <c r="M18" s="19">
        <f t="shared" si="5"/>
        <v>4190000</v>
      </c>
      <c r="N18" s="51" t="s">
        <v>42</v>
      </c>
    </row>
    <row r="19">
      <c r="A19" s="16"/>
      <c r="B19" s="19">
        <f t="shared" si="1"/>
        <v>0</v>
      </c>
      <c r="C19" s="19">
        <f t="shared" si="2"/>
        <v>4190000</v>
      </c>
      <c r="D19" s="16" t="s">
        <v>51</v>
      </c>
      <c r="E19" s="16" t="s">
        <v>48</v>
      </c>
      <c r="F19" s="15">
        <v>18.0</v>
      </c>
      <c r="G19" s="25" t="s">
        <v>171</v>
      </c>
      <c r="H19" s="25" t="s">
        <v>37</v>
      </c>
      <c r="I19" s="29">
        <v>4190000.0</v>
      </c>
      <c r="J19" s="33">
        <v>249000.0</v>
      </c>
      <c r="K19" s="25"/>
      <c r="L19" s="23"/>
      <c r="M19" s="19">
        <f t="shared" ref="M19:M20" si="6">I19-J19-K19</f>
        <v>3941000</v>
      </c>
      <c r="N19" s="51" t="s">
        <v>42</v>
      </c>
    </row>
    <row r="20">
      <c r="A20" s="16"/>
      <c r="B20" s="19">
        <f t="shared" si="1"/>
        <v>0</v>
      </c>
      <c r="C20" s="19">
        <f t="shared" si="2"/>
        <v>4190000</v>
      </c>
      <c r="D20" s="16" t="s">
        <v>51</v>
      </c>
      <c r="E20" s="16" t="s">
        <v>48</v>
      </c>
      <c r="F20" s="15">
        <v>19.0</v>
      </c>
      <c r="G20" s="16" t="s">
        <v>173</v>
      </c>
      <c r="H20" s="22" t="s">
        <v>61</v>
      </c>
      <c r="I20" s="19">
        <v>4190000.0</v>
      </c>
      <c r="J20" s="29"/>
      <c r="K20" s="16"/>
      <c r="L20" s="23"/>
      <c r="M20" s="19">
        <f t="shared" si="6"/>
        <v>4190000</v>
      </c>
      <c r="N20" s="51" t="s">
        <v>42</v>
      </c>
    </row>
    <row r="21">
      <c r="A21" s="16"/>
      <c r="B21" s="16"/>
      <c r="C21" s="16"/>
      <c r="D21" s="16"/>
      <c r="E21" s="16"/>
      <c r="F21" s="15">
        <v>20.0</v>
      </c>
      <c r="G21" s="16" t="s">
        <v>60</v>
      </c>
      <c r="H21" s="22" t="s">
        <v>61</v>
      </c>
      <c r="I21" s="23"/>
      <c r="J21" s="23"/>
      <c r="K21" s="16"/>
      <c r="L21" s="16"/>
      <c r="M21" s="16"/>
      <c r="N21" s="16"/>
    </row>
    <row r="22">
      <c r="A22" s="16"/>
      <c r="B22" s="16"/>
      <c r="C22" s="16"/>
      <c r="D22" s="16"/>
      <c r="E22" s="16"/>
      <c r="F22" s="15">
        <v>21.0</v>
      </c>
      <c r="G22" s="16" t="s">
        <v>62</v>
      </c>
      <c r="H22" s="22" t="s">
        <v>61</v>
      </c>
      <c r="I22" s="23"/>
      <c r="J22" s="23"/>
      <c r="K22" s="16"/>
      <c r="L22" s="16"/>
      <c r="M22" s="16"/>
      <c r="N22" s="16"/>
    </row>
    <row r="23">
      <c r="A23" s="24">
        <f t="shared" ref="A23:C23" si="7">SUM(A2:A22)</f>
        <v>0</v>
      </c>
      <c r="B23" s="24">
        <f t="shared" si="7"/>
        <v>0</v>
      </c>
      <c r="C23" s="24">
        <f t="shared" si="7"/>
        <v>79610000</v>
      </c>
      <c r="D23" s="16"/>
      <c r="E23" s="16"/>
      <c r="F23" s="16"/>
      <c r="G23" s="16"/>
      <c r="H23" s="16"/>
      <c r="I23" s="24">
        <f t="shared" ref="I23:K23" si="8">SUM(I2:I22)</f>
        <v>79610000</v>
      </c>
      <c r="J23" s="24">
        <f t="shared" si="8"/>
        <v>24202500</v>
      </c>
      <c r="K23" s="24">
        <f t="shared" si="8"/>
        <v>0</v>
      </c>
      <c r="L23" s="23"/>
      <c r="M23" s="24">
        <f>SUM(M2:M22)</f>
        <v>59307500</v>
      </c>
      <c r="N23" s="16"/>
    </row>
    <row r="24">
      <c r="A24" s="26"/>
      <c r="B24" s="26"/>
      <c r="C24" s="26"/>
      <c r="D24" s="26"/>
      <c r="E24" s="26"/>
      <c r="F24" s="26"/>
      <c r="G24" s="26"/>
      <c r="H24" s="27"/>
      <c r="I24" s="22" t="s">
        <v>64</v>
      </c>
      <c r="J24" s="24">
        <f>SUM(J23+K23)-B46</f>
        <v>17548500</v>
      </c>
      <c r="K24" s="26"/>
      <c r="L24" s="26"/>
      <c r="M24" s="26"/>
      <c r="N24" s="26"/>
    </row>
    <row r="25">
      <c r="A25" s="26"/>
      <c r="B25" s="26"/>
      <c r="C25" s="26"/>
      <c r="D25" s="26"/>
      <c r="E25" s="26"/>
      <c r="F25" s="26"/>
      <c r="G25" s="26"/>
      <c r="H25" s="26"/>
      <c r="I25" s="28" t="s">
        <v>65</v>
      </c>
      <c r="J25" s="29">
        <f>(I23*4)/1000</f>
        <v>318440</v>
      </c>
      <c r="K25" s="26"/>
      <c r="L25" s="26"/>
      <c r="M25" s="26"/>
      <c r="N25" s="26"/>
    </row>
    <row r="26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</row>
    <row r="27">
      <c r="A27" s="77" t="s">
        <v>66</v>
      </c>
      <c r="B27" s="30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</row>
    <row r="28">
      <c r="A28" s="25" t="s">
        <v>247</v>
      </c>
      <c r="B28" s="25"/>
      <c r="C28" s="26"/>
      <c r="D28" s="26"/>
      <c r="E28" s="26" t="s">
        <v>67</v>
      </c>
      <c r="F28" s="26"/>
      <c r="G28" s="26"/>
      <c r="H28" s="26"/>
      <c r="I28" s="26"/>
      <c r="J28" s="26"/>
      <c r="K28" s="26"/>
      <c r="L28" s="26"/>
      <c r="M28" s="26"/>
      <c r="N28" s="26"/>
    </row>
    <row r="29">
      <c r="A29" s="25" t="s">
        <v>68</v>
      </c>
      <c r="B29" s="18"/>
      <c r="C29" s="26"/>
      <c r="D29" s="26"/>
      <c r="E29" s="31"/>
      <c r="L29" s="26"/>
      <c r="M29" s="26"/>
      <c r="N29" s="26"/>
    </row>
    <row r="30">
      <c r="A30" s="25" t="s">
        <v>135</v>
      </c>
      <c r="B30" s="18"/>
      <c r="C30" s="26"/>
      <c r="D30" s="26"/>
      <c r="L30" s="26"/>
      <c r="M30" s="26"/>
      <c r="N30" s="26"/>
    </row>
    <row r="31">
      <c r="A31" s="25" t="s">
        <v>136</v>
      </c>
      <c r="B31" s="61">
        <v>154000.0</v>
      </c>
      <c r="C31" s="26"/>
      <c r="D31" s="26"/>
      <c r="L31" s="26"/>
      <c r="M31" s="26"/>
      <c r="N31" s="26"/>
    </row>
    <row r="32">
      <c r="A32" s="25" t="s">
        <v>137</v>
      </c>
      <c r="B32" s="18"/>
      <c r="C32" s="26"/>
      <c r="D32" s="26"/>
      <c r="L32" s="26"/>
      <c r="M32" s="26"/>
      <c r="N32" s="26"/>
      <c r="P32" s="9" t="s">
        <v>310</v>
      </c>
    </row>
    <row r="33">
      <c r="A33" s="79" t="s">
        <v>70</v>
      </c>
      <c r="B33" s="23"/>
      <c r="C33" s="26"/>
      <c r="D33" s="26"/>
      <c r="L33" s="26"/>
      <c r="M33" s="26"/>
      <c r="N33" s="26"/>
      <c r="P33" s="92" t="s">
        <v>311</v>
      </c>
      <c r="Q33" s="61">
        <v>600000.0</v>
      </c>
    </row>
    <row r="34">
      <c r="A34" s="79" t="s">
        <v>138</v>
      </c>
      <c r="B34" s="23"/>
      <c r="C34" s="26"/>
      <c r="D34" s="26"/>
      <c r="L34" s="26"/>
      <c r="M34" s="26"/>
      <c r="N34" s="26"/>
    </row>
    <row r="35">
      <c r="A35" s="79" t="s">
        <v>139</v>
      </c>
      <c r="B35" s="23"/>
      <c r="C35" s="26"/>
      <c r="D35" s="26"/>
      <c r="L35" s="26"/>
      <c r="M35" s="26"/>
      <c r="N35" s="26"/>
    </row>
    <row r="36">
      <c r="A36" s="79" t="s">
        <v>140</v>
      </c>
      <c r="B36" s="23"/>
      <c r="C36" s="26"/>
      <c r="D36" s="26"/>
      <c r="L36" s="26"/>
      <c r="M36" s="26"/>
      <c r="N36" s="26"/>
    </row>
    <row r="37">
      <c r="A37" s="79" t="s">
        <v>141</v>
      </c>
      <c r="B37" s="23"/>
      <c r="C37" s="26"/>
      <c r="D37" s="26"/>
      <c r="L37" s="26"/>
      <c r="M37" s="26"/>
      <c r="N37" s="26"/>
    </row>
    <row r="38">
      <c r="A38" s="79" t="s">
        <v>142</v>
      </c>
      <c r="B38" s="23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</row>
    <row r="39">
      <c r="A39" s="79" t="s">
        <v>143</v>
      </c>
      <c r="B39" s="23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</row>
    <row r="40">
      <c r="A40" s="79" t="s">
        <v>96</v>
      </c>
      <c r="B40" s="23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</row>
    <row r="41">
      <c r="A41" s="79" t="s">
        <v>144</v>
      </c>
      <c r="B41" s="23"/>
      <c r="C41" s="26"/>
      <c r="D41" s="48"/>
      <c r="E41" s="26"/>
      <c r="F41" s="26"/>
      <c r="G41" s="26"/>
      <c r="H41" s="26"/>
      <c r="I41" s="26"/>
      <c r="J41" s="26"/>
      <c r="K41" s="26"/>
      <c r="L41" s="26"/>
      <c r="M41" s="26"/>
      <c r="N41" s="26"/>
    </row>
    <row r="42">
      <c r="A42" s="79" t="s">
        <v>145</v>
      </c>
      <c r="B42" s="23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</row>
    <row r="43">
      <c r="A43" s="79" t="s">
        <v>256</v>
      </c>
      <c r="B43" s="23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</row>
    <row r="44">
      <c r="A44" s="25" t="s">
        <v>312</v>
      </c>
      <c r="B44" s="18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</row>
    <row r="45">
      <c r="A45" s="25" t="s">
        <v>260</v>
      </c>
      <c r="B45" s="29">
        <v>6500000.0</v>
      </c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</row>
    <row r="46">
      <c r="A46" s="67" t="s">
        <v>8</v>
      </c>
      <c r="B46" s="24">
        <f>SUM(B29:B45)</f>
        <v>6654000</v>
      </c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</row>
  </sheetData>
  <mergeCells count="1">
    <mergeCell ref="E29:K37"/>
  </mergeCells>
  <dataValidations>
    <dataValidation type="list" allowBlank="1" showErrorMessage="1" sqref="D2:D20">
      <formula1>"FUN DIVE,OPEN,AVANZADO,RESCUE,ESPECIALIDAD"</formula1>
    </dataValidation>
    <dataValidation type="list" allowBlank="1" showErrorMessage="1" sqref="H2:H19">
      <formula1>"Multiple,Camarote 1,Camarote 2"</formula1>
    </dataValidation>
    <dataValidation type="list" allowBlank="1" showErrorMessage="1" sqref="N2:N20">
      <formula1>"S,M,L,XL,XXL"</formula1>
    </dataValidation>
    <dataValidation type="list" allowBlank="1" showErrorMessage="1" sqref="E2:E20">
      <formula1>"SI,NO"</formula1>
    </dataValidation>
  </dataValidations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5" max="5" width="16.88"/>
    <col customWidth="1" min="7" max="7" width="17.25"/>
  </cols>
  <sheetData>
    <row r="1">
      <c r="A1" s="12" t="s">
        <v>20</v>
      </c>
      <c r="B1" s="12" t="s">
        <v>21</v>
      </c>
      <c r="C1" s="12" t="s">
        <v>22</v>
      </c>
      <c r="D1" s="12" t="s">
        <v>23</v>
      </c>
      <c r="E1" s="12" t="s">
        <v>24</v>
      </c>
      <c r="F1" s="12" t="s">
        <v>25</v>
      </c>
      <c r="G1" s="12" t="s">
        <v>27</v>
      </c>
      <c r="H1" s="12" t="s">
        <v>29</v>
      </c>
      <c r="I1" s="12" t="s">
        <v>30</v>
      </c>
      <c r="J1" s="12" t="s">
        <v>31</v>
      </c>
      <c r="K1" s="12" t="s">
        <v>32</v>
      </c>
    </row>
    <row r="2">
      <c r="A2" s="19">
        <v>0.0</v>
      </c>
      <c r="B2" s="16"/>
      <c r="C2" s="16" t="s">
        <v>34</v>
      </c>
      <c r="D2" s="16" t="s">
        <v>48</v>
      </c>
      <c r="E2" s="16" t="s">
        <v>58</v>
      </c>
      <c r="F2" s="16" t="s">
        <v>56</v>
      </c>
      <c r="G2" s="19">
        <v>1990.0</v>
      </c>
      <c r="H2" s="19">
        <f>597+597+796</f>
        <v>1990</v>
      </c>
      <c r="I2" s="23"/>
      <c r="J2" s="19">
        <f>G2-H2-I2</f>
        <v>0</v>
      </c>
      <c r="K2" s="51" t="s">
        <v>42</v>
      </c>
    </row>
    <row r="3">
      <c r="A3" s="19">
        <v>0.0</v>
      </c>
      <c r="B3" s="16"/>
      <c r="C3" s="16" t="s">
        <v>51</v>
      </c>
      <c r="D3" s="16" t="s">
        <v>48</v>
      </c>
      <c r="E3" s="15" t="s">
        <v>313</v>
      </c>
      <c r="F3" s="16" t="s">
        <v>56</v>
      </c>
      <c r="G3" s="20">
        <v>1990.0</v>
      </c>
      <c r="H3" s="21">
        <f>199+270+268+273+307+318</f>
        <v>1635</v>
      </c>
      <c r="I3" s="16"/>
      <c r="J3" s="19">
        <f t="shared" ref="J3:J15" si="1">G3-H3</f>
        <v>355</v>
      </c>
      <c r="K3" s="51" t="s">
        <v>42</v>
      </c>
    </row>
    <row r="4">
      <c r="A4" s="19">
        <v>0.0</v>
      </c>
      <c r="B4" s="16"/>
      <c r="C4" s="16" t="s">
        <v>314</v>
      </c>
      <c r="D4" s="16" t="s">
        <v>48</v>
      </c>
      <c r="E4" s="15" t="s">
        <v>315</v>
      </c>
      <c r="F4" s="16" t="s">
        <v>56</v>
      </c>
      <c r="G4" s="20">
        <v>1990.0</v>
      </c>
      <c r="H4" s="21">
        <f>273</f>
        <v>273</v>
      </c>
      <c r="I4" s="16"/>
      <c r="J4" s="19">
        <f t="shared" si="1"/>
        <v>1717</v>
      </c>
      <c r="K4" s="51" t="s">
        <v>42</v>
      </c>
    </row>
    <row r="5">
      <c r="A5" s="19">
        <v>0.0</v>
      </c>
      <c r="B5" s="16"/>
      <c r="C5" s="16" t="s">
        <v>54</v>
      </c>
      <c r="D5" s="16" t="s">
        <v>48</v>
      </c>
      <c r="E5" s="15" t="s">
        <v>316</v>
      </c>
      <c r="F5" s="16" t="s">
        <v>56</v>
      </c>
      <c r="G5" s="20">
        <v>1990.0</v>
      </c>
      <c r="H5" s="21">
        <v>597.0</v>
      </c>
      <c r="I5" s="16"/>
      <c r="J5" s="19">
        <f t="shared" si="1"/>
        <v>1393</v>
      </c>
      <c r="K5" s="51" t="s">
        <v>42</v>
      </c>
    </row>
    <row r="6">
      <c r="A6" s="16"/>
      <c r="B6" s="16"/>
      <c r="C6" s="16"/>
      <c r="D6" s="16"/>
      <c r="E6" s="15" t="s">
        <v>317</v>
      </c>
      <c r="F6" s="16" t="s">
        <v>56</v>
      </c>
      <c r="G6" s="20">
        <v>1990.0</v>
      </c>
      <c r="H6" s="21">
        <v>266.0</v>
      </c>
      <c r="I6" s="16"/>
      <c r="J6" s="19">
        <f t="shared" si="1"/>
        <v>1724</v>
      </c>
      <c r="K6" s="51" t="s">
        <v>42</v>
      </c>
    </row>
    <row r="7">
      <c r="A7" s="16"/>
      <c r="B7" s="16"/>
      <c r="C7" s="16"/>
      <c r="D7" s="16"/>
      <c r="E7" s="15"/>
      <c r="F7" s="16" t="s">
        <v>56</v>
      </c>
      <c r="G7" s="20"/>
      <c r="H7" s="23"/>
      <c r="I7" s="16"/>
      <c r="J7" s="19">
        <f t="shared" si="1"/>
        <v>0</v>
      </c>
      <c r="K7" s="51" t="s">
        <v>42</v>
      </c>
    </row>
    <row r="8">
      <c r="A8" s="16"/>
      <c r="B8" s="16"/>
      <c r="C8" s="16"/>
      <c r="D8" s="16"/>
      <c r="E8" s="15" t="s">
        <v>318</v>
      </c>
      <c r="F8" s="16" t="s">
        <v>56</v>
      </c>
      <c r="G8" s="20">
        <v>1990.0</v>
      </c>
      <c r="H8" s="21">
        <v>700.0</v>
      </c>
      <c r="I8" s="16"/>
      <c r="J8" s="19">
        <f t="shared" si="1"/>
        <v>1290</v>
      </c>
      <c r="K8" s="51" t="s">
        <v>42</v>
      </c>
    </row>
    <row r="9">
      <c r="A9" s="16"/>
      <c r="B9" s="16"/>
      <c r="C9" s="16"/>
      <c r="D9" s="16"/>
      <c r="E9" s="15" t="s">
        <v>319</v>
      </c>
      <c r="F9" s="16" t="s">
        <v>56</v>
      </c>
      <c r="G9" s="20">
        <v>1990.0</v>
      </c>
      <c r="H9" s="21">
        <v>700.0</v>
      </c>
      <c r="I9" s="16"/>
      <c r="J9" s="19">
        <f t="shared" si="1"/>
        <v>1290</v>
      </c>
      <c r="K9" s="51" t="s">
        <v>42</v>
      </c>
    </row>
    <row r="10" ht="16.5" customHeight="1">
      <c r="A10" s="16"/>
      <c r="B10" s="16"/>
      <c r="C10" s="16"/>
      <c r="D10" s="16"/>
      <c r="E10" s="15" t="s">
        <v>320</v>
      </c>
      <c r="F10" s="16" t="s">
        <v>56</v>
      </c>
      <c r="G10" s="23"/>
      <c r="H10" s="23"/>
      <c r="I10" s="16"/>
      <c r="J10" s="19">
        <f t="shared" si="1"/>
        <v>0</v>
      </c>
      <c r="K10" s="16"/>
    </row>
    <row r="11" ht="16.5" customHeight="1">
      <c r="A11" s="16"/>
      <c r="B11" s="16"/>
      <c r="C11" s="16"/>
      <c r="D11" s="16"/>
      <c r="E11" s="15" t="s">
        <v>321</v>
      </c>
      <c r="F11" s="16" t="s">
        <v>56</v>
      </c>
      <c r="G11" s="21">
        <v>1990.0</v>
      </c>
      <c r="H11" s="23">
        <f>201+501+418</f>
        <v>1120</v>
      </c>
      <c r="I11" s="16"/>
      <c r="J11" s="19">
        <f t="shared" si="1"/>
        <v>870</v>
      </c>
      <c r="K11" s="16"/>
    </row>
    <row r="12" ht="16.5" customHeight="1">
      <c r="A12" s="16"/>
      <c r="B12" s="16"/>
      <c r="C12" s="16"/>
      <c r="D12" s="16"/>
      <c r="E12" s="15" t="s">
        <v>322</v>
      </c>
      <c r="F12" s="16" t="s">
        <v>56</v>
      </c>
      <c r="G12" s="21">
        <v>1990.0</v>
      </c>
      <c r="H12" s="23">
        <f>134+1250+607</f>
        <v>1991</v>
      </c>
      <c r="I12" s="16"/>
      <c r="J12" s="19">
        <f t="shared" si="1"/>
        <v>-1</v>
      </c>
      <c r="K12" s="16"/>
    </row>
    <row r="13" ht="15.0" customHeight="1">
      <c r="A13" s="16"/>
      <c r="B13" s="16"/>
      <c r="C13" s="16"/>
      <c r="D13" s="16"/>
      <c r="E13" s="15" t="s">
        <v>323</v>
      </c>
      <c r="F13" s="16" t="s">
        <v>56</v>
      </c>
      <c r="G13" s="21">
        <v>1990.0</v>
      </c>
      <c r="H13" s="21">
        <v>500.0</v>
      </c>
      <c r="I13" s="16"/>
      <c r="J13" s="19">
        <f t="shared" si="1"/>
        <v>1490</v>
      </c>
      <c r="K13" s="16"/>
    </row>
    <row r="14" ht="15.0" customHeight="1">
      <c r="A14" s="16"/>
      <c r="B14" s="16"/>
      <c r="C14" s="16"/>
      <c r="D14" s="16"/>
      <c r="E14" s="16" t="s">
        <v>60</v>
      </c>
      <c r="F14" s="22" t="s">
        <v>61</v>
      </c>
      <c r="G14" s="23"/>
      <c r="H14" s="23"/>
      <c r="I14" s="16"/>
      <c r="J14" s="19">
        <f t="shared" si="1"/>
        <v>0</v>
      </c>
      <c r="K14" s="16"/>
    </row>
    <row r="15">
      <c r="A15" s="16"/>
      <c r="B15" s="16"/>
      <c r="C15" s="16"/>
      <c r="D15" s="16"/>
      <c r="E15" s="16" t="s">
        <v>62</v>
      </c>
      <c r="F15" s="22" t="s">
        <v>61</v>
      </c>
      <c r="G15" s="23"/>
      <c r="H15" s="23"/>
      <c r="I15" s="16"/>
      <c r="J15" s="19">
        <f t="shared" si="1"/>
        <v>0</v>
      </c>
      <c r="K15" s="16"/>
    </row>
    <row r="16">
      <c r="A16" s="24">
        <f>SUM(A2:A15)</f>
        <v>0</v>
      </c>
      <c r="B16" s="16"/>
      <c r="C16" s="16"/>
      <c r="D16" s="16"/>
      <c r="E16" s="16"/>
      <c r="F16" s="16"/>
      <c r="G16" s="23"/>
      <c r="H16" s="24">
        <f t="shared" ref="H16:J16" si="2">SUM(H2:H15)</f>
        <v>9772</v>
      </c>
      <c r="I16" s="24">
        <f t="shared" si="2"/>
        <v>0</v>
      </c>
      <c r="J16" s="24">
        <f t="shared" si="2"/>
        <v>10128</v>
      </c>
      <c r="K16" s="16"/>
    </row>
    <row r="17">
      <c r="A17" s="26"/>
      <c r="B17" s="26"/>
      <c r="C17" s="26"/>
      <c r="D17" s="26"/>
      <c r="E17" s="26"/>
      <c r="F17" s="27"/>
      <c r="G17" s="22" t="s">
        <v>64</v>
      </c>
      <c r="H17" s="24">
        <f>SUM(H16+I16)-C38</f>
        <v>9272</v>
      </c>
      <c r="I17" s="26"/>
      <c r="J17" s="26"/>
      <c r="K17" s="26"/>
    </row>
    <row r="18">
      <c r="A18" s="26"/>
      <c r="B18" s="26"/>
      <c r="C18" s="26"/>
      <c r="D18" s="26"/>
      <c r="E18" s="26"/>
      <c r="F18" s="26"/>
      <c r="G18" s="2" t="s">
        <v>324</v>
      </c>
      <c r="H18" s="24">
        <f>28986064-B38</f>
        <v>27091834</v>
      </c>
      <c r="I18" s="26"/>
      <c r="J18" s="26"/>
      <c r="K18" s="26"/>
    </row>
    <row r="19">
      <c r="A19" s="26"/>
      <c r="B19" s="26"/>
      <c r="C19" s="26"/>
      <c r="D19" s="26"/>
      <c r="E19" s="26"/>
      <c r="F19" s="26"/>
      <c r="I19" s="26"/>
      <c r="J19" s="34"/>
      <c r="K19" s="26"/>
    </row>
    <row r="20">
      <c r="A20" s="28" t="s">
        <v>66</v>
      </c>
      <c r="B20" s="28" t="s">
        <v>325</v>
      </c>
      <c r="C20" s="28" t="s">
        <v>213</v>
      </c>
      <c r="D20" s="26" t="s">
        <v>67</v>
      </c>
      <c r="E20" s="26"/>
      <c r="F20" s="26"/>
      <c r="G20" s="28" t="s">
        <v>65</v>
      </c>
      <c r="H20" s="29">
        <f>(G16*4)/1000</f>
        <v>0</v>
      </c>
      <c r="I20" s="26"/>
      <c r="J20" s="26"/>
      <c r="K20" s="26"/>
    </row>
    <row r="21">
      <c r="A21" s="25" t="s">
        <v>20</v>
      </c>
      <c r="B21" s="29">
        <f>A16</f>
        <v>0</v>
      </c>
      <c r="C21" s="25"/>
      <c r="D21" s="31"/>
      <c r="E21" s="31"/>
      <c r="F21" s="31"/>
      <c r="G21" s="31"/>
      <c r="H21" s="31"/>
      <c r="I21" s="31"/>
      <c r="J21" s="26"/>
      <c r="K21" s="26"/>
    </row>
    <row r="22">
      <c r="A22" s="25" t="s">
        <v>68</v>
      </c>
      <c r="B22" s="33">
        <v>1894230.0</v>
      </c>
      <c r="C22" s="25"/>
      <c r="D22" s="32" t="s">
        <v>326</v>
      </c>
      <c r="J22" s="26"/>
      <c r="K22" s="26"/>
    </row>
    <row r="23">
      <c r="A23" s="25" t="s">
        <v>135</v>
      </c>
      <c r="B23" s="29">
        <v>0.0</v>
      </c>
      <c r="C23" s="25"/>
      <c r="J23" s="26"/>
      <c r="K23" s="26"/>
    </row>
    <row r="24">
      <c r="A24" s="25" t="s">
        <v>136</v>
      </c>
      <c r="B24" s="29">
        <v>0.0</v>
      </c>
      <c r="C24" s="25"/>
      <c r="J24" s="26"/>
      <c r="K24" s="26"/>
    </row>
    <row r="25">
      <c r="A25" s="25" t="s">
        <v>137</v>
      </c>
      <c r="B25" s="29">
        <v>0.0</v>
      </c>
      <c r="C25" s="25"/>
      <c r="J25" s="26"/>
      <c r="K25" s="26"/>
    </row>
    <row r="26">
      <c r="A26" s="25" t="s">
        <v>70</v>
      </c>
      <c r="B26" s="29">
        <v>0.0</v>
      </c>
      <c r="C26" s="25"/>
      <c r="J26" s="26"/>
      <c r="K26" s="26"/>
    </row>
    <row r="27">
      <c r="A27" s="25" t="s">
        <v>138</v>
      </c>
      <c r="B27" s="29">
        <v>0.0</v>
      </c>
      <c r="C27" s="25"/>
      <c r="J27" s="26"/>
      <c r="K27" s="26"/>
    </row>
    <row r="28">
      <c r="A28" s="25" t="s">
        <v>139</v>
      </c>
      <c r="B28" s="29">
        <v>0.0</v>
      </c>
      <c r="C28" s="25"/>
      <c r="J28" s="26"/>
      <c r="K28" s="26"/>
    </row>
    <row r="29">
      <c r="A29" s="25" t="s">
        <v>140</v>
      </c>
      <c r="B29" s="29">
        <v>0.0</v>
      </c>
      <c r="C29" s="25"/>
      <c r="J29" s="26"/>
      <c r="K29" s="26"/>
    </row>
    <row r="30">
      <c r="A30" s="25" t="s">
        <v>141</v>
      </c>
      <c r="B30" s="29">
        <v>0.0</v>
      </c>
      <c r="C30" s="25"/>
      <c r="J30" s="26"/>
      <c r="K30" s="26"/>
    </row>
    <row r="31">
      <c r="A31" s="25" t="s">
        <v>142</v>
      </c>
      <c r="B31" s="29">
        <v>0.0</v>
      </c>
      <c r="C31" s="25"/>
      <c r="D31" s="26"/>
      <c r="E31" s="26"/>
      <c r="F31" s="26"/>
      <c r="G31" s="26"/>
      <c r="H31" s="26"/>
      <c r="I31" s="26"/>
      <c r="J31" s="26"/>
      <c r="K31" s="26"/>
    </row>
    <row r="32">
      <c r="A32" s="25" t="s">
        <v>143</v>
      </c>
      <c r="B32" s="29">
        <v>0.0</v>
      </c>
      <c r="C32" s="25"/>
      <c r="D32" s="26"/>
      <c r="E32" s="26"/>
      <c r="F32" s="26"/>
      <c r="G32" s="26"/>
      <c r="H32" s="26"/>
      <c r="I32" s="26"/>
      <c r="J32" s="26"/>
      <c r="K32" s="26"/>
    </row>
    <row r="33">
      <c r="A33" s="25" t="s">
        <v>96</v>
      </c>
      <c r="B33" s="29">
        <v>0.0</v>
      </c>
      <c r="C33" s="25"/>
      <c r="D33" s="26"/>
      <c r="E33" s="26"/>
      <c r="F33" s="26"/>
      <c r="G33" s="26"/>
      <c r="H33" s="26"/>
      <c r="I33" s="26"/>
      <c r="J33" s="26"/>
      <c r="K33" s="26"/>
    </row>
    <row r="34">
      <c r="A34" s="25" t="s">
        <v>144</v>
      </c>
      <c r="B34" s="29">
        <v>0.0</v>
      </c>
      <c r="C34" s="25"/>
      <c r="D34" s="26"/>
      <c r="E34" s="26"/>
      <c r="F34" s="26"/>
      <c r="G34" s="26"/>
      <c r="H34" s="26"/>
      <c r="I34" s="26"/>
      <c r="J34" s="26"/>
      <c r="K34" s="26"/>
    </row>
    <row r="35">
      <c r="A35" s="25" t="s">
        <v>145</v>
      </c>
      <c r="B35" s="29">
        <v>0.0</v>
      </c>
      <c r="C35" s="25"/>
      <c r="D35" s="26"/>
      <c r="E35" s="26"/>
      <c r="F35" s="26"/>
      <c r="G35" s="26"/>
      <c r="H35" s="26"/>
      <c r="I35" s="26"/>
      <c r="J35" s="26"/>
      <c r="K35" s="26"/>
    </row>
    <row r="36">
      <c r="A36" s="17" t="s">
        <v>327</v>
      </c>
      <c r="B36" s="9">
        <v>0.0</v>
      </c>
      <c r="C36" s="33">
        <v>500.0</v>
      </c>
      <c r="D36" s="34" t="s">
        <v>328</v>
      </c>
      <c r="E36" s="26"/>
      <c r="F36" s="26"/>
      <c r="G36" s="26"/>
      <c r="H36" s="26"/>
      <c r="I36" s="26"/>
      <c r="J36" s="26"/>
      <c r="K36" s="26"/>
    </row>
    <row r="37">
      <c r="A37" s="25"/>
      <c r="B37" s="29">
        <v>0.0</v>
      </c>
      <c r="C37" s="25"/>
      <c r="D37" s="26"/>
      <c r="E37" s="26"/>
      <c r="F37" s="26"/>
      <c r="G37" s="26"/>
      <c r="H37" s="26"/>
      <c r="I37" s="26"/>
      <c r="J37" s="26"/>
      <c r="K37" s="26"/>
    </row>
    <row r="38">
      <c r="A38" s="28" t="s">
        <v>8</v>
      </c>
      <c r="B38" s="35">
        <f t="shared" ref="B38:C38" si="3">SUM(B21:B37)</f>
        <v>1894230</v>
      </c>
      <c r="C38" s="35">
        <f t="shared" si="3"/>
        <v>500</v>
      </c>
      <c r="D38" s="26"/>
      <c r="E38" s="26"/>
      <c r="F38" s="26"/>
      <c r="G38" s="26"/>
      <c r="H38" s="26"/>
      <c r="I38" s="26"/>
      <c r="J38" s="26"/>
      <c r="K38" s="26"/>
    </row>
  </sheetData>
  <mergeCells count="1">
    <mergeCell ref="D22:I30"/>
  </mergeCells>
  <dataValidations>
    <dataValidation type="list" allowBlank="1" showErrorMessage="1" sqref="C2:C5">
      <formula1>"FUN DIVE,OPEN,AVANZADO,RESCUE,ESPECIALIDAD"</formula1>
    </dataValidation>
    <dataValidation type="list" allowBlank="1" showErrorMessage="1" sqref="F2:F13">
      <formula1>"Multiple,Pareja,Sencilla"</formula1>
    </dataValidation>
    <dataValidation type="list" allowBlank="1" showErrorMessage="1" sqref="K2:K9">
      <formula1>"S,M,L,XL,XXL"</formula1>
    </dataValidation>
    <dataValidation type="list" allowBlank="1" showErrorMessage="1" sqref="D2:D5">
      <formula1>"SI,NO"</formula1>
    </dataValidation>
  </dataValidations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5" max="5" width="16.88"/>
    <col customWidth="1" min="8" max="8" width="16.75"/>
  </cols>
  <sheetData>
    <row r="1">
      <c r="A1" s="12" t="s">
        <v>20</v>
      </c>
      <c r="B1" s="12" t="s">
        <v>21</v>
      </c>
      <c r="C1" s="12" t="s">
        <v>22</v>
      </c>
      <c r="D1" s="12" t="s">
        <v>23</v>
      </c>
      <c r="E1" s="12" t="s">
        <v>24</v>
      </c>
      <c r="F1" s="12" t="s">
        <v>25</v>
      </c>
      <c r="G1" s="12" t="s">
        <v>26</v>
      </c>
      <c r="H1" s="12" t="s">
        <v>27</v>
      </c>
      <c r="I1" s="12" t="s">
        <v>29</v>
      </c>
      <c r="J1" s="12" t="s">
        <v>30</v>
      </c>
      <c r="K1" s="12" t="s">
        <v>31</v>
      </c>
      <c r="L1" s="12" t="s">
        <v>32</v>
      </c>
    </row>
    <row r="2">
      <c r="A2" s="14"/>
      <c r="B2" s="16"/>
      <c r="C2" s="16" t="s">
        <v>47</v>
      </c>
      <c r="D2" s="16" t="s">
        <v>48</v>
      </c>
      <c r="E2" s="15" t="s">
        <v>59</v>
      </c>
      <c r="F2" s="25" t="s">
        <v>41</v>
      </c>
      <c r="G2" s="18"/>
      <c r="H2" s="20">
        <v>4190.0</v>
      </c>
      <c r="I2" s="20">
        <f>545+506+530+558+1089</f>
        <v>3228</v>
      </c>
      <c r="J2" s="16"/>
      <c r="K2" s="19">
        <f t="shared" ref="K2:K8" si="1">H2-(I2-J2)</f>
        <v>962</v>
      </c>
      <c r="L2" s="16"/>
    </row>
    <row r="3">
      <c r="A3" s="16"/>
      <c r="B3" s="16"/>
      <c r="C3" s="16" t="s">
        <v>34</v>
      </c>
      <c r="D3" s="16" t="s">
        <v>48</v>
      </c>
      <c r="E3" s="15" t="s">
        <v>329</v>
      </c>
      <c r="F3" s="25" t="s">
        <v>41</v>
      </c>
      <c r="G3" s="18"/>
      <c r="H3" s="20">
        <v>4190.0</v>
      </c>
      <c r="I3" s="21">
        <v>1259.0</v>
      </c>
      <c r="J3" s="16"/>
      <c r="K3" s="19">
        <f t="shared" si="1"/>
        <v>2931</v>
      </c>
      <c r="L3" s="16"/>
    </row>
    <row r="4">
      <c r="A4" s="16"/>
      <c r="B4" s="16"/>
      <c r="C4" s="16"/>
      <c r="D4" s="16" t="s">
        <v>48</v>
      </c>
      <c r="E4" s="15" t="s">
        <v>330</v>
      </c>
      <c r="F4" s="25" t="s">
        <v>41</v>
      </c>
      <c r="G4" s="18"/>
      <c r="H4" s="20">
        <v>4190.0</v>
      </c>
      <c r="I4" s="21">
        <v>1259.0</v>
      </c>
      <c r="J4" s="16"/>
      <c r="K4" s="19">
        <f t="shared" si="1"/>
        <v>2931</v>
      </c>
      <c r="L4" s="16"/>
    </row>
    <row r="5">
      <c r="A5" s="16"/>
      <c r="B5" s="16"/>
      <c r="C5" s="16"/>
      <c r="D5" s="16" t="s">
        <v>48</v>
      </c>
      <c r="E5" s="15" t="s">
        <v>331</v>
      </c>
      <c r="F5" s="25" t="s">
        <v>41</v>
      </c>
      <c r="G5" s="18"/>
      <c r="H5" s="20">
        <v>4190.0</v>
      </c>
      <c r="I5" s="21">
        <v>500.0</v>
      </c>
      <c r="J5" s="16"/>
      <c r="K5" s="19">
        <f t="shared" si="1"/>
        <v>3690</v>
      </c>
      <c r="L5" s="16"/>
    </row>
    <row r="6">
      <c r="A6" s="16"/>
      <c r="B6" s="16"/>
      <c r="C6" s="16"/>
      <c r="D6" s="16" t="s">
        <v>48</v>
      </c>
      <c r="E6" s="15" t="s">
        <v>332</v>
      </c>
      <c r="F6" s="25" t="s">
        <v>41</v>
      </c>
      <c r="G6" s="18"/>
      <c r="H6" s="23"/>
      <c r="I6" s="23"/>
      <c r="J6" s="16"/>
      <c r="K6" s="19">
        <f t="shared" si="1"/>
        <v>0</v>
      </c>
      <c r="L6" s="16"/>
    </row>
    <row r="7">
      <c r="A7" s="16"/>
      <c r="B7" s="16"/>
      <c r="C7" s="16"/>
      <c r="D7" s="16" t="s">
        <v>48</v>
      </c>
      <c r="E7" s="16"/>
      <c r="F7" s="25" t="s">
        <v>41</v>
      </c>
      <c r="G7" s="18"/>
      <c r="H7" s="23"/>
      <c r="I7" s="23"/>
      <c r="J7" s="16"/>
      <c r="K7" s="19">
        <f t="shared" si="1"/>
        <v>0</v>
      </c>
      <c r="L7" s="16"/>
    </row>
    <row r="8">
      <c r="A8" s="16"/>
      <c r="B8" s="16"/>
      <c r="C8" s="16"/>
      <c r="D8" s="16" t="s">
        <v>48</v>
      </c>
      <c r="E8" s="16"/>
      <c r="F8" s="16"/>
      <c r="G8" s="18"/>
      <c r="H8" s="23"/>
      <c r="I8" s="23"/>
      <c r="J8" s="16"/>
      <c r="K8" s="19">
        <f t="shared" si="1"/>
        <v>0</v>
      </c>
      <c r="L8" s="16"/>
    </row>
    <row r="9">
      <c r="A9" s="16"/>
      <c r="B9" s="16"/>
      <c r="C9" s="16"/>
      <c r="D9" s="16"/>
      <c r="E9" s="16" t="s">
        <v>60</v>
      </c>
      <c r="F9" s="22" t="s">
        <v>61</v>
      </c>
      <c r="G9" s="18"/>
      <c r="H9" s="23"/>
      <c r="I9" s="23"/>
      <c r="J9" s="16"/>
      <c r="K9" s="23"/>
      <c r="L9" s="16"/>
    </row>
    <row r="10">
      <c r="A10" s="16"/>
      <c r="B10" s="16"/>
      <c r="C10" s="16"/>
      <c r="D10" s="16"/>
      <c r="E10" s="16" t="s">
        <v>62</v>
      </c>
      <c r="F10" s="22" t="s">
        <v>61</v>
      </c>
      <c r="G10" s="23"/>
      <c r="H10" s="23"/>
      <c r="I10" s="23"/>
      <c r="J10" s="16"/>
      <c r="K10" s="16"/>
      <c r="L10" s="16"/>
    </row>
    <row r="11">
      <c r="A11" s="24">
        <f>SUM(A2:A10)</f>
        <v>0</v>
      </c>
      <c r="B11" s="16"/>
      <c r="C11" s="16"/>
      <c r="D11" s="16"/>
      <c r="E11" s="25"/>
      <c r="F11" s="25"/>
      <c r="G11" s="24" t="s">
        <v>63</v>
      </c>
      <c r="H11" s="24">
        <f t="shared" ref="H11:K11" si="2">SUM(H2:H10)</f>
        <v>16760</v>
      </c>
      <c r="I11" s="24">
        <f t="shared" si="2"/>
        <v>6246</v>
      </c>
      <c r="J11" s="24">
        <f t="shared" si="2"/>
        <v>0</v>
      </c>
      <c r="K11" s="24">
        <f t="shared" si="2"/>
        <v>10514</v>
      </c>
      <c r="L11" s="16"/>
    </row>
    <row r="12">
      <c r="A12" s="26"/>
      <c r="B12" s="26"/>
      <c r="C12" s="26"/>
      <c r="D12" s="26"/>
      <c r="E12" s="26"/>
      <c r="F12" s="27"/>
      <c r="G12" s="27"/>
      <c r="H12" s="22" t="s">
        <v>64</v>
      </c>
      <c r="I12" s="24">
        <f>SUM(I11+J11)-B35</f>
        <v>4983</v>
      </c>
      <c r="J12" s="26"/>
      <c r="K12" s="26"/>
      <c r="L12" s="26"/>
    </row>
    <row r="13">
      <c r="A13" s="26"/>
      <c r="B13" s="26"/>
      <c r="C13" s="26"/>
      <c r="D13" s="26"/>
      <c r="E13" s="26"/>
      <c r="F13" s="26"/>
      <c r="G13" s="26"/>
      <c r="H13" s="28" t="s">
        <v>65</v>
      </c>
      <c r="I13" s="29">
        <f>(H11*4)/1000</f>
        <v>67.04</v>
      </c>
      <c r="J13" s="26"/>
      <c r="K13" s="26"/>
      <c r="L13" s="26"/>
    </row>
    <row r="14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</row>
    <row r="15">
      <c r="A15" s="28" t="s">
        <v>66</v>
      </c>
      <c r="B15" s="30"/>
      <c r="C15" s="26"/>
      <c r="D15" s="26" t="s">
        <v>67</v>
      </c>
      <c r="E15" s="26"/>
      <c r="F15" s="26"/>
      <c r="G15" s="26"/>
      <c r="H15" s="26"/>
      <c r="I15" s="26"/>
      <c r="J15" s="26"/>
      <c r="K15" s="26"/>
      <c r="L15" s="26"/>
    </row>
    <row r="16">
      <c r="A16" s="17" t="s">
        <v>72</v>
      </c>
      <c r="B16" s="33">
        <v>1263.0</v>
      </c>
      <c r="C16" s="34" t="s">
        <v>333</v>
      </c>
      <c r="D16" s="31"/>
      <c r="E16" s="31"/>
      <c r="F16" s="31"/>
      <c r="G16" s="31"/>
      <c r="H16" s="31"/>
      <c r="I16" s="31"/>
      <c r="J16" s="31"/>
      <c r="K16" s="26"/>
      <c r="L16" s="26"/>
      <c r="M16" s="9">
        <f>560+2107+1107+689</f>
        <v>4463</v>
      </c>
    </row>
    <row r="17">
      <c r="A17" s="17"/>
      <c r="B17" s="29">
        <v>0.0</v>
      </c>
      <c r="C17" s="26"/>
      <c r="D17" s="32" t="s">
        <v>334</v>
      </c>
      <c r="K17" s="26"/>
      <c r="L17" s="48">
        <f>I12-M16</f>
        <v>520</v>
      </c>
    </row>
    <row r="18">
      <c r="A18" s="25"/>
      <c r="B18" s="29">
        <v>0.0</v>
      </c>
      <c r="C18" s="26"/>
      <c r="K18" s="26"/>
      <c r="L18" s="34">
        <v>470.0</v>
      </c>
    </row>
    <row r="19">
      <c r="A19" s="25"/>
      <c r="B19" s="29">
        <v>0.0</v>
      </c>
      <c r="C19" s="26"/>
      <c r="K19" s="26"/>
      <c r="L19" s="26"/>
    </row>
    <row r="20">
      <c r="A20" s="25"/>
      <c r="B20" s="29">
        <v>0.0</v>
      </c>
      <c r="C20" s="26"/>
      <c r="K20" s="26"/>
      <c r="L20" s="26"/>
    </row>
    <row r="21">
      <c r="A21" s="25"/>
      <c r="B21" s="29">
        <v>0.0</v>
      </c>
      <c r="C21" s="26"/>
      <c r="K21" s="26"/>
      <c r="L21" s="48">
        <f>L17-L18</f>
        <v>50</v>
      </c>
    </row>
    <row r="22">
      <c r="A22" s="25"/>
      <c r="B22" s="29">
        <v>0.0</v>
      </c>
      <c r="C22" s="26"/>
      <c r="K22" s="26"/>
      <c r="L22" s="26"/>
    </row>
    <row r="23">
      <c r="A23" s="25"/>
      <c r="B23" s="29">
        <v>0.0</v>
      </c>
      <c r="C23" s="26"/>
      <c r="K23" s="26"/>
      <c r="L23" s="26"/>
    </row>
    <row r="24">
      <c r="A24" s="25"/>
      <c r="B24" s="29">
        <v>0.0</v>
      </c>
      <c r="C24" s="26"/>
      <c r="K24" s="26"/>
      <c r="L24" s="26"/>
    </row>
    <row r="25">
      <c r="A25" s="25"/>
      <c r="B25" s="29">
        <v>0.0</v>
      </c>
      <c r="C25" s="26"/>
      <c r="K25" s="26"/>
      <c r="L25" s="26"/>
    </row>
    <row r="26">
      <c r="A26" s="25"/>
      <c r="B26" s="29">
        <v>0.0</v>
      </c>
      <c r="C26" s="26"/>
      <c r="D26" s="26"/>
      <c r="E26" s="26"/>
      <c r="F26" s="26"/>
      <c r="G26" s="26"/>
      <c r="H26" s="26"/>
      <c r="I26" s="26"/>
      <c r="J26" s="26"/>
      <c r="K26" s="26"/>
      <c r="L26" s="26"/>
    </row>
    <row r="27">
      <c r="A27" s="25"/>
      <c r="B27" s="29">
        <v>0.0</v>
      </c>
      <c r="C27" s="26"/>
      <c r="D27" s="26"/>
      <c r="E27" s="26"/>
      <c r="F27" s="26"/>
      <c r="G27" s="26"/>
      <c r="H27" s="26"/>
      <c r="I27" s="26"/>
      <c r="J27" s="26"/>
      <c r="K27" s="26"/>
      <c r="L27" s="26"/>
    </row>
    <row r="28">
      <c r="A28" s="25"/>
      <c r="B28" s="29">
        <v>0.0</v>
      </c>
      <c r="C28" s="26"/>
      <c r="D28" s="26"/>
      <c r="E28" s="26"/>
      <c r="F28" s="26"/>
      <c r="G28" s="26"/>
      <c r="H28" s="26"/>
      <c r="I28" s="26"/>
      <c r="J28" s="26"/>
      <c r="K28" s="26"/>
      <c r="L28" s="26"/>
    </row>
    <row r="29">
      <c r="A29" s="25"/>
      <c r="B29" s="29">
        <v>0.0</v>
      </c>
      <c r="C29" s="26"/>
      <c r="D29" s="26"/>
      <c r="E29" s="26"/>
      <c r="F29" s="26"/>
      <c r="G29" s="26"/>
      <c r="H29" s="26"/>
      <c r="I29" s="26"/>
      <c r="J29" s="26"/>
      <c r="K29" s="26"/>
      <c r="L29" s="26"/>
    </row>
    <row r="30">
      <c r="A30" s="25"/>
      <c r="B30" s="29">
        <v>0.0</v>
      </c>
      <c r="C30" s="26"/>
      <c r="D30" s="26"/>
      <c r="E30" s="26"/>
      <c r="F30" s="26"/>
      <c r="G30" s="26"/>
      <c r="H30" s="26"/>
      <c r="I30" s="26"/>
      <c r="J30" s="26"/>
      <c r="K30" s="26"/>
      <c r="L30" s="26"/>
    </row>
    <row r="31">
      <c r="A31" s="25"/>
      <c r="B31" s="29">
        <v>0.0</v>
      </c>
      <c r="C31" s="26"/>
      <c r="D31" s="26"/>
      <c r="E31" s="26"/>
      <c r="F31" s="26"/>
      <c r="G31" s="26"/>
      <c r="H31" s="26"/>
      <c r="I31" s="26"/>
      <c r="J31" s="26"/>
      <c r="K31" s="26"/>
      <c r="L31" s="26"/>
      <c r="N31" s="4" t="s">
        <v>86</v>
      </c>
      <c r="O31" s="29">
        <v>651377.0</v>
      </c>
    </row>
    <row r="32">
      <c r="A32" s="25" t="s">
        <v>76</v>
      </c>
      <c r="B32" s="29">
        <v>0.0</v>
      </c>
      <c r="C32" s="26"/>
      <c r="D32" s="26"/>
      <c r="E32" s="26"/>
      <c r="F32" s="26"/>
      <c r="G32" s="26"/>
      <c r="H32" s="26"/>
      <c r="I32" s="26"/>
      <c r="J32" s="26"/>
      <c r="K32" s="26"/>
      <c r="L32" s="26"/>
      <c r="N32" s="4" t="s">
        <v>87</v>
      </c>
      <c r="O32" s="29">
        <v>317997.0</v>
      </c>
    </row>
    <row r="33">
      <c r="A33" s="25"/>
      <c r="B33" s="29">
        <v>0.0</v>
      </c>
      <c r="C33" s="26"/>
      <c r="D33" s="26"/>
      <c r="E33" s="26"/>
      <c r="F33" s="26"/>
      <c r="G33" s="26"/>
      <c r="H33" s="26"/>
      <c r="I33" s="26"/>
      <c r="J33" s="26"/>
      <c r="K33" s="26"/>
      <c r="L33" s="26"/>
      <c r="N33" s="4" t="s">
        <v>8</v>
      </c>
      <c r="O33" s="3">
        <f>SUM(O31:O32)</f>
        <v>969374</v>
      </c>
    </row>
    <row r="34">
      <c r="A34" s="25"/>
      <c r="B34" s="29">
        <v>0.0</v>
      </c>
      <c r="C34" s="18"/>
      <c r="D34" s="26"/>
      <c r="E34" s="26"/>
      <c r="F34" s="26"/>
      <c r="G34" s="26"/>
      <c r="H34" s="26"/>
      <c r="I34" s="26"/>
      <c r="J34" s="26"/>
      <c r="K34" s="26"/>
      <c r="L34" s="26"/>
      <c r="N34" s="4" t="s">
        <v>88</v>
      </c>
      <c r="O34" s="29">
        <v>930000.0</v>
      </c>
    </row>
    <row r="35">
      <c r="A35" s="28" t="s">
        <v>8</v>
      </c>
      <c r="B35" s="35">
        <f>SUM(B16:B34)</f>
        <v>1263</v>
      </c>
      <c r="C35" s="26"/>
      <c r="D35" s="26"/>
      <c r="E35" s="26"/>
      <c r="F35" s="26"/>
      <c r="G35" s="26"/>
      <c r="H35" s="26"/>
      <c r="I35" s="26"/>
      <c r="J35" s="26"/>
      <c r="K35" s="26"/>
      <c r="L35" s="26"/>
      <c r="N35" s="4" t="s">
        <v>89</v>
      </c>
      <c r="O35" s="3">
        <f>O33-O34</f>
        <v>39374</v>
      </c>
    </row>
  </sheetData>
  <mergeCells count="1">
    <mergeCell ref="D17:J25"/>
  </mergeCells>
  <dataValidations>
    <dataValidation type="list" allowBlank="1" showErrorMessage="1" sqref="C2:C3">
      <formula1>"FUN DIVE,OPEN,AVANZADO,RESCUE,ESPECIALIDAD"</formula1>
    </dataValidation>
    <dataValidation type="list" allowBlank="1" showErrorMessage="1" sqref="F2:F7">
      <formula1>"Multiple,Pareja,Sencilla"</formula1>
    </dataValidation>
    <dataValidation type="list" allowBlank="1" showErrorMessage="1" sqref="D2:D8">
      <formula1>"SI,NO"</formula1>
    </dataValidation>
  </dataValidations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3" max="3" width="18.0"/>
    <col customWidth="1" min="5" max="5" width="16.25"/>
    <col customWidth="1" min="7" max="7" width="16.75"/>
  </cols>
  <sheetData>
    <row r="1">
      <c r="A1" s="12" t="s">
        <v>20</v>
      </c>
      <c r="B1" s="12" t="s">
        <v>21</v>
      </c>
      <c r="C1" s="12" t="s">
        <v>22</v>
      </c>
      <c r="D1" s="12" t="s">
        <v>23</v>
      </c>
      <c r="E1" s="12" t="s">
        <v>24</v>
      </c>
      <c r="F1" s="12" t="s">
        <v>25</v>
      </c>
      <c r="G1" s="12" t="s">
        <v>27</v>
      </c>
      <c r="H1" s="12" t="s">
        <v>29</v>
      </c>
      <c r="I1" s="12" t="s">
        <v>30</v>
      </c>
      <c r="J1" s="12" t="s">
        <v>31</v>
      </c>
      <c r="K1" s="12" t="s">
        <v>32</v>
      </c>
    </row>
    <row r="2">
      <c r="A2" s="19">
        <v>0.0</v>
      </c>
      <c r="B2" s="16"/>
      <c r="C2" s="16" t="s">
        <v>34</v>
      </c>
      <c r="D2" s="16" t="s">
        <v>48</v>
      </c>
      <c r="E2" s="16" t="s">
        <v>335</v>
      </c>
      <c r="F2" s="16" t="s">
        <v>56</v>
      </c>
      <c r="G2" s="19">
        <v>2790.0</v>
      </c>
      <c r="H2" s="19">
        <f>500+543</f>
        <v>1043</v>
      </c>
      <c r="I2" s="23"/>
      <c r="J2" s="19">
        <f>G2-H2-I2</f>
        <v>1747</v>
      </c>
      <c r="K2" s="51" t="s">
        <v>42</v>
      </c>
    </row>
    <row r="3">
      <c r="A3" s="19">
        <v>0.0</v>
      </c>
      <c r="B3" s="16"/>
      <c r="C3" s="16" t="s">
        <v>51</v>
      </c>
      <c r="D3" s="16" t="s">
        <v>48</v>
      </c>
      <c r="E3" s="15" t="s">
        <v>336</v>
      </c>
      <c r="F3" s="16" t="s">
        <v>56</v>
      </c>
      <c r="G3" s="19">
        <v>2790.0</v>
      </c>
      <c r="H3" s="21">
        <v>689.0</v>
      </c>
      <c r="I3" s="16"/>
      <c r="J3" s="19">
        <f t="shared" ref="J3:J5" si="1">G3-H3</f>
        <v>2101</v>
      </c>
      <c r="K3" s="51" t="s">
        <v>42</v>
      </c>
    </row>
    <row r="4">
      <c r="A4" s="19">
        <v>0.0</v>
      </c>
      <c r="B4" s="16"/>
      <c r="C4" s="16" t="s">
        <v>314</v>
      </c>
      <c r="D4" s="16" t="s">
        <v>48</v>
      </c>
      <c r="E4" s="15" t="s">
        <v>337</v>
      </c>
      <c r="F4" s="16" t="s">
        <v>56</v>
      </c>
      <c r="G4" s="19">
        <v>2790.0</v>
      </c>
      <c r="H4" s="21">
        <v>810.0</v>
      </c>
      <c r="I4" s="16"/>
      <c r="J4" s="19">
        <f t="shared" si="1"/>
        <v>1980</v>
      </c>
      <c r="K4" s="51" t="s">
        <v>42</v>
      </c>
    </row>
    <row r="5">
      <c r="A5" s="19">
        <v>0.0</v>
      </c>
      <c r="B5" s="16"/>
      <c r="C5" s="16" t="s">
        <v>54</v>
      </c>
      <c r="D5" s="16" t="s">
        <v>48</v>
      </c>
      <c r="E5" s="15" t="s">
        <v>338</v>
      </c>
      <c r="F5" s="16" t="s">
        <v>56</v>
      </c>
      <c r="G5" s="19">
        <v>2790.0</v>
      </c>
      <c r="H5" s="21">
        <v>837.0</v>
      </c>
      <c r="I5" s="16"/>
      <c r="J5" s="19">
        <f t="shared" si="1"/>
        <v>1953</v>
      </c>
      <c r="K5" s="51" t="s">
        <v>42</v>
      </c>
    </row>
    <row r="6">
      <c r="A6" s="16"/>
      <c r="B6" s="16"/>
      <c r="C6" s="16"/>
      <c r="D6" s="16"/>
      <c r="E6" s="15" t="s">
        <v>339</v>
      </c>
      <c r="F6" s="16" t="s">
        <v>56</v>
      </c>
      <c r="G6" s="19">
        <v>2790.0</v>
      </c>
      <c r="H6" s="23"/>
      <c r="I6" s="16"/>
      <c r="J6" s="16"/>
      <c r="K6" s="16"/>
    </row>
    <row r="7">
      <c r="A7" s="16"/>
      <c r="B7" s="16"/>
      <c r="C7" s="16"/>
      <c r="D7" s="16"/>
      <c r="E7" s="17" t="s">
        <v>171</v>
      </c>
      <c r="F7" s="16" t="s">
        <v>56</v>
      </c>
      <c r="G7" s="19">
        <v>2790.0</v>
      </c>
      <c r="H7" s="23"/>
      <c r="I7" s="16"/>
      <c r="J7" s="16"/>
      <c r="K7" s="16"/>
    </row>
    <row r="8">
      <c r="A8" s="16"/>
      <c r="B8" s="16"/>
      <c r="C8" s="16"/>
      <c r="D8" s="16"/>
      <c r="E8" s="4" t="s">
        <v>173</v>
      </c>
      <c r="F8" s="16" t="s">
        <v>56</v>
      </c>
      <c r="G8" s="19">
        <v>2790.0</v>
      </c>
      <c r="H8" s="23"/>
      <c r="I8" s="16"/>
      <c r="J8" s="16"/>
      <c r="K8" s="16"/>
    </row>
    <row r="9">
      <c r="A9" s="16"/>
      <c r="B9" s="16"/>
      <c r="C9" s="16"/>
      <c r="D9" s="16"/>
      <c r="E9" s="17" t="s">
        <v>340</v>
      </c>
      <c r="F9" s="16" t="s">
        <v>56</v>
      </c>
      <c r="G9" s="19">
        <v>2790.0</v>
      </c>
      <c r="H9" s="23"/>
      <c r="I9" s="16"/>
      <c r="J9" s="16"/>
      <c r="K9" s="16"/>
    </row>
    <row r="10">
      <c r="A10" s="16"/>
      <c r="B10" s="16"/>
      <c r="C10" s="16"/>
      <c r="D10" s="16"/>
      <c r="E10" s="25" t="s">
        <v>60</v>
      </c>
      <c r="F10" s="22" t="s">
        <v>61</v>
      </c>
      <c r="G10" s="23"/>
      <c r="H10" s="23"/>
      <c r="I10" s="16"/>
      <c r="J10" s="16"/>
      <c r="K10" s="16"/>
    </row>
    <row r="11">
      <c r="A11" s="16"/>
      <c r="B11" s="16"/>
      <c r="C11" s="16"/>
      <c r="D11" s="16"/>
      <c r="E11" s="16" t="s">
        <v>62</v>
      </c>
      <c r="F11" s="22" t="s">
        <v>61</v>
      </c>
      <c r="G11" s="23"/>
      <c r="H11" s="23"/>
      <c r="I11" s="16"/>
      <c r="J11" s="16"/>
      <c r="K11" s="16"/>
    </row>
    <row r="12">
      <c r="A12" s="24">
        <f>SUM(A2:A11)</f>
        <v>0</v>
      </c>
      <c r="B12" s="16"/>
      <c r="C12" s="16"/>
      <c r="D12" s="16"/>
      <c r="E12" s="15" t="s">
        <v>8</v>
      </c>
      <c r="F12" s="16"/>
      <c r="G12" s="23"/>
      <c r="H12" s="24">
        <f t="shared" ref="H12:J12" si="2">SUM(H2:H11)</f>
        <v>3379</v>
      </c>
      <c r="I12" s="24">
        <f t="shared" si="2"/>
        <v>0</v>
      </c>
      <c r="J12" s="24">
        <f t="shared" si="2"/>
        <v>7781</v>
      </c>
      <c r="K12" s="16"/>
    </row>
    <row r="13">
      <c r="A13" s="26"/>
      <c r="B13" s="26"/>
      <c r="C13" s="26"/>
      <c r="D13" s="26"/>
      <c r="E13" s="26"/>
      <c r="F13" s="27"/>
      <c r="G13" s="28" t="s">
        <v>64</v>
      </c>
      <c r="H13" s="35">
        <f>SUM(H12+I12)-B34</f>
        <v>579</v>
      </c>
      <c r="I13" s="26"/>
      <c r="J13" s="26"/>
      <c r="K13" s="26"/>
    </row>
    <row r="14">
      <c r="A14" s="26"/>
      <c r="B14" s="26"/>
      <c r="C14" s="26"/>
      <c r="D14" s="26"/>
      <c r="E14" s="26"/>
      <c r="F14" s="26"/>
      <c r="G14" s="28" t="s">
        <v>341</v>
      </c>
      <c r="H14" s="93">
        <v>0.0</v>
      </c>
      <c r="I14" s="26"/>
      <c r="J14" s="26"/>
      <c r="K14" s="26"/>
    </row>
    <row r="15">
      <c r="A15" s="26"/>
      <c r="B15" s="26"/>
      <c r="C15" s="26"/>
      <c r="D15" s="26"/>
      <c r="E15" s="26"/>
      <c r="F15" s="26"/>
      <c r="G15" s="28" t="s">
        <v>65</v>
      </c>
      <c r="H15" s="29">
        <f>(G12*4)/1000</f>
        <v>0</v>
      </c>
      <c r="I15" s="26"/>
      <c r="J15" s="26"/>
      <c r="K15" s="26"/>
    </row>
    <row r="16">
      <c r="A16" s="28" t="s">
        <v>66</v>
      </c>
      <c r="B16" s="30"/>
      <c r="C16" s="26"/>
      <c r="D16" s="26" t="s">
        <v>67</v>
      </c>
      <c r="E16" s="26"/>
      <c r="F16" s="26"/>
      <c r="G16" s="26"/>
      <c r="H16" s="26"/>
      <c r="I16" s="26"/>
      <c r="J16" s="26"/>
      <c r="K16" s="26"/>
    </row>
    <row r="17">
      <c r="A17" s="25" t="s">
        <v>20</v>
      </c>
      <c r="B17" s="29">
        <f>A12</f>
        <v>0</v>
      </c>
      <c r="C17" s="26"/>
      <c r="D17" s="31"/>
      <c r="E17" s="31"/>
      <c r="F17" s="31"/>
      <c r="G17" s="31"/>
      <c r="H17" s="31"/>
      <c r="I17" s="31"/>
      <c r="J17" s="26"/>
      <c r="K17" s="26"/>
    </row>
    <row r="18">
      <c r="A18" s="17" t="s">
        <v>342</v>
      </c>
      <c r="B18" s="33">
        <v>2800.0</v>
      </c>
      <c r="C18" s="26"/>
      <c r="D18" s="37" t="s">
        <v>85</v>
      </c>
      <c r="J18" s="26"/>
      <c r="K18" s="26"/>
    </row>
    <row r="19">
      <c r="A19" s="25"/>
      <c r="B19" s="29">
        <v>0.0</v>
      </c>
      <c r="C19" s="26"/>
      <c r="J19" s="26"/>
      <c r="K19" s="26"/>
    </row>
    <row r="20">
      <c r="A20" s="25"/>
      <c r="B20" s="29">
        <v>0.0</v>
      </c>
      <c r="C20" s="26"/>
      <c r="J20" s="26"/>
      <c r="K20" s="26"/>
    </row>
    <row r="21">
      <c r="A21" s="25"/>
      <c r="B21" s="29">
        <v>0.0</v>
      </c>
      <c r="C21" s="26"/>
      <c r="J21" s="26"/>
      <c r="K21" s="26"/>
    </row>
    <row r="22">
      <c r="A22" s="25"/>
      <c r="B22" s="29">
        <v>0.0</v>
      </c>
      <c r="C22" s="26"/>
      <c r="J22" s="26"/>
      <c r="K22" s="26"/>
    </row>
    <row r="23">
      <c r="A23" s="25"/>
      <c r="B23" s="29">
        <v>0.0</v>
      </c>
      <c r="C23" s="26"/>
      <c r="J23" s="26"/>
      <c r="K23" s="26"/>
    </row>
    <row r="24">
      <c r="A24" s="25"/>
      <c r="B24" s="29">
        <v>0.0</v>
      </c>
      <c r="C24" s="26"/>
      <c r="J24" s="26"/>
      <c r="K24" s="26"/>
    </row>
    <row r="25">
      <c r="A25" s="25"/>
      <c r="B25" s="29">
        <v>0.0</v>
      </c>
      <c r="C25" s="26"/>
      <c r="J25" s="26"/>
      <c r="K25" s="26"/>
    </row>
    <row r="26">
      <c r="A26" s="25"/>
      <c r="B26" s="29">
        <v>0.0</v>
      </c>
      <c r="C26" s="26"/>
      <c r="J26" s="26"/>
      <c r="K26" s="26"/>
    </row>
    <row r="27">
      <c r="A27" s="25"/>
      <c r="B27" s="29">
        <v>0.0</v>
      </c>
      <c r="C27" s="26"/>
      <c r="D27" s="26"/>
      <c r="E27" s="26"/>
      <c r="F27" s="26"/>
      <c r="G27" s="26"/>
      <c r="H27" s="26"/>
      <c r="I27" s="26"/>
      <c r="J27" s="26"/>
      <c r="K27" s="26"/>
    </row>
    <row r="28">
      <c r="A28" s="25"/>
      <c r="B28" s="29">
        <v>0.0</v>
      </c>
      <c r="C28" s="26"/>
      <c r="D28" s="26"/>
      <c r="E28" s="26"/>
      <c r="F28" s="26"/>
      <c r="G28" s="26"/>
      <c r="H28" s="26"/>
      <c r="I28" s="26"/>
      <c r="J28" s="26"/>
      <c r="K28" s="26"/>
    </row>
    <row r="29">
      <c r="A29" s="25"/>
      <c r="B29" s="29">
        <v>0.0</v>
      </c>
      <c r="C29" s="26"/>
      <c r="D29" s="26"/>
      <c r="E29" s="26"/>
      <c r="F29" s="26"/>
      <c r="G29" s="26"/>
      <c r="H29" s="26"/>
      <c r="I29" s="26"/>
      <c r="J29" s="26"/>
      <c r="K29" s="26"/>
    </row>
    <row r="30">
      <c r="A30" s="25"/>
      <c r="B30" s="29">
        <v>0.0</v>
      </c>
      <c r="C30" s="26"/>
      <c r="D30" s="26"/>
      <c r="E30" s="26"/>
      <c r="F30" s="26"/>
      <c r="G30" s="26"/>
      <c r="H30" s="26"/>
      <c r="I30" s="26"/>
      <c r="J30" s="26"/>
      <c r="K30" s="26"/>
    </row>
    <row r="31">
      <c r="A31" s="25"/>
      <c r="B31" s="29">
        <v>0.0</v>
      </c>
      <c r="C31" s="26"/>
      <c r="D31" s="26"/>
      <c r="E31" s="26"/>
      <c r="F31" s="26"/>
      <c r="G31" s="26"/>
      <c r="H31" s="26"/>
      <c r="I31" s="26"/>
      <c r="J31" s="26"/>
      <c r="K31" s="26"/>
    </row>
    <row r="32">
      <c r="A32" s="25"/>
      <c r="B32" s="29">
        <v>0.0</v>
      </c>
      <c r="C32" s="26"/>
      <c r="D32" s="26"/>
      <c r="E32" s="26"/>
      <c r="F32" s="26"/>
      <c r="G32" s="26"/>
      <c r="H32" s="26"/>
      <c r="I32" s="26"/>
      <c r="J32" s="26"/>
      <c r="K32" s="26"/>
    </row>
    <row r="33">
      <c r="A33" s="25"/>
      <c r="B33" s="29">
        <v>0.0</v>
      </c>
      <c r="C33" s="26"/>
      <c r="D33" s="26"/>
      <c r="E33" s="26"/>
      <c r="F33" s="26"/>
      <c r="G33" s="26"/>
      <c r="H33" s="26"/>
      <c r="I33" s="26"/>
      <c r="J33" s="26"/>
      <c r="K33" s="26"/>
    </row>
    <row r="34">
      <c r="A34" s="28" t="s">
        <v>8</v>
      </c>
      <c r="B34" s="35">
        <f>SUM(B17:B33)</f>
        <v>2800</v>
      </c>
      <c r="C34" s="26"/>
      <c r="D34" s="26"/>
      <c r="E34" s="26"/>
      <c r="F34" s="26"/>
      <c r="G34" s="26"/>
      <c r="H34" s="26"/>
      <c r="I34" s="26"/>
      <c r="J34" s="26"/>
      <c r="K34" s="26"/>
    </row>
  </sheetData>
  <mergeCells count="1">
    <mergeCell ref="D18:I26"/>
  </mergeCells>
  <dataValidations>
    <dataValidation type="list" allowBlank="1" showErrorMessage="1" sqref="C2:C5">
      <formula1>"FUN DIVE,OPEN,AVANZADO,RESCUE,ESPECIALIDAD"</formula1>
    </dataValidation>
    <dataValidation type="list" allowBlank="1" showErrorMessage="1" sqref="F2:F9">
      <formula1>"Multiple,Pareja,Sencilla"</formula1>
    </dataValidation>
    <dataValidation type="list" allowBlank="1" showErrorMessage="1" sqref="K2:K5">
      <formula1>"S,M,L,XL,XXL"</formula1>
    </dataValidation>
    <dataValidation type="list" allowBlank="1" showErrorMessage="1" sqref="D2:D5">
      <formula1>"SI,NO"</formula1>
    </dataValidation>
  </dataValidations>
  <drawing r:id="rId4"/>
  <legacyDrawing r:id="rId5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5" max="5" width="13.38"/>
    <col customWidth="1" min="7" max="7" width="6.0"/>
    <col customWidth="1" min="8" max="8" width="16.75"/>
  </cols>
  <sheetData>
    <row r="1">
      <c r="A1" s="12" t="s">
        <v>20</v>
      </c>
      <c r="B1" s="12" t="s">
        <v>21</v>
      </c>
      <c r="C1" s="12" t="s">
        <v>22</v>
      </c>
      <c r="D1" s="12" t="s">
        <v>23</v>
      </c>
      <c r="E1" s="12" t="s">
        <v>24</v>
      </c>
      <c r="F1" s="12" t="s">
        <v>25</v>
      </c>
      <c r="G1" s="12" t="s">
        <v>26</v>
      </c>
      <c r="H1" s="12" t="s">
        <v>27</v>
      </c>
      <c r="I1" s="12" t="s">
        <v>29</v>
      </c>
      <c r="J1" s="12" t="s">
        <v>30</v>
      </c>
      <c r="K1" s="12" t="s">
        <v>31</v>
      </c>
      <c r="L1" s="12" t="s">
        <v>32</v>
      </c>
    </row>
    <row r="2">
      <c r="A2" s="14"/>
      <c r="B2" s="16"/>
      <c r="C2" s="16" t="s">
        <v>47</v>
      </c>
      <c r="D2" s="16" t="s">
        <v>48</v>
      </c>
      <c r="E2" s="15" t="s">
        <v>343</v>
      </c>
      <c r="F2" s="25" t="s">
        <v>41</v>
      </c>
      <c r="G2" s="18"/>
      <c r="H2" s="20">
        <v>4190000.0</v>
      </c>
      <c r="I2" s="20">
        <v>800000.0</v>
      </c>
      <c r="J2" s="16"/>
      <c r="K2" s="19">
        <f t="shared" ref="K2:K8" si="1">H2-(I2-J2)</f>
        <v>3390000</v>
      </c>
      <c r="L2" s="16"/>
    </row>
    <row r="3">
      <c r="A3" s="15">
        <v>324500.0</v>
      </c>
      <c r="B3" s="16"/>
      <c r="C3" s="16" t="s">
        <v>34</v>
      </c>
      <c r="D3" s="16" t="s">
        <v>48</v>
      </c>
      <c r="E3" s="15" t="s">
        <v>344</v>
      </c>
      <c r="F3" s="25" t="s">
        <v>41</v>
      </c>
      <c r="G3" s="18"/>
      <c r="H3" s="20">
        <v>4190000.0</v>
      </c>
      <c r="I3" s="21">
        <v>1000000.0</v>
      </c>
      <c r="J3" s="16"/>
      <c r="K3" s="19">
        <f t="shared" si="1"/>
        <v>3190000</v>
      </c>
      <c r="L3" s="16"/>
    </row>
    <row r="4">
      <c r="A4" s="15">
        <v>324500.0</v>
      </c>
      <c r="B4" s="16"/>
      <c r="C4" s="16" t="s">
        <v>34</v>
      </c>
      <c r="D4" s="16" t="s">
        <v>48</v>
      </c>
      <c r="E4" s="15" t="s">
        <v>345</v>
      </c>
      <c r="F4" s="25" t="s">
        <v>41</v>
      </c>
      <c r="G4" s="18"/>
      <c r="H4" s="20">
        <v>4190000.0</v>
      </c>
      <c r="I4" s="21">
        <v>1000000.0</v>
      </c>
      <c r="J4" s="16"/>
      <c r="K4" s="19">
        <f t="shared" si="1"/>
        <v>3190000</v>
      </c>
      <c r="L4" s="16"/>
    </row>
    <row r="5">
      <c r="A5" s="16"/>
      <c r="B5" s="16"/>
      <c r="C5" s="16"/>
      <c r="D5" s="16" t="s">
        <v>48</v>
      </c>
      <c r="E5" s="15"/>
      <c r="F5" s="25" t="s">
        <v>41</v>
      </c>
      <c r="G5" s="18"/>
      <c r="H5" s="23"/>
      <c r="I5" s="21"/>
      <c r="J5" s="16"/>
      <c r="K5" s="19">
        <f t="shared" si="1"/>
        <v>0</v>
      </c>
      <c r="L5" s="16"/>
    </row>
    <row r="6">
      <c r="A6" s="16"/>
      <c r="B6" s="16"/>
      <c r="C6" s="16"/>
      <c r="D6" s="16" t="s">
        <v>48</v>
      </c>
      <c r="E6" s="15"/>
      <c r="F6" s="25" t="s">
        <v>41</v>
      </c>
      <c r="G6" s="18"/>
      <c r="H6" s="23"/>
      <c r="I6" s="23"/>
      <c r="J6" s="16"/>
      <c r="K6" s="19">
        <f t="shared" si="1"/>
        <v>0</v>
      </c>
      <c r="L6" s="16"/>
    </row>
    <row r="7">
      <c r="A7" s="16"/>
      <c r="B7" s="16"/>
      <c r="C7" s="16"/>
      <c r="D7" s="16" t="s">
        <v>48</v>
      </c>
      <c r="E7" s="15"/>
      <c r="F7" s="25" t="s">
        <v>41</v>
      </c>
      <c r="G7" s="18"/>
      <c r="H7" s="23"/>
      <c r="I7" s="23"/>
      <c r="J7" s="16"/>
      <c r="K7" s="19">
        <f t="shared" si="1"/>
        <v>0</v>
      </c>
      <c r="L7" s="16"/>
    </row>
    <row r="8">
      <c r="A8" s="16"/>
      <c r="B8" s="16"/>
      <c r="C8" s="16"/>
      <c r="D8" s="16"/>
      <c r="E8" s="16"/>
      <c r="F8" s="16"/>
      <c r="G8" s="18"/>
      <c r="H8" s="23"/>
      <c r="I8" s="23"/>
      <c r="J8" s="16"/>
      <c r="K8" s="19">
        <f t="shared" si="1"/>
        <v>0</v>
      </c>
      <c r="L8" s="16"/>
    </row>
    <row r="9">
      <c r="A9" s="16"/>
      <c r="B9" s="16"/>
      <c r="C9" s="16"/>
      <c r="D9" s="16"/>
      <c r="E9" s="16" t="s">
        <v>60</v>
      </c>
      <c r="F9" s="22" t="s">
        <v>61</v>
      </c>
      <c r="G9" s="18"/>
      <c r="H9" s="23"/>
      <c r="I9" s="23"/>
      <c r="J9" s="16"/>
      <c r="K9" s="23"/>
      <c r="L9" s="16"/>
    </row>
    <row r="10">
      <c r="A10" s="16"/>
      <c r="B10" s="16"/>
      <c r="C10" s="16"/>
      <c r="D10" s="16"/>
      <c r="E10" s="16" t="s">
        <v>62</v>
      </c>
      <c r="F10" s="22" t="s">
        <v>61</v>
      </c>
      <c r="G10" s="23"/>
      <c r="H10" s="23"/>
      <c r="I10" s="23"/>
      <c r="J10" s="16"/>
      <c r="K10" s="16"/>
      <c r="L10" s="16"/>
    </row>
    <row r="11">
      <c r="A11" s="24">
        <f>SUM(A2:A10)</f>
        <v>649000</v>
      </c>
      <c r="B11" s="16"/>
      <c r="C11" s="16"/>
      <c r="D11" s="16"/>
      <c r="E11" s="25"/>
      <c r="F11" s="25"/>
      <c r="G11" s="24"/>
      <c r="H11" s="24">
        <f t="shared" ref="H11:K11" si="2">SUM(H2:H10)</f>
        <v>12570000</v>
      </c>
      <c r="I11" s="24">
        <f t="shared" si="2"/>
        <v>2800000</v>
      </c>
      <c r="J11" s="24">
        <f t="shared" si="2"/>
        <v>0</v>
      </c>
      <c r="K11" s="24">
        <f t="shared" si="2"/>
        <v>9770000</v>
      </c>
      <c r="L11" s="16"/>
    </row>
    <row r="12">
      <c r="A12" s="26"/>
      <c r="B12" s="26"/>
      <c r="C12" s="26"/>
      <c r="D12" s="26"/>
      <c r="E12" s="26"/>
      <c r="F12" s="27"/>
      <c r="G12" s="27"/>
      <c r="H12" s="22" t="s">
        <v>64</v>
      </c>
      <c r="I12" s="24">
        <f>SUM(I11+J11)-B35</f>
        <v>1651000</v>
      </c>
      <c r="J12" s="26"/>
      <c r="K12" s="26"/>
      <c r="L12" s="26"/>
    </row>
    <row r="13">
      <c r="A13" s="26"/>
      <c r="B13" s="26"/>
      <c r="C13" s="26"/>
      <c r="D13" s="26"/>
      <c r="E13" s="26"/>
      <c r="F13" s="26"/>
      <c r="G13" s="26"/>
      <c r="H13" s="28" t="s">
        <v>65</v>
      </c>
      <c r="I13" s="29">
        <f>(H11*4)/1000</f>
        <v>50280</v>
      </c>
      <c r="J13" s="26"/>
      <c r="K13" s="26"/>
      <c r="L13" s="26"/>
    </row>
    <row r="14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</row>
    <row r="15">
      <c r="A15" s="28" t="s">
        <v>66</v>
      </c>
      <c r="B15" s="30"/>
      <c r="C15" s="26"/>
      <c r="D15" s="26" t="s">
        <v>67</v>
      </c>
      <c r="E15" s="26"/>
      <c r="F15" s="26"/>
      <c r="G15" s="26"/>
      <c r="H15" s="26"/>
      <c r="I15" s="26"/>
      <c r="J15" s="26"/>
      <c r="K15" s="26"/>
      <c r="L15" s="26"/>
    </row>
    <row r="16">
      <c r="A16" s="25" t="s">
        <v>20</v>
      </c>
      <c r="B16" s="29">
        <f>A11</f>
        <v>649000</v>
      </c>
      <c r="C16" s="26"/>
      <c r="D16" s="31"/>
      <c r="E16" s="31"/>
      <c r="F16" s="31"/>
      <c r="G16" s="31"/>
      <c r="H16" s="31"/>
      <c r="I16" s="31"/>
      <c r="J16" s="31"/>
      <c r="K16" s="26"/>
      <c r="L16" s="26"/>
    </row>
    <row r="17">
      <c r="A17" s="17" t="s">
        <v>346</v>
      </c>
      <c r="B17" s="33">
        <v>500000.0</v>
      </c>
      <c r="C17" s="26"/>
      <c r="D17" s="37" t="s">
        <v>85</v>
      </c>
      <c r="K17" s="26"/>
      <c r="L17" s="26"/>
    </row>
    <row r="18">
      <c r="A18" s="17" t="s">
        <v>347</v>
      </c>
      <c r="B18" s="29">
        <v>0.0</v>
      </c>
      <c r="C18" s="26"/>
      <c r="K18" s="26"/>
      <c r="L18" s="26"/>
    </row>
    <row r="19">
      <c r="A19" s="25"/>
      <c r="B19" s="29">
        <v>0.0</v>
      </c>
      <c r="C19" s="26"/>
      <c r="K19" s="26"/>
      <c r="L19" s="26"/>
    </row>
    <row r="20">
      <c r="A20" s="25"/>
      <c r="B20" s="29">
        <v>0.0</v>
      </c>
      <c r="C20" s="26"/>
      <c r="K20" s="26"/>
      <c r="L20" s="26"/>
    </row>
    <row r="21">
      <c r="A21" s="25"/>
      <c r="B21" s="29">
        <v>0.0</v>
      </c>
      <c r="C21" s="26"/>
      <c r="K21" s="26"/>
      <c r="L21" s="26"/>
    </row>
    <row r="22">
      <c r="A22" s="25"/>
      <c r="B22" s="29">
        <v>0.0</v>
      </c>
      <c r="C22" s="26"/>
      <c r="K22" s="26"/>
      <c r="L22" s="26"/>
    </row>
    <row r="23">
      <c r="A23" s="25"/>
      <c r="B23" s="29">
        <v>0.0</v>
      </c>
      <c r="C23" s="26"/>
      <c r="K23" s="26"/>
      <c r="L23" s="26"/>
    </row>
    <row r="24">
      <c r="A24" s="25"/>
      <c r="B24" s="29">
        <v>0.0</v>
      </c>
      <c r="C24" s="26"/>
      <c r="K24" s="26"/>
      <c r="L24" s="26"/>
    </row>
    <row r="25">
      <c r="A25" s="25"/>
      <c r="B25" s="29">
        <v>0.0</v>
      </c>
      <c r="C25" s="26"/>
      <c r="K25" s="26"/>
      <c r="L25" s="26"/>
    </row>
    <row r="26">
      <c r="A26" s="25"/>
      <c r="B26" s="29">
        <v>0.0</v>
      </c>
      <c r="C26" s="26"/>
      <c r="D26" s="26"/>
      <c r="E26" s="26"/>
      <c r="F26" s="26"/>
      <c r="G26" s="26"/>
      <c r="H26" s="26"/>
      <c r="I26" s="26"/>
      <c r="J26" s="26"/>
      <c r="K26" s="26"/>
      <c r="L26" s="26"/>
    </row>
    <row r="27">
      <c r="A27" s="25"/>
      <c r="B27" s="29">
        <v>0.0</v>
      </c>
      <c r="C27" s="26"/>
      <c r="D27" s="26"/>
      <c r="E27" s="26"/>
      <c r="F27" s="26"/>
      <c r="G27" s="26"/>
      <c r="H27" s="26"/>
      <c r="I27" s="26"/>
      <c r="J27" s="26"/>
      <c r="K27" s="26"/>
      <c r="L27" s="26"/>
    </row>
    <row r="28">
      <c r="A28" s="25"/>
      <c r="B28" s="29">
        <v>0.0</v>
      </c>
      <c r="C28" s="26"/>
      <c r="D28" s="26"/>
      <c r="E28" s="26"/>
      <c r="F28" s="26"/>
      <c r="G28" s="26"/>
      <c r="H28" s="26"/>
      <c r="I28" s="26"/>
      <c r="J28" s="26"/>
      <c r="K28" s="26"/>
      <c r="L28" s="26"/>
    </row>
    <row r="29">
      <c r="A29" s="25"/>
      <c r="B29" s="29">
        <v>0.0</v>
      </c>
      <c r="C29" s="26"/>
      <c r="D29" s="26"/>
      <c r="E29" s="26"/>
      <c r="F29" s="26"/>
      <c r="G29" s="26"/>
      <c r="H29" s="26"/>
      <c r="I29" s="26"/>
      <c r="J29" s="26"/>
      <c r="K29" s="26"/>
      <c r="L29" s="26"/>
    </row>
    <row r="30">
      <c r="A30" s="25"/>
      <c r="B30" s="29">
        <v>0.0</v>
      </c>
      <c r="C30" s="26"/>
      <c r="D30" s="26"/>
      <c r="E30" s="26"/>
      <c r="F30" s="26"/>
      <c r="G30" s="26"/>
      <c r="H30" s="26"/>
      <c r="I30" s="26"/>
      <c r="J30" s="26"/>
      <c r="K30" s="26"/>
      <c r="L30" s="26"/>
    </row>
    <row r="31">
      <c r="A31" s="25"/>
      <c r="B31" s="29">
        <v>0.0</v>
      </c>
      <c r="C31" s="26"/>
      <c r="D31" s="26"/>
      <c r="E31" s="26"/>
      <c r="F31" s="26"/>
      <c r="G31" s="26"/>
      <c r="H31" s="26"/>
      <c r="I31" s="26"/>
      <c r="J31" s="26"/>
      <c r="K31" s="26"/>
      <c r="L31" s="26"/>
      <c r="N31" s="4" t="s">
        <v>86</v>
      </c>
      <c r="O31" s="29">
        <v>651377.0</v>
      </c>
    </row>
    <row r="32">
      <c r="A32" s="25" t="s">
        <v>76</v>
      </c>
      <c r="B32" s="29">
        <v>0.0</v>
      </c>
      <c r="C32" s="26"/>
      <c r="D32" s="26"/>
      <c r="E32" s="26"/>
      <c r="F32" s="26"/>
      <c r="G32" s="26"/>
      <c r="H32" s="26"/>
      <c r="I32" s="26"/>
      <c r="J32" s="26"/>
      <c r="K32" s="26"/>
      <c r="L32" s="26"/>
      <c r="N32" s="4" t="s">
        <v>87</v>
      </c>
      <c r="O32" s="29">
        <v>317997.0</v>
      </c>
    </row>
    <row r="33">
      <c r="A33" s="25"/>
      <c r="B33" s="29">
        <v>0.0</v>
      </c>
      <c r="C33" s="26"/>
      <c r="D33" s="26"/>
      <c r="E33" s="26"/>
      <c r="F33" s="26"/>
      <c r="G33" s="26"/>
      <c r="H33" s="26"/>
      <c r="I33" s="26"/>
      <c r="J33" s="26"/>
      <c r="K33" s="26"/>
      <c r="L33" s="26"/>
      <c r="N33" s="4" t="s">
        <v>8</v>
      </c>
      <c r="O33" s="3">
        <f>SUM(O31:O32)</f>
        <v>969374</v>
      </c>
    </row>
    <row r="34">
      <c r="A34" s="25"/>
      <c r="B34" s="29">
        <v>0.0</v>
      </c>
      <c r="C34" s="18"/>
      <c r="D34" s="26"/>
      <c r="E34" s="26"/>
      <c r="F34" s="26"/>
      <c r="G34" s="26"/>
      <c r="H34" s="26"/>
      <c r="I34" s="26"/>
      <c r="J34" s="26"/>
      <c r="K34" s="26"/>
      <c r="L34" s="26"/>
      <c r="N34" s="4" t="s">
        <v>88</v>
      </c>
      <c r="O34" s="29">
        <v>930000.0</v>
      </c>
    </row>
    <row r="35">
      <c r="A35" s="28" t="s">
        <v>8</v>
      </c>
      <c r="B35" s="35">
        <f>SUM(B16:B34)</f>
        <v>1149000</v>
      </c>
      <c r="C35" s="26"/>
      <c r="D35" s="26"/>
      <c r="E35" s="26"/>
      <c r="F35" s="26"/>
      <c r="G35" s="26"/>
      <c r="H35" s="26"/>
      <c r="I35" s="26"/>
      <c r="J35" s="26"/>
      <c r="K35" s="26"/>
      <c r="L35" s="26"/>
      <c r="N35" s="4" t="s">
        <v>89</v>
      </c>
      <c r="O35" s="3">
        <f>O33-O34</f>
        <v>39374</v>
      </c>
    </row>
  </sheetData>
  <mergeCells count="1">
    <mergeCell ref="D17:J25"/>
  </mergeCells>
  <dataValidations>
    <dataValidation type="list" allowBlank="1" showErrorMessage="1" sqref="C2:C4">
      <formula1>"FUN DIVE,OPEN,AVANZADO,RESCUE,ESPECIALIDAD"</formula1>
    </dataValidation>
    <dataValidation type="list" allowBlank="1" showErrorMessage="1" sqref="F2:F7">
      <formula1>"Multiple,Pareja,Sencilla"</formula1>
    </dataValidation>
    <dataValidation type="list" allowBlank="1" showErrorMessage="1" sqref="D2:D7">
      <formula1>"SI,NO"</formula1>
    </dataValidation>
  </dataValidations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5" max="5" width="13.38"/>
    <col customWidth="1" min="7" max="7" width="6.0"/>
    <col customWidth="1" min="8" max="8" width="16.75"/>
  </cols>
  <sheetData>
    <row r="1">
      <c r="A1" s="12" t="s">
        <v>20</v>
      </c>
      <c r="B1" s="12" t="s">
        <v>21</v>
      </c>
      <c r="C1" s="12" t="s">
        <v>22</v>
      </c>
      <c r="D1" s="12" t="s">
        <v>23</v>
      </c>
      <c r="E1" s="12" t="s">
        <v>24</v>
      </c>
      <c r="F1" s="12" t="s">
        <v>25</v>
      </c>
      <c r="G1" s="12" t="s">
        <v>26</v>
      </c>
      <c r="H1" s="12" t="s">
        <v>27</v>
      </c>
      <c r="I1" s="12" t="s">
        <v>29</v>
      </c>
      <c r="J1" s="12" t="s">
        <v>30</v>
      </c>
      <c r="K1" s="12" t="s">
        <v>31</v>
      </c>
      <c r="L1" s="12" t="s">
        <v>32</v>
      </c>
    </row>
    <row r="2">
      <c r="A2" s="14"/>
      <c r="B2" s="16"/>
      <c r="C2" s="16" t="s">
        <v>47</v>
      </c>
      <c r="D2" s="16" t="s">
        <v>48</v>
      </c>
      <c r="E2" s="15" t="s">
        <v>348</v>
      </c>
      <c r="F2" s="25" t="s">
        <v>41</v>
      </c>
      <c r="G2" s="18"/>
      <c r="H2" s="20">
        <v>3980500.0</v>
      </c>
      <c r="I2" s="20">
        <v>2000000.0</v>
      </c>
      <c r="J2" s="16"/>
      <c r="K2" s="19">
        <f t="shared" ref="K2:K8" si="1">H2-(I2-J2)</f>
        <v>1980500</v>
      </c>
      <c r="L2" s="16"/>
    </row>
    <row r="3">
      <c r="A3" s="15">
        <v>324500.0</v>
      </c>
      <c r="B3" s="16"/>
      <c r="C3" s="16" t="s">
        <v>34</v>
      </c>
      <c r="D3" s="16" t="s">
        <v>48</v>
      </c>
      <c r="E3" s="15" t="s">
        <v>349</v>
      </c>
      <c r="F3" s="25" t="s">
        <v>41</v>
      </c>
      <c r="G3" s="18"/>
      <c r="H3" s="20">
        <v>4190000.0</v>
      </c>
      <c r="I3" s="21">
        <v>2000000.0</v>
      </c>
      <c r="J3" s="16"/>
      <c r="K3" s="19">
        <f t="shared" si="1"/>
        <v>2190000</v>
      </c>
      <c r="L3" s="16"/>
    </row>
    <row r="4">
      <c r="A4" s="15">
        <v>324500.0</v>
      </c>
      <c r="B4" s="16"/>
      <c r="C4" s="16" t="s">
        <v>34</v>
      </c>
      <c r="D4" s="16" t="s">
        <v>48</v>
      </c>
      <c r="E4" s="15" t="s">
        <v>350</v>
      </c>
      <c r="F4" s="25" t="s">
        <v>41</v>
      </c>
      <c r="G4" s="18"/>
      <c r="H4" s="20">
        <v>1800000.0</v>
      </c>
      <c r="I4" s="21">
        <v>500000.0</v>
      </c>
      <c r="J4" s="16"/>
      <c r="K4" s="19">
        <f t="shared" si="1"/>
        <v>1300000</v>
      </c>
      <c r="L4" s="16"/>
    </row>
    <row r="5">
      <c r="A5" s="16"/>
      <c r="B5" s="16"/>
      <c r="C5" s="16"/>
      <c r="D5" s="16" t="s">
        <v>48</v>
      </c>
      <c r="E5" s="15" t="s">
        <v>351</v>
      </c>
      <c r="F5" s="25" t="s">
        <v>41</v>
      </c>
      <c r="G5" s="18"/>
      <c r="H5" s="21">
        <v>1800000.0</v>
      </c>
      <c r="I5" s="21">
        <v>500000.0</v>
      </c>
      <c r="J5" s="16"/>
      <c r="K5" s="19">
        <f t="shared" si="1"/>
        <v>1300000</v>
      </c>
      <c r="L5" s="16"/>
    </row>
    <row r="6">
      <c r="A6" s="16"/>
      <c r="B6" s="16"/>
      <c r="C6" s="16"/>
      <c r="D6" s="16" t="s">
        <v>48</v>
      </c>
      <c r="E6" s="15"/>
      <c r="F6" s="25" t="s">
        <v>41</v>
      </c>
      <c r="G6" s="18"/>
      <c r="H6" s="23"/>
      <c r="I6" s="23"/>
      <c r="J6" s="16"/>
      <c r="K6" s="19">
        <f t="shared" si="1"/>
        <v>0</v>
      </c>
      <c r="L6" s="16"/>
    </row>
    <row r="7">
      <c r="A7" s="16"/>
      <c r="B7" s="16"/>
      <c r="C7" s="16"/>
      <c r="D7" s="16" t="s">
        <v>48</v>
      </c>
      <c r="E7" s="15"/>
      <c r="F7" s="25" t="s">
        <v>41</v>
      </c>
      <c r="G7" s="18"/>
      <c r="H7" s="23"/>
      <c r="I7" s="23"/>
      <c r="J7" s="16"/>
      <c r="K7" s="19">
        <f t="shared" si="1"/>
        <v>0</v>
      </c>
      <c r="L7" s="16"/>
    </row>
    <row r="8">
      <c r="A8" s="16"/>
      <c r="B8" s="16"/>
      <c r="C8" s="16"/>
      <c r="D8" s="16"/>
      <c r="E8" s="16"/>
      <c r="F8" s="16"/>
      <c r="G8" s="18"/>
      <c r="H8" s="23"/>
      <c r="I8" s="23"/>
      <c r="J8" s="16"/>
      <c r="K8" s="19">
        <f t="shared" si="1"/>
        <v>0</v>
      </c>
      <c r="L8" s="16"/>
    </row>
    <row r="9">
      <c r="A9" s="16"/>
      <c r="B9" s="16"/>
      <c r="C9" s="16"/>
      <c r="D9" s="16"/>
      <c r="E9" s="16" t="s">
        <v>60</v>
      </c>
      <c r="F9" s="22" t="s">
        <v>61</v>
      </c>
      <c r="G9" s="18"/>
      <c r="H9" s="23"/>
      <c r="I9" s="23"/>
      <c r="J9" s="16"/>
      <c r="K9" s="23"/>
      <c r="L9" s="16"/>
    </row>
    <row r="10">
      <c r="A10" s="16"/>
      <c r="B10" s="16"/>
      <c r="C10" s="16"/>
      <c r="D10" s="16"/>
      <c r="E10" s="16" t="s">
        <v>62</v>
      </c>
      <c r="F10" s="22" t="s">
        <v>61</v>
      </c>
      <c r="G10" s="23"/>
      <c r="H10" s="23"/>
      <c r="I10" s="23"/>
      <c r="J10" s="16"/>
      <c r="K10" s="16"/>
      <c r="L10" s="16"/>
    </row>
    <row r="11">
      <c r="A11" s="24">
        <f>SUM(A2:A10)</f>
        <v>649000</v>
      </c>
      <c r="B11" s="16"/>
      <c r="C11" s="16"/>
      <c r="D11" s="16"/>
      <c r="E11" s="25"/>
      <c r="F11" s="25"/>
      <c r="G11" s="24"/>
      <c r="H11" s="24">
        <f t="shared" ref="H11:K11" si="2">SUM(H2:H10)</f>
        <v>11770500</v>
      </c>
      <c r="I11" s="24">
        <f t="shared" si="2"/>
        <v>5000000</v>
      </c>
      <c r="J11" s="24">
        <f t="shared" si="2"/>
        <v>0</v>
      </c>
      <c r="K11" s="24">
        <f t="shared" si="2"/>
        <v>6770500</v>
      </c>
      <c r="L11" s="16"/>
    </row>
    <row r="12">
      <c r="A12" s="26"/>
      <c r="B12" s="26"/>
      <c r="C12" s="26"/>
      <c r="D12" s="26"/>
      <c r="E12" s="26"/>
      <c r="F12" s="27"/>
      <c r="G12" s="27"/>
      <c r="H12" s="22" t="s">
        <v>64</v>
      </c>
      <c r="I12" s="24">
        <f>SUM(I11+J11)-B35</f>
        <v>5000000</v>
      </c>
      <c r="J12" s="26"/>
      <c r="K12" s="26"/>
      <c r="L12" s="26"/>
    </row>
    <row r="13">
      <c r="A13" s="26"/>
      <c r="B13" s="26"/>
      <c r="C13" s="26"/>
      <c r="D13" s="26"/>
      <c r="E13" s="26"/>
      <c r="F13" s="26"/>
      <c r="G13" s="26"/>
      <c r="H13" s="28" t="s">
        <v>65</v>
      </c>
      <c r="I13" s="29">
        <f>(H11*4)/1000</f>
        <v>47082</v>
      </c>
      <c r="J13" s="26"/>
      <c r="K13" s="26"/>
      <c r="L13" s="26"/>
    </row>
    <row r="14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</row>
    <row r="15">
      <c r="A15" s="28" t="s">
        <v>66</v>
      </c>
      <c r="B15" s="30"/>
      <c r="C15" s="26"/>
      <c r="D15" s="26" t="s">
        <v>67</v>
      </c>
      <c r="E15" s="26"/>
      <c r="F15" s="26"/>
      <c r="G15" s="26"/>
      <c r="H15" s="26"/>
      <c r="I15" s="26"/>
      <c r="J15" s="26"/>
      <c r="K15" s="26"/>
      <c r="L15" s="26"/>
    </row>
    <row r="16">
      <c r="A16" s="25"/>
      <c r="B16" s="29"/>
      <c r="C16" s="26"/>
      <c r="D16" s="31"/>
      <c r="E16" s="31"/>
      <c r="F16" s="31"/>
      <c r="G16" s="31"/>
      <c r="H16" s="31"/>
      <c r="I16" s="31"/>
      <c r="J16" s="31"/>
      <c r="K16" s="26"/>
      <c r="L16" s="26"/>
    </row>
    <row r="17">
      <c r="A17" s="17"/>
      <c r="B17" s="33"/>
      <c r="C17" s="26"/>
      <c r="D17" s="37" t="s">
        <v>85</v>
      </c>
      <c r="K17" s="26"/>
      <c r="L17" s="26"/>
    </row>
    <row r="18">
      <c r="A18" s="17"/>
      <c r="B18" s="29">
        <v>0.0</v>
      </c>
      <c r="C18" s="26"/>
      <c r="K18" s="26"/>
      <c r="L18" s="26"/>
    </row>
    <row r="19">
      <c r="A19" s="25"/>
      <c r="B19" s="29">
        <v>0.0</v>
      </c>
      <c r="C19" s="26"/>
      <c r="K19" s="26"/>
      <c r="L19" s="26"/>
    </row>
    <row r="20">
      <c r="A20" s="25"/>
      <c r="B20" s="29">
        <v>0.0</v>
      </c>
      <c r="C20" s="26"/>
      <c r="K20" s="26"/>
      <c r="L20" s="26"/>
    </row>
    <row r="21">
      <c r="A21" s="25"/>
      <c r="B21" s="29">
        <v>0.0</v>
      </c>
      <c r="C21" s="26"/>
      <c r="K21" s="26"/>
      <c r="L21" s="26"/>
    </row>
    <row r="22">
      <c r="A22" s="25"/>
      <c r="B22" s="29">
        <v>0.0</v>
      </c>
      <c r="C22" s="26"/>
      <c r="K22" s="26"/>
      <c r="L22" s="26"/>
    </row>
    <row r="23">
      <c r="A23" s="25"/>
      <c r="B23" s="29">
        <v>0.0</v>
      </c>
      <c r="C23" s="26"/>
      <c r="K23" s="26"/>
      <c r="L23" s="26"/>
    </row>
    <row r="24">
      <c r="A24" s="25"/>
      <c r="B24" s="29">
        <v>0.0</v>
      </c>
      <c r="C24" s="26"/>
      <c r="K24" s="26"/>
      <c r="L24" s="26"/>
    </row>
    <row r="25">
      <c r="A25" s="25"/>
      <c r="B25" s="29">
        <v>0.0</v>
      </c>
      <c r="C25" s="26"/>
      <c r="K25" s="26"/>
      <c r="L25" s="26"/>
    </row>
    <row r="26">
      <c r="A26" s="25"/>
      <c r="B26" s="29">
        <v>0.0</v>
      </c>
      <c r="C26" s="26"/>
      <c r="D26" s="26"/>
      <c r="E26" s="26"/>
      <c r="F26" s="26"/>
      <c r="G26" s="26"/>
      <c r="H26" s="26"/>
      <c r="I26" s="26"/>
      <c r="J26" s="26"/>
      <c r="K26" s="26"/>
      <c r="L26" s="26"/>
    </row>
    <row r="27">
      <c r="A27" s="25"/>
      <c r="B27" s="29">
        <v>0.0</v>
      </c>
      <c r="C27" s="26"/>
      <c r="D27" s="26"/>
      <c r="E27" s="26"/>
      <c r="F27" s="26"/>
      <c r="G27" s="26"/>
      <c r="H27" s="26"/>
      <c r="I27" s="26"/>
      <c r="J27" s="26"/>
      <c r="K27" s="26"/>
      <c r="L27" s="26"/>
    </row>
    <row r="28">
      <c r="A28" s="25"/>
      <c r="B28" s="29">
        <v>0.0</v>
      </c>
      <c r="C28" s="26"/>
      <c r="D28" s="26"/>
      <c r="E28" s="26"/>
      <c r="F28" s="26"/>
      <c r="G28" s="26"/>
      <c r="H28" s="26"/>
      <c r="I28" s="26"/>
      <c r="J28" s="26"/>
      <c r="K28" s="26"/>
      <c r="L28" s="26"/>
    </row>
    <row r="29">
      <c r="A29" s="25"/>
      <c r="B29" s="29">
        <v>0.0</v>
      </c>
      <c r="C29" s="26"/>
      <c r="D29" s="26"/>
      <c r="E29" s="26"/>
      <c r="F29" s="26"/>
      <c r="G29" s="26"/>
      <c r="H29" s="26"/>
      <c r="I29" s="26"/>
      <c r="J29" s="26"/>
      <c r="K29" s="26"/>
      <c r="L29" s="26"/>
    </row>
    <row r="30">
      <c r="A30" s="25"/>
      <c r="B30" s="29">
        <v>0.0</v>
      </c>
      <c r="C30" s="26"/>
      <c r="D30" s="26"/>
      <c r="E30" s="26"/>
      <c r="F30" s="26"/>
      <c r="G30" s="26"/>
      <c r="H30" s="26"/>
      <c r="I30" s="26"/>
      <c r="J30" s="26"/>
      <c r="K30" s="26"/>
      <c r="L30" s="26"/>
    </row>
    <row r="31">
      <c r="A31" s="25"/>
      <c r="B31" s="29">
        <v>0.0</v>
      </c>
      <c r="C31" s="26"/>
      <c r="D31" s="26"/>
      <c r="E31" s="26"/>
      <c r="F31" s="26"/>
      <c r="G31" s="26"/>
      <c r="H31" s="26"/>
      <c r="I31" s="26"/>
      <c r="J31" s="26"/>
      <c r="K31" s="26"/>
      <c r="L31" s="26"/>
      <c r="N31" s="4" t="s">
        <v>86</v>
      </c>
      <c r="O31" s="29">
        <v>651377.0</v>
      </c>
    </row>
    <row r="32">
      <c r="A32" s="25" t="s">
        <v>76</v>
      </c>
      <c r="B32" s="29">
        <v>0.0</v>
      </c>
      <c r="C32" s="26"/>
      <c r="D32" s="26"/>
      <c r="E32" s="26"/>
      <c r="F32" s="26"/>
      <c r="G32" s="26"/>
      <c r="H32" s="26"/>
      <c r="I32" s="26"/>
      <c r="J32" s="26"/>
      <c r="K32" s="26"/>
      <c r="L32" s="26"/>
      <c r="N32" s="4" t="s">
        <v>87</v>
      </c>
      <c r="O32" s="29">
        <v>317997.0</v>
      </c>
    </row>
    <row r="33">
      <c r="A33" s="25"/>
      <c r="B33" s="29">
        <v>0.0</v>
      </c>
      <c r="C33" s="26"/>
      <c r="D33" s="26"/>
      <c r="E33" s="26"/>
      <c r="F33" s="26"/>
      <c r="G33" s="26"/>
      <c r="H33" s="26"/>
      <c r="I33" s="26"/>
      <c r="J33" s="26"/>
      <c r="K33" s="26"/>
      <c r="L33" s="26"/>
      <c r="N33" s="4" t="s">
        <v>8</v>
      </c>
      <c r="O33" s="3">
        <f>SUM(O31:O32)</f>
        <v>969374</v>
      </c>
    </row>
    <row r="34">
      <c r="A34" s="25"/>
      <c r="B34" s="29">
        <v>0.0</v>
      </c>
      <c r="C34" s="18"/>
      <c r="D34" s="26"/>
      <c r="E34" s="26"/>
      <c r="F34" s="26"/>
      <c r="G34" s="26"/>
      <c r="H34" s="26"/>
      <c r="I34" s="26"/>
      <c r="J34" s="26"/>
      <c r="K34" s="26"/>
      <c r="L34" s="26"/>
      <c r="N34" s="4" t="s">
        <v>88</v>
      </c>
      <c r="O34" s="29">
        <v>930000.0</v>
      </c>
    </row>
    <row r="35">
      <c r="A35" s="28" t="s">
        <v>8</v>
      </c>
      <c r="B35" s="35">
        <f>SUM(B16:B34)</f>
        <v>0</v>
      </c>
      <c r="C35" s="26"/>
      <c r="D35" s="26"/>
      <c r="E35" s="26"/>
      <c r="F35" s="26"/>
      <c r="G35" s="26"/>
      <c r="H35" s="26"/>
      <c r="I35" s="26"/>
      <c r="J35" s="26"/>
      <c r="K35" s="26"/>
      <c r="L35" s="26"/>
      <c r="N35" s="4" t="s">
        <v>89</v>
      </c>
      <c r="O35" s="3">
        <f>O33-O34</f>
        <v>39374</v>
      </c>
    </row>
  </sheetData>
  <mergeCells count="1">
    <mergeCell ref="D17:J25"/>
  </mergeCells>
  <dataValidations>
    <dataValidation type="list" allowBlank="1" showErrorMessage="1" sqref="C2:C4">
      <formula1>"FUN DIVE,OPEN,AVANZADO,RESCUE,ESPECIALIDAD"</formula1>
    </dataValidation>
    <dataValidation type="list" allowBlank="1" showErrorMessage="1" sqref="F2:F7">
      <formula1>"Multiple,Pareja,Sencilla"</formula1>
    </dataValidation>
    <dataValidation type="list" allowBlank="1" showErrorMessage="1" sqref="D2:D7">
      <formula1>"SI,NO"</formula1>
    </dataValidation>
  </dataValidations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5" max="5" width="16.75"/>
    <col customWidth="1" min="8" max="8" width="16.75"/>
    <col customWidth="1" min="9" max="9" width="10.88"/>
  </cols>
  <sheetData>
    <row r="1">
      <c r="A1" s="12" t="s">
        <v>20</v>
      </c>
      <c r="B1" s="12" t="s">
        <v>21</v>
      </c>
      <c r="C1" s="12" t="s">
        <v>22</v>
      </c>
      <c r="D1" s="12" t="s">
        <v>23</v>
      </c>
      <c r="E1" s="12" t="s">
        <v>24</v>
      </c>
      <c r="F1" s="12" t="s">
        <v>25</v>
      </c>
      <c r="G1" s="12" t="s">
        <v>26</v>
      </c>
      <c r="H1" s="12" t="s">
        <v>27</v>
      </c>
      <c r="I1" s="12" t="s">
        <v>29</v>
      </c>
      <c r="J1" s="12" t="s">
        <v>30</v>
      </c>
      <c r="K1" s="12" t="s">
        <v>31</v>
      </c>
      <c r="L1" s="12" t="s">
        <v>32</v>
      </c>
    </row>
    <row r="2">
      <c r="A2" s="14"/>
      <c r="B2" s="16"/>
      <c r="C2" s="15" t="s">
        <v>51</v>
      </c>
      <c r="D2" s="16" t="s">
        <v>48</v>
      </c>
      <c r="E2" s="94" t="s">
        <v>245</v>
      </c>
      <c r="F2" s="25" t="s">
        <v>41</v>
      </c>
      <c r="G2" s="18"/>
      <c r="H2" s="95">
        <v>4990.0</v>
      </c>
      <c r="I2" s="95">
        <f>684.5+472+460+500</f>
        <v>2116.5</v>
      </c>
      <c r="J2" s="96"/>
      <c r="K2" s="97">
        <f t="shared" ref="K2:K11" si="1">H2-(I2-J2)</f>
        <v>2873.5</v>
      </c>
      <c r="L2" s="16"/>
    </row>
    <row r="3">
      <c r="A3" s="16"/>
      <c r="B3" s="16"/>
      <c r="C3" s="15" t="s">
        <v>51</v>
      </c>
      <c r="D3" s="16" t="s">
        <v>48</v>
      </c>
      <c r="E3" s="94" t="s">
        <v>244</v>
      </c>
      <c r="F3" s="25" t="s">
        <v>41</v>
      </c>
      <c r="G3" s="18"/>
      <c r="H3" s="95">
        <v>4990.0</v>
      </c>
      <c r="I3" s="95">
        <f>684.5+472+466+500</f>
        <v>2122.5</v>
      </c>
      <c r="J3" s="96"/>
      <c r="K3" s="97">
        <f t="shared" si="1"/>
        <v>2867.5</v>
      </c>
      <c r="L3" s="16"/>
    </row>
    <row r="4">
      <c r="A4" s="16"/>
      <c r="B4" s="16"/>
      <c r="C4" s="15" t="s">
        <v>51</v>
      </c>
      <c r="D4" s="16" t="s">
        <v>48</v>
      </c>
      <c r="E4" s="98" t="s">
        <v>55</v>
      </c>
      <c r="F4" s="17" t="s">
        <v>37</v>
      </c>
      <c r="G4" s="18"/>
      <c r="H4" s="95">
        <v>4990.0</v>
      </c>
      <c r="I4" s="99">
        <f>97+997</f>
        <v>1094</v>
      </c>
      <c r="J4" s="96"/>
      <c r="K4" s="97">
        <f t="shared" si="1"/>
        <v>3896</v>
      </c>
      <c r="L4" s="16"/>
    </row>
    <row r="5">
      <c r="A5" s="16"/>
      <c r="B5" s="16"/>
      <c r="C5" s="15" t="s">
        <v>51</v>
      </c>
      <c r="D5" s="16" t="s">
        <v>48</v>
      </c>
      <c r="E5" s="98" t="s">
        <v>352</v>
      </c>
      <c r="F5" s="17" t="s">
        <v>37</v>
      </c>
      <c r="G5" s="18"/>
      <c r="H5" s="95">
        <v>4990.0</v>
      </c>
      <c r="I5" s="96"/>
      <c r="J5" s="96"/>
      <c r="K5" s="97">
        <f t="shared" si="1"/>
        <v>4990</v>
      </c>
      <c r="L5" s="16"/>
    </row>
    <row r="6">
      <c r="A6" s="16"/>
      <c r="B6" s="16"/>
      <c r="C6" s="15" t="s">
        <v>51</v>
      </c>
      <c r="D6" s="16" t="s">
        <v>48</v>
      </c>
      <c r="E6" s="53" t="s">
        <v>353</v>
      </c>
      <c r="F6" s="17" t="s">
        <v>37</v>
      </c>
      <c r="G6" s="18"/>
      <c r="H6" s="95">
        <v>4990.0</v>
      </c>
      <c r="I6" s="96"/>
      <c r="J6" s="96"/>
      <c r="K6" s="97">
        <f t="shared" si="1"/>
        <v>4990</v>
      </c>
      <c r="L6" s="16"/>
    </row>
    <row r="7">
      <c r="A7" s="16"/>
      <c r="B7" s="16"/>
      <c r="C7" s="15" t="s">
        <v>51</v>
      </c>
      <c r="D7" s="16" t="s">
        <v>48</v>
      </c>
      <c r="E7" s="53" t="s">
        <v>354</v>
      </c>
      <c r="F7" s="17" t="s">
        <v>37</v>
      </c>
      <c r="G7" s="18"/>
      <c r="H7" s="95">
        <v>4990.0</v>
      </c>
      <c r="I7" s="96"/>
      <c r="J7" s="96"/>
      <c r="K7" s="97">
        <f t="shared" si="1"/>
        <v>4990</v>
      </c>
      <c r="L7" s="16"/>
    </row>
    <row r="8">
      <c r="A8" s="16"/>
      <c r="B8" s="16"/>
      <c r="C8" s="15" t="s">
        <v>51</v>
      </c>
      <c r="D8" s="16" t="s">
        <v>48</v>
      </c>
      <c r="E8" s="100" t="s">
        <v>355</v>
      </c>
      <c r="F8" s="17" t="s">
        <v>37</v>
      </c>
      <c r="G8" s="18"/>
      <c r="H8" s="95">
        <v>4990.0</v>
      </c>
      <c r="I8" s="96"/>
      <c r="J8" s="96"/>
      <c r="K8" s="97">
        <f t="shared" si="1"/>
        <v>4990</v>
      </c>
      <c r="L8" s="16"/>
    </row>
    <row r="9">
      <c r="A9" s="16"/>
      <c r="B9" s="16"/>
      <c r="C9" s="16"/>
      <c r="D9" s="16" t="s">
        <v>48</v>
      </c>
      <c r="E9" s="101" t="s">
        <v>356</v>
      </c>
      <c r="F9" s="17" t="s">
        <v>37</v>
      </c>
      <c r="G9" s="18"/>
      <c r="H9" s="95">
        <v>4990.0</v>
      </c>
      <c r="I9" s="99">
        <v>1000.0</v>
      </c>
      <c r="J9" s="96"/>
      <c r="K9" s="97">
        <f t="shared" si="1"/>
        <v>3990</v>
      </c>
      <c r="L9" s="16"/>
    </row>
    <row r="10">
      <c r="A10" s="16"/>
      <c r="B10" s="16"/>
      <c r="C10" s="16"/>
      <c r="D10" s="16" t="s">
        <v>48</v>
      </c>
      <c r="E10" s="102" t="s">
        <v>357</v>
      </c>
      <c r="F10" s="17" t="s">
        <v>37</v>
      </c>
      <c r="G10" s="18"/>
      <c r="H10" s="95">
        <v>4990.0</v>
      </c>
      <c r="I10" s="99">
        <v>1500.0</v>
      </c>
      <c r="J10" s="96"/>
      <c r="K10" s="97">
        <f t="shared" si="1"/>
        <v>3490</v>
      </c>
      <c r="L10" s="16"/>
    </row>
    <row r="11">
      <c r="A11" s="16"/>
      <c r="B11" s="16"/>
      <c r="C11" s="16"/>
      <c r="D11" s="16" t="s">
        <v>48</v>
      </c>
      <c r="E11" s="103" t="s">
        <v>358</v>
      </c>
      <c r="F11" s="17" t="s">
        <v>37</v>
      </c>
      <c r="G11" s="18"/>
      <c r="H11" s="95">
        <v>4990.0</v>
      </c>
      <c r="I11" s="99">
        <v>1500.0</v>
      </c>
      <c r="J11" s="96"/>
      <c r="K11" s="97">
        <f t="shared" si="1"/>
        <v>3490</v>
      </c>
      <c r="L11" s="16"/>
    </row>
    <row r="12">
      <c r="A12" s="16"/>
      <c r="B12" s="16"/>
      <c r="C12" s="16"/>
      <c r="D12" s="16"/>
      <c r="E12" s="25" t="s">
        <v>60</v>
      </c>
      <c r="F12" s="22" t="s">
        <v>61</v>
      </c>
      <c r="G12" s="18"/>
      <c r="H12" s="95">
        <v>4990.0</v>
      </c>
      <c r="I12" s="96"/>
      <c r="J12" s="96"/>
      <c r="K12" s="96"/>
      <c r="L12" s="16"/>
    </row>
    <row r="13">
      <c r="A13" s="16"/>
      <c r="B13" s="16"/>
      <c r="C13" s="16"/>
      <c r="D13" s="16"/>
      <c r="E13" s="16" t="s">
        <v>62</v>
      </c>
      <c r="F13" s="22" t="s">
        <v>61</v>
      </c>
      <c r="G13" s="23"/>
      <c r="H13" s="96"/>
      <c r="I13" s="96"/>
      <c r="J13" s="96"/>
      <c r="K13" s="96"/>
      <c r="L13" s="16"/>
    </row>
    <row r="14">
      <c r="A14" s="24">
        <f>SUM(A2:A13)</f>
        <v>0</v>
      </c>
      <c r="B14" s="16"/>
      <c r="C14" s="16"/>
      <c r="D14" s="16"/>
      <c r="E14" s="25"/>
      <c r="F14" s="25"/>
      <c r="G14" s="24" t="s">
        <v>63</v>
      </c>
      <c r="H14" s="104">
        <f t="shared" ref="H14:K14" si="2">SUM(H2:H13)</f>
        <v>54890</v>
      </c>
      <c r="I14" s="104">
        <f t="shared" si="2"/>
        <v>9333</v>
      </c>
      <c r="J14" s="104">
        <f t="shared" si="2"/>
        <v>0</v>
      </c>
      <c r="K14" s="104">
        <f t="shared" si="2"/>
        <v>40567</v>
      </c>
      <c r="L14" s="16"/>
    </row>
    <row r="15">
      <c r="A15" s="26"/>
      <c r="B15" s="26"/>
      <c r="C15" s="26"/>
      <c r="D15" s="26"/>
      <c r="E15" s="26"/>
      <c r="F15" s="27"/>
      <c r="G15" s="27"/>
      <c r="H15" s="22" t="s">
        <v>64</v>
      </c>
      <c r="I15" s="104">
        <f>SUM(I14+J14)-B38</f>
        <v>2207</v>
      </c>
      <c r="J15" s="26"/>
      <c r="K15" s="26"/>
      <c r="L15" s="26"/>
    </row>
    <row r="16">
      <c r="A16" s="26"/>
      <c r="B16" s="26"/>
      <c r="C16" s="26"/>
      <c r="D16" s="26"/>
      <c r="E16" s="26"/>
      <c r="F16" s="26"/>
      <c r="G16" s="26"/>
      <c r="H16" s="28" t="s">
        <v>65</v>
      </c>
      <c r="I16" s="29">
        <f>(H14*4)/1000</f>
        <v>219.56</v>
      </c>
      <c r="J16" s="26"/>
      <c r="K16" s="26"/>
      <c r="L16" s="26"/>
    </row>
    <row r="17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</row>
    <row r="18">
      <c r="A18" s="28" t="s">
        <v>66</v>
      </c>
      <c r="B18" s="30"/>
      <c r="C18" s="26"/>
      <c r="D18" s="26" t="s">
        <v>67</v>
      </c>
      <c r="E18" s="26"/>
      <c r="F18" s="26"/>
      <c r="G18" s="26"/>
      <c r="H18" s="26"/>
      <c r="I18" s="26"/>
      <c r="J18" s="26"/>
      <c r="K18" s="26"/>
      <c r="L18" s="26"/>
    </row>
    <row r="19">
      <c r="A19" s="25" t="s">
        <v>20</v>
      </c>
      <c r="B19" s="29"/>
      <c r="C19" s="26"/>
      <c r="D19" s="31"/>
      <c r="E19" s="31"/>
      <c r="F19" s="31"/>
      <c r="G19" s="31"/>
      <c r="H19" s="31"/>
      <c r="I19" s="31"/>
      <c r="J19" s="31"/>
      <c r="K19" s="26"/>
      <c r="L19" s="26"/>
    </row>
    <row r="20">
      <c r="A20" s="17" t="s">
        <v>359</v>
      </c>
      <c r="B20" s="104">
        <f>3400+3726</f>
        <v>7126</v>
      </c>
      <c r="C20" s="26"/>
      <c r="D20" s="37" t="s">
        <v>85</v>
      </c>
      <c r="K20" s="26"/>
      <c r="L20" s="26"/>
    </row>
    <row r="21">
      <c r="A21" s="25"/>
      <c r="B21" s="29">
        <v>0.0</v>
      </c>
      <c r="C21" s="26"/>
      <c r="K21" s="26"/>
      <c r="L21" s="26"/>
    </row>
    <row r="22">
      <c r="A22" s="25"/>
      <c r="B22" s="29">
        <v>0.0</v>
      </c>
      <c r="C22" s="26"/>
      <c r="K22" s="26"/>
      <c r="L22" s="26"/>
    </row>
    <row r="23">
      <c r="A23" s="25"/>
      <c r="B23" s="29">
        <v>0.0</v>
      </c>
      <c r="C23" s="26"/>
      <c r="K23" s="26"/>
      <c r="L23" s="26"/>
    </row>
    <row r="24">
      <c r="A24" s="25"/>
      <c r="B24" s="29">
        <v>0.0</v>
      </c>
      <c r="C24" s="26"/>
      <c r="K24" s="26"/>
      <c r="L24" s="26"/>
    </row>
    <row r="25">
      <c r="A25" s="25"/>
      <c r="B25" s="29">
        <v>0.0</v>
      </c>
      <c r="C25" s="26"/>
      <c r="K25" s="26"/>
      <c r="L25" s="26"/>
    </row>
    <row r="26">
      <c r="A26" s="25"/>
      <c r="B26" s="29">
        <v>0.0</v>
      </c>
      <c r="C26" s="26"/>
      <c r="K26" s="26"/>
      <c r="L26" s="26"/>
    </row>
    <row r="27">
      <c r="A27" s="25"/>
      <c r="B27" s="29">
        <v>0.0</v>
      </c>
      <c r="C27" s="26"/>
      <c r="K27" s="26"/>
      <c r="L27" s="26"/>
    </row>
    <row r="28">
      <c r="A28" s="25"/>
      <c r="B28" s="29">
        <v>0.0</v>
      </c>
      <c r="C28" s="26"/>
      <c r="K28" s="26"/>
      <c r="L28" s="26"/>
    </row>
    <row r="29">
      <c r="A29" s="25"/>
      <c r="B29" s="29">
        <v>0.0</v>
      </c>
      <c r="C29" s="26"/>
      <c r="D29" s="26"/>
      <c r="E29" s="26"/>
      <c r="F29" s="26"/>
      <c r="G29" s="26"/>
      <c r="H29" s="26"/>
      <c r="I29" s="26"/>
      <c r="J29" s="26"/>
      <c r="K29" s="26"/>
      <c r="L29" s="26"/>
    </row>
    <row r="30">
      <c r="A30" s="25"/>
      <c r="B30" s="29">
        <v>0.0</v>
      </c>
      <c r="C30" s="26"/>
      <c r="D30" s="26"/>
      <c r="E30" s="26"/>
      <c r="F30" s="26"/>
      <c r="G30" s="26"/>
      <c r="H30" s="34" t="s">
        <v>360</v>
      </c>
      <c r="I30" s="26"/>
      <c r="J30" s="26"/>
      <c r="K30" s="26"/>
      <c r="L30" s="26"/>
    </row>
    <row r="31">
      <c r="A31" s="25"/>
      <c r="B31" s="29">
        <v>0.0</v>
      </c>
      <c r="C31" s="26"/>
      <c r="D31" s="26"/>
      <c r="E31" s="34" t="s">
        <v>361</v>
      </c>
      <c r="F31" s="26"/>
      <c r="G31" s="34">
        <v>1.0</v>
      </c>
      <c r="H31" s="34" t="s">
        <v>362</v>
      </c>
      <c r="I31" s="26"/>
      <c r="J31" s="26"/>
      <c r="K31" s="26"/>
      <c r="L31" s="26"/>
    </row>
    <row r="32">
      <c r="A32" s="25"/>
      <c r="B32" s="29">
        <v>0.0</v>
      </c>
      <c r="C32" s="26"/>
      <c r="D32" s="26"/>
      <c r="E32" s="34" t="s">
        <v>363</v>
      </c>
      <c r="F32" s="26"/>
      <c r="G32" s="34">
        <v>2.0</v>
      </c>
      <c r="H32" s="34" t="s">
        <v>364</v>
      </c>
      <c r="I32" s="26"/>
      <c r="J32" s="26"/>
      <c r="K32" s="26"/>
      <c r="L32" s="26"/>
    </row>
    <row r="33">
      <c r="A33" s="25"/>
      <c r="B33" s="29">
        <v>0.0</v>
      </c>
      <c r="C33" s="26"/>
      <c r="D33" s="26"/>
      <c r="E33" s="34" t="s">
        <v>365</v>
      </c>
      <c r="F33" s="26"/>
      <c r="G33" s="34">
        <v>3.0</v>
      </c>
      <c r="H33" s="34" t="s">
        <v>366</v>
      </c>
      <c r="I33" s="26"/>
      <c r="J33" s="26"/>
      <c r="K33" s="26"/>
      <c r="L33" s="26"/>
    </row>
    <row r="34">
      <c r="A34" s="25"/>
      <c r="B34" s="29">
        <v>0.0</v>
      </c>
      <c r="C34" s="26"/>
      <c r="D34" s="26"/>
      <c r="E34" s="34" t="s">
        <v>367</v>
      </c>
      <c r="F34" s="26"/>
      <c r="G34" s="34">
        <v>4.0</v>
      </c>
      <c r="H34" s="34" t="s">
        <v>368</v>
      </c>
      <c r="I34" s="26"/>
      <c r="J34" s="26"/>
      <c r="K34" s="26"/>
      <c r="L34" s="26"/>
      <c r="N34" s="4" t="s">
        <v>86</v>
      </c>
      <c r="O34" s="29">
        <v>651377.0</v>
      </c>
    </row>
    <row r="35">
      <c r="A35" s="25" t="s">
        <v>76</v>
      </c>
      <c r="B35" s="29">
        <v>0.0</v>
      </c>
      <c r="C35" s="26"/>
      <c r="D35" s="26"/>
      <c r="E35" s="26"/>
      <c r="F35" s="26"/>
      <c r="G35" s="34">
        <v>5.0</v>
      </c>
      <c r="H35" s="34" t="s">
        <v>369</v>
      </c>
      <c r="I35" s="26"/>
      <c r="J35" s="26"/>
      <c r="K35" s="26"/>
      <c r="L35" s="26"/>
      <c r="N35" s="4" t="s">
        <v>87</v>
      </c>
      <c r="O35" s="29">
        <v>317997.0</v>
      </c>
    </row>
    <row r="36">
      <c r="A36" s="25"/>
      <c r="B36" s="29">
        <v>0.0</v>
      </c>
      <c r="C36" s="26"/>
      <c r="D36" s="26"/>
      <c r="E36" s="26"/>
      <c r="F36" s="26"/>
      <c r="G36" s="34">
        <v>6.0</v>
      </c>
      <c r="H36" s="34" t="s">
        <v>370</v>
      </c>
      <c r="I36" s="26"/>
      <c r="J36" s="26"/>
      <c r="K36" s="26"/>
      <c r="L36" s="26"/>
      <c r="N36" s="4" t="s">
        <v>8</v>
      </c>
      <c r="O36" s="3">
        <f>SUM(O34:O35)</f>
        <v>969374</v>
      </c>
    </row>
    <row r="37">
      <c r="A37" s="25"/>
      <c r="B37" s="29">
        <v>0.0</v>
      </c>
      <c r="C37" s="18"/>
      <c r="D37" s="26"/>
      <c r="E37" s="26"/>
      <c r="F37" s="26"/>
      <c r="G37" s="26"/>
      <c r="H37" s="26"/>
      <c r="I37" s="26"/>
      <c r="J37" s="26"/>
      <c r="K37" s="26"/>
      <c r="L37" s="26"/>
      <c r="N37" s="4" t="s">
        <v>88</v>
      </c>
      <c r="O37" s="29">
        <v>930000.0</v>
      </c>
    </row>
    <row r="38">
      <c r="A38" s="28" t="s">
        <v>8</v>
      </c>
      <c r="B38" s="104">
        <f>SUM(B19:B37)</f>
        <v>7126</v>
      </c>
      <c r="C38" s="26"/>
      <c r="D38" s="26"/>
      <c r="E38" s="26"/>
      <c r="F38" s="26"/>
      <c r="G38" s="26"/>
      <c r="H38" s="26"/>
      <c r="I38" s="26"/>
      <c r="J38" s="26"/>
      <c r="K38" s="26"/>
      <c r="L38" s="26"/>
      <c r="N38" s="4" t="s">
        <v>89</v>
      </c>
      <c r="O38" s="3">
        <f>O36-O37</f>
        <v>39374</v>
      </c>
    </row>
  </sheetData>
  <mergeCells count="1">
    <mergeCell ref="D20:J28"/>
  </mergeCells>
  <dataValidations>
    <dataValidation type="list" allowBlank="1" showErrorMessage="1" sqref="C2:C8">
      <formula1>"FUN DIVE,OPEN,AVANZADO,RESCUE,ESPECIALIDAD"</formula1>
    </dataValidation>
    <dataValidation type="list" allowBlank="1" showErrorMessage="1" sqref="F2:F11">
      <formula1>"Multiple,Pareja,Sencilla"</formula1>
    </dataValidation>
    <dataValidation type="list" allowBlank="1" showErrorMessage="1" sqref="D2:D11">
      <formula1>"SI,NO"</formula1>
    </dataValidation>
  </dataValidations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6" max="6" width="13.75"/>
    <col customWidth="1" min="8" max="8" width="16.75"/>
  </cols>
  <sheetData>
    <row r="1">
      <c r="A1" s="12" t="s">
        <v>20</v>
      </c>
      <c r="B1" s="12" t="s">
        <v>212</v>
      </c>
      <c r="C1" s="12" t="s">
        <v>89</v>
      </c>
      <c r="D1" s="12" t="s">
        <v>22</v>
      </c>
      <c r="E1" s="12" t="s">
        <v>23</v>
      </c>
      <c r="F1" s="12" t="s">
        <v>24</v>
      </c>
      <c r="G1" s="12" t="s">
        <v>25</v>
      </c>
      <c r="H1" s="12" t="s">
        <v>27</v>
      </c>
      <c r="I1" s="12" t="s">
        <v>29</v>
      </c>
      <c r="J1" s="12" t="s">
        <v>30</v>
      </c>
      <c r="K1" s="12" t="s">
        <v>213</v>
      </c>
      <c r="L1" s="12" t="s">
        <v>31</v>
      </c>
      <c r="M1" s="12" t="s">
        <v>32</v>
      </c>
    </row>
    <row r="2">
      <c r="A2" s="23"/>
      <c r="B2" s="19">
        <f t="shared" ref="B2:B11" si="1">SUM(A2)</f>
        <v>0</v>
      </c>
      <c r="C2" s="19">
        <f t="shared" ref="C2:C11" si="2">H2-B2</f>
        <v>16000000</v>
      </c>
      <c r="D2" s="16" t="s">
        <v>51</v>
      </c>
      <c r="E2" s="16" t="s">
        <v>48</v>
      </c>
      <c r="F2" s="16" t="s">
        <v>371</v>
      </c>
      <c r="G2" s="16" t="s">
        <v>37</v>
      </c>
      <c r="H2" s="19">
        <v>1.6E7</v>
      </c>
      <c r="I2" s="19">
        <v>3000000.0</v>
      </c>
      <c r="J2" s="23"/>
      <c r="K2" s="23"/>
      <c r="L2" s="19">
        <f t="shared" ref="L2:L11" si="3">H2-I2-J2</f>
        <v>13000000</v>
      </c>
      <c r="M2" s="51" t="s">
        <v>42</v>
      </c>
    </row>
    <row r="3">
      <c r="A3" s="23"/>
      <c r="B3" s="19">
        <f t="shared" si="1"/>
        <v>0</v>
      </c>
      <c r="C3" s="19">
        <f t="shared" si="2"/>
        <v>16000000</v>
      </c>
      <c r="D3" s="16" t="s">
        <v>51</v>
      </c>
      <c r="E3" s="16" t="s">
        <v>48</v>
      </c>
      <c r="F3" s="25" t="s">
        <v>372</v>
      </c>
      <c r="G3" s="16" t="s">
        <v>37</v>
      </c>
      <c r="H3" s="19">
        <v>1.6E7</v>
      </c>
      <c r="I3" s="19">
        <v>2000000.0</v>
      </c>
      <c r="J3" s="23"/>
      <c r="K3" s="23"/>
      <c r="L3" s="19">
        <f t="shared" si="3"/>
        <v>14000000</v>
      </c>
      <c r="M3" s="51" t="s">
        <v>53</v>
      </c>
    </row>
    <row r="4">
      <c r="A4" s="23"/>
      <c r="B4" s="19">
        <f t="shared" si="1"/>
        <v>0</v>
      </c>
      <c r="C4" s="19">
        <f t="shared" si="2"/>
        <v>16000000</v>
      </c>
      <c r="D4" s="16" t="s">
        <v>51</v>
      </c>
      <c r="E4" s="16" t="s">
        <v>48</v>
      </c>
      <c r="F4" s="25" t="s">
        <v>373</v>
      </c>
      <c r="G4" s="16" t="s">
        <v>37</v>
      </c>
      <c r="H4" s="19">
        <v>1.6E7</v>
      </c>
      <c r="I4" s="19">
        <v>2500000.0</v>
      </c>
      <c r="J4" s="16"/>
      <c r="K4" s="23"/>
      <c r="L4" s="19">
        <f t="shared" si="3"/>
        <v>13500000</v>
      </c>
      <c r="M4" s="51" t="s">
        <v>45</v>
      </c>
    </row>
    <row r="5">
      <c r="A5" s="23"/>
      <c r="B5" s="19">
        <f t="shared" si="1"/>
        <v>0</v>
      </c>
      <c r="C5" s="19">
        <f t="shared" si="2"/>
        <v>16000000</v>
      </c>
      <c r="D5" s="16" t="s">
        <v>51</v>
      </c>
      <c r="E5" s="16" t="s">
        <v>48</v>
      </c>
      <c r="F5" s="25" t="s">
        <v>374</v>
      </c>
      <c r="G5" s="16" t="s">
        <v>37</v>
      </c>
      <c r="H5" s="19">
        <v>1.6E7</v>
      </c>
      <c r="I5" s="19">
        <v>2500000.0</v>
      </c>
      <c r="J5" s="16"/>
      <c r="K5" s="23"/>
      <c r="L5" s="19">
        <f t="shared" si="3"/>
        <v>13500000</v>
      </c>
      <c r="M5" s="51" t="s">
        <v>38</v>
      </c>
    </row>
    <row r="6">
      <c r="A6" s="23"/>
      <c r="B6" s="19">
        <f t="shared" si="1"/>
        <v>0</v>
      </c>
      <c r="C6" s="19">
        <f t="shared" si="2"/>
        <v>16000000</v>
      </c>
      <c r="D6" s="16" t="s">
        <v>51</v>
      </c>
      <c r="E6" s="16" t="s">
        <v>48</v>
      </c>
      <c r="F6" s="25" t="s">
        <v>171</v>
      </c>
      <c r="G6" s="16" t="s">
        <v>37</v>
      </c>
      <c r="H6" s="19">
        <v>1.6E7</v>
      </c>
      <c r="I6" s="19">
        <v>3000000.0</v>
      </c>
      <c r="J6" s="16"/>
      <c r="K6" s="23"/>
      <c r="L6" s="19">
        <f t="shared" si="3"/>
        <v>13000000</v>
      </c>
      <c r="M6" s="51" t="s">
        <v>38</v>
      </c>
    </row>
    <row r="7">
      <c r="A7" s="23"/>
      <c r="B7" s="19">
        <f t="shared" si="1"/>
        <v>0</v>
      </c>
      <c r="C7" s="19">
        <f t="shared" si="2"/>
        <v>16000000</v>
      </c>
      <c r="D7" s="16" t="s">
        <v>51</v>
      </c>
      <c r="E7" s="16" t="s">
        <v>48</v>
      </c>
      <c r="F7" s="25" t="s">
        <v>165</v>
      </c>
      <c r="G7" s="16" t="s">
        <v>37</v>
      </c>
      <c r="H7" s="19">
        <v>1.6E7</v>
      </c>
      <c r="I7" s="23"/>
      <c r="J7" s="16"/>
      <c r="K7" s="23"/>
      <c r="L7" s="19">
        <f t="shared" si="3"/>
        <v>16000000</v>
      </c>
      <c r="M7" s="51" t="s">
        <v>53</v>
      </c>
    </row>
    <row r="8">
      <c r="A8" s="16"/>
      <c r="B8" s="19">
        <f t="shared" si="1"/>
        <v>0</v>
      </c>
      <c r="C8" s="19">
        <f t="shared" si="2"/>
        <v>16000000</v>
      </c>
      <c r="D8" s="16" t="s">
        <v>51</v>
      </c>
      <c r="E8" s="16" t="s">
        <v>48</v>
      </c>
      <c r="F8" s="25" t="s">
        <v>244</v>
      </c>
      <c r="G8" s="16" t="s">
        <v>37</v>
      </c>
      <c r="H8" s="19">
        <v>1.6E7</v>
      </c>
      <c r="I8" s="20">
        <v>2000000.0</v>
      </c>
      <c r="J8" s="19"/>
      <c r="K8" s="23"/>
      <c r="L8" s="19">
        <f t="shared" si="3"/>
        <v>14000000</v>
      </c>
      <c r="M8" s="51" t="s">
        <v>53</v>
      </c>
    </row>
    <row r="9">
      <c r="A9" s="23"/>
      <c r="B9" s="19">
        <f t="shared" si="1"/>
        <v>0</v>
      </c>
      <c r="C9" s="19">
        <f t="shared" si="2"/>
        <v>16000000</v>
      </c>
      <c r="D9" s="16" t="s">
        <v>51</v>
      </c>
      <c r="E9" s="16" t="s">
        <v>48</v>
      </c>
      <c r="F9" s="25" t="s">
        <v>245</v>
      </c>
      <c r="G9" s="16" t="s">
        <v>37</v>
      </c>
      <c r="H9" s="19">
        <v>1.6E7</v>
      </c>
      <c r="I9" s="23"/>
      <c r="J9" s="16"/>
      <c r="K9" s="23"/>
      <c r="L9" s="19">
        <f t="shared" si="3"/>
        <v>16000000</v>
      </c>
      <c r="M9" s="51" t="s">
        <v>233</v>
      </c>
    </row>
    <row r="10">
      <c r="A10" s="23"/>
      <c r="B10" s="19">
        <f t="shared" si="1"/>
        <v>0</v>
      </c>
      <c r="C10" s="19">
        <f t="shared" si="2"/>
        <v>16000000</v>
      </c>
      <c r="D10" s="16" t="s">
        <v>51</v>
      </c>
      <c r="E10" s="16" t="s">
        <v>48</v>
      </c>
      <c r="F10" s="25" t="s">
        <v>332</v>
      </c>
      <c r="G10" s="16" t="s">
        <v>37</v>
      </c>
      <c r="H10" s="19">
        <v>1.6E7</v>
      </c>
      <c r="I10" s="21">
        <v>3000000.0</v>
      </c>
      <c r="J10" s="16"/>
      <c r="K10" s="23"/>
      <c r="L10" s="19">
        <f t="shared" si="3"/>
        <v>13000000</v>
      </c>
      <c r="M10" s="51" t="s">
        <v>233</v>
      </c>
    </row>
    <row r="11" ht="16.5" customHeight="1">
      <c r="A11" s="23"/>
      <c r="B11" s="19">
        <f t="shared" si="1"/>
        <v>0</v>
      </c>
      <c r="C11" s="19">
        <f t="shared" si="2"/>
        <v>16000000</v>
      </c>
      <c r="D11" s="16" t="s">
        <v>51</v>
      </c>
      <c r="E11" s="16" t="s">
        <v>48</v>
      </c>
      <c r="F11" s="25" t="s">
        <v>375</v>
      </c>
      <c r="G11" s="16" t="s">
        <v>37</v>
      </c>
      <c r="H11" s="19">
        <v>1.6E7</v>
      </c>
      <c r="I11" s="19">
        <f>2500000+1000000+600000</f>
        <v>4100000</v>
      </c>
      <c r="J11" s="16"/>
      <c r="K11" s="23"/>
      <c r="L11" s="19">
        <f t="shared" si="3"/>
        <v>11900000</v>
      </c>
      <c r="M11" s="51" t="s">
        <v>38</v>
      </c>
    </row>
    <row r="12">
      <c r="A12" s="16"/>
      <c r="B12" s="16"/>
      <c r="C12" s="16"/>
      <c r="D12" s="16"/>
      <c r="E12" s="16"/>
      <c r="F12" s="16" t="s">
        <v>60</v>
      </c>
      <c r="G12" s="22" t="s">
        <v>61</v>
      </c>
      <c r="H12" s="23"/>
      <c r="I12" s="19">
        <v>1.0E7</v>
      </c>
      <c r="J12" s="16"/>
      <c r="K12" s="16"/>
      <c r="L12" s="16"/>
      <c r="M12" s="16"/>
    </row>
    <row r="13">
      <c r="A13" s="16"/>
      <c r="B13" s="16"/>
      <c r="C13" s="16"/>
      <c r="D13" s="16"/>
      <c r="E13" s="16"/>
      <c r="F13" s="16" t="s">
        <v>62</v>
      </c>
      <c r="G13" s="22" t="s">
        <v>61</v>
      </c>
      <c r="H13" s="23"/>
      <c r="I13" s="19">
        <v>4000000.0</v>
      </c>
      <c r="J13" s="16"/>
      <c r="K13" s="16"/>
      <c r="L13" s="16"/>
      <c r="M13" s="16"/>
    </row>
    <row r="14">
      <c r="A14" s="24">
        <f t="shared" ref="A14:C14" si="4">SUM(A2:A13)</f>
        <v>0</v>
      </c>
      <c r="B14" s="24">
        <f t="shared" si="4"/>
        <v>0</v>
      </c>
      <c r="C14" s="24">
        <f t="shared" si="4"/>
        <v>160000000</v>
      </c>
      <c r="D14" s="16"/>
      <c r="E14" s="16"/>
      <c r="F14" s="16"/>
      <c r="G14" s="16"/>
      <c r="H14" s="24">
        <f t="shared" ref="H14:J14" si="5">SUM(H2:H13)</f>
        <v>160000000</v>
      </c>
      <c r="I14" s="24">
        <f t="shared" si="5"/>
        <v>36100000</v>
      </c>
      <c r="J14" s="24">
        <f t="shared" si="5"/>
        <v>0</v>
      </c>
      <c r="K14" s="23"/>
      <c r="L14" s="24">
        <f>SUM(L2:L13)</f>
        <v>137900000</v>
      </c>
      <c r="M14" s="16"/>
    </row>
    <row r="15">
      <c r="A15" s="26"/>
      <c r="B15" s="26"/>
      <c r="C15" s="26"/>
      <c r="D15" s="26"/>
      <c r="E15" s="26"/>
      <c r="F15" s="26"/>
      <c r="G15" s="27"/>
      <c r="H15" s="22" t="s">
        <v>64</v>
      </c>
      <c r="I15" s="24">
        <f>SUM(I14+J14)-B45</f>
        <v>1600000</v>
      </c>
      <c r="J15" s="26"/>
      <c r="K15" s="26"/>
      <c r="L15" s="26"/>
      <c r="M15" s="26"/>
    </row>
    <row r="16">
      <c r="A16" s="26"/>
      <c r="B16" s="26"/>
      <c r="C16" s="26"/>
      <c r="D16" s="26"/>
      <c r="E16" s="26"/>
      <c r="F16" s="26"/>
      <c r="G16" s="26"/>
      <c r="H16" s="28" t="s">
        <v>65</v>
      </c>
      <c r="I16" s="29">
        <f>(H14*4)/1000</f>
        <v>640000</v>
      </c>
      <c r="J16" s="26"/>
      <c r="K16" s="26"/>
      <c r="L16" s="26"/>
      <c r="M16" s="26"/>
    </row>
    <row r="17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</row>
    <row r="18">
      <c r="A18" s="77" t="s">
        <v>66</v>
      </c>
      <c r="B18" s="30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</row>
    <row r="19">
      <c r="A19" s="25" t="s">
        <v>247</v>
      </c>
      <c r="B19" s="29">
        <f>A14</f>
        <v>0</v>
      </c>
      <c r="C19" s="26"/>
      <c r="D19" s="26"/>
      <c r="E19" s="26" t="s">
        <v>67</v>
      </c>
      <c r="F19" s="26"/>
      <c r="G19" s="26"/>
      <c r="H19" s="26"/>
      <c r="I19" s="26"/>
      <c r="J19" s="26"/>
      <c r="K19" s="26"/>
      <c r="L19" s="26"/>
      <c r="M19" s="26"/>
    </row>
    <row r="20">
      <c r="A20" s="25" t="s">
        <v>376</v>
      </c>
      <c r="B20" s="29">
        <f>13000000+4000000+10000000+7500000</f>
        <v>34500000</v>
      </c>
      <c r="C20" s="26"/>
      <c r="D20" s="26"/>
      <c r="E20" s="31"/>
      <c r="K20" s="26"/>
      <c r="L20" s="26"/>
      <c r="M20" s="26"/>
    </row>
    <row r="21">
      <c r="A21" s="25"/>
      <c r="B21" s="18"/>
      <c r="C21" s="26"/>
      <c r="D21" s="26"/>
      <c r="K21" s="26"/>
      <c r="L21" s="26"/>
      <c r="M21" s="26"/>
    </row>
    <row r="22">
      <c r="A22" s="25"/>
      <c r="B22" s="18"/>
      <c r="C22" s="26"/>
      <c r="D22" s="26"/>
      <c r="K22" s="26"/>
      <c r="L22" s="26"/>
      <c r="M22" s="26"/>
    </row>
    <row r="23">
      <c r="A23" s="25"/>
      <c r="B23" s="18"/>
      <c r="C23" s="26"/>
      <c r="D23" s="26"/>
      <c r="K23" s="26"/>
      <c r="L23" s="26"/>
      <c r="M23" s="26"/>
    </row>
    <row r="24">
      <c r="A24" s="79"/>
      <c r="B24" s="23"/>
      <c r="C24" s="26"/>
      <c r="D24" s="26"/>
      <c r="K24" s="26"/>
      <c r="L24" s="26"/>
      <c r="M24" s="26"/>
    </row>
    <row r="25">
      <c r="A25" s="79"/>
      <c r="B25" s="23"/>
      <c r="C25" s="26"/>
      <c r="D25" s="26"/>
      <c r="K25" s="26"/>
      <c r="L25" s="26"/>
      <c r="M25" s="26"/>
    </row>
    <row r="26">
      <c r="A26" s="79"/>
      <c r="B26" s="23"/>
      <c r="C26" s="26"/>
      <c r="D26" s="26"/>
      <c r="K26" s="26"/>
      <c r="L26" s="26"/>
      <c r="M26" s="26"/>
    </row>
    <row r="27">
      <c r="A27" s="79"/>
      <c r="B27" s="23"/>
      <c r="C27" s="26"/>
      <c r="D27" s="26"/>
      <c r="K27" s="26"/>
      <c r="L27" s="26"/>
      <c r="M27" s="26"/>
    </row>
    <row r="28">
      <c r="A28" s="79"/>
      <c r="B28" s="23"/>
      <c r="C28" s="26"/>
      <c r="D28" s="26"/>
      <c r="K28" s="26"/>
      <c r="L28" s="26"/>
      <c r="M28" s="26"/>
    </row>
    <row r="29">
      <c r="A29" s="79"/>
      <c r="B29" s="23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</row>
    <row r="30">
      <c r="A30" s="79"/>
      <c r="B30" s="23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</row>
    <row r="31">
      <c r="A31" s="79"/>
      <c r="B31" s="23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</row>
    <row r="32">
      <c r="A32" s="79"/>
      <c r="B32" s="23"/>
      <c r="C32" s="26"/>
      <c r="D32" s="48"/>
      <c r="E32" s="26"/>
      <c r="F32" s="26"/>
      <c r="G32" s="26"/>
      <c r="H32" s="26"/>
      <c r="I32" s="26"/>
      <c r="J32" s="26"/>
      <c r="K32" s="26"/>
      <c r="L32" s="26"/>
      <c r="M32" s="26"/>
    </row>
    <row r="33">
      <c r="A33" s="79"/>
      <c r="B33" s="23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</row>
    <row r="34">
      <c r="A34" s="79"/>
      <c r="B34" s="23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</row>
    <row r="35">
      <c r="A35" s="79"/>
      <c r="B35" s="23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</row>
    <row r="36">
      <c r="A36" s="79"/>
      <c r="B36" s="18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</row>
    <row r="37">
      <c r="A37" s="25"/>
      <c r="B37" s="18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</row>
    <row r="38">
      <c r="A38" s="25"/>
      <c r="B38" s="18"/>
      <c r="C38" s="26"/>
      <c r="D38" s="48"/>
      <c r="E38" s="26"/>
      <c r="F38" s="26"/>
      <c r="G38" s="26"/>
      <c r="H38" s="26"/>
      <c r="I38" s="26"/>
      <c r="J38" s="26"/>
      <c r="K38" s="26"/>
      <c r="L38" s="26"/>
      <c r="M38" s="26"/>
    </row>
    <row r="39">
      <c r="A39" s="25"/>
      <c r="B39" s="18"/>
      <c r="C39" s="48"/>
      <c r="D39" s="48"/>
      <c r="E39" s="26"/>
      <c r="F39" s="26"/>
      <c r="G39" s="26"/>
      <c r="H39" s="26"/>
      <c r="I39" s="26"/>
      <c r="J39" s="26"/>
      <c r="K39" s="26"/>
      <c r="L39" s="26"/>
      <c r="M39" s="26"/>
    </row>
    <row r="40">
      <c r="A40" s="25"/>
      <c r="B40" s="18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</row>
    <row r="41">
      <c r="A41" s="25"/>
      <c r="B41" s="18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</row>
    <row r="42">
      <c r="A42" s="25"/>
      <c r="B42" s="18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</row>
    <row r="43">
      <c r="A43" s="25"/>
      <c r="B43" s="18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</row>
    <row r="44">
      <c r="A44" s="25"/>
      <c r="B44" s="18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</row>
    <row r="45">
      <c r="A45" s="67" t="s">
        <v>8</v>
      </c>
      <c r="B45" s="24">
        <f>SUM(B20:B41)</f>
        <v>34500000</v>
      </c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</row>
  </sheetData>
  <mergeCells count="1">
    <mergeCell ref="E20:J28"/>
  </mergeCells>
  <dataValidations>
    <dataValidation type="list" allowBlank="1" showErrorMessage="1" sqref="D2:D11">
      <formula1>"FUN DIVE,OPEN,AVANZADO,RESCUE,ESPECIALIDAD"</formula1>
    </dataValidation>
    <dataValidation type="list" allowBlank="1" showErrorMessage="1" sqref="G2:G11">
      <formula1>"Multiple,Pareja,Sencilla"</formula1>
    </dataValidation>
    <dataValidation type="list" allowBlank="1" showErrorMessage="1" sqref="M2:M11">
      <formula1>"S,M,L,XL,XXL"</formula1>
    </dataValidation>
    <dataValidation type="list" allowBlank="1" showErrorMessage="1" sqref="E2:E11">
      <formula1>"SI,NO"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5" max="5" width="14.75"/>
    <col customWidth="1" min="7" max="7" width="2.75"/>
    <col customWidth="1" min="8" max="8" width="16.75"/>
  </cols>
  <sheetData>
    <row r="1">
      <c r="A1" s="12" t="s">
        <v>20</v>
      </c>
      <c r="B1" s="12" t="s">
        <v>21</v>
      </c>
      <c r="C1" s="12" t="s">
        <v>22</v>
      </c>
      <c r="D1" s="12" t="s">
        <v>23</v>
      </c>
      <c r="E1" s="12" t="s">
        <v>24</v>
      </c>
      <c r="F1" s="12" t="s">
        <v>25</v>
      </c>
      <c r="G1" s="12"/>
      <c r="H1" s="12" t="s">
        <v>27</v>
      </c>
      <c r="I1" s="12" t="s">
        <v>29</v>
      </c>
      <c r="J1" s="12" t="s">
        <v>30</v>
      </c>
      <c r="K1" s="12" t="s">
        <v>31</v>
      </c>
      <c r="L1" s="12" t="s">
        <v>32</v>
      </c>
    </row>
    <row r="2">
      <c r="A2" s="64"/>
      <c r="B2" s="16"/>
      <c r="C2" s="15" t="s">
        <v>51</v>
      </c>
      <c r="D2" s="15" t="s">
        <v>48</v>
      </c>
      <c r="E2" s="15" t="s">
        <v>229</v>
      </c>
      <c r="F2" s="25"/>
      <c r="G2" s="18"/>
      <c r="H2" s="105">
        <v>2490.0</v>
      </c>
      <c r="I2" s="105">
        <v>707.0</v>
      </c>
      <c r="J2" s="16"/>
      <c r="K2" s="19">
        <f t="shared" ref="K2:K17" si="1">H2-I2-J2</f>
        <v>1783</v>
      </c>
      <c r="L2" s="16"/>
    </row>
    <row r="3">
      <c r="A3" s="16"/>
      <c r="B3" s="16"/>
      <c r="C3" s="16"/>
      <c r="D3" s="16"/>
      <c r="E3" s="15" t="s">
        <v>55</v>
      </c>
      <c r="F3" s="25"/>
      <c r="G3" s="18"/>
      <c r="H3" s="105">
        <v>2490.0</v>
      </c>
      <c r="I3" s="106">
        <v>497.0</v>
      </c>
      <c r="J3" s="16"/>
      <c r="K3" s="19">
        <f t="shared" si="1"/>
        <v>1993</v>
      </c>
      <c r="L3" s="16"/>
    </row>
    <row r="4">
      <c r="A4" s="16"/>
      <c r="B4" s="16"/>
      <c r="C4" s="16"/>
      <c r="D4" s="16"/>
      <c r="E4" s="15" t="s">
        <v>377</v>
      </c>
      <c r="F4" s="25"/>
      <c r="G4" s="61" t="s">
        <v>105</v>
      </c>
      <c r="H4" s="106">
        <v>2490.0</v>
      </c>
      <c r="I4" s="106">
        <v>300.0</v>
      </c>
      <c r="J4" s="16"/>
      <c r="K4" s="19">
        <f t="shared" si="1"/>
        <v>2190</v>
      </c>
      <c r="L4" s="16"/>
    </row>
    <row r="5">
      <c r="A5" s="16"/>
      <c r="B5" s="16"/>
      <c r="C5" s="16"/>
      <c r="D5" s="16"/>
      <c r="E5" s="15" t="s">
        <v>378</v>
      </c>
      <c r="F5" s="25"/>
      <c r="G5" s="18"/>
      <c r="H5" s="106">
        <v>2590.0</v>
      </c>
      <c r="I5" s="106">
        <v>1000.0</v>
      </c>
      <c r="J5" s="16"/>
      <c r="K5" s="19">
        <f t="shared" si="1"/>
        <v>1590</v>
      </c>
      <c r="L5" s="16"/>
    </row>
    <row r="6">
      <c r="A6" s="16"/>
      <c r="B6" s="16"/>
      <c r="C6" s="16"/>
      <c r="D6" s="16"/>
      <c r="E6" s="15" t="s">
        <v>379</v>
      </c>
      <c r="F6" s="25"/>
      <c r="G6" s="18"/>
      <c r="H6" s="106">
        <v>2490.0</v>
      </c>
      <c r="I6" s="107"/>
      <c r="J6" s="16"/>
      <c r="K6" s="19">
        <f t="shared" si="1"/>
        <v>2490</v>
      </c>
      <c r="L6" s="16"/>
    </row>
    <row r="7">
      <c r="A7" s="16"/>
      <c r="B7" s="16"/>
      <c r="C7" s="16"/>
      <c r="D7" s="16"/>
      <c r="E7" s="15" t="s">
        <v>380</v>
      </c>
      <c r="F7" s="25"/>
      <c r="G7" s="18"/>
      <c r="H7" s="106">
        <v>2490.0</v>
      </c>
      <c r="I7" s="107"/>
      <c r="J7" s="16"/>
      <c r="K7" s="19">
        <f t="shared" si="1"/>
        <v>2490</v>
      </c>
      <c r="L7" s="16"/>
    </row>
    <row r="8">
      <c r="A8" s="16"/>
      <c r="B8" s="16"/>
      <c r="C8" s="16"/>
      <c r="D8" s="16"/>
      <c r="E8" s="15" t="s">
        <v>381</v>
      </c>
      <c r="F8" s="16"/>
      <c r="G8" s="18"/>
      <c r="H8" s="106">
        <v>2490.0</v>
      </c>
      <c r="I8" s="107"/>
      <c r="J8" s="16"/>
      <c r="K8" s="19">
        <f t="shared" si="1"/>
        <v>2490</v>
      </c>
      <c r="L8" s="16"/>
    </row>
    <row r="9">
      <c r="A9" s="16"/>
      <c r="B9" s="16"/>
      <c r="C9" s="16"/>
      <c r="D9" s="16"/>
      <c r="E9" s="15" t="s">
        <v>382</v>
      </c>
      <c r="F9" s="16"/>
      <c r="G9" s="18"/>
      <c r="H9" s="106">
        <v>2490.0</v>
      </c>
      <c r="I9" s="107"/>
      <c r="J9" s="16"/>
      <c r="K9" s="19">
        <f t="shared" si="1"/>
        <v>2490</v>
      </c>
      <c r="L9" s="16"/>
    </row>
    <row r="10">
      <c r="A10" s="16"/>
      <c r="B10" s="16"/>
      <c r="C10" s="16"/>
      <c r="D10" s="16"/>
      <c r="E10" s="15" t="s">
        <v>383</v>
      </c>
      <c r="F10" s="16"/>
      <c r="G10" s="18"/>
      <c r="H10" s="106">
        <v>2490.0</v>
      </c>
      <c r="I10" s="107"/>
      <c r="J10" s="16"/>
      <c r="K10" s="19">
        <f t="shared" si="1"/>
        <v>2490</v>
      </c>
      <c r="L10" s="16"/>
    </row>
    <row r="11">
      <c r="A11" s="16"/>
      <c r="B11" s="16"/>
      <c r="C11" s="16"/>
      <c r="D11" s="16"/>
      <c r="E11" s="15" t="s">
        <v>384</v>
      </c>
      <c r="F11" s="16"/>
      <c r="G11" s="18"/>
      <c r="H11" s="106">
        <v>2490.0</v>
      </c>
      <c r="I11" s="106"/>
      <c r="J11" s="15">
        <v>100.0</v>
      </c>
      <c r="K11" s="19">
        <f t="shared" si="1"/>
        <v>2390</v>
      </c>
      <c r="L11" s="16"/>
    </row>
    <row r="12">
      <c r="A12" s="16"/>
      <c r="B12" s="16"/>
      <c r="C12" s="16"/>
      <c r="D12" s="16"/>
      <c r="E12" s="15" t="s">
        <v>385</v>
      </c>
      <c r="F12" s="16"/>
      <c r="G12" s="18"/>
      <c r="H12" s="106">
        <v>2490.0</v>
      </c>
      <c r="I12" s="107"/>
      <c r="J12" s="15">
        <v>100.0</v>
      </c>
      <c r="K12" s="19">
        <f t="shared" si="1"/>
        <v>2390</v>
      </c>
      <c r="L12" s="16"/>
    </row>
    <row r="13">
      <c r="A13" s="16"/>
      <c r="B13" s="16"/>
      <c r="C13" s="16"/>
      <c r="D13" s="16"/>
      <c r="E13" s="15" t="s">
        <v>386</v>
      </c>
      <c r="F13" s="16"/>
      <c r="G13" s="18"/>
      <c r="H13" s="106">
        <v>2490.0</v>
      </c>
      <c r="I13" s="106"/>
      <c r="J13" s="15">
        <v>100.0</v>
      </c>
      <c r="K13" s="19">
        <f t="shared" si="1"/>
        <v>2390</v>
      </c>
      <c r="L13" s="16"/>
    </row>
    <row r="14">
      <c r="A14" s="16"/>
      <c r="B14" s="16"/>
      <c r="C14" s="16"/>
      <c r="D14" s="16"/>
      <c r="E14" s="15" t="s">
        <v>387</v>
      </c>
      <c r="F14" s="16"/>
      <c r="G14" s="61" t="s">
        <v>105</v>
      </c>
      <c r="H14" s="106">
        <v>2490.0</v>
      </c>
      <c r="I14" s="106">
        <v>857.0</v>
      </c>
      <c r="J14" s="16"/>
      <c r="K14" s="19">
        <f t="shared" si="1"/>
        <v>1633</v>
      </c>
      <c r="L14" s="16"/>
    </row>
    <row r="15">
      <c r="A15" s="16"/>
      <c r="B15" s="16"/>
      <c r="C15" s="16"/>
      <c r="D15" s="16"/>
      <c r="E15" s="15" t="s">
        <v>388</v>
      </c>
      <c r="F15" s="16"/>
      <c r="G15" s="61" t="s">
        <v>105</v>
      </c>
      <c r="H15" s="106">
        <v>2490.0</v>
      </c>
      <c r="I15" s="106">
        <v>858.0</v>
      </c>
      <c r="J15" s="16"/>
      <c r="K15" s="19">
        <f t="shared" si="1"/>
        <v>1632</v>
      </c>
      <c r="L15" s="16"/>
    </row>
    <row r="16">
      <c r="A16" s="16"/>
      <c r="B16" s="16"/>
      <c r="C16" s="16"/>
      <c r="D16" s="16"/>
      <c r="E16" s="15" t="s">
        <v>389</v>
      </c>
      <c r="F16" s="16"/>
      <c r="G16" s="61" t="s">
        <v>105</v>
      </c>
      <c r="H16" s="106">
        <v>2590.0</v>
      </c>
      <c r="I16" s="106">
        <v>500.0</v>
      </c>
      <c r="J16" s="15"/>
      <c r="K16" s="19">
        <f t="shared" si="1"/>
        <v>2090</v>
      </c>
      <c r="L16" s="16"/>
    </row>
    <row r="17">
      <c r="A17" s="16"/>
      <c r="B17" s="16"/>
      <c r="C17" s="16"/>
      <c r="D17" s="16"/>
      <c r="E17" s="15" t="s">
        <v>242</v>
      </c>
      <c r="F17" s="16"/>
      <c r="G17" s="18"/>
      <c r="H17" s="106">
        <v>2490.0</v>
      </c>
      <c r="I17" s="107"/>
      <c r="J17" s="16"/>
      <c r="K17" s="19">
        <f t="shared" si="1"/>
        <v>2490</v>
      </c>
      <c r="L17" s="16"/>
    </row>
    <row r="18" ht="18.75" customHeight="1">
      <c r="A18" s="16"/>
      <c r="B18" s="16"/>
      <c r="C18" s="16"/>
      <c r="D18" s="16"/>
      <c r="E18" s="16" t="s">
        <v>60</v>
      </c>
      <c r="F18" s="22" t="s">
        <v>61</v>
      </c>
      <c r="G18" s="18"/>
      <c r="H18" s="106"/>
      <c r="I18" s="107"/>
      <c r="J18" s="16"/>
      <c r="K18" s="23"/>
      <c r="L18" s="16"/>
    </row>
    <row r="19">
      <c r="A19" s="16"/>
      <c r="B19" s="16"/>
      <c r="C19" s="16"/>
      <c r="D19" s="16"/>
      <c r="E19" s="16" t="s">
        <v>62</v>
      </c>
      <c r="F19" s="22" t="s">
        <v>61</v>
      </c>
      <c r="G19" s="23"/>
      <c r="H19" s="107"/>
      <c r="I19" s="107"/>
      <c r="J19" s="16"/>
      <c r="K19" s="16"/>
      <c r="L19" s="16"/>
    </row>
    <row r="20">
      <c r="A20" s="24">
        <f>SUM(A2:A19)</f>
        <v>0</v>
      </c>
      <c r="B20" s="16"/>
      <c r="C20" s="16"/>
      <c r="D20" s="16"/>
      <c r="E20" s="25"/>
      <c r="F20" s="25"/>
      <c r="G20" s="24"/>
      <c r="H20" s="108">
        <f t="shared" ref="H20:K20" si="2">SUM(H2:H19)</f>
        <v>40040</v>
      </c>
      <c r="I20" s="108">
        <f t="shared" si="2"/>
        <v>4719</v>
      </c>
      <c r="J20" s="24">
        <f t="shared" si="2"/>
        <v>300</v>
      </c>
      <c r="K20" s="24">
        <f t="shared" si="2"/>
        <v>35021</v>
      </c>
      <c r="L20" s="16"/>
    </row>
    <row r="21">
      <c r="A21" s="26"/>
      <c r="B21" s="26"/>
      <c r="C21" s="26"/>
      <c r="D21" s="26"/>
      <c r="E21" s="26"/>
      <c r="F21" s="27"/>
      <c r="G21" s="27"/>
      <c r="H21" s="22" t="s">
        <v>64</v>
      </c>
      <c r="I21" s="24">
        <f>SUM(I20+J20)-B44</f>
        <v>5019</v>
      </c>
      <c r="J21" s="26"/>
      <c r="K21" s="26"/>
      <c r="L21" s="26"/>
    </row>
    <row r="22">
      <c r="A22" s="26"/>
      <c r="B22" s="26"/>
      <c r="C22" s="26"/>
      <c r="D22" s="26"/>
      <c r="E22" s="26"/>
      <c r="F22" s="26"/>
      <c r="G22" s="26"/>
      <c r="H22" s="9" t="s">
        <v>341</v>
      </c>
      <c r="I22" s="9">
        <v>3000000.0</v>
      </c>
      <c r="J22" s="26"/>
      <c r="K22" s="26"/>
      <c r="L22" s="26"/>
    </row>
    <row r="23">
      <c r="A23" s="26"/>
      <c r="B23" s="26"/>
      <c r="C23" s="26"/>
      <c r="D23" s="26"/>
      <c r="E23" s="26"/>
      <c r="F23" s="26"/>
      <c r="G23" s="26"/>
      <c r="H23" s="28" t="s">
        <v>65</v>
      </c>
      <c r="I23" s="24">
        <f>(H20*4)/1000</f>
        <v>160.16</v>
      </c>
      <c r="J23" s="26"/>
      <c r="K23" s="26"/>
      <c r="L23" s="26"/>
    </row>
    <row r="24">
      <c r="A24" s="28" t="s">
        <v>66</v>
      </c>
      <c r="B24" s="30"/>
      <c r="C24" s="26"/>
      <c r="D24" s="26" t="s">
        <v>67</v>
      </c>
      <c r="E24" s="26"/>
      <c r="F24" s="26"/>
      <c r="G24" s="26"/>
      <c r="H24" s="26"/>
      <c r="I24" s="26"/>
      <c r="J24" s="26"/>
      <c r="K24" s="26"/>
      <c r="L24" s="26"/>
    </row>
    <row r="25">
      <c r="A25" s="25" t="s">
        <v>20</v>
      </c>
      <c r="B25" s="29">
        <f>A20</f>
        <v>0</v>
      </c>
      <c r="C25" s="26"/>
      <c r="D25" s="31"/>
      <c r="E25" s="31"/>
      <c r="F25" s="31"/>
      <c r="G25" s="31"/>
      <c r="H25" s="31"/>
      <c r="I25" s="31"/>
      <c r="J25" s="31"/>
      <c r="K25" s="26"/>
      <c r="L25" s="26"/>
    </row>
    <row r="26">
      <c r="A26" s="17" t="s">
        <v>68</v>
      </c>
      <c r="B26" s="33"/>
      <c r="C26" s="26"/>
      <c r="D26" s="37" t="s">
        <v>85</v>
      </c>
      <c r="K26" s="26"/>
      <c r="L26" s="26"/>
    </row>
    <row r="27">
      <c r="A27" s="25"/>
      <c r="B27" s="29">
        <v>0.0</v>
      </c>
      <c r="C27" s="26"/>
      <c r="K27" s="26"/>
      <c r="L27" s="26"/>
    </row>
    <row r="28">
      <c r="A28" s="25"/>
      <c r="B28" s="29">
        <v>0.0</v>
      </c>
      <c r="C28" s="26"/>
      <c r="K28" s="26"/>
      <c r="L28" s="26"/>
    </row>
    <row r="29">
      <c r="A29" s="25"/>
      <c r="B29" s="29">
        <v>0.0</v>
      </c>
      <c r="C29" s="26"/>
      <c r="K29" s="26"/>
      <c r="L29" s="26"/>
    </row>
    <row r="30">
      <c r="A30" s="25"/>
      <c r="B30" s="29">
        <v>0.0</v>
      </c>
      <c r="C30" s="26"/>
      <c r="K30" s="26"/>
      <c r="L30" s="26"/>
    </row>
    <row r="31">
      <c r="A31" s="25"/>
      <c r="B31" s="29">
        <v>0.0</v>
      </c>
      <c r="C31" s="26"/>
      <c r="K31" s="26"/>
      <c r="L31" s="26"/>
    </row>
    <row r="32">
      <c r="A32" s="25"/>
      <c r="B32" s="29">
        <v>0.0</v>
      </c>
      <c r="C32" s="26"/>
      <c r="K32" s="26"/>
      <c r="L32" s="26"/>
    </row>
    <row r="33">
      <c r="A33" s="25"/>
      <c r="B33" s="29">
        <v>0.0</v>
      </c>
      <c r="C33" s="26"/>
      <c r="K33" s="26"/>
      <c r="L33" s="26"/>
    </row>
    <row r="34">
      <c r="A34" s="25"/>
      <c r="B34" s="29">
        <v>0.0</v>
      </c>
      <c r="C34" s="26"/>
      <c r="K34" s="26"/>
      <c r="L34" s="26"/>
    </row>
    <row r="35">
      <c r="A35" s="25"/>
      <c r="B35" s="29">
        <v>0.0</v>
      </c>
      <c r="C35" s="26"/>
      <c r="D35" s="26"/>
      <c r="E35" s="26"/>
      <c r="F35" s="26"/>
      <c r="G35" s="26"/>
      <c r="H35" s="26"/>
      <c r="I35" s="26"/>
      <c r="J35" s="26"/>
      <c r="K35" s="26"/>
      <c r="L35" s="26"/>
    </row>
    <row r="36">
      <c r="A36" s="25"/>
      <c r="B36" s="29">
        <v>0.0</v>
      </c>
      <c r="C36" s="26"/>
      <c r="D36" s="26"/>
      <c r="E36" s="26"/>
      <c r="F36" s="26"/>
      <c r="G36" s="26"/>
      <c r="H36" s="26"/>
      <c r="I36" s="26"/>
      <c r="J36" s="26"/>
      <c r="K36" s="26"/>
      <c r="L36" s="26"/>
    </row>
    <row r="37">
      <c r="A37" s="25"/>
      <c r="B37" s="29">
        <v>0.0</v>
      </c>
      <c r="C37" s="26"/>
      <c r="D37" s="26"/>
      <c r="E37" s="26"/>
      <c r="F37" s="26"/>
      <c r="G37" s="26"/>
      <c r="H37" s="26"/>
      <c r="I37" s="26"/>
      <c r="J37" s="26"/>
      <c r="K37" s="26"/>
      <c r="L37" s="26"/>
    </row>
    <row r="38">
      <c r="A38" s="25"/>
      <c r="B38" s="29">
        <v>0.0</v>
      </c>
      <c r="C38" s="26"/>
      <c r="D38" s="26"/>
      <c r="E38" s="26"/>
      <c r="F38" s="26"/>
      <c r="G38" s="26"/>
      <c r="H38" s="26"/>
      <c r="I38" s="26"/>
      <c r="J38" s="26"/>
      <c r="K38" s="26"/>
      <c r="L38" s="26"/>
    </row>
    <row r="39">
      <c r="A39" s="25"/>
      <c r="B39" s="29">
        <v>0.0</v>
      </c>
      <c r="C39" s="26"/>
      <c r="D39" s="26"/>
      <c r="E39" s="26"/>
      <c r="F39" s="26"/>
      <c r="G39" s="26"/>
      <c r="H39" s="26"/>
      <c r="I39" s="26"/>
      <c r="J39" s="26"/>
      <c r="K39" s="26"/>
      <c r="L39" s="26"/>
    </row>
    <row r="40">
      <c r="A40" s="25"/>
      <c r="B40" s="29">
        <v>0.0</v>
      </c>
      <c r="C40" s="26"/>
      <c r="D40" s="26"/>
      <c r="E40" s="26"/>
      <c r="F40" s="26"/>
      <c r="G40" s="26"/>
      <c r="H40" s="26"/>
      <c r="I40" s="26"/>
      <c r="J40" s="26"/>
      <c r="K40" s="26"/>
      <c r="L40" s="26"/>
    </row>
    <row r="41">
      <c r="A41" s="25" t="s">
        <v>76</v>
      </c>
      <c r="B41" s="29">
        <v>0.0</v>
      </c>
      <c r="C41" s="26"/>
      <c r="D41" s="26"/>
      <c r="E41" s="26"/>
      <c r="F41" s="26"/>
      <c r="G41" s="26"/>
      <c r="H41" s="26"/>
      <c r="I41" s="26"/>
      <c r="J41" s="26"/>
      <c r="K41" s="26"/>
      <c r="L41" s="26"/>
    </row>
    <row r="42">
      <c r="A42" s="25"/>
      <c r="B42" s="29">
        <v>0.0</v>
      </c>
      <c r="C42" s="26"/>
      <c r="D42" s="26"/>
      <c r="E42" s="26"/>
      <c r="F42" s="26"/>
      <c r="G42" s="26"/>
      <c r="H42" s="26"/>
      <c r="I42" s="26"/>
      <c r="J42" s="26"/>
      <c r="K42" s="26"/>
      <c r="L42" s="26"/>
    </row>
    <row r="43">
      <c r="A43" s="25"/>
      <c r="B43" s="29">
        <v>0.0</v>
      </c>
      <c r="C43" s="18"/>
      <c r="D43" s="26"/>
      <c r="E43" s="26"/>
      <c r="F43" s="26"/>
      <c r="G43" s="26"/>
      <c r="H43" s="26"/>
      <c r="I43" s="26"/>
      <c r="J43" s="26"/>
      <c r="K43" s="26"/>
      <c r="L43" s="26"/>
    </row>
    <row r="44">
      <c r="A44" s="28" t="s">
        <v>8</v>
      </c>
      <c r="B44" s="35">
        <f>SUM(B25:B43)</f>
        <v>0</v>
      </c>
      <c r="C44" s="26"/>
      <c r="D44" s="26"/>
      <c r="E44" s="26"/>
      <c r="F44" s="26"/>
      <c r="G44" s="26"/>
      <c r="H44" s="26"/>
      <c r="I44" s="26"/>
      <c r="J44" s="26"/>
      <c r="K44" s="26"/>
      <c r="L44" s="26"/>
    </row>
    <row r="69">
      <c r="A69" s="9" t="s">
        <v>390</v>
      </c>
    </row>
    <row r="70">
      <c r="E70" s="9" t="s">
        <v>391</v>
      </c>
      <c r="K70" s="9" t="s">
        <v>392</v>
      </c>
    </row>
  </sheetData>
  <mergeCells count="1">
    <mergeCell ref="D26:J34"/>
  </mergeCells>
  <dataValidations>
    <dataValidation type="list" allowBlank="1" showErrorMessage="1" sqref="C2">
      <formula1>"FUN DIVE,OPEN,AVANZADO,RESCUE,ESPECIALIDAD"</formula1>
    </dataValidation>
    <dataValidation type="list" allowBlank="1" showErrorMessage="1" sqref="F2:F7">
      <formula1>"Multiple,Pareja,Sencilla"</formula1>
    </dataValidation>
    <dataValidation type="list" allowBlank="1" showErrorMessage="1" sqref="D2:D7">
      <formula1>"SI,NO"</formula1>
    </dataValidation>
  </dataValidations>
  <drawing r:id="rId4"/>
  <legacyDrawing r:id="rId5"/>
</worksheet>
</file>